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11.xml" ContentType="application/vnd.openxmlformats-officedocument.spreadsheetml.pivotTable+xml"/>
  <Override PartName="/xl/comments2.xml" ContentType="application/vnd.openxmlformats-officedocument.spreadsheetml.comments+xml"/>
  <Override PartName="/xl/pivotTables/pivotTable12.xml" ContentType="application/vnd.openxmlformats-officedocument.spreadsheetml.pivotTable+xml"/>
  <Override PartName="/xl/comments3.xml" ContentType="application/vnd.openxmlformats-officedocument.spreadsheetml.comments+xml"/>
  <Override PartName="/xl/pivotTables/pivotTable13.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14.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5.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0.xml" ContentType="application/vnd.openxmlformats-officedocument.drawing+xml"/>
  <Override PartName="/xl/charts/chartEx1.xml" ContentType="application/vnd.ms-office.chartex+xml"/>
  <Override PartName="/xl/charts/style3.xml" ContentType="application/vnd.ms-office.chartstyle+xml"/>
  <Override PartName="/xl/charts/colors3.xml" ContentType="application/vnd.ms-office.chartcolorsty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pivotTables/pivotTable26.xml" ContentType="application/vnd.openxmlformats-officedocument.spreadsheetml.pivot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codeName="ThisWorkbook" hidePivotFieldList="1" defaultThemeVersion="166925"/>
  <mc:AlternateContent xmlns:mc="http://schemas.openxmlformats.org/markup-compatibility/2006">
    <mc:Choice Requires="x15">
      <x15ac:absPath xmlns:x15ac="http://schemas.microsoft.com/office/spreadsheetml/2010/11/ac" url="C:\Users\angelasa\Desktop\"/>
    </mc:Choice>
  </mc:AlternateContent>
  <xr:revisionPtr revIDLastSave="0" documentId="13_ncr:1_{F3CF45C8-2D04-4183-A6EA-9BD767049192}" xr6:coauthVersionLast="36" xr6:coauthVersionMax="47" xr10:uidLastSave="{00000000-0000-0000-0000-000000000000}"/>
  <workbookProtection workbookAlgorithmName="SHA-512" workbookHashValue="eL4fxJh3JRq9JsiuaG/8OQcdoZZKiG9YgfXbqufKp6FtpeOPhuE+y+ixdvPa+gVwEM/kZUehKwcQbJe7JybkBQ==" workbookSaltValue="1SHE6KA3syMXXF2AmZ22pQ==" workbookSpinCount="100000" lockStructure="1"/>
  <bookViews>
    <workbookView xWindow="-120" yWindow="-120" windowWidth="29040" windowHeight="15840" tabRatio="984" firstSheet="25" activeTab="25" xr2:uid="{00000000-000D-0000-FFFF-FFFF00000000}"/>
  </bookViews>
  <sheets>
    <sheet name="Трансакции" sheetId="9" state="hidden" r:id="rId1"/>
    <sheet name="BU_pomosen_mesecen (2)" sheetId="102" state="hidden" r:id="rId2"/>
    <sheet name="BU_pomosen_mesecen" sheetId="67" state="hidden" r:id="rId3"/>
    <sheet name="BU_pomosen_kvartalen" sheetId="68" state="hidden" r:id="rId4"/>
    <sheet name="Specificirani prihodi_pomosen" sheetId="74" state="hidden" r:id="rId5"/>
    <sheet name="BU_pomosen_meseceн CUBE" sheetId="71" state="hidden" r:id="rId6"/>
    <sheet name="Amortizacija_CUBE" sheetId="85" state="hidden" r:id="rId7"/>
    <sheet name="Amortizacija" sheetId="77" state="hidden" r:id="rId8"/>
    <sheet name="BS_pomosen_kvartalen" sheetId="78" state="hidden" r:id="rId9"/>
    <sheet name="CAPEX" sheetId="105" state="hidden" r:id="rId10"/>
    <sheet name="CAPEX po meseci CUBE" sheetId="84" state="hidden" r:id="rId11"/>
    <sheet name="BS_pomosen_mesecen" sheetId="82" state="hidden" r:id="rId12"/>
    <sheet name="BS_predviduvanje" sheetId="104" state="hidden" r:id="rId13"/>
    <sheet name="БС" sheetId="47" state="hidden" r:id="rId14"/>
    <sheet name="Za Analiza" sheetId="91" state="hidden" r:id="rId15"/>
    <sheet name="Za Analiza KIRILICA" sheetId="95" state="hidden" r:id="rId16"/>
    <sheet name="Grafici" sheetId="38" state="hidden" r:id="rId17"/>
    <sheet name="OPEX" sheetId="33" state="hidden" r:id="rId18"/>
    <sheet name="Analiza po meseci (2)" sheetId="109" state="hidden" r:id="rId19"/>
    <sheet name="Analiza po meseci" sheetId="97" state="hidden" r:id="rId20"/>
    <sheet name="Analiza_po stavki_periodi" sheetId="110" state="hidden" r:id="rId21"/>
    <sheet name="OPEX po stavki " sheetId="106" state="hidden" r:id="rId22"/>
    <sheet name="Analiza OPEX 2021" sheetId="107" state="hidden" r:id="rId23"/>
    <sheet name="Analiza OPEX 2021 (2)" sheetId="108" state="hidden" r:id="rId24"/>
    <sheet name="BU_pomosen_sporedben" sheetId="87" state="hidden" r:id="rId25"/>
    <sheet name="1. BilansNaSostojba" sheetId="52" r:id="rId26"/>
    <sheet name="2. Bilans Na Uspeh" sheetId="72" r:id="rId27"/>
    <sheet name="3.Specificirani prihodi" sheetId="75" r:id="rId28"/>
    <sheet name="4.Specificirani rashodi" sheetId="76" r:id="rId29"/>
    <sheet name="5. Spec. na fiksni s-va i amort" sheetId="50" state="hidden" r:id="rId30"/>
    <sheet name="5. Vraboteni po nacionalnost" sheetId="111" r:id="rId31"/>
    <sheet name="7.Izv za promeni vo kapital" sheetId="57" r:id="rId32"/>
    <sheet name="8. Izv. za paricni tekovi" sheetId="58" r:id="rId33"/>
    <sheet name="9. Pregled na kvartalni podatoc" sheetId="59" r:id="rId34"/>
    <sheet name="10. Preled na bruto plati " sheetId="96" r:id="rId35"/>
    <sheet name="Sheet1" sheetId="98" state="hidden" r:id="rId36"/>
    <sheet name="Sheet2" sheetId="99" state="hidden" r:id="rId37"/>
    <sheet name="Javni nabavki" sheetId="101" state="hidden" r:id="rId38"/>
    <sheet name="Sheet3" sheetId="100" state="hidden" r:id="rId39"/>
  </sheets>
  <definedNames>
    <definedName name="_xlnm._FilterDatabase" localSheetId="10" hidden="1">'CAPEX po meseci CUBE'!$U$5:$U$28</definedName>
    <definedName name="_xlchart.v1.0" hidden="1">'8. Izv. za paricni tekovi'!$A$19</definedName>
    <definedName name="_xlchart.v1.1" hidden="1">'8. Izv. za paricni tekovi'!$B$19:$M$19</definedName>
    <definedName name="_xlchart.v1.2" hidden="1">'8. Izv. za paricni tekovi'!$B$3:$M$3</definedName>
    <definedName name="ExternalData_1" localSheetId="35" hidden="1">Sheet1!$A$1:$E$30</definedName>
    <definedName name="ExternalData_1" localSheetId="36" hidden="1">Sheet2!$A$1:$E$130</definedName>
    <definedName name="ExternalData_1" localSheetId="38" hidden="1">Sheet3!$A$1:$E$1046</definedName>
    <definedName name="_xlnm.Print_Area" localSheetId="17">OPEX!$A$1:$H$294</definedName>
    <definedName name="Slicer_Date_Hierarchy">#N/A</definedName>
    <definedName name="Slicer_Date_Hierarchy71">#N/A</definedName>
    <definedName name="Slicer_Date_Hierarchy711">#N/A</definedName>
    <definedName name="Slicer_Date_Hierarchy712">#N/A</definedName>
    <definedName name="Slicer_Date_Hierarchy73">#N/A</definedName>
    <definedName name="Slicer_Date_Hierarchy732">#N/A</definedName>
    <definedName name="Slicer_StavkaGrupa">#N/A</definedName>
    <definedName name="Slicer_StavkaImeAOP">#N/A</definedName>
    <definedName name="Slicer_StavkaImeAOP1">#N/A</definedName>
    <definedName name="Slicer_StavkaKategorija">#N/A</definedName>
    <definedName name="Slicer_StavkaKategorija1">#N/A</definedName>
    <definedName name="Slicer_StavkaKategorija2">#N/A</definedName>
    <definedName name="Slicer_Месец112">#N/A</definedName>
  </definedNames>
  <calcPr calcId="191029"/>
  <pivotCaches>
    <pivotCache cacheId="0" r:id="rId40"/>
    <pivotCache cacheId="1" r:id="rId41"/>
    <pivotCache cacheId="2" r:id="rId42"/>
    <pivotCache cacheId="3" r:id="rId43"/>
    <pivotCache cacheId="4" r:id="rId44"/>
    <pivotCache cacheId="5" r:id="rId45"/>
    <pivotCache cacheId="6" r:id="rId46"/>
    <pivotCache cacheId="7" r:id="rId47"/>
    <pivotCache cacheId="8" r:id="rId48"/>
    <pivotCache cacheId="9" r:id="rId49"/>
    <pivotCache cacheId="10" r:id="rId50"/>
    <pivotCache cacheId="11" r:id="rId51"/>
    <pivotCache cacheId="12" r:id="rId52"/>
    <pivotCache cacheId="13" r:id="rId53"/>
    <pivotCache cacheId="14" r:id="rId54"/>
    <pivotCache cacheId="15" r:id="rId55"/>
    <pivotCache cacheId="16" r:id="rId56"/>
    <pivotCache cacheId="17" r:id="rId57"/>
    <pivotCache cacheId="18" r:id="rId58"/>
    <pivotCache cacheId="19" r:id="rId59"/>
    <pivotCache cacheId="20" r:id="rId60"/>
    <pivotCache cacheId="21" r:id="rId61"/>
    <pivotCache cacheId="22" r:id="rId62"/>
    <pivotCache cacheId="23" r:id="rId63"/>
    <pivotCache cacheId="24" r:id="rId64"/>
    <pivotCache cacheId="25" r:id="rId65"/>
    <pivotCache cacheId="26" r:id="rId66"/>
  </pivotCaches>
  <extLst>
    <ext xmlns:x14="http://schemas.microsoft.com/office/spreadsheetml/2009/9/main" uri="{876F7934-8845-4945-9796-88D515C7AA90}">
      <x14:pivotCaches>
        <pivotCache cacheId="27" r:id="rId67"/>
        <pivotCache cacheId="28" r:id="rId68"/>
        <pivotCache cacheId="29" r:id="rId69"/>
        <pivotCache cacheId="30" r:id="rId70"/>
        <pivotCache cacheId="31" r:id="rId71"/>
        <pivotCache cacheId="32" r:id="rId72"/>
        <pivotCache cacheId="33" r:id="rId73"/>
        <pivotCache cacheId="34" r:id="rId74"/>
      </x14:pivotCaches>
    </ext>
    <ext xmlns:x14="http://schemas.microsoft.com/office/spreadsheetml/2009/9/main" uri="{BBE1A952-AA13-448e-AADC-164F8A28A991}">
      <x14:slicerCaches>
        <x14:slicerCache r:id="rId75"/>
        <x14:slicerCache r:id="rId76"/>
        <x14:slicerCache r:id="rId77"/>
        <x14:slicerCache r:id="rId78"/>
        <x14:slicerCache r:id="rId79"/>
        <x14:slicerCache r:id="rId80"/>
        <x14:slicerCache r:id="rId81"/>
        <x14:slicerCache r:id="rId82"/>
        <x14:slicerCache r:id="rId83"/>
        <x14:slicerCache r:id="rId84"/>
        <x14:slicerCache r:id="rId85"/>
        <x14:slicerCache r:id="rId86"/>
        <x14:slicerCache r:id="rId8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APEX_2a581c2f-dc8a-447d-9b37-61aff2c8b518" name="CAPEX" connection="Query - CAPEX"/>
          <x15:modelTable id="Amortizacija_6938301b-4838-4370-8a7c-3fb1380e54d7" name="Amortizacija" connection="Query - Amortizacija"/>
          <x15:modelTable id="fCoveckiResursi_7a176d2e-5d97-48bf-979d-c4995676450e" name="fCoveckiResursi" connection="Query - fCoveckiResursi"/>
          <x15:modelTable id="fOPEX_5e126da7-58e0-4aea-8805-7d5602c6ccab" name="fOPEX" connection="Query - fOPEX"/>
          <x15:modelTable id="fActualAndBudget_5c646ea0-5175-4943-8c6b-b8574f5b2fb7" name="fActualAndBudget" connection="Query - fActualAndBudget"/>
          <x15:modelTable id="OPEXAnaliza_e347466b-10eb-4827-8229-e43bd13daa8d" name="OPEXAnaliza" connection="Query - OPEXAnaliza"/>
          <x15:modelTable id="fOPEX - ЈН_f8170aec-d548-46c6-bbda-dd9cff254e01" name="fOPEX - ЈН" connection="Query - fOPEX - ЈН"/>
          <x15:modelTable id="rArtikliAnaliza_57ab16c0-4fa3-4a2c-bbc5-69e6b315944b" name="rArtikliAnaliza" connection="Query - rArtikliAnaliza"/>
          <x15:modelTable id="fArtikliCeni_c1d30a31-5fb4-431c-a21a-00d80b48cc2a" name="fArtikliCeni" connection="Query - fArtikliCeni"/>
          <x15:modelTable id="rArtikli_HR_Analiza_236e5998-70cc-4caa-8469-26f3a0e66bdc" name="rArtikli_HR_Analiza" connection="Query - rArtikli_HR_Analiza"/>
          <x15:modelTable id="Calendar" name="Calendar" connection="Connection"/>
        </x15:modelTables>
        <x15:modelRelationships>
          <x15:modelRelationship fromTable="CAPEX" fromColumn="Очекуван датум на плаќање" toTable="Calendar" toColumn="Date"/>
          <x15:modelRelationship fromTable="Amortizacija" fromColumn="Период" toTable="Calendar" toColumn="Date"/>
          <x15:modelRelationship fromTable="fCoveckiResursi" fromColumn="Период" toTable="Calendar" toColumn="Date"/>
          <x15:modelRelationship fromTable="fActualAndBudget" fromColumn="Период" toTable="Calendar" toColumn="Date"/>
          <x15:modelRelationship fromTable="fOPEX" fromColumn="Период" toTable="Calendar" toColumn="Date"/>
          <x15:modelRelationship fromTable="rArtikliAnaliza" fromColumn="ObrazecIme" toTable="Calendar" toColumn="Date"/>
        </x15:modelRelationships>
        <x15:extLst>
          <ext xmlns:x16="http://schemas.microsoft.com/office/spreadsheetml/2014/11/main" uri="{9835A34E-60A6-4A7C-AAB8-D5F71C897F49}">
            <x16:modelTimeGroupings>
              <x16:modelTimeGrouping tableName="CAPEX" columnName="Очекуван датум на плаќање" columnId="Очекуван датум на плаќање">
                <x16:calculatedTimeColumn columnName="Очекуван датум на плаќање (Year)" columnId="Очекуван датум на плаќање (Year)" contentType="years" isSelected="1"/>
                <x16:calculatedTimeColumn columnName="Очекуван датум на плаќање (Quarter)" columnId="Очекуван датум на плаќање (Quarter)" contentType="quarters" isSelected="1"/>
                <x16:calculatedTimeColumn columnName="Очекуван датум на плаќање (Month Index)" columnId="Очекуван датум на плаќање (Month Index)" contentType="monthsindex" isSelected="1"/>
                <x16:calculatedTimeColumn columnName="Очекуван датум на плаќање (Month)" columnId="Очекуван датум на плаќање (Month)" contentType="months" isSelected="1"/>
              </x16:modelTimeGrouping>
              <x16:modelTimeGrouping tableName="rArtikliAnaliza" columnName="Период" columnId="Период">
                <x16:calculatedTimeColumn columnName="Период (Year)" columnId="Период (Year)" contentType="years" isSelected="1"/>
                <x16:calculatedTimeColumn columnName="Период (Quarter)" columnId="Период (Quarter)" contentType="quarters" isSelected="1"/>
                <x16:calculatedTimeColumn columnName="Период (Month Index)" columnId="Период (Month Index)" contentType="monthsindex" isSelected="1"/>
                <x16:calculatedTimeColumn columnName="Период (Month)" columnId="Период (Month)" contentType="months" isSelected="1"/>
              </x16:modelTimeGrouping>
              <x16:modelTimeGrouping tableName="OPEXAnaliza" columnName="Период" columnId="Период">
                <x16:calculatedTimeColumn columnName="Период (Year)" columnId="Период (Year)" contentType="years" isSelected="1"/>
                <x16:calculatedTimeColumn columnName="Период (Quarter)" columnId="Период (Quarter)" contentType="quarters" isSelected="1"/>
                <x16:calculatedTimeColumn columnName="Период (Month Index)" columnId="Период (Month Index)" contentType="monthsindex" isSelected="1"/>
                <x16:calculatedTimeColumn columnName="Период (Month)" columnId="Период (Month)" contentType="months" isSelected="1"/>
              </x16:modelTimeGrouping>
              <x16:modelTimeGrouping tableName="fCoveckiResursi" columnName="Период" columnId="Период">
                <x16:calculatedTimeColumn columnName="Период (Year) 1" columnId="Период (Year) 1" contentType="years" isSelected="0"/>
                <x16:calculatedTimeColumn columnName="Период (Quarter) 1" columnId="Период (Quarter) 1" contentType="quarters" isSelected="0"/>
                <x16:calculatedTimeColumn columnName="Период (Month Index) 1" columnId="Период (Month Index) 1" contentType="monthsindex" isSelected="1"/>
                <x16:calculatedTimeColumn columnName="Период (Month) 1" columnId="Период (Month) 1" contentType="months" isSelected="1"/>
              </x16:modelTimeGrouping>
            </x16:modelTimeGroupings>
          </ext>
        </x15:extLst>
      </x15:dataModel>
    </ext>
  </extLst>
</workbook>
</file>

<file path=xl/calcChain.xml><?xml version="1.0" encoding="utf-8"?>
<calcChain xmlns="http://schemas.openxmlformats.org/spreadsheetml/2006/main">
  <c r="P67" i="77" l="1"/>
  <c r="M73" i="77"/>
  <c r="C73" i="77"/>
  <c r="I73" i="77"/>
  <c r="N73" i="77"/>
  <c r="H73" i="77"/>
  <c r="J73" i="77"/>
  <c r="K73" i="77"/>
  <c r="L73" i="77"/>
  <c r="B73" i="77"/>
  <c r="G73" i="77"/>
  <c r="F73" i="77"/>
  <c r="D73" i="77"/>
  <c r="E73" i="77"/>
  <c r="C7" i="38"/>
  <c r="B7" i="38"/>
  <c r="D7" i="38"/>
  <c r="B74" i="77" l="1"/>
  <c r="F74" i="77"/>
  <c r="M74" i="77"/>
  <c r="I74" i="77"/>
  <c r="E74" i="77"/>
  <c r="N74" i="77"/>
  <c r="L74" i="77"/>
  <c r="H74" i="77"/>
  <c r="D74" i="77"/>
  <c r="J74" i="77"/>
  <c r="K74" i="77"/>
  <c r="G74" i="77"/>
  <c r="C74" i="77"/>
  <c r="C14" i="85"/>
  <c r="C15" i="85"/>
  <c r="S5" i="71"/>
  <c r="C40" i="82" l="1"/>
  <c r="D40" i="82"/>
  <c r="E40" i="82"/>
  <c r="F40" i="82"/>
  <c r="G40" i="82"/>
  <c r="H40" i="82"/>
  <c r="I40" i="82"/>
  <c r="J40" i="82"/>
  <c r="K40" i="82"/>
  <c r="L40" i="82"/>
  <c r="B40" i="82"/>
  <c r="C39" i="82"/>
  <c r="D39" i="82"/>
  <c r="E39" i="82"/>
  <c r="F39" i="82"/>
  <c r="G39" i="82"/>
  <c r="H39" i="82"/>
  <c r="I39" i="82"/>
  <c r="J39" i="82"/>
  <c r="K39" i="82"/>
  <c r="L39" i="82"/>
  <c r="B39" i="82"/>
  <c r="D5" i="84"/>
  <c r="A16" i="84"/>
  <c r="H5" i="84"/>
  <c r="A24" i="84"/>
  <c r="B45" i="84"/>
  <c r="A26" i="84"/>
  <c r="E4" i="84"/>
  <c r="L5" i="84"/>
  <c r="B60" i="84"/>
  <c r="A12" i="84"/>
  <c r="A20" i="84"/>
  <c r="D55" i="84"/>
  <c r="A18" i="84"/>
  <c r="R5" i="84"/>
  <c r="B56" i="84"/>
  <c r="F4" i="84"/>
  <c r="A19" i="84"/>
  <c r="K55" i="84"/>
  <c r="A13" i="84"/>
  <c r="A21" i="84"/>
  <c r="J55" i="84"/>
  <c r="B58" i="84"/>
  <c r="Q5" i="84"/>
  <c r="Q55" i="84"/>
  <c r="F5" i="84"/>
  <c r="G55" i="84"/>
  <c r="L55" i="84"/>
  <c r="A17" i="84"/>
  <c r="A25" i="84"/>
  <c r="C4" i="84"/>
  <c r="I5" i="84"/>
  <c r="A27" i="84"/>
  <c r="C55" i="84"/>
  <c r="M55" i="84"/>
  <c r="P55" i="84"/>
  <c r="A29" i="84"/>
  <c r="I55" i="84"/>
  <c r="B57" i="84"/>
  <c r="B46" i="84"/>
  <c r="N5" i="84"/>
  <c r="C5" i="84"/>
  <c r="A23" i="84"/>
  <c r="H55" i="84"/>
  <c r="R55" i="84"/>
  <c r="J5" i="84"/>
  <c r="O5" i="84"/>
  <c r="N55" i="84"/>
  <c r="F55" i="84"/>
  <c r="B59" i="84"/>
  <c r="A15" i="84"/>
  <c r="M5" i="84"/>
  <c r="A22" i="84"/>
  <c r="P5" i="84"/>
  <c r="A14" i="84"/>
  <c r="B61" i="84"/>
  <c r="B43" i="84"/>
  <c r="A28" i="84"/>
  <c r="O55" i="84"/>
  <c r="K5" i="84"/>
  <c r="G5" i="84"/>
  <c r="S21" i="67" l="1"/>
  <c r="M13" i="82"/>
  <c r="M8" i="82"/>
  <c r="M7" i="82"/>
  <c r="C6" i="104"/>
  <c r="B3" i="104"/>
  <c r="B6" i="104"/>
  <c r="L41" i="82" l="1"/>
  <c r="N8" i="82"/>
  <c r="G186" i="108"/>
  <c r="G187" i="108"/>
  <c r="I186" i="108"/>
  <c r="I187" i="108" s="1"/>
  <c r="O149" i="97"/>
  <c r="J187" i="108"/>
  <c r="D6" i="72"/>
  <c r="C38" i="75"/>
  <c r="E6" i="76"/>
  <c r="L5" i="85"/>
  <c r="B20" i="75"/>
  <c r="F15" i="52"/>
  <c r="I5" i="85"/>
  <c r="C6" i="72"/>
  <c r="B19" i="72"/>
  <c r="E5" i="85"/>
  <c r="E3" i="59"/>
  <c r="E6" i="72"/>
  <c r="B35" i="52"/>
  <c r="C6" i="75"/>
  <c r="B12" i="75"/>
  <c r="B11" i="72"/>
  <c r="D6" i="75"/>
  <c r="B56" i="72"/>
  <c r="D5" i="85"/>
  <c r="D3" i="52"/>
  <c r="D39" i="76"/>
  <c r="D15" i="52"/>
  <c r="E6" i="75"/>
  <c r="J5" i="85"/>
  <c r="B54" i="72"/>
  <c r="C15" i="52"/>
  <c r="F38" i="75"/>
  <c r="D3" i="59"/>
  <c r="C35" i="52"/>
  <c r="C61" i="72"/>
  <c r="F39" i="76"/>
  <c r="F6" i="75"/>
  <c r="E15" i="52"/>
  <c r="B45" i="75"/>
  <c r="C3" i="59"/>
  <c r="C5" i="85"/>
  <c r="F6" i="72"/>
  <c r="B103" i="72"/>
  <c r="D5" i="71"/>
  <c r="F3" i="52"/>
  <c r="A39" i="52"/>
  <c r="D6" i="76"/>
  <c r="F5" i="85"/>
  <c r="N5" i="85"/>
  <c r="D61" i="72"/>
  <c r="F61" i="72"/>
  <c r="B3" i="59"/>
  <c r="C3" i="57"/>
  <c r="K5" i="85"/>
  <c r="B55" i="72"/>
  <c r="F6" i="76"/>
  <c r="B3" i="57"/>
  <c r="C6" i="76"/>
  <c r="D38" i="75"/>
  <c r="C39" i="76"/>
  <c r="D3" i="57"/>
  <c r="G5" i="85"/>
  <c r="E35" i="52"/>
  <c r="E3" i="57"/>
  <c r="E3" i="52"/>
  <c r="M5" i="85"/>
  <c r="O5" i="85"/>
  <c r="B68" i="72"/>
  <c r="B8" i="71"/>
  <c r="C3" i="52"/>
  <c r="H5" i="85"/>
  <c r="B53" i="75"/>
  <c r="R30" i="84" l="1"/>
  <c r="C46" i="108"/>
  <c r="B33" i="108"/>
  <c r="C17" i="108"/>
  <c r="C18" i="108"/>
  <c r="B39" i="108"/>
  <c r="C26" i="108"/>
  <c r="B50" i="108"/>
  <c r="A6" i="108"/>
  <c r="B11" i="108"/>
  <c r="C13" i="108"/>
  <c r="A7" i="84"/>
  <c r="C6" i="108"/>
  <c r="C40" i="108"/>
  <c r="C22" i="108"/>
  <c r="B51" i="108"/>
  <c r="B6" i="108"/>
  <c r="C53" i="108"/>
  <c r="C37" i="108"/>
  <c r="C34" i="108"/>
  <c r="C25" i="108"/>
  <c r="C36" i="108"/>
  <c r="C14" i="108"/>
  <c r="C47" i="108"/>
  <c r="B54" i="108"/>
  <c r="C24" i="108"/>
  <c r="C21" i="108"/>
  <c r="C51" i="108"/>
  <c r="C12" i="108"/>
  <c r="C16" i="108"/>
  <c r="C28" i="108"/>
  <c r="C32" i="108"/>
  <c r="C23" i="108"/>
  <c r="C27" i="108"/>
  <c r="C41" i="108"/>
  <c r="C52" i="108"/>
  <c r="C35" i="108"/>
  <c r="C20" i="108"/>
  <c r="A56" i="108"/>
  <c r="C30" i="108"/>
  <c r="C10" i="108"/>
  <c r="B56" i="108"/>
  <c r="B12" i="108"/>
  <c r="C7" i="108"/>
  <c r="C29" i="108"/>
  <c r="C42" i="108"/>
  <c r="C38" i="108"/>
  <c r="B9" i="108"/>
  <c r="B10" i="108"/>
  <c r="C43" i="108"/>
  <c r="A55" i="108"/>
  <c r="C48" i="108"/>
  <c r="C49" i="108"/>
  <c r="C44" i="108"/>
  <c r="B34" i="108"/>
  <c r="C19" i="108"/>
  <c r="C8" i="108"/>
  <c r="C45" i="108"/>
  <c r="B40" i="108"/>
  <c r="C31" i="108"/>
  <c r="C15" i="108"/>
  <c r="E30" i="84" l="1"/>
  <c r="O51" i="104"/>
  <c r="A11" i="84"/>
  <c r="A10" i="85"/>
  <c r="B44" i="84"/>
  <c r="A9" i="84"/>
  <c r="A10" i="84"/>
  <c r="A6" i="84"/>
  <c r="D19" i="85" l="1"/>
  <c r="D16" i="85"/>
  <c r="F12" i="59" l="1"/>
  <c r="E11" i="59"/>
  <c r="D11" i="59"/>
  <c r="C11" i="59"/>
  <c r="B11" i="59"/>
  <c r="E10" i="59"/>
  <c r="D10" i="59"/>
  <c r="C10" i="59"/>
  <c r="B10" i="59"/>
  <c r="O21" i="58"/>
  <c r="O20" i="58"/>
  <c r="O19" i="58"/>
  <c r="N18" i="58"/>
  <c r="N17" i="58"/>
  <c r="N15" i="58"/>
  <c r="O13" i="58"/>
  <c r="O12" i="58"/>
  <c r="M10" i="58"/>
  <c r="L10" i="58"/>
  <c r="K10" i="58"/>
  <c r="J10" i="58"/>
  <c r="I10" i="58"/>
  <c r="H10" i="58"/>
  <c r="G10" i="58"/>
  <c r="F10" i="58"/>
  <c r="E10" i="58"/>
  <c r="D10" i="58"/>
  <c r="C10" i="58"/>
  <c r="B10" i="58"/>
  <c r="M9" i="58"/>
  <c r="L9" i="58"/>
  <c r="K9" i="58"/>
  <c r="J9" i="58"/>
  <c r="I9" i="58"/>
  <c r="H9" i="58"/>
  <c r="G9" i="58"/>
  <c r="F9" i="58"/>
  <c r="E9" i="58"/>
  <c r="D9" i="58"/>
  <c r="C9" i="58"/>
  <c r="N6" i="58"/>
  <c r="C3" i="58"/>
  <c r="D3" i="58" s="1"/>
  <c r="E3" i="58" s="1"/>
  <c r="F3" i="58" s="1"/>
  <c r="G3" i="58" s="1"/>
  <c r="H3" i="58" s="1"/>
  <c r="I3" i="58" s="1"/>
  <c r="J3" i="58" s="1"/>
  <c r="K3" i="58" s="1"/>
  <c r="L3" i="58" s="1"/>
  <c r="M3" i="58" s="1"/>
  <c r="G71" i="76"/>
  <c r="E71" i="76"/>
  <c r="G70" i="76"/>
  <c r="G35" i="76"/>
  <c r="G34" i="76"/>
  <c r="F58" i="52"/>
  <c r="D58" i="52"/>
  <c r="F52" i="52"/>
  <c r="D52" i="52"/>
  <c r="E48" i="52"/>
  <c r="B15" i="52"/>
  <c r="E40" i="84"/>
  <c r="O23" i="104"/>
  <c r="O19" i="104"/>
  <c r="J19" i="78"/>
  <c r="J18" i="78"/>
  <c r="J17" i="78"/>
  <c r="J16" i="78"/>
  <c r="J15" i="78"/>
  <c r="J14" i="78"/>
  <c r="J13" i="78"/>
  <c r="J12" i="78"/>
  <c r="J11" i="78"/>
  <c r="J10" i="78"/>
  <c r="J9" i="78"/>
  <c r="J8" i="78"/>
  <c r="J7" i="78"/>
  <c r="E15" i="85"/>
  <c r="F15" i="85" s="1"/>
  <c r="E14" i="85"/>
  <c r="I20" i="78"/>
  <c r="H20" i="78"/>
  <c r="E19" i="85" l="1"/>
  <c r="E16" i="85"/>
  <c r="C16" i="85"/>
  <c r="F14" i="85"/>
  <c r="E70" i="76"/>
  <c r="G15" i="85"/>
  <c r="N10" i="58"/>
  <c r="F10" i="59"/>
  <c r="F11" i="59"/>
  <c r="J20" i="78"/>
  <c r="G16" i="85" l="1"/>
  <c r="H15" i="85"/>
  <c r="F16" i="85"/>
  <c r="F19" i="85"/>
  <c r="H14" i="85"/>
  <c r="H16" i="85" l="1"/>
  <c r="I15" i="85"/>
  <c r="I14" i="85"/>
  <c r="I16" i="85" l="1"/>
  <c r="J15" i="85"/>
  <c r="K15" i="85" s="1"/>
  <c r="L15" i="85" s="1"/>
  <c r="M15" i="85" s="1"/>
  <c r="N15" i="85" s="1"/>
  <c r="O15" i="85" s="1"/>
  <c r="J14" i="85"/>
  <c r="P15" i="85" l="1"/>
  <c r="J16" i="85"/>
  <c r="Q15" i="85"/>
  <c r="K14" i="85"/>
  <c r="K16" i="85" s="1"/>
  <c r="L14" i="85" l="1"/>
  <c r="L16" i="85" s="1"/>
  <c r="M14" i="85" l="1"/>
  <c r="M16" i="85" s="1"/>
  <c r="N14" i="85" l="1"/>
  <c r="N16" i="85" s="1"/>
  <c r="O14" i="85" l="1"/>
  <c r="Q14" i="85" s="1"/>
  <c r="O16" i="85" l="1"/>
  <c r="P14" i="85"/>
  <c r="Q16" i="85" l="1"/>
  <c r="P16" i="85"/>
  <c r="P25" i="85" s="1"/>
  <c r="C40" i="84" l="1"/>
  <c r="B20" i="58" l="1"/>
  <c r="N20" i="58" s="1"/>
  <c r="P20" i="58" s="1"/>
  <c r="C38" i="52"/>
  <c r="K40" i="84" l="1"/>
  <c r="O40" i="84"/>
  <c r="D40" i="84"/>
  <c r="N40" i="84"/>
  <c r="J40" i="84"/>
  <c r="P40" i="84"/>
  <c r="G40" i="84"/>
  <c r="M40" i="84"/>
  <c r="H40" i="84"/>
  <c r="R40" i="84"/>
  <c r="F40" i="84"/>
  <c r="L40" i="84"/>
  <c r="Q40" i="84"/>
  <c r="I40" i="84"/>
  <c r="C20" i="85" l="1"/>
  <c r="P43" i="104" s="1"/>
  <c r="C19" i="85"/>
  <c r="C11" i="85"/>
  <c r="C22" i="85" s="1"/>
  <c r="C21" i="85" l="1"/>
  <c r="C23" i="85" s="1"/>
  <c r="P51" i="104"/>
  <c r="A29" i="104"/>
  <c r="B19" i="76"/>
  <c r="B41" i="75"/>
  <c r="B11" i="76"/>
  <c r="AC6" i="71"/>
  <c r="B57" i="76"/>
  <c r="B52" i="75"/>
  <c r="B28" i="71"/>
  <c r="A4" i="85"/>
  <c r="B15" i="71"/>
  <c r="B15" i="72"/>
  <c r="A14" i="47"/>
  <c r="B11" i="71"/>
  <c r="B16" i="76"/>
  <c r="Q34" i="71"/>
  <c r="N6" i="71"/>
  <c r="B38" i="71"/>
  <c r="B56" i="76"/>
  <c r="B49" i="71"/>
  <c r="B70" i="72"/>
  <c r="A20" i="47"/>
  <c r="A36" i="47"/>
  <c r="B39" i="72"/>
  <c r="B24" i="71"/>
  <c r="B44" i="71"/>
  <c r="B20" i="71"/>
  <c r="A16" i="47"/>
  <c r="B38" i="76"/>
  <c r="U6" i="71"/>
  <c r="B84" i="72"/>
  <c r="N6" i="104"/>
  <c r="B42" i="72"/>
  <c r="B37" i="72"/>
  <c r="Q56" i="71"/>
  <c r="F62" i="72"/>
  <c r="Q23" i="71"/>
  <c r="Q35" i="71"/>
  <c r="E6" i="71"/>
  <c r="B18" i="76"/>
  <c r="B52" i="76"/>
  <c r="A34" i="104"/>
  <c r="B67" i="72"/>
  <c r="A7" i="85"/>
  <c r="B64" i="76"/>
  <c r="Q44" i="71"/>
  <c r="B8" i="72"/>
  <c r="Q53" i="71"/>
  <c r="W6" i="71"/>
  <c r="B10" i="71"/>
  <c r="B43" i="75"/>
  <c r="B22" i="72"/>
  <c r="B47" i="84"/>
  <c r="C39" i="75"/>
  <c r="Q11" i="71"/>
  <c r="B95" i="72"/>
  <c r="Q52" i="71"/>
  <c r="B51" i="75"/>
  <c r="B5" i="75"/>
  <c r="B44" i="72"/>
  <c r="Q55" i="71"/>
  <c r="A17" i="104"/>
  <c r="L6" i="71"/>
  <c r="B7" i="76"/>
  <c r="B91" i="72"/>
  <c r="B30" i="76"/>
  <c r="B63" i="75"/>
  <c r="A6" i="52"/>
  <c r="Q33" i="71"/>
  <c r="B15" i="75"/>
  <c r="Q10" i="71"/>
  <c r="A9" i="47"/>
  <c r="B100" i="72"/>
  <c r="G6" i="71"/>
  <c r="B88" i="72"/>
  <c r="B41" i="76"/>
  <c r="B86" i="72"/>
  <c r="B46" i="76"/>
  <c r="A22" i="47"/>
  <c r="B72" i="72"/>
  <c r="A10" i="104"/>
  <c r="Q28" i="71"/>
  <c r="B19" i="71"/>
  <c r="B9" i="76"/>
  <c r="Q47" i="71"/>
  <c r="B29" i="72"/>
  <c r="E36" i="52"/>
  <c r="B21" i="71"/>
  <c r="B8" i="75"/>
  <c r="A23" i="104"/>
  <c r="A13" i="47"/>
  <c r="B64" i="72"/>
  <c r="A24" i="52"/>
  <c r="A1" i="50"/>
  <c r="F6" i="104"/>
  <c r="B57" i="75"/>
  <c r="B97" i="72"/>
  <c r="B54" i="84"/>
  <c r="A17" i="52"/>
  <c r="A7" i="52"/>
  <c r="A24" i="104"/>
  <c r="A49" i="104"/>
  <c r="B62" i="75"/>
  <c r="A40" i="104"/>
  <c r="B41" i="71"/>
  <c r="A38" i="104"/>
  <c r="Q25" i="71"/>
  <c r="I6" i="71"/>
  <c r="B59" i="75"/>
  <c r="A58" i="52"/>
  <c r="B18" i="71"/>
  <c r="B16" i="72"/>
  <c r="B9" i="75"/>
  <c r="A14" i="104"/>
  <c r="B36" i="72"/>
  <c r="B41" i="72"/>
  <c r="A31" i="104"/>
  <c r="B63" i="76"/>
  <c r="B23" i="76"/>
  <c r="Q12" i="71"/>
  <c r="B28" i="72"/>
  <c r="B83" i="72"/>
  <c r="B31" i="71"/>
  <c r="A5" i="104"/>
  <c r="B71" i="72"/>
  <c r="A59" i="52"/>
  <c r="B13" i="72"/>
  <c r="Q41" i="71"/>
  <c r="B14" i="71"/>
  <c r="J6" i="104"/>
  <c r="B13" i="76"/>
  <c r="B25" i="75"/>
  <c r="B44" i="76"/>
  <c r="A15" i="104"/>
  <c r="A37" i="104"/>
  <c r="A16" i="104"/>
  <c r="A52" i="104"/>
  <c r="B107" i="72"/>
  <c r="A30" i="104"/>
  <c r="D40" i="76"/>
  <c r="A48" i="52"/>
  <c r="B20" i="72"/>
  <c r="B45" i="72"/>
  <c r="A15" i="50"/>
  <c r="C6" i="71"/>
  <c r="B42" i="84"/>
  <c r="Q18" i="71"/>
  <c r="A34" i="47"/>
  <c r="B24" i="76"/>
  <c r="B46" i="71"/>
  <c r="B85" i="72"/>
  <c r="B75" i="72"/>
  <c r="A6" i="50"/>
  <c r="B45" i="71"/>
  <c r="B96" i="72"/>
  <c r="B55" i="76"/>
  <c r="A22" i="104"/>
  <c r="B16" i="75"/>
  <c r="B43" i="76"/>
  <c r="B27" i="76"/>
  <c r="B34" i="72"/>
  <c r="B65" i="76"/>
  <c r="B56" i="75"/>
  <c r="K10" i="85"/>
  <c r="Q38" i="71"/>
  <c r="A28" i="104"/>
  <c r="B99" i="72"/>
  <c r="B5" i="71"/>
  <c r="B5" i="72"/>
  <c r="B65" i="72"/>
  <c r="A38" i="52"/>
  <c r="B47" i="76"/>
  <c r="B43" i="72"/>
  <c r="B1" i="104"/>
  <c r="AC28" i="71"/>
  <c r="N49" i="71"/>
  <c r="T6" i="71"/>
  <c r="B58" i="75"/>
  <c r="B30" i="72"/>
  <c r="B62" i="76"/>
  <c r="B89" i="72"/>
  <c r="B27" i="75"/>
  <c r="B51" i="72"/>
  <c r="B21" i="76"/>
  <c r="A45" i="104"/>
  <c r="B48" i="76"/>
  <c r="H6" i="104"/>
  <c r="B46" i="72"/>
  <c r="C46" i="72" s="1"/>
  <c r="A27" i="52"/>
  <c r="Q21" i="71"/>
  <c r="A18" i="104"/>
  <c r="A37" i="47"/>
  <c r="A26" i="52"/>
  <c r="Q17" i="71"/>
  <c r="B80" i="72"/>
  <c r="A43" i="52"/>
  <c r="B11" i="75"/>
  <c r="B2" i="104"/>
  <c r="A20" i="52"/>
  <c r="A3" i="84"/>
  <c r="I28" i="84"/>
  <c r="B7" i="71"/>
  <c r="A62" i="52"/>
  <c r="G7" i="84"/>
  <c r="B22" i="75"/>
  <c r="B58" i="76"/>
  <c r="B53" i="72"/>
  <c r="B110" i="72"/>
  <c r="Q54" i="71"/>
  <c r="K6" i="71"/>
  <c r="M6" i="71"/>
  <c r="Y6" i="71"/>
  <c r="Y49" i="71" s="1"/>
  <c r="A8" i="85"/>
  <c r="B22" i="76"/>
  <c r="A19" i="47"/>
  <c r="B35" i="72"/>
  <c r="B50" i="72"/>
  <c r="B23" i="75"/>
  <c r="B37" i="71"/>
  <c r="Y37" i="71" s="1"/>
  <c r="B7" i="72"/>
  <c r="A5" i="52"/>
  <c r="B32" i="72"/>
  <c r="A12" i="104"/>
  <c r="Q31" i="71"/>
  <c r="Q22" i="71"/>
  <c r="G14" i="84"/>
  <c r="Q30" i="71"/>
  <c r="A9" i="104"/>
  <c r="B14" i="76"/>
  <c r="M16" i="84"/>
  <c r="B12" i="76"/>
  <c r="A42" i="52"/>
  <c r="Q7" i="71"/>
  <c r="A8" i="84"/>
  <c r="A3" i="50"/>
  <c r="A31" i="47"/>
  <c r="B79" i="72"/>
  <c r="D6" i="71"/>
  <c r="D31" i="71" s="1"/>
  <c r="A24" i="47"/>
  <c r="B22" i="71"/>
  <c r="B36" i="71"/>
  <c r="A43" i="104"/>
  <c r="Q37" i="71"/>
  <c r="B8" i="38"/>
  <c r="I6" i="104"/>
  <c r="B58" i="71"/>
  <c r="A55" i="52"/>
  <c r="B77" i="72"/>
  <c r="Q42" i="71"/>
  <c r="A30" i="52"/>
  <c r="Q19" i="71"/>
  <c r="B30" i="71"/>
  <c r="B55" i="75"/>
  <c r="Q46" i="71"/>
  <c r="A25" i="104"/>
  <c r="B5" i="76"/>
  <c r="B56" i="71"/>
  <c r="Q20" i="71"/>
  <c r="D16" i="84"/>
  <c r="G27" i="84"/>
  <c r="P16" i="84"/>
  <c r="Q32" i="71"/>
  <c r="A41" i="104"/>
  <c r="I25" i="84"/>
  <c r="G23" i="84"/>
  <c r="P27" i="84"/>
  <c r="C22" i="104"/>
  <c r="F15" i="84"/>
  <c r="B25" i="71"/>
  <c r="B24" i="72"/>
  <c r="D39" i="75"/>
  <c r="D41" i="75" s="1"/>
  <c r="A36" i="104"/>
  <c r="B45" i="76"/>
  <c r="K21" i="84"/>
  <c r="C15" i="75"/>
  <c r="C23" i="84"/>
  <c r="O27" i="84"/>
  <c r="F12" i="84"/>
  <c r="M29" i="84"/>
  <c r="B31" i="72"/>
  <c r="E28" i="71"/>
  <c r="B54" i="76"/>
  <c r="L11" i="71"/>
  <c r="Q22" i="84"/>
  <c r="G49" i="71"/>
  <c r="U45" i="71"/>
  <c r="D32" i="72"/>
  <c r="F19" i="84"/>
  <c r="C18" i="104"/>
  <c r="G12" i="84"/>
  <c r="C11" i="72"/>
  <c r="B48" i="75"/>
  <c r="Q16" i="71"/>
  <c r="L6" i="104"/>
  <c r="B29" i="75"/>
  <c r="A38" i="47"/>
  <c r="H9" i="84"/>
  <c r="B90" i="72"/>
  <c r="B39" i="84"/>
  <c r="B12" i="72"/>
  <c r="B42" i="76"/>
  <c r="B44" i="75"/>
  <c r="A23" i="52"/>
  <c r="B50" i="76"/>
  <c r="S6" i="71"/>
  <c r="S58" i="71" s="1"/>
  <c r="B98" i="72"/>
  <c r="Q36" i="71"/>
  <c r="A49" i="52"/>
  <c r="A8" i="38"/>
  <c r="A12" i="52"/>
  <c r="J12" i="84"/>
  <c r="A33" i="104"/>
  <c r="Q45" i="84"/>
  <c r="M20" i="84"/>
  <c r="AA6" i="71"/>
  <c r="C62" i="72"/>
  <c r="C13" i="76"/>
  <c r="N15" i="71"/>
  <c r="F14" i="76"/>
  <c r="Y46" i="71"/>
  <c r="L34" i="104"/>
  <c r="B9" i="71"/>
  <c r="B94" i="72"/>
  <c r="B27" i="71"/>
  <c r="M15" i="84"/>
  <c r="A41" i="47"/>
  <c r="C99" i="72"/>
  <c r="Y7" i="71"/>
  <c r="D30" i="76"/>
  <c r="N58" i="84"/>
  <c r="S41" i="71"/>
  <c r="H21" i="84"/>
  <c r="P11" i="84"/>
  <c r="N24" i="84"/>
  <c r="B18" i="104"/>
  <c r="F35" i="72"/>
  <c r="L57" i="84"/>
  <c r="B60" i="75"/>
  <c r="K30" i="71"/>
  <c r="M43" i="84"/>
  <c r="C37" i="71"/>
  <c r="J21" i="84"/>
  <c r="B36" i="52"/>
  <c r="B40" i="71"/>
  <c r="H29" i="84"/>
  <c r="O61" i="84"/>
  <c r="C12" i="72"/>
  <c r="W28" i="71"/>
  <c r="E31" i="71"/>
  <c r="H38" i="104"/>
  <c r="I12" i="104"/>
  <c r="I38" i="71"/>
  <c r="D8" i="75"/>
  <c r="J20" i="84"/>
  <c r="N16" i="104"/>
  <c r="C70" i="72"/>
  <c r="AB6" i="71"/>
  <c r="B6" i="50"/>
  <c r="B102" i="72"/>
  <c r="I44" i="84"/>
  <c r="D6" i="104"/>
  <c r="B24" i="75"/>
  <c r="N27" i="71"/>
  <c r="Y18" i="71"/>
  <c r="E11" i="71"/>
  <c r="K23" i="84"/>
  <c r="D57" i="75"/>
  <c r="D58" i="76"/>
  <c r="C40" i="71"/>
  <c r="M23" i="84"/>
  <c r="H22" i="104"/>
  <c r="C29" i="75"/>
  <c r="AA24" i="71"/>
  <c r="D40" i="104"/>
  <c r="W18" i="71"/>
  <c r="E14" i="76"/>
  <c r="AC7" i="71"/>
  <c r="S9" i="71"/>
  <c r="L41" i="104"/>
  <c r="I20" i="84"/>
  <c r="J18" i="84"/>
  <c r="D22" i="104"/>
  <c r="K26" i="84"/>
  <c r="D12" i="72"/>
  <c r="A34" i="52"/>
  <c r="Q43" i="71"/>
  <c r="L21" i="71"/>
  <c r="W9" i="71"/>
  <c r="E54" i="72"/>
  <c r="U18" i="71"/>
  <c r="Y11" i="71"/>
  <c r="G36" i="71"/>
  <c r="A19" i="104"/>
  <c r="B42" i="71"/>
  <c r="B92" i="72"/>
  <c r="B61" i="75"/>
  <c r="C61" i="75" s="1"/>
  <c r="B17" i="76"/>
  <c r="A13" i="104"/>
  <c r="C13" i="104" s="1"/>
  <c r="B78" i="72"/>
  <c r="B10" i="76"/>
  <c r="B87" i="72"/>
  <c r="B33" i="72"/>
  <c r="N61" i="84"/>
  <c r="C19" i="84"/>
  <c r="L11" i="84"/>
  <c r="B27" i="72"/>
  <c r="B23" i="71"/>
  <c r="N23" i="71" s="1"/>
  <c r="M6" i="104"/>
  <c r="A26" i="104"/>
  <c r="B55" i="71"/>
  <c r="B28" i="76"/>
  <c r="A30" i="47"/>
  <c r="O10" i="85"/>
  <c r="J23" i="84"/>
  <c r="O18" i="84"/>
  <c r="A5" i="50"/>
  <c r="R6" i="71"/>
  <c r="K19" i="84"/>
  <c r="B62" i="84"/>
  <c r="W31" i="71"/>
  <c r="M38" i="104"/>
  <c r="Q9" i="71"/>
  <c r="A35" i="104"/>
  <c r="B7" i="75"/>
  <c r="B81" i="72"/>
  <c r="H7" i="84"/>
  <c r="O23" i="84"/>
  <c r="I13" i="84"/>
  <c r="H44" i="84"/>
  <c r="A39" i="104"/>
  <c r="C61" i="84"/>
  <c r="E35" i="72"/>
  <c r="B34" i="71"/>
  <c r="E22" i="76"/>
  <c r="K37" i="71"/>
  <c r="I19" i="84"/>
  <c r="I16" i="84"/>
  <c r="B38" i="72"/>
  <c r="C97" i="72"/>
  <c r="C67" i="72"/>
  <c r="A11" i="50"/>
  <c r="S21" i="71"/>
  <c r="C88" i="72"/>
  <c r="C26" i="84"/>
  <c r="D45" i="84"/>
  <c r="F28" i="72"/>
  <c r="Q45" i="71"/>
  <c r="P59" i="84"/>
  <c r="N9" i="104"/>
  <c r="B52" i="71"/>
  <c r="B43" i="71"/>
  <c r="AA28" i="71"/>
  <c r="B14" i="75"/>
  <c r="B69" i="72"/>
  <c r="M25" i="104"/>
  <c r="N20" i="84"/>
  <c r="D46" i="71"/>
  <c r="H33" i="104"/>
  <c r="B35" i="104"/>
  <c r="A16" i="50"/>
  <c r="C7" i="71"/>
  <c r="M14" i="104"/>
  <c r="E22" i="72"/>
  <c r="N23" i="104"/>
  <c r="O44" i="84"/>
  <c r="R9" i="71"/>
  <c r="D8" i="84"/>
  <c r="T46" i="71"/>
  <c r="S19" i="71"/>
  <c r="M11" i="84"/>
  <c r="O8" i="84"/>
  <c r="D51" i="72"/>
  <c r="O60" i="84"/>
  <c r="B40" i="72"/>
  <c r="O19" i="84"/>
  <c r="I28" i="71"/>
  <c r="A52" i="52"/>
  <c r="T22" i="71"/>
  <c r="H12" i="84"/>
  <c r="M7" i="85"/>
  <c r="I38" i="104"/>
  <c r="K43" i="84"/>
  <c r="K8" i="71"/>
  <c r="D21" i="71"/>
  <c r="L40" i="104"/>
  <c r="I12" i="84"/>
  <c r="N43" i="71"/>
  <c r="W56" i="71"/>
  <c r="F84" i="72"/>
  <c r="C45" i="84"/>
  <c r="U27" i="71"/>
  <c r="K41" i="71"/>
  <c r="R21" i="71"/>
  <c r="AA9" i="71"/>
  <c r="D19" i="84"/>
  <c r="T38" i="71"/>
  <c r="D50" i="72"/>
  <c r="J47" i="84"/>
  <c r="N34" i="71"/>
  <c r="A27" i="47"/>
  <c r="A20" i="104"/>
  <c r="D8" i="38"/>
  <c r="B48" i="71"/>
  <c r="S48" i="71" s="1"/>
  <c r="B108" i="72"/>
  <c r="B9" i="72"/>
  <c r="X6" i="71"/>
  <c r="X58" i="71" s="1"/>
  <c r="B17" i="71"/>
  <c r="B10" i="75"/>
  <c r="D10" i="75" s="1"/>
  <c r="Q48" i="71"/>
  <c r="F40" i="76"/>
  <c r="D59" i="84"/>
  <c r="B47" i="71"/>
  <c r="B73" i="72"/>
  <c r="A8" i="104"/>
  <c r="I8" i="104" s="1"/>
  <c r="B29" i="71"/>
  <c r="Q13" i="71"/>
  <c r="M18" i="84"/>
  <c r="A21" i="104"/>
  <c r="H21" i="104" s="1"/>
  <c r="A53" i="104"/>
  <c r="H53" i="104" s="1"/>
  <c r="Q39" i="71"/>
  <c r="C37" i="104"/>
  <c r="N7" i="84"/>
  <c r="F19" i="76"/>
  <c r="B66" i="72"/>
  <c r="B2" i="50"/>
  <c r="B49" i="76"/>
  <c r="L31" i="71"/>
  <c r="O7" i="84"/>
  <c r="P17" i="84"/>
  <c r="F16" i="72"/>
  <c r="B41" i="84"/>
  <c r="K41" i="84" s="1"/>
  <c r="Q5" i="71"/>
  <c r="B12" i="71"/>
  <c r="B76" i="72"/>
  <c r="B18" i="72"/>
  <c r="C18" i="72" s="1"/>
  <c r="B46" i="75"/>
  <c r="B20" i="76"/>
  <c r="G11" i="84"/>
  <c r="Y25" i="71"/>
  <c r="F9" i="84"/>
  <c r="P45" i="84"/>
  <c r="B18" i="75"/>
  <c r="F37" i="72"/>
  <c r="A9" i="52"/>
  <c r="F26" i="84"/>
  <c r="D20" i="75"/>
  <c r="N27" i="84"/>
  <c r="B101" i="72"/>
  <c r="F101" i="72" s="1"/>
  <c r="Q8" i="71"/>
  <c r="D45" i="76"/>
  <c r="E30" i="76"/>
  <c r="H14" i="104"/>
  <c r="F42" i="72"/>
  <c r="I17" i="104"/>
  <c r="D22" i="72"/>
  <c r="U36" i="71"/>
  <c r="C40" i="76"/>
  <c r="B66" i="76"/>
  <c r="N42" i="84"/>
  <c r="Q27" i="71"/>
  <c r="F75" i="72"/>
  <c r="S17" i="71"/>
  <c r="D23" i="75"/>
  <c r="C55" i="72"/>
  <c r="I21" i="104"/>
  <c r="I22" i="71"/>
  <c r="M27" i="71"/>
  <c r="D58" i="84"/>
  <c r="A11" i="104"/>
  <c r="AC43" i="71"/>
  <c r="N33" i="104"/>
  <c r="C9" i="104"/>
  <c r="Y30" i="71"/>
  <c r="M37" i="104"/>
  <c r="D27" i="84"/>
  <c r="G12" i="71"/>
  <c r="E11" i="75"/>
  <c r="Y9" i="71"/>
  <c r="D11" i="75"/>
  <c r="K47" i="71"/>
  <c r="N19" i="104"/>
  <c r="B23" i="72"/>
  <c r="B25" i="72"/>
  <c r="M13" i="84"/>
  <c r="N41" i="71"/>
  <c r="A28" i="47"/>
  <c r="L45" i="104"/>
  <c r="C25" i="72"/>
  <c r="C39" i="72"/>
  <c r="D56" i="72"/>
  <c r="F44" i="84"/>
  <c r="C54" i="72"/>
  <c r="T25" i="71"/>
  <c r="M28" i="84"/>
  <c r="B16" i="71"/>
  <c r="K44" i="84"/>
  <c r="F14" i="104"/>
  <c r="F64" i="76"/>
  <c r="K14" i="84"/>
  <c r="N31" i="71"/>
  <c r="I34" i="104"/>
  <c r="C8" i="38"/>
  <c r="E44" i="71"/>
  <c r="AC42" i="71"/>
  <c r="L16" i="104"/>
  <c r="K60" i="84"/>
  <c r="B93" i="72"/>
  <c r="F24" i="72"/>
  <c r="D13" i="84"/>
  <c r="AA7" i="71"/>
  <c r="H6" i="71"/>
  <c r="D19" i="71"/>
  <c r="C44" i="72"/>
  <c r="B112" i="72"/>
  <c r="L21" i="84"/>
  <c r="Q43" i="84"/>
  <c r="A15" i="47"/>
  <c r="F39" i="75"/>
  <c r="A18" i="47"/>
  <c r="B28" i="75"/>
  <c r="C59" i="75"/>
  <c r="Q57" i="71"/>
  <c r="D58" i="75"/>
  <c r="B39" i="71"/>
  <c r="D29" i="71"/>
  <c r="A25" i="52"/>
  <c r="L15" i="84"/>
  <c r="C17" i="104"/>
  <c r="U22" i="71"/>
  <c r="F65" i="76"/>
  <c r="D52" i="71"/>
  <c r="W36" i="71"/>
  <c r="C46" i="71"/>
  <c r="G17" i="84"/>
  <c r="H17" i="104"/>
  <c r="B13" i="71"/>
  <c r="K9" i="84"/>
  <c r="S42" i="71"/>
  <c r="E9" i="72"/>
  <c r="F25" i="72"/>
  <c r="C41" i="104"/>
  <c r="F67" i="72"/>
  <c r="A6" i="85"/>
  <c r="B37" i="75"/>
  <c r="C23" i="75"/>
  <c r="N45" i="71"/>
  <c r="O9" i="84"/>
  <c r="L41" i="71"/>
  <c r="E43" i="72"/>
  <c r="M12" i="71"/>
  <c r="D35" i="104"/>
  <c r="P44" i="84"/>
  <c r="U23" i="71"/>
  <c r="B13" i="75"/>
  <c r="A35" i="47"/>
  <c r="F12" i="104"/>
  <c r="B8" i="76"/>
  <c r="J12" i="104"/>
  <c r="T17" i="71"/>
  <c r="C16" i="72"/>
  <c r="A42" i="104"/>
  <c r="E25" i="75"/>
  <c r="C65" i="76"/>
  <c r="C100" i="72"/>
  <c r="X42" i="71"/>
  <c r="C79" i="72"/>
  <c r="L17" i="104"/>
  <c r="R15" i="71"/>
  <c r="C7" i="84"/>
  <c r="AA8" i="71"/>
  <c r="V6" i="71"/>
  <c r="D23" i="104"/>
  <c r="D62" i="75"/>
  <c r="G24" i="71"/>
  <c r="AB24" i="71"/>
  <c r="C64" i="72"/>
  <c r="N25" i="71"/>
  <c r="C56" i="76"/>
  <c r="L12" i="71"/>
  <c r="I27" i="84"/>
  <c r="K44" i="71"/>
  <c r="G30" i="71"/>
  <c r="F51" i="72"/>
  <c r="R58" i="71"/>
  <c r="U16" i="71"/>
  <c r="D24" i="84"/>
  <c r="L13" i="71"/>
  <c r="G40" i="71"/>
  <c r="A4" i="50"/>
  <c r="H39" i="71"/>
  <c r="A10" i="50"/>
  <c r="F22" i="104"/>
  <c r="C41" i="71"/>
  <c r="F9" i="75"/>
  <c r="K47" i="84"/>
  <c r="V29" i="71"/>
  <c r="N11" i="71"/>
  <c r="C108" i="72"/>
  <c r="C51" i="72"/>
  <c r="E19" i="71"/>
  <c r="J45" i="104"/>
  <c r="D29" i="84"/>
  <c r="C45" i="76"/>
  <c r="Q41" i="84"/>
  <c r="AA43" i="71"/>
  <c r="K10" i="84"/>
  <c r="F29" i="72"/>
  <c r="N26" i="104"/>
  <c r="R30" i="71"/>
  <c r="C62" i="76"/>
  <c r="D15" i="104"/>
  <c r="X28" i="71"/>
  <c r="U24" i="71"/>
  <c r="J16" i="104"/>
  <c r="W40" i="71"/>
  <c r="Y56" i="71"/>
  <c r="F45" i="75"/>
  <c r="D24" i="104"/>
  <c r="AC39" i="71"/>
  <c r="S22" i="71"/>
  <c r="C69" i="72"/>
  <c r="A57" i="52"/>
  <c r="F76" i="72"/>
  <c r="L61" i="84"/>
  <c r="M23" i="71"/>
  <c r="L56" i="84"/>
  <c r="AA15" i="71"/>
  <c r="B47" i="72"/>
  <c r="A45" i="52"/>
  <c r="K6" i="104"/>
  <c r="B49" i="75"/>
  <c r="L20" i="84"/>
  <c r="B57" i="71"/>
  <c r="U49" i="71"/>
  <c r="A50" i="104"/>
  <c r="D62" i="72"/>
  <c r="B42" i="75"/>
  <c r="O10" i="84"/>
  <c r="C10" i="75"/>
  <c r="G17" i="71"/>
  <c r="J17" i="104"/>
  <c r="Y42" i="71"/>
  <c r="O6" i="71"/>
  <c r="A17" i="50"/>
  <c r="L15" i="104"/>
  <c r="Z6" i="71"/>
  <c r="AA56" i="71"/>
  <c r="D28" i="75"/>
  <c r="D49" i="71"/>
  <c r="K43" i="104"/>
  <c r="Q14" i="71"/>
  <c r="L18" i="84"/>
  <c r="F68" i="72"/>
  <c r="O21" i="84"/>
  <c r="C42" i="72"/>
  <c r="K26" i="104"/>
  <c r="Q24" i="71"/>
  <c r="D8" i="72"/>
  <c r="M17" i="104"/>
  <c r="K35" i="104"/>
  <c r="B106" i="72"/>
  <c r="D17" i="84"/>
  <c r="R40" i="71"/>
  <c r="K18" i="104"/>
  <c r="J19" i="84"/>
  <c r="C15" i="84"/>
  <c r="Q44" i="84"/>
  <c r="O15" i="71"/>
  <c r="R39" i="71"/>
  <c r="F49" i="76"/>
  <c r="F42" i="75"/>
  <c r="S15" i="71"/>
  <c r="C50" i="72"/>
  <c r="E47" i="71"/>
  <c r="Z21" i="71"/>
  <c r="M12" i="104"/>
  <c r="M20" i="71"/>
  <c r="A48" i="104"/>
  <c r="G44" i="84"/>
  <c r="C15" i="104"/>
  <c r="C43" i="76"/>
  <c r="D44" i="72"/>
  <c r="B17" i="72"/>
  <c r="C43" i="72"/>
  <c r="AB12" i="71"/>
  <c r="H23" i="104"/>
  <c r="C29" i="104"/>
  <c r="C19" i="76"/>
  <c r="F16" i="104"/>
  <c r="I40" i="104"/>
  <c r="F48" i="104"/>
  <c r="C52" i="71"/>
  <c r="U39" i="71"/>
  <c r="X49" i="71"/>
  <c r="F45" i="84"/>
  <c r="M8" i="71"/>
  <c r="D30" i="71"/>
  <c r="Y20" i="71"/>
  <c r="X30" i="71"/>
  <c r="J11" i="84"/>
  <c r="T52" i="71"/>
  <c r="F6" i="84"/>
  <c r="Q11" i="84"/>
  <c r="Z38" i="71"/>
  <c r="L15" i="71"/>
  <c r="Y47" i="71"/>
  <c r="O43" i="84"/>
  <c r="H40" i="104"/>
  <c r="D48" i="76"/>
  <c r="K56" i="71"/>
  <c r="N36" i="71"/>
  <c r="O39" i="71"/>
  <c r="J21" i="104"/>
  <c r="F11" i="104"/>
  <c r="B34" i="104"/>
  <c r="U20" i="71"/>
  <c r="F81" i="72"/>
  <c r="E13" i="72"/>
  <c r="V38" i="71"/>
  <c r="M46" i="84"/>
  <c r="L35" i="104"/>
  <c r="M45" i="84"/>
  <c r="D13" i="76"/>
  <c r="R14" i="71"/>
  <c r="L43" i="71"/>
  <c r="H7" i="85"/>
  <c r="D22" i="71"/>
  <c r="D45" i="104"/>
  <c r="R27" i="71"/>
  <c r="O57" i="71"/>
  <c r="B49" i="104"/>
  <c r="L29" i="104"/>
  <c r="D12" i="104"/>
  <c r="F28" i="76"/>
  <c r="D28" i="71"/>
  <c r="H60" i="84"/>
  <c r="AC56" i="71"/>
  <c r="C27" i="72"/>
  <c r="C56" i="72"/>
  <c r="W30" i="71"/>
  <c r="E48" i="71"/>
  <c r="B59" i="76"/>
  <c r="B40" i="75"/>
  <c r="B14" i="72"/>
  <c r="A7" i="104"/>
  <c r="Q29" i="71"/>
  <c r="B50" i="75"/>
  <c r="P57" i="84"/>
  <c r="Q21" i="84"/>
  <c r="AA21" i="71"/>
  <c r="Q15" i="71"/>
  <c r="C43" i="75"/>
  <c r="F53" i="104"/>
  <c r="B19" i="104"/>
  <c r="N11" i="84"/>
  <c r="D33" i="72"/>
  <c r="C58" i="75"/>
  <c r="K20" i="84"/>
  <c r="K29" i="104"/>
  <c r="B51" i="76"/>
  <c r="D18" i="76"/>
  <c r="G28" i="84"/>
  <c r="B63" i="72"/>
  <c r="D43" i="84"/>
  <c r="J37" i="104"/>
  <c r="I10" i="84"/>
  <c r="H18" i="104"/>
  <c r="C42" i="84"/>
  <c r="I42" i="84"/>
  <c r="E23" i="76"/>
  <c r="J6" i="71"/>
  <c r="C57" i="75"/>
  <c r="R18" i="71"/>
  <c r="E11" i="72"/>
  <c r="F57" i="76"/>
  <c r="I26" i="104"/>
  <c r="A21" i="47"/>
  <c r="K37" i="104"/>
  <c r="J16" i="84"/>
  <c r="D20" i="84"/>
  <c r="J42" i="71"/>
  <c r="C22" i="71"/>
  <c r="P25" i="84"/>
  <c r="Z44" i="71"/>
  <c r="B26" i="104"/>
  <c r="H26" i="104"/>
  <c r="H36" i="104"/>
  <c r="C56" i="75"/>
  <c r="D23" i="71"/>
  <c r="T12" i="71"/>
  <c r="N47" i="71"/>
  <c r="F20" i="75"/>
  <c r="R37" i="71"/>
  <c r="H20" i="84"/>
  <c r="I22" i="104"/>
  <c r="H18" i="84"/>
  <c r="M30" i="104"/>
  <c r="L58" i="71"/>
  <c r="C41" i="72"/>
  <c r="I24" i="104"/>
  <c r="C8" i="72"/>
  <c r="D26" i="104"/>
  <c r="L28" i="84"/>
  <c r="F34" i="104"/>
  <c r="K9" i="71"/>
  <c r="C24" i="75"/>
  <c r="F57" i="75"/>
  <c r="R19" i="71"/>
  <c r="D46" i="75"/>
  <c r="K7" i="71"/>
  <c r="D68" i="72"/>
  <c r="P61" i="84"/>
  <c r="K36" i="71"/>
  <c r="F7" i="84"/>
  <c r="A51" i="104"/>
  <c r="F51" i="104" s="1"/>
  <c r="F20" i="72"/>
  <c r="G46" i="84"/>
  <c r="AB34" i="71"/>
  <c r="K58" i="71"/>
  <c r="J47" i="71"/>
  <c r="F10" i="75"/>
  <c r="N46" i="84"/>
  <c r="L20" i="71"/>
  <c r="E10" i="85"/>
  <c r="Q24" i="84"/>
  <c r="C50" i="76"/>
  <c r="C25" i="75"/>
  <c r="L9" i="104"/>
  <c r="AA42" i="71"/>
  <c r="K9" i="104"/>
  <c r="C71" i="72"/>
  <c r="I22" i="84"/>
  <c r="F94" i="72"/>
  <c r="R8" i="71"/>
  <c r="K58" i="84"/>
  <c r="L7" i="104"/>
  <c r="A56" i="52"/>
  <c r="F7" i="104"/>
  <c r="K19" i="71"/>
  <c r="D45" i="72"/>
  <c r="D24" i="75"/>
  <c r="D15" i="72"/>
  <c r="C21" i="84"/>
  <c r="C32" i="72"/>
  <c r="R17" i="71"/>
  <c r="F27" i="75"/>
  <c r="C9" i="84"/>
  <c r="A31" i="84"/>
  <c r="K6" i="85"/>
  <c r="M49" i="104"/>
  <c r="N20" i="104"/>
  <c r="F28" i="84"/>
  <c r="U14" i="71"/>
  <c r="L19" i="104"/>
  <c r="M42" i="104"/>
  <c r="N48" i="71"/>
  <c r="E7" i="71"/>
  <c r="N7" i="104"/>
  <c r="K17" i="104"/>
  <c r="I30" i="71"/>
  <c r="AC8" i="71"/>
  <c r="N26" i="84"/>
  <c r="C8" i="104"/>
  <c r="M19" i="104"/>
  <c r="G47" i="84"/>
  <c r="S52" i="71"/>
  <c r="M19" i="71"/>
  <c r="X36" i="71"/>
  <c r="AC30" i="71"/>
  <c r="K57" i="71"/>
  <c r="F85" i="72"/>
  <c r="J37" i="71"/>
  <c r="W16" i="71"/>
  <c r="C48" i="76"/>
  <c r="M15" i="71"/>
  <c r="O7" i="85"/>
  <c r="U56" i="71"/>
  <c r="F70" i="72"/>
  <c r="F17" i="104"/>
  <c r="V41" i="71"/>
  <c r="AA38" i="71"/>
  <c r="M23" i="104"/>
  <c r="K42" i="104"/>
  <c r="L41" i="84"/>
  <c r="F18" i="75"/>
  <c r="L19" i="71"/>
  <c r="I25" i="104"/>
  <c r="D25" i="84"/>
  <c r="T10" i="71"/>
  <c r="AA17" i="71"/>
  <c r="G57" i="84"/>
  <c r="J19" i="71"/>
  <c r="U12" i="71"/>
  <c r="E18" i="71"/>
  <c r="Y57" i="71"/>
  <c r="O41" i="84"/>
  <c r="D43" i="76"/>
  <c r="C41" i="84"/>
  <c r="D43" i="75"/>
  <c r="A12" i="47"/>
  <c r="AD6" i="71"/>
  <c r="D80" i="72"/>
  <c r="T39" i="71"/>
  <c r="E50" i="72"/>
  <c r="I29" i="104"/>
  <c r="C11" i="84"/>
  <c r="Z10" i="71"/>
  <c r="R28" i="71"/>
  <c r="N14" i="84"/>
  <c r="AC40" i="71"/>
  <c r="B45" i="104"/>
  <c r="I45" i="71"/>
  <c r="F9" i="76"/>
  <c r="S11" i="71"/>
  <c r="O9" i="71"/>
  <c r="O31" i="71"/>
  <c r="S30" i="71"/>
  <c r="H56" i="84"/>
  <c r="T7" i="71"/>
  <c r="O20" i="84"/>
  <c r="I60" i="84"/>
  <c r="T8" i="71"/>
  <c r="H41" i="71"/>
  <c r="K42" i="71"/>
  <c r="C24" i="71"/>
  <c r="M33" i="104"/>
  <c r="G45" i="71"/>
  <c r="Q46" i="84"/>
  <c r="Y44" i="71"/>
  <c r="R42" i="71"/>
  <c r="AC24" i="71"/>
  <c r="J43" i="84"/>
  <c r="H29" i="104"/>
  <c r="M12" i="84"/>
  <c r="D42" i="104"/>
  <c r="N40" i="71"/>
  <c r="C12" i="71"/>
  <c r="L24" i="104"/>
  <c r="Q56" i="84"/>
  <c r="A7" i="50"/>
  <c r="D19" i="104"/>
  <c r="J41" i="104"/>
  <c r="L28" i="104"/>
  <c r="I44" i="71"/>
  <c r="F27" i="72"/>
  <c r="L46" i="71"/>
  <c r="C110" i="72"/>
  <c r="E6" i="104"/>
  <c r="N49" i="104"/>
  <c r="O59" i="84"/>
  <c r="H17" i="71"/>
  <c r="N17" i="84"/>
  <c r="D31" i="104"/>
  <c r="G9" i="84"/>
  <c r="AB17" i="71"/>
  <c r="D97" i="72"/>
  <c r="J28" i="71"/>
  <c r="N37" i="104"/>
  <c r="D52" i="76"/>
  <c r="H16" i="84"/>
  <c r="W27" i="71"/>
  <c r="X34" i="71"/>
  <c r="Z45" i="71"/>
  <c r="O25" i="71"/>
  <c r="J36" i="71"/>
  <c r="B111" i="72"/>
  <c r="G44" i="71"/>
  <c r="AC34" i="71"/>
  <c r="U30" i="71"/>
  <c r="X44" i="71"/>
  <c r="B53" i="76"/>
  <c r="X56" i="71"/>
  <c r="D90" i="72"/>
  <c r="Q12" i="84"/>
  <c r="O16" i="84"/>
  <c r="T11" i="71"/>
  <c r="C36" i="71"/>
  <c r="D13" i="75"/>
  <c r="H22" i="84"/>
  <c r="E8" i="71"/>
  <c r="D34" i="72"/>
  <c r="C75" i="72"/>
  <c r="AC57" i="71"/>
  <c r="L9" i="71"/>
  <c r="L48" i="104"/>
  <c r="H58" i="84"/>
  <c r="O56" i="84"/>
  <c r="I12" i="71"/>
  <c r="AD7" i="71"/>
  <c r="AA44" i="71"/>
  <c r="K40" i="104"/>
  <c r="Z39" i="71"/>
  <c r="D55" i="76"/>
  <c r="L16" i="71"/>
  <c r="C60" i="75"/>
  <c r="Z29" i="71"/>
  <c r="E19" i="104"/>
  <c r="F47" i="76"/>
  <c r="N34" i="104"/>
  <c r="V20" i="71"/>
  <c r="D28" i="72"/>
  <c r="D37" i="104"/>
  <c r="J16" i="71"/>
  <c r="X43" i="71"/>
  <c r="D46" i="84"/>
  <c r="AB30" i="71"/>
  <c r="AA52" i="71"/>
  <c r="N57" i="84"/>
  <c r="C86" i="72"/>
  <c r="C45" i="71"/>
  <c r="U17" i="71"/>
  <c r="P46" i="84"/>
  <c r="J24" i="84"/>
  <c r="O26" i="84"/>
  <c r="B29" i="104"/>
  <c r="S40" i="71"/>
  <c r="E40" i="71"/>
  <c r="F39" i="104"/>
  <c r="B21" i="72"/>
  <c r="AA18" i="71"/>
  <c r="G15" i="84"/>
  <c r="L7" i="85"/>
  <c r="J30" i="104"/>
  <c r="X18" i="71"/>
  <c r="C10" i="71"/>
  <c r="D52" i="104"/>
  <c r="S25" i="71"/>
  <c r="B31" i="104"/>
  <c r="C112" i="72"/>
  <c r="M10" i="85"/>
  <c r="H28" i="84"/>
  <c r="F56" i="84"/>
  <c r="C55" i="76"/>
  <c r="U37" i="71"/>
  <c r="T16" i="71"/>
  <c r="Z28" i="71"/>
  <c r="F17" i="72"/>
  <c r="B74" i="72"/>
  <c r="R47" i="71"/>
  <c r="T14" i="71"/>
  <c r="E9" i="76"/>
  <c r="P41" i="84"/>
  <c r="H40" i="71"/>
  <c r="F73" i="72"/>
  <c r="H36" i="71"/>
  <c r="D7" i="72"/>
  <c r="B109" i="72"/>
  <c r="F21" i="104"/>
  <c r="E48" i="104"/>
  <c r="K14" i="71"/>
  <c r="N29" i="71"/>
  <c r="C10" i="104"/>
  <c r="M27" i="84"/>
  <c r="U10" i="71"/>
  <c r="F33" i="72"/>
  <c r="C27" i="76"/>
  <c r="H23" i="71"/>
  <c r="M49" i="71"/>
  <c r="F13" i="76"/>
  <c r="H49" i="71"/>
  <c r="L8" i="71"/>
  <c r="B16" i="104"/>
  <c r="G37" i="71"/>
  <c r="J29" i="71"/>
  <c r="F11" i="76"/>
  <c r="D49" i="76"/>
  <c r="D83" i="72"/>
  <c r="D9" i="75"/>
  <c r="F38" i="104"/>
  <c r="M52" i="71"/>
  <c r="L36" i="71"/>
  <c r="H10" i="71"/>
  <c r="V48" i="71"/>
  <c r="AB44" i="71"/>
  <c r="F18" i="84"/>
  <c r="T21" i="71"/>
  <c r="D24" i="72"/>
  <c r="W58" i="71"/>
  <c r="F24" i="75"/>
  <c r="D21" i="72"/>
  <c r="J25" i="104"/>
  <c r="W11" i="71"/>
  <c r="C25" i="71"/>
  <c r="AD17" i="71"/>
  <c r="J36" i="104"/>
  <c r="L48" i="71"/>
  <c r="E57" i="71"/>
  <c r="F80" i="72"/>
  <c r="B52" i="104"/>
  <c r="S13" i="71"/>
  <c r="F36" i="104"/>
  <c r="AB36" i="71"/>
  <c r="E55" i="72"/>
  <c r="M25" i="84"/>
  <c r="F96" i="72"/>
  <c r="N24" i="104"/>
  <c r="M45" i="71"/>
  <c r="H45" i="71"/>
  <c r="Q9" i="84"/>
  <c r="E7" i="104"/>
  <c r="F8" i="104"/>
  <c r="AA41" i="71"/>
  <c r="Q27" i="84"/>
  <c r="D18" i="84"/>
  <c r="D14" i="76"/>
  <c r="E17" i="72"/>
  <c r="I21" i="71"/>
  <c r="B42" i="104"/>
  <c r="C46" i="75"/>
  <c r="AC48" i="71"/>
  <c r="R56" i="71"/>
  <c r="O48" i="71"/>
  <c r="O10" i="71"/>
  <c r="C34" i="72"/>
  <c r="J43" i="71"/>
  <c r="H15" i="104"/>
  <c r="S57" i="71"/>
  <c r="F63" i="76"/>
  <c r="I10" i="71"/>
  <c r="I16" i="104"/>
  <c r="K15" i="104"/>
  <c r="F47" i="72"/>
  <c r="D55" i="72"/>
  <c r="N59" i="84"/>
  <c r="A10" i="52"/>
  <c r="F111" i="72"/>
  <c r="Q60" i="84"/>
  <c r="F40" i="72"/>
  <c r="M10" i="71"/>
  <c r="C68" i="72"/>
  <c r="D53" i="104"/>
  <c r="I47" i="84"/>
  <c r="I7" i="71"/>
  <c r="G6" i="104"/>
  <c r="C40" i="104"/>
  <c r="X48" i="71"/>
  <c r="X22" i="71"/>
  <c r="M26" i="84"/>
  <c r="U29" i="71"/>
  <c r="A51" i="52"/>
  <c r="Q40" i="71"/>
  <c r="C14" i="104"/>
  <c r="C17" i="84"/>
  <c r="C33" i="104"/>
  <c r="B35" i="71"/>
  <c r="W17" i="71"/>
  <c r="D36" i="104"/>
  <c r="L7" i="84"/>
  <c r="F53" i="75"/>
  <c r="S38" i="71"/>
  <c r="P20" i="84"/>
  <c r="M28" i="71"/>
  <c r="O24" i="84"/>
  <c r="K27" i="71"/>
  <c r="O8" i="71"/>
  <c r="O47" i="84"/>
  <c r="D23" i="72"/>
  <c r="G26" i="84"/>
  <c r="N41" i="104"/>
  <c r="D30" i="104"/>
  <c r="D67" i="72"/>
  <c r="J14" i="84"/>
  <c r="O28" i="84"/>
  <c r="Q19" i="84"/>
  <c r="P18" i="84"/>
  <c r="I24" i="71"/>
  <c r="M45" i="104"/>
  <c r="K25" i="104"/>
  <c r="G9" i="71"/>
  <c r="C22" i="76"/>
  <c r="D35" i="71"/>
  <c r="C20" i="72"/>
  <c r="L24" i="71"/>
  <c r="T35" i="71"/>
  <c r="T49" i="71"/>
  <c r="D42" i="84"/>
  <c r="J13" i="84"/>
  <c r="V24" i="71"/>
  <c r="M56" i="71"/>
  <c r="O24" i="71"/>
  <c r="Y22" i="71"/>
  <c r="N14" i="71"/>
  <c r="E16" i="72"/>
  <c r="N53" i="104"/>
  <c r="AC21" i="71"/>
  <c r="E58" i="71"/>
  <c r="X25" i="71"/>
  <c r="N30" i="104"/>
  <c r="B40" i="104"/>
  <c r="K16" i="71"/>
  <c r="I57" i="71"/>
  <c r="F49" i="104"/>
  <c r="I15" i="104"/>
  <c r="L27" i="71"/>
  <c r="D8" i="104"/>
  <c r="D37" i="71"/>
  <c r="T44" i="71"/>
  <c r="AB40" i="71"/>
  <c r="F29" i="75"/>
  <c r="B17" i="75"/>
  <c r="F17" i="75" s="1"/>
  <c r="J29" i="104"/>
  <c r="D16" i="104"/>
  <c r="Q58" i="71"/>
  <c r="F66" i="76"/>
  <c r="A32" i="104"/>
  <c r="L13" i="84"/>
  <c r="F69" i="72"/>
  <c r="W10" i="71"/>
  <c r="O40" i="71"/>
  <c r="M41" i="84"/>
  <c r="D20" i="72"/>
  <c r="C23" i="72"/>
  <c r="S23" i="71"/>
  <c r="M22" i="104"/>
  <c r="C24" i="84"/>
  <c r="C10" i="76"/>
  <c r="V31" i="71"/>
  <c r="N40" i="104"/>
  <c r="K12" i="104"/>
  <c r="G34" i="104"/>
  <c r="F45" i="104"/>
  <c r="N25" i="84"/>
  <c r="AB45" i="71"/>
  <c r="D42" i="76"/>
  <c r="R23" i="71"/>
  <c r="L8" i="104"/>
  <c r="L45" i="71"/>
  <c r="L17" i="71"/>
  <c r="M26" i="104"/>
  <c r="G41" i="104"/>
  <c r="U7" i="71"/>
  <c r="X39" i="71"/>
  <c r="I13" i="104"/>
  <c r="F11" i="84"/>
  <c r="K24" i="84"/>
  <c r="J7" i="84"/>
  <c r="E41" i="104"/>
  <c r="H42" i="71"/>
  <c r="B15" i="50"/>
  <c r="C43" i="104"/>
  <c r="F13" i="72"/>
  <c r="M53" i="104"/>
  <c r="O12" i="84"/>
  <c r="AA13" i="71"/>
  <c r="M41" i="71"/>
  <c r="N25" i="104"/>
  <c r="C39" i="104"/>
  <c r="L60" i="84"/>
  <c r="D50" i="75"/>
  <c r="H38" i="71"/>
  <c r="C48" i="104"/>
  <c r="T13" i="71"/>
  <c r="G58" i="71"/>
  <c r="D7" i="104"/>
  <c r="T56" i="71"/>
  <c r="Y38" i="71"/>
  <c r="AA25" i="71"/>
  <c r="I28" i="104"/>
  <c r="E33" i="72"/>
  <c r="N38" i="104"/>
  <c r="S43" i="71"/>
  <c r="M46" i="71"/>
  <c r="J50" i="104"/>
  <c r="V13" i="71"/>
  <c r="L57" i="71"/>
  <c r="K38" i="104"/>
  <c r="Y24" i="71"/>
  <c r="F25" i="104"/>
  <c r="J45" i="84"/>
  <c r="J15" i="104"/>
  <c r="I36" i="71"/>
  <c r="G19" i="104"/>
  <c r="A8" i="50"/>
  <c r="C40" i="72"/>
  <c r="H13" i="104"/>
  <c r="S56" i="71"/>
  <c r="C83" i="72"/>
  <c r="AB42" i="71"/>
  <c r="M11" i="104"/>
  <c r="L12" i="104"/>
  <c r="C30" i="71"/>
  <c r="AB16" i="71"/>
  <c r="I37" i="104"/>
  <c r="V42" i="71"/>
  <c r="J52" i="71"/>
  <c r="G21" i="71"/>
  <c r="D56" i="75"/>
  <c r="Z20" i="71"/>
  <c r="E21" i="71"/>
  <c r="AD42" i="71"/>
  <c r="AD20" i="71"/>
  <c r="L22" i="84"/>
  <c r="E17" i="76"/>
  <c r="B22" i="104"/>
  <c r="I41" i="71"/>
  <c r="K34" i="71"/>
  <c r="D51" i="76"/>
  <c r="K48" i="71"/>
  <c r="C9" i="76"/>
  <c r="S31" i="71"/>
  <c r="C19" i="104"/>
  <c r="AC20" i="71"/>
  <c r="D59" i="76"/>
  <c r="O20" i="71"/>
  <c r="D102" i="72"/>
  <c r="I29" i="71"/>
  <c r="F28" i="104"/>
  <c r="H50" i="104"/>
  <c r="I11" i="104"/>
  <c r="AB47" i="71"/>
  <c r="O7" i="71"/>
  <c r="L44" i="71"/>
  <c r="F102" i="72"/>
  <c r="H57" i="84"/>
  <c r="E37" i="72"/>
  <c r="H8" i="71"/>
  <c r="F7" i="72"/>
  <c r="D101" i="72"/>
  <c r="Y13" i="71"/>
  <c r="E21" i="104"/>
  <c r="C43" i="71"/>
  <c r="C7" i="72"/>
  <c r="X7" i="71"/>
  <c r="G32" i="104"/>
  <c r="F110" i="72"/>
  <c r="I17" i="84"/>
  <c r="AA49" i="71"/>
  <c r="N8" i="104"/>
  <c r="Y31" i="71"/>
  <c r="Q26" i="84"/>
  <c r="L53" i="104"/>
  <c r="L50" i="104"/>
  <c r="E28" i="75"/>
  <c r="B10" i="72"/>
  <c r="D36" i="71"/>
  <c r="C44" i="76"/>
  <c r="E12" i="104"/>
  <c r="C21" i="71"/>
  <c r="V35" i="71"/>
  <c r="D23" i="84"/>
  <c r="H43" i="71"/>
  <c r="E43" i="71"/>
  <c r="Y17" i="71"/>
  <c r="B28" i="104"/>
  <c r="O56" i="71"/>
  <c r="P12" i="84"/>
  <c r="F52" i="76"/>
  <c r="N29" i="84"/>
  <c r="A27" i="104"/>
  <c r="D78" i="72"/>
  <c r="E8" i="75"/>
  <c r="AC38" i="71"/>
  <c r="D46" i="72"/>
  <c r="M6" i="85"/>
  <c r="F65" i="72"/>
  <c r="B47" i="75"/>
  <c r="B33" i="104"/>
  <c r="J33" i="104"/>
  <c r="K7" i="85"/>
  <c r="F18" i="76"/>
  <c r="B52" i="72"/>
  <c r="D52" i="72" s="1"/>
  <c r="O29" i="71"/>
  <c r="R11" i="71"/>
  <c r="W42" i="71"/>
  <c r="D86" i="72"/>
  <c r="AD23" i="71"/>
  <c r="D29" i="75"/>
  <c r="E29" i="71"/>
  <c r="F41" i="72"/>
  <c r="G35" i="71"/>
  <c r="H41" i="84"/>
  <c r="AB28" i="71"/>
  <c r="M24" i="104"/>
  <c r="D60" i="84"/>
  <c r="I19" i="104"/>
  <c r="D18" i="71"/>
  <c r="N42" i="104"/>
  <c r="G15" i="71"/>
  <c r="Z48" i="71"/>
  <c r="C19" i="71"/>
  <c r="I34" i="71"/>
  <c r="F62" i="76"/>
  <c r="W21" i="71"/>
  <c r="J8" i="85"/>
  <c r="D27" i="72"/>
  <c r="J10" i="84"/>
  <c r="S49" i="71"/>
  <c r="I35" i="104"/>
  <c r="G28" i="104"/>
  <c r="V57" i="71"/>
  <c r="U9" i="71"/>
  <c r="L42" i="71"/>
  <c r="D28" i="84"/>
  <c r="AA31" i="71"/>
  <c r="T24" i="71"/>
  <c r="Z34" i="71"/>
  <c r="K8" i="104"/>
  <c r="D47" i="75"/>
  <c r="F21" i="76"/>
  <c r="N19" i="71"/>
  <c r="H27" i="71"/>
  <c r="C35" i="72"/>
  <c r="J49" i="104"/>
  <c r="E42" i="104"/>
  <c r="E30" i="71"/>
  <c r="I56" i="71"/>
  <c r="AD35" i="71"/>
  <c r="E15" i="72"/>
  <c r="M21" i="71"/>
  <c r="G20" i="71"/>
  <c r="F8" i="75"/>
  <c r="N24" i="71"/>
  <c r="N12" i="84"/>
  <c r="O14" i="84"/>
  <c r="F20" i="84"/>
  <c r="B8" i="104"/>
  <c r="D39" i="104"/>
  <c r="G34" i="71"/>
  <c r="D64" i="76"/>
  <c r="E34" i="71"/>
  <c r="M7" i="104"/>
  <c r="Q15" i="84"/>
  <c r="I6" i="85"/>
  <c r="Z22" i="71"/>
  <c r="R16" i="71"/>
  <c r="AC41" i="71"/>
  <c r="I49" i="104"/>
  <c r="C13" i="71"/>
  <c r="F56" i="72"/>
  <c r="F50" i="104"/>
  <c r="E19" i="76"/>
  <c r="D12" i="76"/>
  <c r="D40" i="72"/>
  <c r="C28" i="72"/>
  <c r="F91" i="72"/>
  <c r="N28" i="104"/>
  <c r="N52" i="71"/>
  <c r="C94" i="72"/>
  <c r="M38" i="71"/>
  <c r="T40" i="71"/>
  <c r="M32" i="104"/>
  <c r="I39" i="71"/>
  <c r="A14" i="50"/>
  <c r="X35" i="71"/>
  <c r="G25" i="104"/>
  <c r="B50" i="104"/>
  <c r="F49" i="75"/>
  <c r="M56" i="84"/>
  <c r="M10" i="104"/>
  <c r="V25" i="71"/>
  <c r="N18" i="71"/>
  <c r="Q49" i="71"/>
  <c r="AC44" i="71"/>
  <c r="K12" i="84"/>
  <c r="F15" i="75"/>
  <c r="N12" i="104"/>
  <c r="K31" i="104"/>
  <c r="D10" i="71"/>
  <c r="C106" i="72"/>
  <c r="R7" i="71"/>
  <c r="W38" i="71"/>
  <c r="S7" i="71"/>
  <c r="K35" i="71"/>
  <c r="C52" i="76"/>
  <c r="E46" i="71"/>
  <c r="C17" i="71"/>
  <c r="G29" i="71"/>
  <c r="Q8" i="84"/>
  <c r="G48" i="104"/>
  <c r="M58" i="71"/>
  <c r="F30" i="104"/>
  <c r="Y41" i="71"/>
  <c r="X20" i="71"/>
  <c r="H45" i="104"/>
  <c r="D47" i="72"/>
  <c r="L37" i="71"/>
  <c r="I26" i="84"/>
  <c r="H11" i="71"/>
  <c r="C12" i="75"/>
  <c r="B21" i="104"/>
  <c r="AB27" i="71"/>
  <c r="C38" i="72"/>
  <c r="AC37" i="71"/>
  <c r="C98" i="72"/>
  <c r="K32" i="104"/>
  <c r="J40" i="104"/>
  <c r="I20" i="104"/>
  <c r="N52" i="104"/>
  <c r="C28" i="84"/>
  <c r="AA30" i="71"/>
  <c r="N35" i="71"/>
  <c r="K11" i="104"/>
  <c r="H48" i="71"/>
  <c r="E51" i="72"/>
  <c r="F20" i="104"/>
  <c r="M18" i="104"/>
  <c r="M20" i="104"/>
  <c r="D79" i="72"/>
  <c r="V18" i="71"/>
  <c r="G28" i="71"/>
  <c r="Z35" i="71"/>
  <c r="G46" i="71"/>
  <c r="E16" i="104"/>
  <c r="K45" i="71"/>
  <c r="B20" i="104"/>
  <c r="E20" i="104"/>
  <c r="Y36" i="71"/>
  <c r="J9" i="104"/>
  <c r="D18" i="75"/>
  <c r="K13" i="104"/>
  <c r="L46" i="84"/>
  <c r="H9" i="104"/>
  <c r="H27" i="84"/>
  <c r="G16" i="71"/>
  <c r="C28" i="104"/>
  <c r="C12" i="104"/>
  <c r="AA58" i="71"/>
  <c r="H16" i="71"/>
  <c r="S12" i="71"/>
  <c r="G21" i="84"/>
  <c r="V27" i="71"/>
  <c r="D25" i="71"/>
  <c r="C11" i="104"/>
  <c r="H13" i="71"/>
  <c r="Z18" i="71"/>
  <c r="C49" i="75"/>
  <c r="D16" i="71"/>
  <c r="J13" i="104"/>
  <c r="E13" i="71"/>
  <c r="F31" i="104"/>
  <c r="AC58" i="71"/>
  <c r="AD49" i="71"/>
  <c r="J58" i="71"/>
  <c r="F18" i="72"/>
  <c r="P6" i="84"/>
  <c r="T48" i="71"/>
  <c r="I61" i="84"/>
  <c r="K11" i="71"/>
  <c r="J22" i="84"/>
  <c r="H13" i="84"/>
  <c r="B54" i="71"/>
  <c r="E54" i="71" s="1"/>
  <c r="R36" i="71"/>
  <c r="S36" i="71"/>
  <c r="N43" i="104"/>
  <c r="N31" i="104"/>
  <c r="D42" i="72"/>
  <c r="E18" i="76"/>
  <c r="F48" i="76"/>
  <c r="M9" i="71"/>
  <c r="AD30" i="71"/>
  <c r="AD13" i="71"/>
  <c r="M19" i="84"/>
  <c r="F44" i="72"/>
  <c r="L54" i="71"/>
  <c r="K10" i="71"/>
  <c r="E24" i="72"/>
  <c r="E23" i="71"/>
  <c r="C107" i="72"/>
  <c r="R45" i="71"/>
  <c r="O37" i="71"/>
  <c r="D56" i="76"/>
  <c r="D66" i="76"/>
  <c r="V22" i="71"/>
  <c r="I37" i="71"/>
  <c r="S29" i="71"/>
  <c r="B24" i="104"/>
  <c r="D93" i="72"/>
  <c r="F19" i="72"/>
  <c r="F27" i="104"/>
  <c r="AB31" i="71"/>
  <c r="Z40" i="71"/>
  <c r="V40" i="71"/>
  <c r="G38" i="104"/>
  <c r="D47" i="76"/>
  <c r="O35" i="71"/>
  <c r="C10" i="84"/>
  <c r="E52" i="71"/>
  <c r="R54" i="71"/>
  <c r="G57" i="71"/>
  <c r="R57" i="71"/>
  <c r="Y14" i="71"/>
  <c r="C20" i="75"/>
  <c r="A9" i="85"/>
  <c r="J28" i="104"/>
  <c r="I27" i="71"/>
  <c r="G23" i="71"/>
  <c r="F16" i="75"/>
  <c r="M22" i="71"/>
  <c r="J46" i="84"/>
  <c r="I48" i="71"/>
  <c r="D34" i="104"/>
  <c r="E29" i="75"/>
  <c r="G11" i="71"/>
  <c r="AB35" i="71"/>
  <c r="K24" i="71"/>
  <c r="W23" i="71"/>
  <c r="AC31" i="71"/>
  <c r="B60" i="72"/>
  <c r="N44" i="84"/>
  <c r="M13" i="104"/>
  <c r="C23" i="76"/>
  <c r="L22" i="104"/>
  <c r="E20" i="75"/>
  <c r="E23" i="75"/>
  <c r="H15" i="71"/>
  <c r="L23" i="84"/>
  <c r="G45" i="84"/>
  <c r="D13" i="104"/>
  <c r="M50" i="104"/>
  <c r="Z30" i="71"/>
  <c r="X9" i="71"/>
  <c r="J39" i="104"/>
  <c r="U52" i="71"/>
  <c r="C25" i="104"/>
  <c r="B53" i="71"/>
  <c r="O8" i="85"/>
  <c r="E27" i="72"/>
  <c r="F12" i="75"/>
  <c r="L30" i="71"/>
  <c r="O11" i="71"/>
  <c r="W13" i="71"/>
  <c r="D12" i="75"/>
  <c r="A44" i="104"/>
  <c r="K18" i="84"/>
  <c r="C92" i="72"/>
  <c r="F16" i="76"/>
  <c r="D53" i="75"/>
  <c r="E33" i="104"/>
  <c r="E10" i="76"/>
  <c r="M6" i="84"/>
  <c r="C41" i="75"/>
  <c r="M36" i="104"/>
  <c r="B13" i="104"/>
  <c r="C45" i="104"/>
  <c r="AC46" i="71"/>
  <c r="F44" i="104"/>
  <c r="R29" i="71"/>
  <c r="P22" i="84"/>
  <c r="E15" i="71"/>
  <c r="F13" i="75"/>
  <c r="O45" i="71"/>
  <c r="AA19" i="71"/>
  <c r="L36" i="104"/>
  <c r="F22" i="76"/>
  <c r="AA23" i="71"/>
  <c r="B17" i="50"/>
  <c r="D50" i="104"/>
  <c r="H20" i="71"/>
  <c r="R31" i="71"/>
  <c r="D56" i="84"/>
  <c r="N8" i="71"/>
  <c r="L18" i="104"/>
  <c r="C50" i="75"/>
  <c r="U28" i="71"/>
  <c r="M21" i="84"/>
  <c r="K45" i="84"/>
  <c r="G53" i="71"/>
  <c r="B7" i="50"/>
  <c r="O28" i="71"/>
  <c r="K28" i="71"/>
  <c r="B15" i="76"/>
  <c r="U43" i="71"/>
  <c r="L30" i="104"/>
  <c r="O17" i="84"/>
  <c r="T20" i="71"/>
  <c r="F33" i="104"/>
  <c r="M51" i="104"/>
  <c r="J53" i="71"/>
  <c r="G10" i="71"/>
  <c r="H44" i="71"/>
  <c r="P29" i="84"/>
  <c r="H7" i="104"/>
  <c r="H34" i="104"/>
  <c r="C9" i="75"/>
  <c r="X15" i="71"/>
  <c r="G13" i="71"/>
  <c r="J10" i="104"/>
  <c r="L25" i="104"/>
  <c r="N18" i="84"/>
  <c r="W54" i="71"/>
  <c r="E38" i="72"/>
  <c r="C30" i="76"/>
  <c r="M7" i="71"/>
  <c r="F12" i="76"/>
  <c r="F47" i="84"/>
  <c r="N21" i="104"/>
  <c r="D10" i="85"/>
  <c r="AC35" i="71"/>
  <c r="G24" i="104"/>
  <c r="L26" i="104"/>
  <c r="I47" i="71"/>
  <c r="J57" i="71"/>
  <c r="C12" i="76"/>
  <c r="N22" i="104"/>
  <c r="H27" i="104"/>
  <c r="Y48" i="71"/>
  <c r="X46" i="71"/>
  <c r="K20" i="71"/>
  <c r="J40" i="71"/>
  <c r="AD9" i="71"/>
  <c r="N45" i="84"/>
  <c r="X41" i="71"/>
  <c r="AA57" i="71"/>
  <c r="J26" i="104"/>
  <c r="E53" i="71"/>
  <c r="D57" i="76"/>
  <c r="K13" i="71"/>
  <c r="L40" i="71"/>
  <c r="H47" i="71"/>
  <c r="N17" i="71"/>
  <c r="C64" i="76"/>
  <c r="AA39" i="71"/>
  <c r="D14" i="71"/>
  <c r="G27" i="104"/>
  <c r="C14" i="76"/>
  <c r="E17" i="71"/>
  <c r="AD11" i="71"/>
  <c r="M43" i="71"/>
  <c r="E27" i="75"/>
  <c r="J52" i="104"/>
  <c r="M11" i="71"/>
  <c r="H58" i="71"/>
  <c r="V44" i="71"/>
  <c r="J58" i="84"/>
  <c r="D50" i="76"/>
  <c r="G8" i="71"/>
  <c r="N10" i="71"/>
  <c r="D45" i="75"/>
  <c r="B4" i="50"/>
  <c r="C8" i="71"/>
  <c r="L13" i="104"/>
  <c r="H47" i="84"/>
  <c r="AD10" i="71"/>
  <c r="I31" i="71"/>
  <c r="N28" i="71"/>
  <c r="E45" i="72"/>
  <c r="AC22" i="71"/>
  <c r="AB39" i="71"/>
  <c r="X53" i="71"/>
  <c r="J44" i="104"/>
  <c r="V54" i="71"/>
  <c r="J6" i="84"/>
  <c r="G40" i="104"/>
  <c r="D42" i="75"/>
  <c r="E50" i="104"/>
  <c r="AB46" i="71"/>
  <c r="H34" i="71"/>
  <c r="L10" i="84"/>
  <c r="D89" i="72"/>
  <c r="V34" i="71"/>
  <c r="AC45" i="71"/>
  <c r="O30" i="71"/>
  <c r="D52" i="75"/>
  <c r="M47" i="84"/>
  <c r="Z42" i="71"/>
  <c r="C42" i="104"/>
  <c r="C53" i="75"/>
  <c r="N37" i="71"/>
  <c r="I7" i="84"/>
  <c r="O22" i="84"/>
  <c r="H41" i="104"/>
  <c r="L34" i="71"/>
  <c r="F42" i="104"/>
  <c r="E35" i="104"/>
  <c r="J22" i="104"/>
  <c r="M31" i="104"/>
  <c r="F10" i="85"/>
  <c r="L51" i="104"/>
  <c r="E23" i="72"/>
  <c r="J31" i="104"/>
  <c r="B10" i="50"/>
  <c r="O13" i="71"/>
  <c r="U48" i="71"/>
  <c r="I58" i="84"/>
  <c r="N18" i="104"/>
  <c r="D59" i="75"/>
  <c r="J7" i="71"/>
  <c r="M39" i="104"/>
  <c r="I45" i="84"/>
  <c r="G44" i="104"/>
  <c r="K41" i="104"/>
  <c r="G51" i="104"/>
  <c r="F34" i="72"/>
  <c r="F8" i="84"/>
  <c r="H7" i="71"/>
  <c r="I10" i="104"/>
  <c r="D11" i="71"/>
  <c r="M52" i="104"/>
  <c r="AD53" i="71"/>
  <c r="J8" i="104"/>
  <c r="E25" i="104"/>
  <c r="K15" i="71"/>
  <c r="U40" i="71"/>
  <c r="N56" i="71"/>
  <c r="N6" i="84"/>
  <c r="C24" i="72"/>
  <c r="O42" i="84"/>
  <c r="Z24" i="71"/>
  <c r="F66" i="72"/>
  <c r="F6" i="71"/>
  <c r="F15" i="71"/>
  <c r="C13" i="75"/>
  <c r="F112" i="72"/>
  <c r="F13" i="71"/>
  <c r="E10" i="104"/>
  <c r="F20" i="76"/>
  <c r="J54" i="71"/>
  <c r="F51" i="75"/>
  <c r="G18" i="71"/>
  <c r="F10" i="71"/>
  <c r="C51" i="104"/>
  <c r="G50" i="104"/>
  <c r="W46" i="71"/>
  <c r="D44" i="84"/>
  <c r="AD57" i="71"/>
  <c r="I52" i="104"/>
  <c r="U13" i="71"/>
  <c r="F53" i="71"/>
  <c r="A19" i="52"/>
  <c r="Y15" i="71"/>
  <c r="F61" i="75"/>
  <c r="B26" i="75"/>
  <c r="O58" i="71"/>
  <c r="L23" i="104"/>
  <c r="V56" i="71"/>
  <c r="H42" i="104"/>
  <c r="M43" i="104"/>
  <c r="B29" i="76"/>
  <c r="E29" i="76" s="1"/>
  <c r="H24" i="84"/>
  <c r="K16" i="104"/>
  <c r="D20" i="76"/>
  <c r="L28" i="71"/>
  <c r="L8" i="84"/>
  <c r="N13" i="84"/>
  <c r="E42" i="71"/>
  <c r="C25" i="84"/>
  <c r="U44" i="71"/>
  <c r="C23" i="71"/>
  <c r="C30" i="72"/>
  <c r="R41" i="71"/>
  <c r="C56" i="84"/>
  <c r="AD36" i="71"/>
  <c r="C49" i="71"/>
  <c r="M47" i="71"/>
  <c r="H6" i="84"/>
  <c r="D25" i="72"/>
  <c r="C49" i="76"/>
  <c r="L23" i="71"/>
  <c r="O16" i="71"/>
  <c r="W29" i="71"/>
  <c r="K12" i="71"/>
  <c r="M15" i="104"/>
  <c r="D12" i="71"/>
  <c r="D32" i="104"/>
  <c r="D10" i="84"/>
  <c r="Z31" i="71"/>
  <c r="E21" i="76"/>
  <c r="Q14" i="84"/>
  <c r="I32" i="104"/>
  <c r="AD28" i="71"/>
  <c r="Z53" i="71"/>
  <c r="E52" i="104"/>
  <c r="E16" i="71"/>
  <c r="O14" i="71"/>
  <c r="D11" i="104"/>
  <c r="B32" i="71"/>
  <c r="B39" i="104"/>
  <c r="C30" i="104"/>
  <c r="E36" i="72"/>
  <c r="C29" i="71"/>
  <c r="J43" i="104"/>
  <c r="AB14" i="71"/>
  <c r="I41" i="104"/>
  <c r="I18" i="71"/>
  <c r="Q13" i="84"/>
  <c r="K17" i="84"/>
  <c r="F19" i="104"/>
  <c r="AA22" i="71"/>
  <c r="I14" i="104"/>
  <c r="AA35" i="71"/>
  <c r="H61" i="84"/>
  <c r="F50" i="75"/>
  <c r="O15" i="84"/>
  <c r="I23" i="71"/>
  <c r="L29" i="84"/>
  <c r="D9" i="72"/>
  <c r="E28" i="104"/>
  <c r="V30" i="71"/>
  <c r="I30" i="104"/>
  <c r="B10" i="104"/>
  <c r="D11" i="84"/>
  <c r="O12" i="71"/>
  <c r="AB49" i="71"/>
  <c r="F16" i="84"/>
  <c r="M10" i="84"/>
  <c r="N32" i="104"/>
  <c r="D28" i="76"/>
  <c r="AA34" i="71"/>
  <c r="R22" i="71"/>
  <c r="O6" i="84"/>
  <c r="L49" i="71"/>
  <c r="W25" i="71"/>
  <c r="E27" i="104"/>
  <c r="U31" i="71"/>
  <c r="D8" i="71"/>
  <c r="S44" i="71"/>
  <c r="M14" i="71"/>
  <c r="D53" i="76"/>
  <c r="G47" i="71"/>
  <c r="L11" i="104"/>
  <c r="X13" i="71"/>
  <c r="C101" i="72"/>
  <c r="D44" i="76"/>
  <c r="E23" i="104"/>
  <c r="F9" i="72"/>
  <c r="D41" i="71"/>
  <c r="D57" i="71"/>
  <c r="D35" i="72"/>
  <c r="V37" i="71"/>
  <c r="D65" i="76"/>
  <c r="A9" i="50"/>
  <c r="N14" i="104"/>
  <c r="L10" i="104"/>
  <c r="X21" i="71"/>
  <c r="AA48" i="71"/>
  <c r="F78" i="72"/>
  <c r="R32" i="71"/>
  <c r="F27" i="76"/>
  <c r="N19" i="84"/>
  <c r="I8" i="85"/>
  <c r="F27" i="84"/>
  <c r="H12" i="71"/>
  <c r="M37" i="71"/>
  <c r="N17" i="104"/>
  <c r="K11" i="84"/>
  <c r="D54" i="76"/>
  <c r="E30" i="72"/>
  <c r="I31" i="104"/>
  <c r="AA47" i="71"/>
  <c r="Z56" i="71"/>
  <c r="O22" i="71"/>
  <c r="K14" i="104"/>
  <c r="AB25" i="71"/>
  <c r="M40" i="71"/>
  <c r="H52" i="104"/>
  <c r="W37" i="71"/>
  <c r="S10" i="71"/>
  <c r="L37" i="104"/>
  <c r="E45" i="104"/>
  <c r="N48" i="104"/>
  <c r="E40" i="104"/>
  <c r="D20" i="104"/>
  <c r="N20" i="71"/>
  <c r="D11" i="76"/>
  <c r="S54" i="71"/>
  <c r="B38" i="104"/>
  <c r="D106" i="72"/>
  <c r="C63" i="75"/>
  <c r="G20" i="84"/>
  <c r="C84" i="72"/>
  <c r="O32" i="71"/>
  <c r="G54" i="71"/>
  <c r="E42" i="72"/>
  <c r="H31" i="71"/>
  <c r="N16" i="84"/>
  <c r="F99" i="72"/>
  <c r="V52" i="71"/>
  <c r="F30" i="76"/>
  <c r="AD32" i="71"/>
  <c r="O11" i="84"/>
  <c r="D39" i="72"/>
  <c r="E37" i="104"/>
  <c r="D7" i="71"/>
  <c r="M9" i="85"/>
  <c r="F21" i="72"/>
  <c r="G7" i="104"/>
  <c r="AB23" i="71"/>
  <c r="D41" i="72"/>
  <c r="T27" i="71"/>
  <c r="F46" i="76"/>
  <c r="Q25" i="84"/>
  <c r="N9" i="84"/>
  <c r="M9" i="104"/>
  <c r="Z49" i="71"/>
  <c r="AB38" i="71"/>
  <c r="E34" i="104"/>
  <c r="Y43" i="71"/>
  <c r="G11" i="104"/>
  <c r="M27" i="104"/>
  <c r="F54" i="72"/>
  <c r="F108" i="72"/>
  <c r="N8" i="85"/>
  <c r="E30" i="104"/>
  <c r="V17" i="71"/>
  <c r="B14" i="104"/>
  <c r="F72" i="72"/>
  <c r="F25" i="75"/>
  <c r="G10" i="104"/>
  <c r="I50" i="104"/>
  <c r="K30" i="104"/>
  <c r="H59" i="84"/>
  <c r="V15" i="71"/>
  <c r="E46" i="72"/>
  <c r="L32" i="71"/>
  <c r="M17" i="84"/>
  <c r="V10" i="71"/>
  <c r="Q58" i="84"/>
  <c r="M29" i="71"/>
  <c r="L39" i="104"/>
  <c r="V53" i="71"/>
  <c r="Z14" i="71"/>
  <c r="J44" i="84"/>
  <c r="AB58" i="71"/>
  <c r="Q28" i="84"/>
  <c r="S8" i="71"/>
  <c r="F41" i="84"/>
  <c r="J30" i="71"/>
  <c r="E10" i="71"/>
  <c r="D48" i="104"/>
  <c r="AB15" i="71"/>
  <c r="K54" i="71"/>
  <c r="C42" i="71"/>
  <c r="U58" i="71"/>
  <c r="I6" i="84"/>
  <c r="D76" i="72"/>
  <c r="Z13" i="71"/>
  <c r="E13" i="76"/>
  <c r="L8" i="85"/>
  <c r="K28" i="104"/>
  <c r="F52" i="104"/>
  <c r="F92" i="72"/>
  <c r="N9" i="85"/>
  <c r="F28" i="71"/>
  <c r="F47" i="71"/>
  <c r="U34" i="71"/>
  <c r="M54" i="71"/>
  <c r="I32" i="71"/>
  <c r="K29" i="84"/>
  <c r="C36" i="72"/>
  <c r="E18" i="104"/>
  <c r="G42" i="71"/>
  <c r="T15" i="71"/>
  <c r="D27" i="75"/>
  <c r="C63" i="76"/>
  <c r="C22" i="84"/>
  <c r="J18" i="71"/>
  <c r="L47" i="84"/>
  <c r="C96" i="72"/>
  <c r="C11" i="75"/>
  <c r="N10" i="85"/>
  <c r="K23" i="104"/>
  <c r="AC16" i="71"/>
  <c r="D9" i="76"/>
  <c r="C9" i="71"/>
  <c r="F60" i="84"/>
  <c r="F57" i="84"/>
  <c r="AD14" i="71"/>
  <c r="A46" i="104"/>
  <c r="G8" i="84"/>
  <c r="E12" i="71"/>
  <c r="D63" i="76"/>
  <c r="E12" i="75"/>
  <c r="G7" i="71"/>
  <c r="N29" i="104"/>
  <c r="P47" i="84"/>
  <c r="G35" i="104"/>
  <c r="D27" i="71"/>
  <c r="F43" i="75"/>
  <c r="F46" i="75"/>
  <c r="E12" i="76"/>
  <c r="J35" i="104"/>
  <c r="T34" i="71"/>
  <c r="K25" i="84"/>
  <c r="D23" i="76"/>
  <c r="AA27" i="71"/>
  <c r="W20" i="71"/>
  <c r="W12" i="71"/>
  <c r="O52" i="71"/>
  <c r="J21" i="71"/>
  <c r="J11" i="104"/>
  <c r="H18" i="71"/>
  <c r="I21" i="84"/>
  <c r="T37" i="71"/>
  <c r="X10" i="71"/>
  <c r="F59" i="76"/>
  <c r="I8" i="84"/>
  <c r="D16" i="72"/>
  <c r="C52" i="72"/>
  <c r="G13" i="84"/>
  <c r="E18" i="75"/>
  <c r="Y16" i="71"/>
  <c r="T36" i="71"/>
  <c r="D94" i="72"/>
  <c r="AC18" i="71"/>
  <c r="J13" i="71"/>
  <c r="C21" i="104"/>
  <c r="D22" i="76"/>
  <c r="H57" i="71"/>
  <c r="D58" i="71"/>
  <c r="K22" i="104"/>
  <c r="Z15" i="71"/>
  <c r="J23" i="104"/>
  <c r="C57" i="71"/>
  <c r="E7" i="72"/>
  <c r="C19" i="72"/>
  <c r="AB22" i="71"/>
  <c r="B33" i="71"/>
  <c r="D71" i="72"/>
  <c r="G22" i="71"/>
  <c r="F32" i="72"/>
  <c r="H43" i="104"/>
  <c r="U15" i="71"/>
  <c r="C48" i="71"/>
  <c r="U53" i="71"/>
  <c r="O21" i="71"/>
  <c r="M39" i="71"/>
  <c r="C38" i="104"/>
  <c r="E25" i="71"/>
  <c r="Y21" i="71"/>
  <c r="W22" i="71"/>
  <c r="Y12" i="71"/>
  <c r="K8" i="85"/>
  <c r="A47" i="104"/>
  <c r="E41" i="71"/>
  <c r="J8" i="84"/>
  <c r="J46" i="71"/>
  <c r="D29" i="104"/>
  <c r="D96" i="72"/>
  <c r="AD24" i="71"/>
  <c r="J35" i="71"/>
  <c r="C35" i="71"/>
  <c r="D18" i="104"/>
  <c r="K7" i="84"/>
  <c r="U46" i="71"/>
  <c r="E28" i="72"/>
  <c r="K33" i="71"/>
  <c r="C13" i="72"/>
  <c r="Z36" i="71"/>
  <c r="D42" i="71"/>
  <c r="H35" i="104"/>
  <c r="J48" i="104"/>
  <c r="U11" i="71"/>
  <c r="F29" i="84"/>
  <c r="J10" i="71"/>
  <c r="K22" i="84"/>
  <c r="G41" i="84"/>
  <c r="N46" i="104"/>
  <c r="H10" i="104"/>
  <c r="J26" i="84"/>
  <c r="E41" i="72"/>
  <c r="O42" i="71"/>
  <c r="G41" i="71"/>
  <c r="W19" i="71"/>
  <c r="D91" i="72"/>
  <c r="K28" i="84"/>
  <c r="R12" i="71"/>
  <c r="AD37" i="71"/>
  <c r="R49" i="71"/>
  <c r="C59" i="76"/>
  <c r="H14" i="71"/>
  <c r="C44" i="71"/>
  <c r="AD33" i="71"/>
  <c r="I18" i="84"/>
  <c r="H35" i="71"/>
  <c r="D22" i="84"/>
  <c r="Z27" i="71"/>
  <c r="Z23" i="71"/>
  <c r="K23" i="71"/>
  <c r="E37" i="71"/>
  <c r="J53" i="104"/>
  <c r="D13" i="71"/>
  <c r="AD58" i="71"/>
  <c r="M31" i="71"/>
  <c r="C17" i="72"/>
  <c r="U32" i="71"/>
  <c r="I19" i="71"/>
  <c r="E51" i="104"/>
  <c r="F103" i="72"/>
  <c r="N58" i="71"/>
  <c r="G19" i="84"/>
  <c r="C16" i="104"/>
  <c r="X16" i="71"/>
  <c r="Y8" i="71"/>
  <c r="F17" i="76"/>
  <c r="H26" i="84"/>
  <c r="F77" i="72"/>
  <c r="H51" i="104"/>
  <c r="H30" i="71"/>
  <c r="N11" i="104"/>
  <c r="F18" i="104"/>
  <c r="D9" i="84"/>
  <c r="E34" i="72"/>
  <c r="E24" i="104"/>
  <c r="N54" i="71"/>
  <c r="H29" i="71"/>
  <c r="R44" i="71"/>
  <c r="G42" i="84"/>
  <c r="S33" i="71"/>
  <c r="M47" i="104"/>
  <c r="AB56" i="71"/>
  <c r="C58" i="84"/>
  <c r="K36" i="104"/>
  <c r="D15" i="84"/>
  <c r="C65" i="72"/>
  <c r="K51" i="104"/>
  <c r="F11" i="75"/>
  <c r="AA37" i="71"/>
  <c r="B41" i="104"/>
  <c r="F23" i="84"/>
  <c r="K16" i="84"/>
  <c r="G26" i="104"/>
  <c r="Z11" i="71"/>
  <c r="V43" i="71"/>
  <c r="M8" i="85"/>
  <c r="K27" i="84"/>
  <c r="J14" i="104"/>
  <c r="C60" i="84"/>
  <c r="F15" i="104"/>
  <c r="C87" i="72"/>
  <c r="F23" i="72"/>
  <c r="H25" i="84"/>
  <c r="X24" i="71"/>
  <c r="F35" i="104"/>
  <c r="N45" i="104"/>
  <c r="D44" i="71"/>
  <c r="E36" i="71"/>
  <c r="Y54" i="71"/>
  <c r="E11" i="104"/>
  <c r="H10" i="84"/>
  <c r="G56" i="84"/>
  <c r="C51" i="75"/>
  <c r="I54" i="71"/>
  <c r="I15" i="84"/>
  <c r="I53" i="71"/>
  <c r="J34" i="104"/>
  <c r="N43" i="84"/>
  <c r="M16" i="104"/>
  <c r="I52" i="71"/>
  <c r="H19" i="71"/>
  <c r="G10" i="85"/>
  <c r="D17" i="71"/>
  <c r="AA14" i="71"/>
  <c r="N46" i="71"/>
  <c r="C51" i="76"/>
  <c r="I53" i="104"/>
  <c r="C16" i="84"/>
  <c r="E8" i="72"/>
  <c r="V33" i="71"/>
  <c r="D98" i="72"/>
  <c r="D15" i="71"/>
  <c r="L47" i="104"/>
  <c r="C14" i="84"/>
  <c r="F71" i="72"/>
  <c r="V12" i="71"/>
  <c r="K25" i="71"/>
  <c r="F55" i="76"/>
  <c r="AC29" i="71"/>
  <c r="C27" i="84"/>
  <c r="E14" i="72"/>
  <c r="F8" i="76"/>
  <c r="F27" i="71"/>
  <c r="F44" i="71"/>
  <c r="F10" i="104"/>
  <c r="H9" i="71"/>
  <c r="L31" i="104"/>
  <c r="F25" i="84"/>
  <c r="D69" i="72"/>
  <c r="F54" i="71"/>
  <c r="I41" i="84"/>
  <c r="E28" i="76"/>
  <c r="I40" i="71"/>
  <c r="P8" i="84"/>
  <c r="N23" i="84"/>
  <c r="F9" i="104"/>
  <c r="K50" i="104"/>
  <c r="J42" i="104"/>
  <c r="E39" i="104"/>
  <c r="Q6" i="84"/>
  <c r="L38" i="71"/>
  <c r="K18" i="71"/>
  <c r="Y39" i="71"/>
  <c r="Y53" i="71"/>
  <c r="N7" i="71"/>
  <c r="J61" i="84"/>
  <c r="C31" i="71"/>
  <c r="J15" i="84"/>
  <c r="C49" i="104"/>
  <c r="I56" i="84"/>
  <c r="F24" i="76"/>
  <c r="F37" i="104"/>
  <c r="J17" i="84"/>
  <c r="I35" i="71"/>
  <c r="F54" i="76"/>
  <c r="C34" i="71"/>
  <c r="Q17" i="84"/>
  <c r="K52" i="71"/>
  <c r="J24" i="71"/>
  <c r="K21" i="104"/>
  <c r="I29" i="84"/>
  <c r="O46" i="71"/>
  <c r="T28" i="71"/>
  <c r="L14" i="104"/>
  <c r="V8" i="71"/>
  <c r="X23" i="71"/>
  <c r="F43" i="104"/>
  <c r="D40" i="71"/>
  <c r="L26" i="84"/>
  <c r="D110" i="72"/>
  <c r="Z19" i="71"/>
  <c r="N36" i="104"/>
  <c r="Q23" i="84"/>
  <c r="H46" i="104"/>
  <c r="W8" i="71"/>
  <c r="R10" i="71"/>
  <c r="J60" i="84"/>
  <c r="C21" i="76"/>
  <c r="F52" i="72"/>
  <c r="D48" i="71"/>
  <c r="M30" i="71"/>
  <c r="D20" i="71"/>
  <c r="K57" i="84"/>
  <c r="E16" i="75"/>
  <c r="D54" i="71"/>
  <c r="C66" i="76"/>
  <c r="D53" i="71"/>
  <c r="G58" i="84"/>
  <c r="S47" i="71"/>
  <c r="C47" i="76"/>
  <c r="D39" i="71"/>
  <c r="I18" i="104"/>
  <c r="C29" i="72"/>
  <c r="O43" i="71"/>
  <c r="AB33" i="71"/>
  <c r="F24" i="84"/>
  <c r="E10" i="75"/>
  <c r="C81" i="72"/>
  <c r="I8" i="71"/>
  <c r="Z37" i="71"/>
  <c r="C58" i="71"/>
  <c r="L10" i="85"/>
  <c r="T41" i="71"/>
  <c r="AA32" i="71"/>
  <c r="H46" i="71"/>
  <c r="F74" i="72"/>
  <c r="L45" i="84"/>
  <c r="W15" i="71"/>
  <c r="E8" i="104"/>
  <c r="L14" i="84"/>
  <c r="O49" i="71"/>
  <c r="V49" i="71"/>
  <c r="B9" i="50"/>
  <c r="F48" i="71"/>
  <c r="X27" i="71"/>
  <c r="B17" i="104"/>
  <c r="G25" i="84"/>
  <c r="N50" i="104"/>
  <c r="Z17" i="71"/>
  <c r="K44" i="104"/>
  <c r="F43" i="84"/>
  <c r="F13" i="84"/>
  <c r="A40" i="52"/>
  <c r="L27" i="84"/>
  <c r="E44" i="104"/>
  <c r="I44" i="104"/>
  <c r="P9" i="84"/>
  <c r="A16" i="52"/>
  <c r="F46" i="72"/>
  <c r="H21" i="71"/>
  <c r="I7" i="85"/>
  <c r="H10" i="85"/>
  <c r="U19" i="71"/>
  <c r="I39" i="104"/>
  <c r="F50" i="76"/>
  <c r="C27" i="71"/>
  <c r="L6" i="85"/>
  <c r="G48" i="71"/>
  <c r="R46" i="71"/>
  <c r="E17" i="104"/>
  <c r="Y35" i="71"/>
  <c r="S14" i="71"/>
  <c r="S35" i="71"/>
  <c r="C18" i="71"/>
  <c r="G31" i="71"/>
  <c r="F42" i="76"/>
  <c r="X40" i="71"/>
  <c r="D14" i="75"/>
  <c r="H46" i="84"/>
  <c r="L47" i="71"/>
  <c r="M57" i="71"/>
  <c r="W44" i="71"/>
  <c r="C10" i="72"/>
  <c r="AC25" i="71"/>
  <c r="L22" i="71"/>
  <c r="AB9" i="71"/>
  <c r="F31" i="71"/>
  <c r="O53" i="71"/>
  <c r="C54" i="76"/>
  <c r="F100" i="72"/>
  <c r="M58" i="84"/>
  <c r="G43" i="71"/>
  <c r="F45" i="71"/>
  <c r="E49" i="104"/>
  <c r="G17" i="104"/>
  <c r="F52" i="71"/>
  <c r="E44" i="72"/>
  <c r="H11" i="84"/>
  <c r="D19" i="72"/>
  <c r="X32" i="71"/>
  <c r="E31" i="72"/>
  <c r="D8" i="76"/>
  <c r="D51" i="75"/>
  <c r="C24" i="104"/>
  <c r="H15" i="84"/>
  <c r="AA45" i="71"/>
  <c r="H12" i="104"/>
  <c r="Z58" i="71"/>
  <c r="B51" i="104"/>
  <c r="F57" i="71"/>
  <c r="P24" i="84"/>
  <c r="O18" i="71"/>
  <c r="Q7" i="84"/>
  <c r="E27" i="76"/>
  <c r="E22" i="104"/>
  <c r="C12" i="84"/>
  <c r="F30" i="71"/>
  <c r="F48" i="75"/>
  <c r="R24" i="71"/>
  <c r="J7" i="104"/>
  <c r="K20" i="104"/>
  <c r="L59" i="84"/>
  <c r="V14" i="71"/>
  <c r="I51" i="104"/>
  <c r="I13" i="71"/>
  <c r="D88" i="72"/>
  <c r="G10" i="84"/>
  <c r="E43" i="104"/>
  <c r="G52" i="71"/>
  <c r="C89" i="72"/>
  <c r="B3" i="50"/>
  <c r="D27" i="104"/>
  <c r="D70" i="72"/>
  <c r="D7" i="84"/>
  <c r="O9" i="85"/>
  <c r="B53" i="104"/>
  <c r="F49" i="71"/>
  <c r="D29" i="76"/>
  <c r="I15" i="71"/>
  <c r="I20" i="71"/>
  <c r="Z46" i="71"/>
  <c r="D32" i="71"/>
  <c r="C52" i="104"/>
  <c r="AB52" i="71"/>
  <c r="F95" i="72"/>
  <c r="N16" i="71"/>
  <c r="D16" i="76"/>
  <c r="T33" i="71"/>
  <c r="AD40" i="71"/>
  <c r="D74" i="72"/>
  <c r="E14" i="75"/>
  <c r="AC53" i="71"/>
  <c r="B11" i="50"/>
  <c r="L44" i="84"/>
  <c r="I57" i="84"/>
  <c r="B12" i="104"/>
  <c r="C44" i="75"/>
  <c r="C28" i="76"/>
  <c r="K29" i="71"/>
  <c r="R25" i="71"/>
  <c r="AD25" i="71"/>
  <c r="AC10" i="71"/>
  <c r="D56" i="71"/>
  <c r="C28" i="71"/>
  <c r="T18" i="71"/>
  <c r="X8" i="71"/>
  <c r="S45" i="71"/>
  <c r="T9" i="71"/>
  <c r="AA11" i="71"/>
  <c r="U41" i="71"/>
  <c r="W24" i="71"/>
  <c r="U8" i="71"/>
  <c r="K31" i="71"/>
  <c r="Y29" i="71"/>
  <c r="N9" i="71"/>
  <c r="E14" i="71"/>
  <c r="E12" i="72"/>
  <c r="D18" i="72"/>
  <c r="C73" i="72"/>
  <c r="L52" i="104"/>
  <c r="N39" i="104"/>
  <c r="J24" i="104"/>
  <c r="G30" i="104"/>
  <c r="Y27" i="71"/>
  <c r="C57" i="76"/>
  <c r="I43" i="71"/>
  <c r="D38" i="104"/>
  <c r="J25" i="71"/>
  <c r="O6" i="85"/>
  <c r="D17" i="75"/>
  <c r="I46" i="104"/>
  <c r="L32" i="104"/>
  <c r="F53" i="76"/>
  <c r="C21" i="72"/>
  <c r="G32" i="71"/>
  <c r="H54" i="71"/>
  <c r="C54" i="71"/>
  <c r="N33" i="71"/>
  <c r="AC33" i="71"/>
  <c r="E33" i="71"/>
  <c r="K9" i="85"/>
  <c r="F34" i="71"/>
  <c r="F17" i="71"/>
  <c r="C59" i="84"/>
  <c r="C16" i="76"/>
  <c r="G14" i="71"/>
  <c r="J9" i="71"/>
  <c r="S18" i="71"/>
  <c r="T23" i="71"/>
  <c r="AC49" i="71"/>
  <c r="AA10" i="71"/>
  <c r="T31" i="71"/>
  <c r="X45" i="71"/>
  <c r="S27" i="71"/>
  <c r="F50" i="72"/>
  <c r="C37" i="72"/>
  <c r="C72" i="72"/>
  <c r="H25" i="104"/>
  <c r="D111" i="72"/>
  <c r="O27" i="71"/>
  <c r="D41" i="104"/>
  <c r="J44" i="71"/>
  <c r="C17" i="75"/>
  <c r="M46" i="104"/>
  <c r="S32" i="71"/>
  <c r="X54" i="71"/>
  <c r="D33" i="71"/>
  <c r="Y33" i="71"/>
  <c r="F15" i="76"/>
  <c r="F21" i="71"/>
  <c r="S37" i="71"/>
  <c r="Z16" i="71"/>
  <c r="E11" i="76"/>
  <c r="M41" i="104"/>
  <c r="R48" i="71"/>
  <c r="E52" i="72"/>
  <c r="I43" i="84"/>
  <c r="V9" i="71"/>
  <c r="D16" i="75"/>
  <c r="I14" i="84"/>
  <c r="X33" i="71"/>
  <c r="M22" i="84"/>
  <c r="K38" i="71"/>
  <c r="H11" i="104"/>
  <c r="F36" i="72"/>
  <c r="M48" i="71"/>
  <c r="P13" i="84"/>
  <c r="V36" i="71"/>
  <c r="N42" i="71"/>
  <c r="L39" i="71"/>
  <c r="D6" i="84"/>
  <c r="G7" i="85"/>
  <c r="F29" i="76"/>
  <c r="N41" i="84"/>
  <c r="F64" i="72"/>
  <c r="O17" i="71"/>
  <c r="D30" i="72"/>
  <c r="U54" i="71"/>
  <c r="N10" i="84"/>
  <c r="W41" i="71"/>
  <c r="G38" i="71"/>
  <c r="H16" i="104"/>
  <c r="E20" i="72"/>
  <c r="AB8" i="71"/>
  <c r="U47" i="71"/>
  <c r="C33" i="71"/>
  <c r="E24" i="71"/>
  <c r="H23" i="84"/>
  <c r="Z25" i="71"/>
  <c r="E9" i="104"/>
  <c r="J7" i="85"/>
  <c r="F46" i="71"/>
  <c r="F43" i="72"/>
  <c r="E24" i="76"/>
  <c r="M7" i="84"/>
  <c r="Y34" i="71"/>
  <c r="O44" i="71"/>
  <c r="V11" i="71"/>
  <c r="Z8" i="71"/>
  <c r="I46" i="71"/>
  <c r="D65" i="72"/>
  <c r="F44" i="75"/>
  <c r="F87" i="72"/>
  <c r="AD8" i="71"/>
  <c r="D34" i="71"/>
  <c r="F58" i="84"/>
  <c r="AC9" i="71"/>
  <c r="J31" i="71"/>
  <c r="J12" i="71"/>
  <c r="L29" i="71"/>
  <c r="D9" i="71"/>
  <c r="N12" i="71"/>
  <c r="R43" i="71"/>
  <c r="C15" i="72"/>
  <c r="D14" i="104"/>
  <c r="D108" i="72"/>
  <c r="D43" i="71"/>
  <c r="J49" i="71"/>
  <c r="C53" i="71"/>
  <c r="J32" i="71"/>
  <c r="O54" i="71"/>
  <c r="U33" i="71"/>
  <c r="F19" i="71"/>
  <c r="F40" i="71"/>
  <c r="J9" i="84"/>
  <c r="C85" i="72"/>
  <c r="K10" i="104"/>
  <c r="H52" i="71"/>
  <c r="B5" i="50"/>
  <c r="F89" i="72"/>
  <c r="E14" i="104"/>
  <c r="C95" i="72"/>
  <c r="N57" i="71"/>
  <c r="AB37" i="71"/>
  <c r="F10" i="76"/>
  <c r="J18" i="104"/>
  <c r="D15" i="75"/>
  <c r="C91" i="72"/>
  <c r="P7" i="84"/>
  <c r="C48" i="75"/>
  <c r="D81" i="72"/>
  <c r="J42" i="84"/>
  <c r="X31" i="71"/>
  <c r="T47" i="71"/>
  <c r="D24" i="76"/>
  <c r="C45" i="72"/>
  <c r="AA12" i="71"/>
  <c r="J10" i="85"/>
  <c r="X52" i="71"/>
  <c r="K40" i="71"/>
  <c r="N39" i="71"/>
  <c r="E32" i="71"/>
  <c r="AC14" i="71"/>
  <c r="E32" i="72"/>
  <c r="D84" i="72"/>
  <c r="C34" i="104"/>
  <c r="Q59" i="84"/>
  <c r="O25" i="84"/>
  <c r="H22" i="71"/>
  <c r="C14" i="75"/>
  <c r="E24" i="75"/>
  <c r="E26" i="104"/>
  <c r="N47" i="104"/>
  <c r="D11" i="72"/>
  <c r="H49" i="104"/>
  <c r="B8" i="50"/>
  <c r="L12" i="84"/>
  <c r="H44" i="104"/>
  <c r="K46" i="71"/>
  <c r="F15" i="72"/>
  <c r="D62" i="76"/>
  <c r="D46" i="76"/>
  <c r="J28" i="84"/>
  <c r="AD34" i="71"/>
  <c r="E38" i="71"/>
  <c r="AB57" i="71"/>
  <c r="J20" i="104"/>
  <c r="F12" i="72"/>
  <c r="L58" i="84"/>
  <c r="E47" i="104"/>
  <c r="E18" i="72"/>
  <c r="M16" i="71"/>
  <c r="C52" i="75"/>
  <c r="G6" i="84"/>
  <c r="G22" i="84"/>
  <c r="G45" i="104"/>
  <c r="Z9" i="71"/>
  <c r="F39" i="71"/>
  <c r="D95" i="72"/>
  <c r="F56" i="75"/>
  <c r="D26" i="84"/>
  <c r="M60" i="84"/>
  <c r="D45" i="71"/>
  <c r="V23" i="71"/>
  <c r="D24" i="71"/>
  <c r="K6" i="84"/>
  <c r="T43" i="71"/>
  <c r="C8" i="76"/>
  <c r="T32" i="71"/>
  <c r="D61" i="75"/>
  <c r="G18" i="104"/>
  <c r="C20" i="71"/>
  <c r="AB13" i="71"/>
  <c r="X37" i="71"/>
  <c r="L14" i="71"/>
  <c r="K49" i="71"/>
  <c r="C74" i="72"/>
  <c r="D51" i="104"/>
  <c r="D29" i="72"/>
  <c r="AB18" i="71"/>
  <c r="P42" i="84"/>
  <c r="F90" i="72"/>
  <c r="N15" i="104"/>
  <c r="U25" i="71"/>
  <c r="E56" i="71"/>
  <c r="AA29" i="71"/>
  <c r="L43" i="104"/>
  <c r="AB48" i="71"/>
  <c r="C18" i="75"/>
  <c r="Y28" i="71"/>
  <c r="AB20" i="71"/>
  <c r="Q10" i="84"/>
  <c r="E19" i="72"/>
  <c r="V16" i="71"/>
  <c r="Q57" i="84"/>
  <c r="I43" i="104"/>
  <c r="AD22" i="71"/>
  <c r="E9" i="75"/>
  <c r="J22" i="71"/>
  <c r="AB10" i="71"/>
  <c r="F9" i="71"/>
  <c r="F58" i="71"/>
  <c r="B15" i="104"/>
  <c r="F45" i="72"/>
  <c r="E10" i="72"/>
  <c r="N15" i="84"/>
  <c r="E39" i="72"/>
  <c r="F29" i="71"/>
  <c r="D49" i="75"/>
  <c r="C47" i="75"/>
  <c r="C62" i="75"/>
  <c r="F21" i="84"/>
  <c r="F17" i="84"/>
  <c r="D9" i="104"/>
  <c r="M34" i="71"/>
  <c r="AD16" i="71"/>
  <c r="E13" i="104"/>
  <c r="N35" i="104"/>
  <c r="I48" i="104"/>
  <c r="D60" i="75"/>
  <c r="F38" i="72"/>
  <c r="L38" i="104"/>
  <c r="S20" i="71"/>
  <c r="C33" i="72"/>
  <c r="L49" i="104"/>
  <c r="AD18" i="71"/>
  <c r="F56" i="76"/>
  <c r="M33" i="71"/>
  <c r="AB43" i="71"/>
  <c r="F7" i="71"/>
  <c r="E15" i="75"/>
  <c r="M35" i="71"/>
  <c r="C44" i="84"/>
  <c r="G14" i="104"/>
  <c r="F35" i="71"/>
  <c r="D47" i="71"/>
  <c r="G53" i="104"/>
  <c r="AA54" i="71"/>
  <c r="C46" i="84"/>
  <c r="M53" i="71"/>
  <c r="E53" i="104"/>
  <c r="F83" i="72"/>
  <c r="K47" i="104"/>
  <c r="P21" i="84"/>
  <c r="AB11" i="71"/>
  <c r="AC47" i="71"/>
  <c r="D54" i="72"/>
  <c r="E45" i="71"/>
  <c r="E56" i="72"/>
  <c r="F40" i="104"/>
  <c r="E20" i="71"/>
  <c r="I14" i="71"/>
  <c r="C16" i="75"/>
  <c r="AC12" i="71"/>
  <c r="D77" i="72"/>
  <c r="G39" i="71"/>
  <c r="X19" i="71"/>
  <c r="D33" i="104"/>
  <c r="E20" i="76"/>
  <c r="B14" i="50"/>
  <c r="B48" i="104"/>
  <c r="K46" i="84"/>
  <c r="B25" i="104"/>
  <c r="C45" i="75"/>
  <c r="M13" i="71"/>
  <c r="AA40" i="71"/>
  <c r="C11" i="71"/>
  <c r="AC19" i="71"/>
  <c r="AC52" i="71"/>
  <c r="L18" i="71"/>
  <c r="Y23" i="71"/>
  <c r="S46" i="71"/>
  <c r="F11" i="72"/>
  <c r="F41" i="104"/>
  <c r="H8" i="104"/>
  <c r="C42" i="76"/>
  <c r="D49" i="104"/>
  <c r="J6" i="85"/>
  <c r="H32" i="104"/>
  <c r="Y32" i="71"/>
  <c r="J33" i="71"/>
  <c r="L9" i="85"/>
  <c r="F32" i="71"/>
  <c r="F23" i="104"/>
  <c r="C17" i="76"/>
  <c r="H24" i="71"/>
  <c r="L21" i="104"/>
  <c r="AD39" i="71"/>
  <c r="M29" i="104"/>
  <c r="H45" i="84"/>
  <c r="C90" i="72"/>
  <c r="W57" i="71"/>
  <c r="C38" i="71"/>
  <c r="AA36" i="71"/>
  <c r="I45" i="104"/>
  <c r="E31" i="104"/>
  <c r="N8" i="84"/>
  <c r="F42" i="71"/>
  <c r="I11" i="84"/>
  <c r="F12" i="71"/>
  <c r="F30" i="72"/>
  <c r="F24" i="71"/>
  <c r="Q20" i="84"/>
  <c r="AB41" i="71"/>
  <c r="S16" i="71"/>
  <c r="D10" i="104"/>
  <c r="O29" i="84"/>
  <c r="F14" i="84"/>
  <c r="V21" i="71"/>
  <c r="N21" i="84"/>
  <c r="G16" i="84"/>
  <c r="J27" i="71"/>
  <c r="C66" i="72"/>
  <c r="R53" i="71"/>
  <c r="H25" i="71"/>
  <c r="D38" i="72"/>
  <c r="U21" i="71"/>
  <c r="D44" i="75"/>
  <c r="T19" i="71"/>
  <c r="AD41" i="71"/>
  <c r="W7" i="71"/>
  <c r="U38" i="71"/>
  <c r="L7" i="71"/>
  <c r="C103" i="72"/>
  <c r="G16" i="104"/>
  <c r="D21" i="104"/>
  <c r="E17" i="75"/>
  <c r="E21" i="72"/>
  <c r="H33" i="71"/>
  <c r="J9" i="85"/>
  <c r="F20" i="71"/>
  <c r="O23" i="71"/>
  <c r="I23" i="84"/>
  <c r="I36" i="104"/>
  <c r="D27" i="76"/>
  <c r="T30" i="71"/>
  <c r="F52" i="75"/>
  <c r="W45" i="71"/>
  <c r="I24" i="84"/>
  <c r="V58" i="71"/>
  <c r="I9" i="71"/>
  <c r="C29" i="84"/>
  <c r="C29" i="76"/>
  <c r="G21" i="104"/>
  <c r="B37" i="104"/>
  <c r="V46" i="71"/>
  <c r="AD15" i="71"/>
  <c r="S34" i="71"/>
  <c r="F86" i="72"/>
  <c r="Y45" i="71"/>
  <c r="Q42" i="84"/>
  <c r="E22" i="71"/>
  <c r="C23" i="104"/>
  <c r="F97" i="72"/>
  <c r="D36" i="72"/>
  <c r="H28" i="71"/>
  <c r="G13" i="104"/>
  <c r="I25" i="71"/>
  <c r="C20" i="76"/>
  <c r="G56" i="71"/>
  <c r="X29" i="71"/>
  <c r="B11" i="104"/>
  <c r="C11" i="76"/>
  <c r="I49" i="71"/>
  <c r="M25" i="71"/>
  <c r="D43" i="104"/>
  <c r="AB32" i="71"/>
  <c r="G27" i="71"/>
  <c r="C76" i="72"/>
  <c r="M34" i="104"/>
  <c r="C42" i="75"/>
  <c r="F63" i="75"/>
  <c r="C53" i="104"/>
  <c r="F26" i="104"/>
  <c r="H48" i="104"/>
  <c r="D17" i="72"/>
  <c r="X12" i="71"/>
  <c r="C27" i="75"/>
  <c r="N21" i="71"/>
  <c r="J11" i="71"/>
  <c r="AD52" i="71"/>
  <c r="X38" i="71"/>
  <c r="N22" i="84"/>
  <c r="D73" i="72"/>
  <c r="AC54" i="71"/>
  <c r="G29" i="84"/>
  <c r="F37" i="71"/>
  <c r="Q61" i="84"/>
  <c r="F23" i="75"/>
  <c r="D48" i="75"/>
  <c r="P10" i="84"/>
  <c r="L17" i="84"/>
  <c r="H19" i="104"/>
  <c r="AB53" i="71"/>
  <c r="F38" i="71"/>
  <c r="I9" i="84"/>
  <c r="M35" i="104"/>
  <c r="K52" i="104"/>
  <c r="T45" i="71"/>
  <c r="L20" i="104"/>
  <c r="H28" i="104"/>
  <c r="F29" i="104"/>
  <c r="AB19" i="71"/>
  <c r="J41" i="84"/>
  <c r="AD54" i="71"/>
  <c r="W48" i="71"/>
  <c r="O41" i="71"/>
  <c r="H30" i="104"/>
  <c r="P26" i="84"/>
  <c r="T58" i="71"/>
  <c r="T29" i="71"/>
  <c r="H42" i="84"/>
  <c r="Z12" i="71"/>
  <c r="E49" i="71"/>
  <c r="D14" i="84"/>
  <c r="D85" i="72"/>
  <c r="K53" i="71"/>
  <c r="J38" i="104"/>
  <c r="U42" i="71"/>
  <c r="D28" i="104"/>
  <c r="I58" i="71"/>
  <c r="F58" i="76"/>
  <c r="C20" i="84"/>
  <c r="F79" i="72"/>
  <c r="V28" i="71"/>
  <c r="L56" i="71"/>
  <c r="F13" i="104"/>
  <c r="AC11" i="71"/>
  <c r="C18" i="84"/>
  <c r="F22" i="72"/>
  <c r="N51" i="104"/>
  <c r="D41" i="84"/>
  <c r="E15" i="104"/>
  <c r="AC13" i="71"/>
  <c r="Q18" i="84"/>
  <c r="D63" i="72"/>
  <c r="V19" i="71"/>
  <c r="F16" i="71"/>
  <c r="F25" i="71"/>
  <c r="C44" i="104"/>
  <c r="D47" i="104"/>
  <c r="F32" i="104"/>
  <c r="D21" i="84"/>
  <c r="C78" i="72"/>
  <c r="F11" i="71"/>
  <c r="V47" i="71"/>
  <c r="I10" i="85"/>
  <c r="Y40" i="71"/>
  <c r="M8" i="84"/>
  <c r="H19" i="84"/>
  <c r="G43" i="104"/>
  <c r="AA33" i="71"/>
  <c r="L42" i="104"/>
  <c r="E38" i="104"/>
  <c r="X14" i="71"/>
  <c r="T42" i="71"/>
  <c r="I9" i="104"/>
  <c r="V45" i="71"/>
  <c r="P15" i="84"/>
  <c r="C16" i="71"/>
  <c r="V39" i="71"/>
  <c r="O47" i="71"/>
  <c r="G47" i="104"/>
  <c r="J29" i="84"/>
  <c r="AB7" i="71"/>
  <c r="L33" i="104"/>
  <c r="F46" i="104"/>
  <c r="L24" i="84"/>
  <c r="M24" i="71"/>
  <c r="J27" i="84"/>
  <c r="F41" i="71"/>
  <c r="K15" i="84"/>
  <c r="I59" i="84"/>
  <c r="H37" i="71"/>
  <c r="AB29" i="71"/>
  <c r="AD47" i="71"/>
  <c r="J19" i="104"/>
  <c r="V7" i="71"/>
  <c r="C58" i="76"/>
  <c r="C8" i="75"/>
  <c r="Q16" i="84"/>
  <c r="F14" i="71"/>
  <c r="F56" i="71"/>
  <c r="B16" i="50"/>
  <c r="Z52" i="71"/>
  <c r="K43" i="71"/>
  <c r="D31" i="72"/>
  <c r="AB21" i="71"/>
  <c r="D92" i="72"/>
  <c r="F22" i="84"/>
  <c r="Z54" i="71"/>
  <c r="D10" i="72"/>
  <c r="C15" i="76"/>
  <c r="F51" i="76"/>
  <c r="F60" i="75"/>
  <c r="D63" i="75"/>
  <c r="N44" i="71"/>
  <c r="H39" i="104"/>
  <c r="P43" i="84"/>
  <c r="G59" i="84"/>
  <c r="B36" i="104"/>
  <c r="D17" i="76"/>
  <c r="L52" i="71"/>
  <c r="C14" i="71"/>
  <c r="J48" i="71"/>
  <c r="AC23" i="71"/>
  <c r="D38" i="71"/>
  <c r="I17" i="71"/>
  <c r="C39" i="71"/>
  <c r="AA46" i="71"/>
  <c r="W49" i="71"/>
  <c r="R38" i="71"/>
  <c r="S28" i="71"/>
  <c r="M44" i="71"/>
  <c r="AA20" i="71"/>
  <c r="AC27" i="71"/>
  <c r="AC15" i="71"/>
  <c r="E9" i="71"/>
  <c r="S24" i="71"/>
  <c r="AC36" i="71"/>
  <c r="D13" i="72"/>
  <c r="E29" i="72"/>
  <c r="F55" i="72"/>
  <c r="C80" i="72"/>
  <c r="G20" i="104"/>
  <c r="J27" i="104"/>
  <c r="M40" i="104"/>
  <c r="D100" i="72"/>
  <c r="E27" i="71"/>
  <c r="W43" i="71"/>
  <c r="D17" i="104"/>
  <c r="J34" i="71"/>
  <c r="J8" i="71"/>
  <c r="C93" i="72"/>
  <c r="L46" i="104"/>
  <c r="AA53" i="71"/>
  <c r="E32" i="104"/>
  <c r="H32" i="71"/>
  <c r="M32" i="71"/>
  <c r="T54" i="71"/>
  <c r="O33" i="71"/>
  <c r="W33" i="71"/>
  <c r="Z33" i="71"/>
  <c r="I9" i="85"/>
  <c r="D15" i="76"/>
  <c r="F8" i="71"/>
  <c r="F18" i="71"/>
  <c r="F22" i="71"/>
  <c r="P58" i="84"/>
  <c r="C18" i="76"/>
  <c r="S39" i="71"/>
  <c r="D37" i="72"/>
  <c r="K13" i="84"/>
  <c r="I42" i="104"/>
  <c r="AA16" i="71"/>
  <c r="B19" i="75"/>
  <c r="N38" i="71"/>
  <c r="C31" i="72"/>
  <c r="C26" i="104"/>
  <c r="D14" i="72"/>
  <c r="Y19" i="71"/>
  <c r="E36" i="104"/>
  <c r="O19" i="71"/>
  <c r="N22" i="71"/>
  <c r="K22" i="71"/>
  <c r="N56" i="84"/>
  <c r="C14" i="72"/>
  <c r="C31" i="104"/>
  <c r="M18" i="71"/>
  <c r="H8" i="85"/>
  <c r="B30" i="75"/>
  <c r="C102" i="72"/>
  <c r="M28" i="104"/>
  <c r="J41" i="71"/>
  <c r="C57" i="84"/>
  <c r="C36" i="104"/>
  <c r="L35" i="71"/>
  <c r="H47" i="104"/>
  <c r="F107" i="72"/>
  <c r="G18" i="84"/>
  <c r="M8" i="104"/>
  <c r="N53" i="71"/>
  <c r="P19" i="84"/>
  <c r="G25" i="71"/>
  <c r="D64" i="72"/>
  <c r="Y10" i="71"/>
  <c r="X47" i="71"/>
  <c r="B43" i="104"/>
  <c r="Z32" i="71"/>
  <c r="N30" i="71"/>
  <c r="D25" i="104"/>
  <c r="C15" i="71"/>
  <c r="H56" i="71"/>
  <c r="D25" i="75"/>
  <c r="N13" i="104"/>
  <c r="H31" i="104"/>
  <c r="E16" i="76"/>
  <c r="F14" i="72"/>
  <c r="K49" i="104"/>
  <c r="D99" i="72"/>
  <c r="B32" i="104"/>
  <c r="K59" i="84"/>
  <c r="F14" i="75"/>
  <c r="J15" i="71"/>
  <c r="J51" i="104"/>
  <c r="E26" i="75"/>
  <c r="F98" i="72"/>
  <c r="F106" i="72"/>
  <c r="B23" i="104"/>
  <c r="K53" i="104"/>
  <c r="F33" i="71"/>
  <c r="AB54" i="71"/>
  <c r="D75" i="72"/>
  <c r="I47" i="104"/>
  <c r="E29" i="104"/>
  <c r="H37" i="104"/>
  <c r="I16" i="71"/>
  <c r="C77" i="72"/>
  <c r="F36" i="71"/>
  <c r="N6" i="85"/>
  <c r="G31" i="104"/>
  <c r="F43" i="71"/>
  <c r="F23" i="71"/>
  <c r="K48" i="104"/>
  <c r="R52" i="71"/>
  <c r="C50" i="104"/>
  <c r="K56" i="84"/>
  <c r="D19" i="76"/>
  <c r="AD45" i="71"/>
  <c r="AD29" i="71"/>
  <c r="L25" i="71"/>
  <c r="AD38" i="71"/>
  <c r="I11" i="71"/>
  <c r="J23" i="71"/>
  <c r="F8" i="72"/>
  <c r="K19" i="104"/>
  <c r="I23" i="104"/>
  <c r="C46" i="76"/>
  <c r="J17" i="71"/>
  <c r="D46" i="104"/>
  <c r="C32" i="104"/>
  <c r="K32" i="71"/>
  <c r="R33" i="71"/>
  <c r="E15" i="76"/>
  <c r="F47" i="75"/>
  <c r="E13" i="75"/>
  <c r="F93" i="72"/>
  <c r="N7" i="85"/>
  <c r="F42" i="84"/>
  <c r="D43" i="72"/>
  <c r="U57" i="71"/>
  <c r="F31" i="72"/>
  <c r="R20" i="71"/>
  <c r="G19" i="71"/>
  <c r="C56" i="71"/>
  <c r="L10" i="71"/>
  <c r="F88" i="72"/>
  <c r="F10" i="72"/>
  <c r="C53" i="76"/>
  <c r="J32" i="104"/>
  <c r="C24" i="76"/>
  <c r="Y58" i="71"/>
  <c r="W14" i="71"/>
  <c r="M36" i="71"/>
  <c r="X11" i="71"/>
  <c r="C22" i="72"/>
  <c r="F39" i="72"/>
  <c r="C9" i="72"/>
  <c r="M21" i="104"/>
  <c r="H24" i="104"/>
  <c r="G49" i="104"/>
  <c r="I33" i="104"/>
  <c r="F24" i="104"/>
  <c r="N10" i="104"/>
  <c r="B9" i="104"/>
  <c r="D12" i="84"/>
  <c r="L16" i="84"/>
  <c r="J25" i="84"/>
  <c r="L25" i="84"/>
  <c r="G24" i="84"/>
  <c r="M14" i="84"/>
  <c r="L9" i="84"/>
  <c r="L6" i="84"/>
  <c r="H17" i="84"/>
  <c r="P23" i="84"/>
  <c r="H8" i="84"/>
  <c r="P14" i="84"/>
  <c r="F10" i="84"/>
  <c r="M24" i="84"/>
  <c r="H14" i="84"/>
  <c r="O13" i="84"/>
  <c r="N28" i="84"/>
  <c r="C6" i="84"/>
  <c r="C13" i="84"/>
  <c r="K8" i="84"/>
  <c r="L19" i="84"/>
  <c r="M9" i="84"/>
  <c r="P28" i="84"/>
  <c r="Q29" i="84"/>
  <c r="D21" i="76"/>
  <c r="F23" i="76"/>
  <c r="D10" i="76"/>
  <c r="I46" i="84"/>
  <c r="J57" i="84"/>
  <c r="M61" i="84"/>
  <c r="D61" i="84"/>
  <c r="K42" i="84"/>
  <c r="P56" i="84"/>
  <c r="M59" i="84"/>
  <c r="M57" i="84"/>
  <c r="M44" i="84"/>
  <c r="M42" i="84"/>
  <c r="K61" i="84"/>
  <c r="L42" i="84"/>
  <c r="G43" i="84"/>
  <c r="G61" i="84"/>
  <c r="N60" i="84"/>
  <c r="Q47" i="84"/>
  <c r="O45" i="84"/>
  <c r="J56" i="84"/>
  <c r="G60" i="84"/>
  <c r="O58" i="84"/>
  <c r="F46" i="84"/>
  <c r="F59" i="84"/>
  <c r="D57" i="84"/>
  <c r="J59" i="84"/>
  <c r="P60" i="84"/>
  <c r="C43" i="84"/>
  <c r="F61" i="84"/>
  <c r="O57" i="84"/>
  <c r="H43" i="84"/>
  <c r="O46" i="84"/>
  <c r="L43" i="84"/>
  <c r="I42" i="71"/>
  <c r="M42" i="71"/>
  <c r="W34" i="71"/>
  <c r="R34" i="71"/>
  <c r="Y52" i="71"/>
  <c r="H20" i="104"/>
  <c r="C20" i="104"/>
  <c r="AC17" i="71"/>
  <c r="M17" i="71"/>
  <c r="X17" i="71"/>
  <c r="K17" i="71"/>
  <c r="F44" i="76"/>
  <c r="F45" i="76"/>
  <c r="F43" i="76"/>
  <c r="C47" i="71"/>
  <c r="W47" i="71"/>
  <c r="F59" i="75"/>
  <c r="F62" i="75"/>
  <c r="F41" i="75"/>
  <c r="C28" i="75"/>
  <c r="F28" i="75"/>
  <c r="W39" i="71"/>
  <c r="E39" i="71"/>
  <c r="N13" i="71"/>
  <c r="E47" i="72"/>
  <c r="C47" i="72"/>
  <c r="K39" i="104"/>
  <c r="K34" i="104"/>
  <c r="K24" i="104"/>
  <c r="K33" i="104"/>
  <c r="K45" i="104"/>
  <c r="X57" i="71"/>
  <c r="T57" i="71"/>
  <c r="Z57" i="71"/>
  <c r="D66" i="72"/>
  <c r="D103" i="72"/>
  <c r="D87" i="72"/>
  <c r="D112" i="72"/>
  <c r="D107" i="72"/>
  <c r="D72" i="72"/>
  <c r="O34" i="71"/>
  <c r="O38" i="71"/>
  <c r="Z47" i="71"/>
  <c r="Z7" i="71"/>
  <c r="Z43" i="71"/>
  <c r="Z41" i="71"/>
  <c r="B7" i="104"/>
  <c r="K7" i="104"/>
  <c r="I7" i="104"/>
  <c r="C7" i="104"/>
  <c r="F63" i="72"/>
  <c r="J39" i="71"/>
  <c r="J45" i="71"/>
  <c r="J20" i="71"/>
  <c r="J56" i="71"/>
  <c r="J38" i="71"/>
  <c r="J14" i="71"/>
  <c r="AD48" i="71"/>
  <c r="AD21" i="71"/>
  <c r="AD31" i="71"/>
  <c r="AD27" i="71"/>
  <c r="AD44" i="71"/>
  <c r="AD56" i="71"/>
  <c r="AD12" i="71"/>
  <c r="AD43" i="71"/>
  <c r="AD19" i="71"/>
  <c r="AD46" i="71"/>
  <c r="G33" i="104"/>
  <c r="G12" i="104"/>
  <c r="G39" i="104"/>
  <c r="G42" i="104"/>
  <c r="G29" i="104"/>
  <c r="G37" i="104"/>
  <c r="G52" i="104"/>
  <c r="G22" i="104"/>
  <c r="G8" i="104"/>
  <c r="G15" i="104"/>
  <c r="G36" i="104"/>
  <c r="G23" i="104"/>
  <c r="G9" i="104"/>
  <c r="E35" i="71"/>
  <c r="R35" i="71"/>
  <c r="U35" i="71"/>
  <c r="W35" i="71"/>
  <c r="K27" i="104"/>
  <c r="I27" i="104"/>
  <c r="B27" i="104"/>
  <c r="C27" i="104"/>
  <c r="L27" i="104"/>
  <c r="N27" i="104"/>
  <c r="S53" i="71"/>
  <c r="W53" i="71"/>
  <c r="T53" i="71"/>
  <c r="L53" i="71"/>
  <c r="H53" i="71"/>
  <c r="N44" i="104"/>
  <c r="M44" i="104"/>
  <c r="L44" i="104"/>
  <c r="D44" i="104"/>
  <c r="D26" i="75"/>
  <c r="F26" i="75"/>
  <c r="V32" i="71"/>
  <c r="AC32" i="71"/>
  <c r="N32" i="71"/>
  <c r="C32" i="71"/>
  <c r="W32" i="71"/>
  <c r="K46" i="104"/>
  <c r="B46" i="104"/>
  <c r="C46" i="104"/>
  <c r="E46" i="104"/>
  <c r="J46" i="104"/>
  <c r="G46" i="104"/>
  <c r="G33" i="71"/>
  <c r="L33" i="71"/>
  <c r="I33" i="71"/>
  <c r="C47" i="104"/>
  <c r="B47" i="104"/>
  <c r="F47" i="104"/>
  <c r="J47" i="104"/>
  <c r="F19" i="75"/>
  <c r="C19" i="75"/>
  <c r="E19" i="75"/>
  <c r="D19" i="75"/>
  <c r="C30" i="75"/>
  <c r="E30" i="75"/>
  <c r="F30" i="75"/>
  <c r="D30" i="75"/>
  <c r="G30" i="75" l="1"/>
  <c r="G19" i="75"/>
  <c r="Q44" i="104"/>
  <c r="Q27" i="104"/>
  <c r="C34" i="47" s="1"/>
  <c r="B34" i="47"/>
  <c r="AD55" i="71"/>
  <c r="AD50" i="71"/>
  <c r="J55" i="71"/>
  <c r="F82" i="72"/>
  <c r="H63" i="72" s="1"/>
  <c r="C56" i="104"/>
  <c r="B12" i="47"/>
  <c r="I56" i="104"/>
  <c r="K56" i="104"/>
  <c r="B56" i="104"/>
  <c r="Z26" i="71"/>
  <c r="G72" i="72"/>
  <c r="G107" i="72"/>
  <c r="G112" i="72"/>
  <c r="G87" i="72"/>
  <c r="G103" i="72"/>
  <c r="G66" i="72"/>
  <c r="G47" i="72"/>
  <c r="G28" i="75"/>
  <c r="F54" i="75"/>
  <c r="L49" i="84"/>
  <c r="H49" i="84"/>
  <c r="R61" i="84"/>
  <c r="C49" i="84"/>
  <c r="E43" i="84"/>
  <c r="R59" i="84"/>
  <c r="R46" i="84"/>
  <c r="O64" i="84"/>
  <c r="J62" i="84"/>
  <c r="J65" i="84"/>
  <c r="G49" i="84"/>
  <c r="P65" i="84"/>
  <c r="P62" i="84"/>
  <c r="E13" i="84"/>
  <c r="E6" i="84"/>
  <c r="R10" i="84"/>
  <c r="L31" i="84"/>
  <c r="H13" i="58" s="1"/>
  <c r="Q10" i="104"/>
  <c r="G9" i="72"/>
  <c r="G22" i="72"/>
  <c r="G24" i="76"/>
  <c r="E53" i="76"/>
  <c r="C55" i="71"/>
  <c r="R42" i="84"/>
  <c r="H93" i="72"/>
  <c r="E46" i="76"/>
  <c r="K65" i="84"/>
  <c r="K62" i="84"/>
  <c r="N11" i="85"/>
  <c r="N22" i="85" s="1"/>
  <c r="N19" i="85"/>
  <c r="E77" i="72"/>
  <c r="G75" i="72"/>
  <c r="H106" i="72"/>
  <c r="G99" i="72"/>
  <c r="N57" i="104"/>
  <c r="H55" i="71"/>
  <c r="G64" i="72"/>
  <c r="H107" i="72"/>
  <c r="E57" i="84"/>
  <c r="E102" i="72"/>
  <c r="H20" i="85"/>
  <c r="P8" i="85"/>
  <c r="Q8" i="85"/>
  <c r="B36" i="47"/>
  <c r="B57" i="52" s="1"/>
  <c r="G14" i="72"/>
  <c r="N62" i="84"/>
  <c r="N65" i="84"/>
  <c r="G31" i="72"/>
  <c r="G18" i="76"/>
  <c r="P64" i="84"/>
  <c r="Q9" i="85"/>
  <c r="P9" i="85"/>
  <c r="E93" i="72"/>
  <c r="E50" i="71"/>
  <c r="G100" i="72"/>
  <c r="E80" i="72"/>
  <c r="AC50" i="71"/>
  <c r="P49" i="84"/>
  <c r="G63" i="75"/>
  <c r="G15" i="76"/>
  <c r="R22" i="84"/>
  <c r="G92" i="72"/>
  <c r="F55" i="71"/>
  <c r="G8" i="75"/>
  <c r="C21" i="75"/>
  <c r="E58" i="76"/>
  <c r="V26" i="71"/>
  <c r="AB26" i="71"/>
  <c r="E78" i="72"/>
  <c r="G63" i="72"/>
  <c r="D82" i="72"/>
  <c r="D50" i="84"/>
  <c r="D47" i="84"/>
  <c r="Q51" i="104"/>
  <c r="C20" i="47" s="1"/>
  <c r="E18" i="84"/>
  <c r="F57" i="104"/>
  <c r="L55" i="71"/>
  <c r="H79" i="72"/>
  <c r="E20" i="84"/>
  <c r="G85" i="72"/>
  <c r="J50" i="84"/>
  <c r="G48" i="75"/>
  <c r="F31" i="75"/>
  <c r="G73" i="72"/>
  <c r="G27" i="75"/>
  <c r="E42" i="75"/>
  <c r="E76" i="72"/>
  <c r="G50" i="71"/>
  <c r="G11" i="76"/>
  <c r="G55" i="71"/>
  <c r="G20" i="76"/>
  <c r="G57" i="104"/>
  <c r="H97" i="72"/>
  <c r="B13" i="47"/>
  <c r="B39" i="52" s="1"/>
  <c r="H86" i="72"/>
  <c r="B41" i="47"/>
  <c r="B62" i="52" s="1"/>
  <c r="D62" i="52" s="1"/>
  <c r="G29" i="76"/>
  <c r="E29" i="84"/>
  <c r="D31" i="76"/>
  <c r="E103" i="72"/>
  <c r="L26" i="71"/>
  <c r="W26" i="71"/>
  <c r="G44" i="75"/>
  <c r="E66" i="72"/>
  <c r="J50" i="71"/>
  <c r="R14" i="84"/>
  <c r="E90" i="72"/>
  <c r="B13" i="38"/>
  <c r="G17" i="76"/>
  <c r="J11" i="85"/>
  <c r="J22" i="85" s="1"/>
  <c r="J19" i="85"/>
  <c r="E42" i="76"/>
  <c r="C60" i="76"/>
  <c r="E45" i="75"/>
  <c r="G77" i="72"/>
  <c r="G16" i="75"/>
  <c r="D53" i="72"/>
  <c r="F104" i="72"/>
  <c r="E46" i="84"/>
  <c r="E44" i="84"/>
  <c r="F26" i="71"/>
  <c r="G33" i="72"/>
  <c r="G60" i="75"/>
  <c r="Q35" i="104"/>
  <c r="E57" i="104"/>
  <c r="R17" i="84"/>
  <c r="R21" i="84"/>
  <c r="E62" i="75"/>
  <c r="E47" i="75"/>
  <c r="G49" i="75"/>
  <c r="G18" i="75"/>
  <c r="E55" i="71"/>
  <c r="O15" i="104"/>
  <c r="Q15" i="104" s="1"/>
  <c r="D13" i="38"/>
  <c r="H90" i="72"/>
  <c r="E74" i="72"/>
  <c r="G61" i="75"/>
  <c r="C25" i="76"/>
  <c r="K31" i="84"/>
  <c r="G13" i="58" s="1"/>
  <c r="G95" i="72"/>
  <c r="G31" i="84"/>
  <c r="E52" i="75"/>
  <c r="L64" i="84"/>
  <c r="G46" i="76"/>
  <c r="D67" i="76"/>
  <c r="G62" i="76"/>
  <c r="Q47" i="104"/>
  <c r="G14" i="75"/>
  <c r="G84" i="72"/>
  <c r="G45" i="72"/>
  <c r="G81" i="72"/>
  <c r="E48" i="75"/>
  <c r="E91" i="72"/>
  <c r="E95" i="72"/>
  <c r="H89" i="72"/>
  <c r="E85" i="72"/>
  <c r="G108" i="72"/>
  <c r="G15" i="72"/>
  <c r="F64" i="84"/>
  <c r="R58" i="84"/>
  <c r="H87" i="72"/>
  <c r="G65" i="72"/>
  <c r="H64" i="72"/>
  <c r="N50" i="84"/>
  <c r="G19" i="85"/>
  <c r="G11" i="85"/>
  <c r="G22" i="85" s="1"/>
  <c r="P7" i="85"/>
  <c r="Q7" i="85"/>
  <c r="D31" i="84"/>
  <c r="I49" i="84"/>
  <c r="G17" i="75"/>
  <c r="G111" i="72"/>
  <c r="E72" i="72"/>
  <c r="G37" i="72"/>
  <c r="S50" i="71"/>
  <c r="G16" i="76"/>
  <c r="E59" i="84"/>
  <c r="G21" i="72"/>
  <c r="O19" i="85"/>
  <c r="O11" i="85"/>
  <c r="O22" i="85" s="1"/>
  <c r="E57" i="76"/>
  <c r="Y50" i="71"/>
  <c r="Q39" i="104"/>
  <c r="C14" i="47" s="1"/>
  <c r="E73" i="72"/>
  <c r="D55" i="71"/>
  <c r="G28" i="76"/>
  <c r="E44" i="75"/>
  <c r="G74" i="72"/>
  <c r="H95" i="72"/>
  <c r="G70" i="72"/>
  <c r="B18" i="50"/>
  <c r="E89" i="72"/>
  <c r="G88" i="72"/>
  <c r="J56" i="104"/>
  <c r="E12" i="84"/>
  <c r="E31" i="76"/>
  <c r="G51" i="75"/>
  <c r="D25" i="76"/>
  <c r="M64" i="84"/>
  <c r="H100" i="72"/>
  <c r="E54" i="76"/>
  <c r="G10" i="72"/>
  <c r="F60" i="76"/>
  <c r="L11" i="85"/>
  <c r="L22" i="85" s="1"/>
  <c r="L19" i="85"/>
  <c r="C50" i="71"/>
  <c r="C16" i="52"/>
  <c r="E16" i="52"/>
  <c r="D16" i="52"/>
  <c r="F16" i="52"/>
  <c r="R13" i="84"/>
  <c r="F49" i="84"/>
  <c r="R43" i="84"/>
  <c r="Q50" i="104"/>
  <c r="X50" i="71"/>
  <c r="H74" i="72"/>
  <c r="E81" i="72"/>
  <c r="R24" i="84"/>
  <c r="G29" i="72"/>
  <c r="E47" i="76"/>
  <c r="G64" i="84"/>
  <c r="E66" i="76"/>
  <c r="G21" i="76"/>
  <c r="Q36" i="104"/>
  <c r="D109" i="72"/>
  <c r="G110" i="72"/>
  <c r="I65" i="84"/>
  <c r="I62" i="84"/>
  <c r="N26" i="71"/>
  <c r="Q31" i="84"/>
  <c r="M13" i="58" s="1"/>
  <c r="I50" i="84"/>
  <c r="G69" i="72"/>
  <c r="R25" i="84"/>
  <c r="F50" i="71"/>
  <c r="F51" i="71" s="1"/>
  <c r="F25" i="76"/>
  <c r="E27" i="84"/>
  <c r="H71" i="72"/>
  <c r="E14" i="84"/>
  <c r="G98" i="72"/>
  <c r="E16" i="84"/>
  <c r="E51" i="76"/>
  <c r="G20" i="85"/>
  <c r="N49" i="84"/>
  <c r="E51" i="75"/>
  <c r="G65" i="84"/>
  <c r="G62" i="84"/>
  <c r="Q45" i="104"/>
  <c r="E87" i="72"/>
  <c r="E60" i="84"/>
  <c r="M20" i="85"/>
  <c r="R23" i="84"/>
  <c r="E65" i="72"/>
  <c r="E58" i="84"/>
  <c r="C64" i="84"/>
  <c r="AB55" i="71"/>
  <c r="Q11" i="104"/>
  <c r="H77" i="72"/>
  <c r="H103" i="72"/>
  <c r="G17" i="72"/>
  <c r="Z50" i="71"/>
  <c r="Z51" i="71" s="1"/>
  <c r="E59" i="76"/>
  <c r="G91" i="72"/>
  <c r="Q46" i="104"/>
  <c r="G50" i="84"/>
  <c r="R29" i="84"/>
  <c r="G13" i="72"/>
  <c r="G96" i="72"/>
  <c r="K20" i="85"/>
  <c r="G71" i="72"/>
  <c r="G19" i="72"/>
  <c r="E26" i="72"/>
  <c r="B30" i="47"/>
  <c r="G94" i="72"/>
  <c r="G52" i="72"/>
  <c r="AA50" i="71"/>
  <c r="D50" i="71"/>
  <c r="Q29" i="104"/>
  <c r="C35" i="47" s="1"/>
  <c r="G26" i="71"/>
  <c r="G63" i="76"/>
  <c r="R57" i="84"/>
  <c r="R60" i="84"/>
  <c r="G11" i="75"/>
  <c r="E96" i="72"/>
  <c r="E22" i="84"/>
  <c r="E63" i="76"/>
  <c r="G36" i="72"/>
  <c r="H92" i="72"/>
  <c r="L20" i="85"/>
  <c r="G76" i="72"/>
  <c r="I31" i="84"/>
  <c r="E13" i="58" s="1"/>
  <c r="R41" i="84"/>
  <c r="F50" i="84"/>
  <c r="Q64" i="84"/>
  <c r="H72" i="72"/>
  <c r="N20" i="85"/>
  <c r="H108" i="72"/>
  <c r="F53" i="72"/>
  <c r="T50" i="71"/>
  <c r="G56" i="104"/>
  <c r="G58" i="104" s="1"/>
  <c r="D26" i="71"/>
  <c r="H99" i="72"/>
  <c r="E84" i="72"/>
  <c r="E63" i="75"/>
  <c r="G106" i="72"/>
  <c r="Q48" i="104"/>
  <c r="Z55" i="71"/>
  <c r="G54" i="76"/>
  <c r="Q17" i="104"/>
  <c r="R27" i="84"/>
  <c r="I20" i="85"/>
  <c r="F31" i="76"/>
  <c r="H78" i="72"/>
  <c r="O14" i="104"/>
  <c r="G65" i="76"/>
  <c r="G44" i="76"/>
  <c r="E101" i="72"/>
  <c r="G53" i="76"/>
  <c r="O31" i="84"/>
  <c r="K13" i="58" s="1"/>
  <c r="Q32" i="104"/>
  <c r="R16" i="84"/>
  <c r="E49" i="76"/>
  <c r="H31" i="84"/>
  <c r="D13" i="58" s="1"/>
  <c r="C65" i="84"/>
  <c r="E56" i="84"/>
  <c r="C62" i="84"/>
  <c r="G30" i="72"/>
  <c r="E25" i="84"/>
  <c r="V55" i="71"/>
  <c r="B20" i="47"/>
  <c r="B43" i="52" s="1"/>
  <c r="H112" i="72"/>
  <c r="G13" i="75"/>
  <c r="H66" i="72"/>
  <c r="G24" i="72"/>
  <c r="N31" i="84"/>
  <c r="J13" i="58" s="1"/>
  <c r="N55" i="71"/>
  <c r="H26" i="71"/>
  <c r="R8" i="84"/>
  <c r="J26" i="71"/>
  <c r="G59" i="75"/>
  <c r="Q18" i="104"/>
  <c r="I64" i="84"/>
  <c r="F11" i="85"/>
  <c r="F22" i="85" s="1"/>
  <c r="F20" i="85"/>
  <c r="F21" i="85" s="1"/>
  <c r="E53" i="75"/>
  <c r="G52" i="75"/>
  <c r="G89" i="72"/>
  <c r="G42" i="75"/>
  <c r="J31" i="84"/>
  <c r="F13" i="58" s="1"/>
  <c r="L57" i="104"/>
  <c r="G45" i="75"/>
  <c r="G50" i="76"/>
  <c r="J64" i="84"/>
  <c r="G14" i="76"/>
  <c r="E64" i="76"/>
  <c r="G57" i="76"/>
  <c r="Q22" i="104"/>
  <c r="G12" i="76"/>
  <c r="Q10" i="85"/>
  <c r="D20" i="85"/>
  <c r="P10" i="85"/>
  <c r="D11" i="85"/>
  <c r="Q21" i="104"/>
  <c r="C30" i="47" s="1"/>
  <c r="B19" i="52" s="1"/>
  <c r="M26" i="71"/>
  <c r="G30" i="76"/>
  <c r="G9" i="75"/>
  <c r="H56" i="104"/>
  <c r="E50" i="75"/>
  <c r="D65" i="84"/>
  <c r="D62" i="84"/>
  <c r="B57" i="104"/>
  <c r="E41" i="75"/>
  <c r="C54" i="75"/>
  <c r="M31" i="84"/>
  <c r="I13" i="58" s="1"/>
  <c r="G53" i="75"/>
  <c r="E92" i="72"/>
  <c r="E48" i="72"/>
  <c r="E49" i="72" s="1"/>
  <c r="O20" i="85"/>
  <c r="D57" i="104"/>
  <c r="E31" i="75"/>
  <c r="G23" i="76"/>
  <c r="M57" i="104"/>
  <c r="I50" i="71"/>
  <c r="G20" i="75"/>
  <c r="E10" i="84"/>
  <c r="G47" i="76"/>
  <c r="G93" i="72"/>
  <c r="G66" i="76"/>
  <c r="G56" i="76"/>
  <c r="E107" i="72"/>
  <c r="Q31" i="104"/>
  <c r="C36" i="47" s="1"/>
  <c r="P31" i="84"/>
  <c r="L13" i="58" s="1"/>
  <c r="J57" i="104"/>
  <c r="E49" i="75"/>
  <c r="B24" i="47"/>
  <c r="B45" i="52" s="1"/>
  <c r="D45" i="52" s="1"/>
  <c r="C24" i="47"/>
  <c r="V50" i="71"/>
  <c r="V51" i="71" s="1"/>
  <c r="K57" i="104"/>
  <c r="G79" i="72"/>
  <c r="E28" i="84"/>
  <c r="Q52" i="104"/>
  <c r="E98" i="72"/>
  <c r="G38" i="72"/>
  <c r="AB50" i="71"/>
  <c r="AB51" i="71" s="1"/>
  <c r="G12" i="75"/>
  <c r="E52" i="76"/>
  <c r="S26" i="71"/>
  <c r="R26" i="71"/>
  <c r="E106" i="72"/>
  <c r="Q12" i="104"/>
  <c r="M62" i="84"/>
  <c r="M65" i="84"/>
  <c r="E94" i="72"/>
  <c r="Q28" i="104"/>
  <c r="H91" i="72"/>
  <c r="G28" i="72"/>
  <c r="I11" i="85"/>
  <c r="I22" i="85" s="1"/>
  <c r="P6" i="85"/>
  <c r="P19" i="85" s="1"/>
  <c r="I19" i="85"/>
  <c r="I21" i="85" s="1"/>
  <c r="Q6" i="85"/>
  <c r="M56" i="104"/>
  <c r="M58" i="104" s="1"/>
  <c r="G64" i="76"/>
  <c r="R20" i="84"/>
  <c r="F21" i="75"/>
  <c r="I55" i="71"/>
  <c r="G35" i="72"/>
  <c r="H50" i="71"/>
  <c r="H51" i="71" s="1"/>
  <c r="G47" i="75"/>
  <c r="J20" i="85"/>
  <c r="F67" i="76"/>
  <c r="Q42" i="104"/>
  <c r="H50" i="84"/>
  <c r="G86" i="72"/>
  <c r="H65" i="72"/>
  <c r="M19" i="85"/>
  <c r="M21" i="85" s="1"/>
  <c r="M11" i="85"/>
  <c r="M22" i="85" s="1"/>
  <c r="E21" i="75"/>
  <c r="G78" i="72"/>
  <c r="O55" i="71"/>
  <c r="E44" i="76"/>
  <c r="Q8" i="104"/>
  <c r="F109" i="72"/>
  <c r="H110" i="72"/>
  <c r="X26" i="71"/>
  <c r="G7" i="72"/>
  <c r="C26" i="72"/>
  <c r="G101" i="72"/>
  <c r="F26" i="72"/>
  <c r="H102" i="72"/>
  <c r="O26" i="71"/>
  <c r="G102" i="72"/>
  <c r="G59" i="76"/>
  <c r="B28" i="47"/>
  <c r="B49" i="52" s="1"/>
  <c r="G9" i="76"/>
  <c r="G51" i="76"/>
  <c r="G56" i="75"/>
  <c r="D64" i="75"/>
  <c r="C104" i="72"/>
  <c r="E83" i="72"/>
  <c r="S55" i="71"/>
  <c r="H57" i="104"/>
  <c r="Q38" i="104"/>
  <c r="T55" i="71"/>
  <c r="D56" i="104"/>
  <c r="D58" i="104" s="1"/>
  <c r="G50" i="75"/>
  <c r="B14" i="47"/>
  <c r="B40" i="52" s="1"/>
  <c r="Q25" i="104"/>
  <c r="B18" i="47"/>
  <c r="B42" i="52" s="1"/>
  <c r="R11" i="84"/>
  <c r="I57" i="104"/>
  <c r="U26" i="71"/>
  <c r="G42" i="76"/>
  <c r="D60" i="76"/>
  <c r="Q40" i="104"/>
  <c r="G10" i="76"/>
  <c r="E24" i="84"/>
  <c r="G23" i="72"/>
  <c r="M50" i="84"/>
  <c r="H69" i="72"/>
  <c r="L50" i="71"/>
  <c r="L51" i="71" s="1"/>
  <c r="L59" i="71" s="1"/>
  <c r="K4" i="58" s="1"/>
  <c r="Q30" i="104"/>
  <c r="Q53" i="104"/>
  <c r="M55" i="71"/>
  <c r="G20" i="72"/>
  <c r="G22" i="76"/>
  <c r="G67" i="72"/>
  <c r="Q41" i="104"/>
  <c r="K50" i="71"/>
  <c r="E17" i="84"/>
  <c r="I26" i="71"/>
  <c r="E68" i="72"/>
  <c r="H111" i="72"/>
  <c r="B10" i="52"/>
  <c r="G34" i="72"/>
  <c r="R55" i="71"/>
  <c r="E46" i="75"/>
  <c r="E56" i="104"/>
  <c r="E58" i="104" s="1"/>
  <c r="Q24" i="104"/>
  <c r="H96" i="72"/>
  <c r="H80" i="72"/>
  <c r="R18" i="84"/>
  <c r="G83" i="72"/>
  <c r="D104" i="72"/>
  <c r="G49" i="76"/>
  <c r="C31" i="76"/>
  <c r="G31" i="76" s="1"/>
  <c r="G27" i="76"/>
  <c r="D26" i="72"/>
  <c r="H73" i="72"/>
  <c r="P50" i="84"/>
  <c r="E55" i="76"/>
  <c r="R56" i="84"/>
  <c r="F65" i="84"/>
  <c r="F62" i="84"/>
  <c r="E112" i="72"/>
  <c r="E86" i="72"/>
  <c r="Q34" i="104"/>
  <c r="E60" i="75"/>
  <c r="G55" i="76"/>
  <c r="AD26" i="71"/>
  <c r="O62" i="84"/>
  <c r="O65" i="84"/>
  <c r="H64" i="84"/>
  <c r="E75" i="72"/>
  <c r="G90" i="72"/>
  <c r="C11" i="38"/>
  <c r="C13" i="38"/>
  <c r="X55" i="71"/>
  <c r="W50" i="71"/>
  <c r="W51" i="71" s="1"/>
  <c r="G52" i="76"/>
  <c r="Q37" i="104"/>
  <c r="G97" i="72"/>
  <c r="Q49" i="104"/>
  <c r="E110" i="72"/>
  <c r="F48" i="72"/>
  <c r="F49" i="72" s="1"/>
  <c r="F57" i="72" s="1"/>
  <c r="Q62" i="84"/>
  <c r="Q65" i="84"/>
  <c r="J49" i="84"/>
  <c r="T26" i="71"/>
  <c r="H62" i="84"/>
  <c r="H65" i="84"/>
  <c r="E11" i="84"/>
  <c r="G80" i="72"/>
  <c r="C8" i="57"/>
  <c r="B9" i="57"/>
  <c r="C9" i="57"/>
  <c r="D8" i="57"/>
  <c r="E10" i="57"/>
  <c r="E8" i="57"/>
  <c r="D10" i="57"/>
  <c r="E9" i="57"/>
  <c r="C10" i="57"/>
  <c r="B8" i="57"/>
  <c r="D9" i="57"/>
  <c r="B10" i="57"/>
  <c r="G43" i="75"/>
  <c r="C47" i="84"/>
  <c r="C50" i="84"/>
  <c r="E41" i="84"/>
  <c r="G43" i="76"/>
  <c r="O50" i="84"/>
  <c r="L50" i="84"/>
  <c r="H70" i="72"/>
  <c r="U55" i="71"/>
  <c r="E48" i="76"/>
  <c r="H85" i="72"/>
  <c r="N56" i="104"/>
  <c r="N58" i="104" s="1"/>
  <c r="E26" i="71"/>
  <c r="R28" i="84"/>
  <c r="Q20" i="104"/>
  <c r="K11" i="85"/>
  <c r="K22" i="85" s="1"/>
  <c r="K19" i="85"/>
  <c r="K21" i="85" s="1"/>
  <c r="E9" i="84"/>
  <c r="G32" i="72"/>
  <c r="E21" i="84"/>
  <c r="F56" i="104"/>
  <c r="F58" i="104" s="1"/>
  <c r="L56" i="104"/>
  <c r="L58" i="104" s="1"/>
  <c r="K64" i="84"/>
  <c r="H94" i="72"/>
  <c r="E71" i="72"/>
  <c r="G25" i="75"/>
  <c r="E50" i="76"/>
  <c r="E11" i="85"/>
  <c r="E22" i="85" s="1"/>
  <c r="E20" i="85"/>
  <c r="E21" i="85" s="1"/>
  <c r="R7" i="84"/>
  <c r="G68" i="72"/>
  <c r="K26" i="71"/>
  <c r="G46" i="75"/>
  <c r="G24" i="75"/>
  <c r="G8" i="72"/>
  <c r="G41" i="72"/>
  <c r="C64" i="75"/>
  <c r="E64" i="75" s="1"/>
  <c r="E56" i="75"/>
  <c r="E57" i="75"/>
  <c r="E42" i="84"/>
  <c r="D49" i="84"/>
  <c r="E58" i="75"/>
  <c r="E43" i="75"/>
  <c r="G56" i="72"/>
  <c r="G27" i="72"/>
  <c r="C48" i="72"/>
  <c r="AC55" i="71"/>
  <c r="R50" i="71"/>
  <c r="H11" i="85"/>
  <c r="H22" i="85" s="1"/>
  <c r="H19" i="85"/>
  <c r="H21" i="85" s="1"/>
  <c r="H81" i="72"/>
  <c r="K55" i="71"/>
  <c r="G48" i="76"/>
  <c r="O49" i="84"/>
  <c r="F31" i="84"/>
  <c r="B13" i="58" s="1"/>
  <c r="R6" i="84"/>
  <c r="R45" i="84"/>
  <c r="G19" i="76"/>
  <c r="G43" i="72"/>
  <c r="E43" i="76"/>
  <c r="G50" i="72"/>
  <c r="E15" i="84"/>
  <c r="G42" i="72"/>
  <c r="H68" i="72"/>
  <c r="AA55" i="71"/>
  <c r="G10" i="75"/>
  <c r="L65" i="84"/>
  <c r="L62" i="84"/>
  <c r="H76" i="72"/>
  <c r="E69" i="72"/>
  <c r="Y55" i="71"/>
  <c r="E62" i="76"/>
  <c r="C67" i="76"/>
  <c r="E67" i="76" s="1"/>
  <c r="Q26" i="104"/>
  <c r="Q50" i="84"/>
  <c r="E45" i="76"/>
  <c r="G51" i="72"/>
  <c r="E108" i="72"/>
  <c r="E56" i="76"/>
  <c r="E64" i="72"/>
  <c r="G62" i="75"/>
  <c r="E7" i="84"/>
  <c r="E79" i="72"/>
  <c r="E100" i="72"/>
  <c r="E65" i="76"/>
  <c r="G16" i="72"/>
  <c r="G23" i="75"/>
  <c r="H67" i="72"/>
  <c r="B25" i="52"/>
  <c r="E59" i="75"/>
  <c r="Q49" i="84"/>
  <c r="G44" i="72"/>
  <c r="AA26" i="71"/>
  <c r="C53" i="72"/>
  <c r="G54" i="72"/>
  <c r="R44" i="84"/>
  <c r="G39" i="72"/>
  <c r="Q19" i="104"/>
  <c r="C28" i="47" s="1"/>
  <c r="Q33" i="104"/>
  <c r="D64" i="84"/>
  <c r="M50" i="71"/>
  <c r="M51" i="71" s="1"/>
  <c r="M59" i="71" s="1"/>
  <c r="L4" i="58" s="1"/>
  <c r="G55" i="72"/>
  <c r="D31" i="75"/>
  <c r="H75" i="72"/>
  <c r="G45" i="76"/>
  <c r="H101" i="72"/>
  <c r="R26" i="84"/>
  <c r="R9" i="84"/>
  <c r="G18" i="72"/>
  <c r="K50" i="84"/>
  <c r="C41" i="47"/>
  <c r="U50" i="71"/>
  <c r="U51" i="71" s="1"/>
  <c r="E45" i="84"/>
  <c r="H84" i="72"/>
  <c r="W55" i="71"/>
  <c r="K49" i="84"/>
  <c r="Q23" i="104"/>
  <c r="C13" i="47" s="1"/>
  <c r="C26" i="71"/>
  <c r="Q9" i="104"/>
  <c r="E26" i="84"/>
  <c r="E88" i="72"/>
  <c r="E67" i="72"/>
  <c r="E97" i="72"/>
  <c r="E61" i="84"/>
  <c r="E19" i="84"/>
  <c r="C57" i="104"/>
  <c r="B27" i="47"/>
  <c r="E61" i="75"/>
  <c r="E53" i="72"/>
  <c r="E57" i="72" s="1"/>
  <c r="AC26" i="71"/>
  <c r="G29" i="75"/>
  <c r="G58" i="76"/>
  <c r="G57" i="75"/>
  <c r="N50" i="71"/>
  <c r="N51" i="71" s="1"/>
  <c r="E70" i="72"/>
  <c r="O16" i="104"/>
  <c r="Q16" i="104" s="1"/>
  <c r="D21" i="75"/>
  <c r="G12" i="72"/>
  <c r="M49" i="84"/>
  <c r="N64" i="84"/>
  <c r="Y26" i="71"/>
  <c r="E99" i="72"/>
  <c r="G13" i="76"/>
  <c r="B12" i="52"/>
  <c r="B23" i="52"/>
  <c r="G11" i="72"/>
  <c r="R19" i="84"/>
  <c r="R12" i="84"/>
  <c r="E23" i="84"/>
  <c r="G15" i="75"/>
  <c r="D54" i="75"/>
  <c r="G41" i="75"/>
  <c r="R15" i="84"/>
  <c r="B30" i="52"/>
  <c r="B5" i="52"/>
  <c r="F20" i="52"/>
  <c r="C20" i="52"/>
  <c r="E20" i="52"/>
  <c r="D20" i="52"/>
  <c r="B20" i="52"/>
  <c r="B26" i="52"/>
  <c r="D26" i="52"/>
  <c r="F26" i="52"/>
  <c r="E26" i="52"/>
  <c r="C26" i="52"/>
  <c r="G46" i="72"/>
  <c r="B7" i="52"/>
  <c r="B17" i="52"/>
  <c r="B24" i="52"/>
  <c r="B6" i="52"/>
  <c r="M48" i="104"/>
  <c r="O36" i="71"/>
  <c r="C8" i="84"/>
  <c r="B30" i="104"/>
  <c r="K21" i="71"/>
  <c r="C26" i="75"/>
  <c r="B44" i="104"/>
  <c r="C35" i="104"/>
  <c r="K39" i="71"/>
  <c r="E25" i="72"/>
  <c r="W52" i="71"/>
  <c r="N47" i="84"/>
  <c r="C111" i="72"/>
  <c r="C63" i="72"/>
  <c r="E8" i="76"/>
  <c r="R13" i="71"/>
  <c r="E40" i="72"/>
  <c r="F58" i="75"/>
  <c r="B21" i="52" l="1"/>
  <c r="H82" i="72"/>
  <c r="H58" i="75"/>
  <c r="F64" i="75"/>
  <c r="G58" i="75"/>
  <c r="G40" i="72"/>
  <c r="E25" i="76"/>
  <c r="G25" i="76" s="1"/>
  <c r="H34" i="76" s="1"/>
  <c r="G8" i="76"/>
  <c r="C82" i="72"/>
  <c r="C105" i="72" s="1"/>
  <c r="E105" i="72" s="1"/>
  <c r="E63" i="72"/>
  <c r="E111" i="72"/>
  <c r="C109" i="72"/>
  <c r="R47" i="84"/>
  <c r="G25" i="72"/>
  <c r="G26" i="75"/>
  <c r="G31" i="75" s="1"/>
  <c r="C31" i="75"/>
  <c r="E8" i="84"/>
  <c r="E31" i="84" s="1"/>
  <c r="C31" i="84"/>
  <c r="O50" i="71"/>
  <c r="O51" i="71" s="1"/>
  <c r="O59" i="71" s="1"/>
  <c r="H55" i="72"/>
  <c r="D28" i="47"/>
  <c r="C49" i="52"/>
  <c r="H8" i="72"/>
  <c r="E47" i="84"/>
  <c r="E50" i="84"/>
  <c r="G64" i="75"/>
  <c r="D49" i="52"/>
  <c r="G26" i="72"/>
  <c r="H56" i="72" s="1"/>
  <c r="H7" i="72"/>
  <c r="F32" i="75"/>
  <c r="E7" i="59" s="1"/>
  <c r="E6" i="59"/>
  <c r="H28" i="72"/>
  <c r="H58" i="104"/>
  <c r="Q20" i="85"/>
  <c r="D21" i="85"/>
  <c r="F23" i="85"/>
  <c r="D5" i="58"/>
  <c r="N59" i="71"/>
  <c r="M4" i="58" s="1"/>
  <c r="G21" i="75"/>
  <c r="O13" i="104"/>
  <c r="H36" i="72"/>
  <c r="E64" i="84"/>
  <c r="O43" i="104" s="1"/>
  <c r="Q43" i="104" s="1"/>
  <c r="C18" i="47" s="1"/>
  <c r="H29" i="72"/>
  <c r="X51" i="71"/>
  <c r="X59" i="71" s="1"/>
  <c r="L21" i="85"/>
  <c r="H10" i="72"/>
  <c r="D32" i="76"/>
  <c r="C9" i="59" s="1"/>
  <c r="C8" i="59"/>
  <c r="D14" i="47"/>
  <c r="C40" i="52"/>
  <c r="B8" i="58"/>
  <c r="O21" i="85"/>
  <c r="Q19" i="85"/>
  <c r="G21" i="85"/>
  <c r="H15" i="72"/>
  <c r="H45" i="72"/>
  <c r="E13" i="38"/>
  <c r="H33" i="72"/>
  <c r="J21" i="85"/>
  <c r="G82" i="72"/>
  <c r="C9" i="38"/>
  <c r="C12" i="38" s="1"/>
  <c r="F59" i="71"/>
  <c r="E4" i="58" s="1"/>
  <c r="AC51" i="71"/>
  <c r="AC59" i="71" s="1"/>
  <c r="H14" i="72"/>
  <c r="E49" i="84"/>
  <c r="B17" i="47"/>
  <c r="B23" i="47" s="1"/>
  <c r="B38" i="52"/>
  <c r="C55" i="52"/>
  <c r="D34" i="47"/>
  <c r="H46" i="72"/>
  <c r="B4" i="57"/>
  <c r="D32" i="75"/>
  <c r="C7" i="59" s="1"/>
  <c r="C6" i="59"/>
  <c r="H54" i="72"/>
  <c r="H44" i="72"/>
  <c r="H16" i="72"/>
  <c r="H43" i="72"/>
  <c r="R31" i="84"/>
  <c r="H32" i="72"/>
  <c r="E32" i="75"/>
  <c r="D7" i="59" s="1"/>
  <c r="F7" i="59" s="1"/>
  <c r="D6" i="59"/>
  <c r="I23" i="85"/>
  <c r="G5" i="58"/>
  <c r="R51" i="71"/>
  <c r="R59" i="71" s="1"/>
  <c r="C45" i="52"/>
  <c r="F45" i="52" s="1"/>
  <c r="D24" i="47"/>
  <c r="E24" i="47" s="1"/>
  <c r="F24" i="47" s="1"/>
  <c r="D30" i="47"/>
  <c r="C32" i="47"/>
  <c r="C51" i="52"/>
  <c r="H30" i="72"/>
  <c r="C56" i="52"/>
  <c r="AA51" i="71"/>
  <c r="AA59" i="71" s="1"/>
  <c r="B32" i="47"/>
  <c r="B51" i="52"/>
  <c r="Z59" i="71"/>
  <c r="J58" i="104"/>
  <c r="Y51" i="71"/>
  <c r="Y59" i="71" s="1"/>
  <c r="S51" i="71"/>
  <c r="S59" i="71" s="1"/>
  <c r="G67" i="76"/>
  <c r="G33" i="84"/>
  <c r="C13" i="58"/>
  <c r="N13" i="58" s="1"/>
  <c r="G104" i="72"/>
  <c r="H104" i="72"/>
  <c r="F105" i="72"/>
  <c r="H105" i="72" s="1"/>
  <c r="D10" i="38"/>
  <c r="F75" i="76"/>
  <c r="G51" i="71"/>
  <c r="G59" i="71" s="1"/>
  <c r="F4" i="58" s="1"/>
  <c r="D20" i="47"/>
  <c r="E20" i="47" s="1"/>
  <c r="F20" i="47" s="1"/>
  <c r="C43" i="52"/>
  <c r="H31" i="72"/>
  <c r="H59" i="71"/>
  <c r="G4" i="58" s="1"/>
  <c r="H98" i="72"/>
  <c r="N21" i="85"/>
  <c r="H88" i="72"/>
  <c r="H9" i="72"/>
  <c r="H47" i="72"/>
  <c r="B58" i="104"/>
  <c r="C58" i="104"/>
  <c r="AD51" i="71"/>
  <c r="AD59" i="71" s="1"/>
  <c r="B8" i="52"/>
  <c r="W59" i="71"/>
  <c r="D41" i="47"/>
  <c r="E41" i="47" s="1"/>
  <c r="F41" i="47" s="1"/>
  <c r="C62" i="52"/>
  <c r="F62" i="52" s="1"/>
  <c r="G53" i="72"/>
  <c r="H51" i="72"/>
  <c r="H42" i="72"/>
  <c r="H50" i="72"/>
  <c r="R65" i="84"/>
  <c r="T65" i="84" s="1"/>
  <c r="R62" i="84"/>
  <c r="D105" i="72"/>
  <c r="D113" i="72" s="1"/>
  <c r="C10" i="38"/>
  <c r="D40" i="52"/>
  <c r="H35" i="72"/>
  <c r="H38" i="72"/>
  <c r="C57" i="52"/>
  <c r="D36" i="47"/>
  <c r="E36" i="47" s="1"/>
  <c r="F36" i="47" s="1"/>
  <c r="E54" i="75"/>
  <c r="C65" i="75"/>
  <c r="Q11" i="85"/>
  <c r="D22" i="85"/>
  <c r="D51" i="71"/>
  <c r="H17" i="72"/>
  <c r="AB59" i="71"/>
  <c r="G109" i="72"/>
  <c r="R49" i="84"/>
  <c r="D59" i="71"/>
  <c r="C4" i="58" s="1"/>
  <c r="H37" i="72"/>
  <c r="P11" i="85"/>
  <c r="R64" i="84"/>
  <c r="C32" i="76"/>
  <c r="B8" i="59"/>
  <c r="D11" i="38"/>
  <c r="E11" i="38" s="1"/>
  <c r="E60" i="76"/>
  <c r="C68" i="76"/>
  <c r="E68" i="76" s="1"/>
  <c r="C32" i="75"/>
  <c r="B7" i="59" s="1"/>
  <c r="B6" i="59"/>
  <c r="F6" i="59" s="1"/>
  <c r="K58" i="104"/>
  <c r="D65" i="75"/>
  <c r="D68" i="75" s="1"/>
  <c r="G54" i="75"/>
  <c r="B29" i="47"/>
  <c r="B48" i="52"/>
  <c r="D13" i="47"/>
  <c r="B7" i="58" s="1"/>
  <c r="C39" i="52"/>
  <c r="C17" i="47"/>
  <c r="H39" i="72"/>
  <c r="F5" i="58"/>
  <c r="H23" i="85"/>
  <c r="C49" i="72"/>
  <c r="C57" i="72" s="1"/>
  <c r="G48" i="72"/>
  <c r="H41" i="72"/>
  <c r="E23" i="85"/>
  <c r="C5" i="58"/>
  <c r="K23" i="85"/>
  <c r="I5" i="58"/>
  <c r="U59" i="71"/>
  <c r="H34" i="72"/>
  <c r="K51" i="71"/>
  <c r="K59" i="71" s="1"/>
  <c r="J4" i="58" s="1"/>
  <c r="H20" i="72"/>
  <c r="G60" i="76"/>
  <c r="D68" i="76"/>
  <c r="B10" i="38"/>
  <c r="E104" i="72"/>
  <c r="H109" i="72"/>
  <c r="F113" i="72"/>
  <c r="M23" i="85"/>
  <c r="K5" i="58"/>
  <c r="D49" i="72"/>
  <c r="D57" i="72" s="1"/>
  <c r="I59" i="71"/>
  <c r="H4" i="58" s="1"/>
  <c r="I51" i="71"/>
  <c r="D43" i="52"/>
  <c r="V59" i="71"/>
  <c r="E62" i="84"/>
  <c r="E65" i="84"/>
  <c r="Q14" i="104"/>
  <c r="T51" i="71"/>
  <c r="T59" i="71" s="1"/>
  <c r="H52" i="72"/>
  <c r="H19" i="72"/>
  <c r="H13" i="72"/>
  <c r="F32" i="76"/>
  <c r="E9" i="59" s="1"/>
  <c r="E8" i="59"/>
  <c r="C51" i="71"/>
  <c r="C59" i="71" s="1"/>
  <c r="H70" i="76"/>
  <c r="F68" i="76"/>
  <c r="F74" i="76" s="1"/>
  <c r="B11" i="38"/>
  <c r="J51" i="71"/>
  <c r="J59" i="71" s="1"/>
  <c r="I4" i="58" s="1"/>
  <c r="E51" i="71"/>
  <c r="E59" i="71" s="1"/>
  <c r="D4" i="58" s="1"/>
  <c r="P20" i="85"/>
  <c r="P21" i="85" s="1"/>
  <c r="R50" i="84"/>
  <c r="F65" i="75"/>
  <c r="I58" i="104"/>
  <c r="H83" i="72"/>
  <c r="D9" i="38"/>
  <c r="F68" i="75"/>
  <c r="B55" i="52"/>
  <c r="R68" i="84" l="1"/>
  <c r="B33" i="47"/>
  <c r="H27" i="72"/>
  <c r="H12" i="72"/>
  <c r="AE59" i="71"/>
  <c r="H47" i="75"/>
  <c r="H43" i="75"/>
  <c r="H50" i="75"/>
  <c r="H41" i="75"/>
  <c r="H52" i="75"/>
  <c r="H51" i="75"/>
  <c r="H53" i="75"/>
  <c r="H42" i="75"/>
  <c r="H45" i="75"/>
  <c r="H44" i="75"/>
  <c r="H48" i="75"/>
  <c r="H46" i="75"/>
  <c r="H49" i="75"/>
  <c r="B50" i="52"/>
  <c r="B9" i="59"/>
  <c r="G36" i="47"/>
  <c r="H36" i="47" s="1"/>
  <c r="I36" i="47" s="1"/>
  <c r="C25" i="52"/>
  <c r="L5" i="58"/>
  <c r="N23" i="85"/>
  <c r="C4" i="57"/>
  <c r="G23" i="85"/>
  <c r="E5" i="58"/>
  <c r="E9" i="38"/>
  <c r="D12" i="38"/>
  <c r="I38" i="47"/>
  <c r="D27" i="52" s="1"/>
  <c r="C6" i="57" s="1"/>
  <c r="O38" i="47"/>
  <c r="B4" i="58"/>
  <c r="G60" i="71"/>
  <c r="H38" i="47"/>
  <c r="G38" i="47"/>
  <c r="L60" i="71"/>
  <c r="N60" i="71"/>
  <c r="D38" i="47"/>
  <c r="J60" i="71"/>
  <c r="M38" i="47"/>
  <c r="F60" i="71"/>
  <c r="O60" i="71"/>
  <c r="L38" i="47"/>
  <c r="E27" i="52" s="1"/>
  <c r="D6" i="57" s="1"/>
  <c r="M60" i="71"/>
  <c r="N38" i="47"/>
  <c r="F38" i="47"/>
  <c r="C27" i="52" s="1"/>
  <c r="B6" i="57" s="1"/>
  <c r="J38" i="47"/>
  <c r="E38" i="47"/>
  <c r="D60" i="71"/>
  <c r="K38" i="47"/>
  <c r="I60" i="71"/>
  <c r="H60" i="71"/>
  <c r="K60" i="71"/>
  <c r="E60" i="71"/>
  <c r="C75" i="76"/>
  <c r="G68" i="76"/>
  <c r="C23" i="47"/>
  <c r="G65" i="75"/>
  <c r="E65" i="75"/>
  <c r="G105" i="72"/>
  <c r="C53" i="52"/>
  <c r="P7" i="104"/>
  <c r="Q7" i="104" s="1"/>
  <c r="Q13" i="104"/>
  <c r="C27" i="47" s="1"/>
  <c r="B11" i="58"/>
  <c r="E28" i="47"/>
  <c r="D29" i="47"/>
  <c r="H11" i="72"/>
  <c r="H40" i="72"/>
  <c r="G41" i="47"/>
  <c r="H41" i="47" s="1"/>
  <c r="I41" i="47" s="1"/>
  <c r="C30" i="52"/>
  <c r="C14" i="38"/>
  <c r="C16" i="38" s="1"/>
  <c r="C15" i="38"/>
  <c r="E14" i="47"/>
  <c r="C8" i="58" s="1"/>
  <c r="J5" i="58"/>
  <c r="L23" i="85"/>
  <c r="C5" i="47"/>
  <c r="C42" i="52"/>
  <c r="D18" i="47"/>
  <c r="B9" i="52"/>
  <c r="B11" i="52" s="1"/>
  <c r="H26" i="72"/>
  <c r="B9" i="38"/>
  <c r="B12" i="38" s="1"/>
  <c r="E82" i="72"/>
  <c r="C68" i="75"/>
  <c r="H113" i="72"/>
  <c r="F116" i="72"/>
  <c r="H48" i="72"/>
  <c r="G49" i="72"/>
  <c r="H49" i="72" s="1"/>
  <c r="D39" i="52"/>
  <c r="C41" i="52"/>
  <c r="R51" i="84"/>
  <c r="R53" i="84" s="1"/>
  <c r="G20" i="47"/>
  <c r="H20" i="47" s="1"/>
  <c r="I20" i="47" s="1"/>
  <c r="C10" i="52"/>
  <c r="B17" i="59" s="1"/>
  <c r="G24" i="47"/>
  <c r="H24" i="47" s="1"/>
  <c r="I24" i="47" s="1"/>
  <c r="C12" i="52"/>
  <c r="B41" i="52"/>
  <c r="D38" i="52"/>
  <c r="D55" i="52"/>
  <c r="B3" i="38"/>
  <c r="H43" i="76"/>
  <c r="H58" i="76"/>
  <c r="H48" i="76"/>
  <c r="H52" i="76"/>
  <c r="H65" i="76"/>
  <c r="H64" i="76"/>
  <c r="H45" i="76"/>
  <c r="H42" i="76"/>
  <c r="H50" i="76"/>
  <c r="H59" i="76"/>
  <c r="H44" i="76"/>
  <c r="H56" i="76"/>
  <c r="H53" i="76"/>
  <c r="H55" i="76"/>
  <c r="H51" i="76"/>
  <c r="H54" i="76"/>
  <c r="H46" i="76"/>
  <c r="H62" i="76"/>
  <c r="H66" i="76"/>
  <c r="H63" i="76"/>
  <c r="H47" i="76"/>
  <c r="H57" i="76"/>
  <c r="H49" i="76"/>
  <c r="E13" i="47"/>
  <c r="F13" i="47" s="1"/>
  <c r="C38" i="47"/>
  <c r="G113" i="72"/>
  <c r="D75" i="76"/>
  <c r="D57" i="52"/>
  <c r="E10" i="38"/>
  <c r="B2" i="38"/>
  <c r="P13" i="58"/>
  <c r="B53" i="52"/>
  <c r="D51" i="52"/>
  <c r="E30" i="47"/>
  <c r="D32" i="47"/>
  <c r="B16" i="58"/>
  <c r="J23" i="85"/>
  <c r="H5" i="58"/>
  <c r="M5" i="58"/>
  <c r="O23" i="85"/>
  <c r="G32" i="75"/>
  <c r="Q21" i="85"/>
  <c r="B5" i="58"/>
  <c r="D23" i="85"/>
  <c r="H18" i="72"/>
  <c r="E109" i="72"/>
  <c r="C113" i="72"/>
  <c r="G114" i="72" s="1"/>
  <c r="H64" i="75"/>
  <c r="H56" i="75"/>
  <c r="H57" i="75"/>
  <c r="H62" i="75"/>
  <c r="H60" i="75"/>
  <c r="H61" i="75"/>
  <c r="H59" i="75"/>
  <c r="H63" i="75"/>
  <c r="V12" i="85"/>
  <c r="P22" i="85"/>
  <c r="P23" i="85" s="1"/>
  <c r="H53" i="72"/>
  <c r="G57" i="72"/>
  <c r="H57" i="72" s="1"/>
  <c r="E34" i="47"/>
  <c r="H26" i="75"/>
  <c r="D8" i="59"/>
  <c r="F8" i="59" s="1"/>
  <c r="E32" i="76"/>
  <c r="D9" i="59" s="1"/>
  <c r="C7" i="58" l="1"/>
  <c r="F34" i="47"/>
  <c r="H28" i="75"/>
  <c r="H9" i="75"/>
  <c r="H11" i="75"/>
  <c r="H24" i="75"/>
  <c r="H27" i="75"/>
  <c r="H20" i="75"/>
  <c r="H23" i="75"/>
  <c r="H31" i="75" s="1"/>
  <c r="H14" i="75"/>
  <c r="H8" i="75"/>
  <c r="H15" i="75"/>
  <c r="H12" i="75"/>
  <c r="H13" i="75"/>
  <c r="H19" i="75"/>
  <c r="H29" i="75"/>
  <c r="H18" i="75"/>
  <c r="H17" i="75"/>
  <c r="H16" i="75"/>
  <c r="H30" i="75"/>
  <c r="H10" i="75"/>
  <c r="H25" i="75"/>
  <c r="B4" i="38"/>
  <c r="C2" i="38" s="1"/>
  <c r="D7" i="58"/>
  <c r="G13" i="47"/>
  <c r="E7" i="58" s="1"/>
  <c r="C6" i="52"/>
  <c r="H60" i="76"/>
  <c r="B44" i="52"/>
  <c r="D41" i="52"/>
  <c r="J20" i="47"/>
  <c r="K20" i="47" s="1"/>
  <c r="L20" i="47" s="1"/>
  <c r="D10" i="52"/>
  <c r="C17" i="59" s="1"/>
  <c r="B15" i="38"/>
  <c r="B14" i="38"/>
  <c r="B16" i="38" s="1"/>
  <c r="D42" i="52"/>
  <c r="B9" i="58"/>
  <c r="N9" i="58" s="1"/>
  <c r="C29" i="47"/>
  <c r="C33" i="47" s="1"/>
  <c r="C48" i="52"/>
  <c r="B16" i="52"/>
  <c r="B18" i="52" s="1"/>
  <c r="B22" i="52" s="1"/>
  <c r="D15" i="38"/>
  <c r="E15" i="38" s="1"/>
  <c r="E12" i="38"/>
  <c r="D14" i="38"/>
  <c r="B7" i="57"/>
  <c r="B13" i="59"/>
  <c r="H54" i="75"/>
  <c r="H65" i="75" s="1"/>
  <c r="C59" i="52"/>
  <c r="B27" i="52"/>
  <c r="C39" i="47"/>
  <c r="D35" i="47"/>
  <c r="F14" i="47"/>
  <c r="D8" i="58" s="1"/>
  <c r="J41" i="47"/>
  <c r="K41" i="47" s="1"/>
  <c r="L41" i="47" s="1"/>
  <c r="D30" i="52"/>
  <c r="N4" i="58"/>
  <c r="D4" i="57"/>
  <c r="J36" i="47"/>
  <c r="K36" i="47" s="1"/>
  <c r="L36" i="47" s="1"/>
  <c r="D25" i="52"/>
  <c r="E32" i="47"/>
  <c r="F30" i="47"/>
  <c r="C16" i="58"/>
  <c r="C14" i="58" s="1"/>
  <c r="B14" i="58"/>
  <c r="C116" i="72"/>
  <c r="B38" i="47"/>
  <c r="E113" i="72"/>
  <c r="N5" i="58"/>
  <c r="Q5" i="58" s="1"/>
  <c r="D33" i="47"/>
  <c r="B54" i="52"/>
  <c r="D53" i="52"/>
  <c r="H67" i="76"/>
  <c r="J24" i="47"/>
  <c r="K24" i="47" s="1"/>
  <c r="L24" i="47" s="1"/>
  <c r="D12" i="52"/>
  <c r="F28" i="47"/>
  <c r="C11" i="58"/>
  <c r="C12" i="58" s="1"/>
  <c r="E29" i="47"/>
  <c r="E59" i="52"/>
  <c r="F27" i="52"/>
  <c r="F9" i="59"/>
  <c r="C44" i="52"/>
  <c r="E18" i="47"/>
  <c r="D5" i="47"/>
  <c r="G32" i="76"/>
  <c r="F67" i="75"/>
  <c r="E33" i="47" l="1"/>
  <c r="E6" i="57"/>
  <c r="M24" i="47"/>
  <c r="N24" i="47" s="1"/>
  <c r="O24" i="47" s="1"/>
  <c r="E12" i="52"/>
  <c r="G30" i="47"/>
  <c r="F32" i="47"/>
  <c r="D16" i="58"/>
  <c r="D14" i="58" s="1"/>
  <c r="C19" i="52"/>
  <c r="C21" i="52" s="1"/>
  <c r="C7" i="57"/>
  <c r="C13" i="59"/>
  <c r="B12" i="58"/>
  <c r="B19" i="58" s="1"/>
  <c r="B21" i="58" s="1"/>
  <c r="B5" i="57"/>
  <c r="B28" i="52"/>
  <c r="B29" i="52" s="1"/>
  <c r="B31" i="52" s="1"/>
  <c r="C3" i="38"/>
  <c r="C4" i="38" s="1"/>
  <c r="H13" i="47"/>
  <c r="F7" i="58"/>
  <c r="E14" i="38"/>
  <c r="D16" i="38"/>
  <c r="E16" i="38" s="1"/>
  <c r="F48" i="52"/>
  <c r="C50" i="52"/>
  <c r="D48" i="52"/>
  <c r="G34" i="47"/>
  <c r="C23" i="52"/>
  <c r="F18" i="47"/>
  <c r="E5" i="47"/>
  <c r="C19" i="58"/>
  <c r="M36" i="47"/>
  <c r="N36" i="47" s="1"/>
  <c r="O36" i="47" s="1"/>
  <c r="E25" i="52"/>
  <c r="G14" i="47"/>
  <c r="E8" i="58" s="1"/>
  <c r="C7" i="52"/>
  <c r="F59" i="52"/>
  <c r="C60" i="52"/>
  <c r="M20" i="47"/>
  <c r="N20" i="47" s="1"/>
  <c r="O20" i="47" s="1"/>
  <c r="E10" i="52"/>
  <c r="D17" i="59" s="1"/>
  <c r="H68" i="76"/>
  <c r="H28" i="76"/>
  <c r="H30" i="76"/>
  <c r="H18" i="76"/>
  <c r="H13" i="76"/>
  <c r="H27" i="76"/>
  <c r="H31" i="76" s="1"/>
  <c r="H16" i="76"/>
  <c r="H29" i="76"/>
  <c r="H22" i="76"/>
  <c r="H19" i="76"/>
  <c r="H21" i="76"/>
  <c r="H11" i="76"/>
  <c r="H10" i="76"/>
  <c r="H23" i="76"/>
  <c r="H12" i="76"/>
  <c r="H17" i="76"/>
  <c r="H15" i="76"/>
  <c r="H24" i="76"/>
  <c r="H14" i="76"/>
  <c r="H20" i="76"/>
  <c r="H9" i="76"/>
  <c r="H8" i="76"/>
  <c r="G28" i="47"/>
  <c r="D11" i="58"/>
  <c r="D12" i="58" s="1"/>
  <c r="D19" i="58" s="1"/>
  <c r="F29" i="47"/>
  <c r="C17" i="52"/>
  <c r="C18" i="52" s="1"/>
  <c r="B5" i="59" s="1"/>
  <c r="E35" i="47"/>
  <c r="D39" i="47"/>
  <c r="D40" i="47" s="1"/>
  <c r="C40" i="47"/>
  <c r="C42" i="47" s="1"/>
  <c r="B59" i="52"/>
  <c r="D59" i="52" s="1"/>
  <c r="B47" i="47"/>
  <c r="B35" i="47"/>
  <c r="E4" i="57"/>
  <c r="M41" i="47"/>
  <c r="N41" i="47" s="1"/>
  <c r="O41" i="47" s="1"/>
  <c r="E30" i="52"/>
  <c r="D44" i="52"/>
  <c r="H21" i="75"/>
  <c r="H32" i="75" s="1"/>
  <c r="C22" i="52" l="1"/>
  <c r="H28" i="47"/>
  <c r="E11" i="58"/>
  <c r="E12" i="58" s="1"/>
  <c r="G29" i="47"/>
  <c r="G18" i="47"/>
  <c r="F5" i="47"/>
  <c r="C9" i="52"/>
  <c r="B16" i="59" s="1"/>
  <c r="C5" i="57"/>
  <c r="B11" i="57"/>
  <c r="E57" i="52"/>
  <c r="F25" i="52"/>
  <c r="B14" i="59"/>
  <c r="I13" i="47"/>
  <c r="D12" i="47"/>
  <c r="C20" i="58"/>
  <c r="C21" i="58" s="1"/>
  <c r="E45" i="52"/>
  <c r="F12" i="52"/>
  <c r="D7" i="57"/>
  <c r="D13" i="59"/>
  <c r="B56" i="52"/>
  <c r="B39" i="47"/>
  <c r="B40" i="47" s="1"/>
  <c r="B42" i="47" s="1"/>
  <c r="E43" i="52"/>
  <c r="F10" i="52"/>
  <c r="C61" i="52"/>
  <c r="D50" i="52"/>
  <c r="C54" i="52"/>
  <c r="F33" i="47"/>
  <c r="E62" i="52"/>
  <c r="F30" i="52"/>
  <c r="H25" i="76"/>
  <c r="H32" i="76" s="1"/>
  <c r="H14" i="47"/>
  <c r="I14" i="47" s="1"/>
  <c r="F8" i="58"/>
  <c r="H34" i="47"/>
  <c r="H30" i="47"/>
  <c r="G32" i="47"/>
  <c r="G33" i="47" s="1"/>
  <c r="E16" i="58"/>
  <c r="F35" i="47"/>
  <c r="E39" i="47"/>
  <c r="E40" i="47" s="1"/>
  <c r="J13" i="47" l="1"/>
  <c r="D6" i="52"/>
  <c r="I30" i="47"/>
  <c r="F16" i="58"/>
  <c r="F14" i="58" s="1"/>
  <c r="H32" i="47"/>
  <c r="G8" i="58"/>
  <c r="J14" i="47"/>
  <c r="H8" i="58"/>
  <c r="D7" i="52"/>
  <c r="F43" i="52"/>
  <c r="G5" i="47"/>
  <c r="H18" i="47"/>
  <c r="G35" i="47"/>
  <c r="C24" i="52"/>
  <c r="F39" i="47"/>
  <c r="F40" i="47" s="1"/>
  <c r="C64" i="52"/>
  <c r="D17" i="47"/>
  <c r="D23" i="47" s="1"/>
  <c r="D42" i="47" s="1"/>
  <c r="D43" i="47" s="1"/>
  <c r="B22" i="58"/>
  <c r="D5" i="57"/>
  <c r="C11" i="57"/>
  <c r="E14" i="58"/>
  <c r="E19" i="58" s="1"/>
  <c r="I34" i="47"/>
  <c r="D54" i="52"/>
  <c r="D20" i="58"/>
  <c r="D21" i="58" s="1"/>
  <c r="E12" i="47"/>
  <c r="D56" i="52"/>
  <c r="B60" i="52"/>
  <c r="E7" i="57"/>
  <c r="E13" i="59"/>
  <c r="F13" i="59" s="1"/>
  <c r="E17" i="59"/>
  <c r="F17" i="59" s="1"/>
  <c r="G7" i="58"/>
  <c r="F57" i="52"/>
  <c r="F11" i="58"/>
  <c r="F12" i="58" s="1"/>
  <c r="H29" i="47"/>
  <c r="I28" i="47"/>
  <c r="J34" i="47" l="1"/>
  <c r="D23" i="52"/>
  <c r="E5" i="57"/>
  <c r="E11" i="57" s="1"/>
  <c r="D11" i="57"/>
  <c r="H5" i="47"/>
  <c r="I18" i="47"/>
  <c r="B15" i="59"/>
  <c r="C28" i="52"/>
  <c r="K13" i="47"/>
  <c r="I7" i="58"/>
  <c r="F19" i="58"/>
  <c r="C22" i="58"/>
  <c r="E17" i="47"/>
  <c r="E23" i="47" s="1"/>
  <c r="E42" i="47" s="1"/>
  <c r="E43" i="47" s="1"/>
  <c r="H35" i="47"/>
  <c r="G39" i="47"/>
  <c r="G40" i="47" s="1"/>
  <c r="K14" i="47"/>
  <c r="I8" i="58" s="1"/>
  <c r="G16" i="58"/>
  <c r="I32" i="47"/>
  <c r="J30" i="47"/>
  <c r="D19" i="52"/>
  <c r="D21" i="52" s="1"/>
  <c r="F12" i="47"/>
  <c r="E20" i="58"/>
  <c r="E21" i="58" s="1"/>
  <c r="J28" i="47"/>
  <c r="I29" i="47"/>
  <c r="G11" i="58"/>
  <c r="G12" i="58" s="1"/>
  <c r="D17" i="52"/>
  <c r="D18" i="52" s="1"/>
  <c r="C5" i="59" s="1"/>
  <c r="D60" i="52"/>
  <c r="B61" i="52"/>
  <c r="H33" i="47"/>
  <c r="H7" i="58"/>
  <c r="D22" i="52" l="1"/>
  <c r="D22" i="58"/>
  <c r="F17" i="47"/>
  <c r="F23" i="47" s="1"/>
  <c r="F42" i="47" s="1"/>
  <c r="F43" i="47" s="1"/>
  <c r="C5" i="52"/>
  <c r="C8" i="52" s="1"/>
  <c r="G14" i="58"/>
  <c r="G19" i="58" s="1"/>
  <c r="I35" i="47"/>
  <c r="H39" i="47"/>
  <c r="H40" i="47" s="1"/>
  <c r="J18" i="47"/>
  <c r="I5" i="47"/>
  <c r="D9" i="52"/>
  <c r="C16" i="59" s="1"/>
  <c r="K28" i="47"/>
  <c r="J29" i="47"/>
  <c r="H11" i="58"/>
  <c r="H12" i="58" s="1"/>
  <c r="H19" i="58" s="1"/>
  <c r="J32" i="47"/>
  <c r="K30" i="47"/>
  <c r="H16" i="58"/>
  <c r="H14" i="58" s="1"/>
  <c r="B13" i="57"/>
  <c r="B14" i="57" s="1"/>
  <c r="C29" i="52"/>
  <c r="K34" i="47"/>
  <c r="G12" i="47"/>
  <c r="F20" i="58"/>
  <c r="F21" i="58" s="1"/>
  <c r="I33" i="47"/>
  <c r="C14" i="59"/>
  <c r="D61" i="52"/>
  <c r="B64" i="52"/>
  <c r="L14" i="47"/>
  <c r="J8" i="58" s="1"/>
  <c r="L13" i="47"/>
  <c r="J7" i="58" s="1"/>
  <c r="J33" i="47" l="1"/>
  <c r="H12" i="47"/>
  <c r="G20" i="58"/>
  <c r="G21" i="58" s="1"/>
  <c r="L30" i="47"/>
  <c r="K32" i="47"/>
  <c r="I16" i="58"/>
  <c r="I14" i="58" s="1"/>
  <c r="E22" i="58"/>
  <c r="G17" i="47"/>
  <c r="G23" i="47" s="1"/>
  <c r="G42" i="47" s="1"/>
  <c r="G43" i="47" s="1"/>
  <c r="K7" i="58"/>
  <c r="M13" i="47"/>
  <c r="E6" i="52"/>
  <c r="J5" i="47"/>
  <c r="K18" i="47"/>
  <c r="B4" i="59"/>
  <c r="C11" i="52"/>
  <c r="B18" i="59" s="1"/>
  <c r="J35" i="47"/>
  <c r="D24" i="52"/>
  <c r="I39" i="47"/>
  <c r="I40" i="47" s="1"/>
  <c r="L34" i="47"/>
  <c r="I11" i="58"/>
  <c r="I12" i="58" s="1"/>
  <c r="I19" i="58" s="1"/>
  <c r="K29" i="47"/>
  <c r="L28" i="47"/>
  <c r="M14" i="47"/>
  <c r="N14" i="47" s="1"/>
  <c r="E7" i="52"/>
  <c r="K8" i="58" l="1"/>
  <c r="C31" i="52"/>
  <c r="C15" i="59"/>
  <c r="D28" i="52"/>
  <c r="K5" i="47"/>
  <c r="L18" i="47"/>
  <c r="K33" i="47"/>
  <c r="L29" i="47"/>
  <c r="J11" i="58"/>
  <c r="J12" i="58" s="1"/>
  <c r="M28" i="47"/>
  <c r="E17" i="52"/>
  <c r="E18" i="52" s="1"/>
  <c r="D5" i="59" s="1"/>
  <c r="M34" i="47"/>
  <c r="E23" i="52"/>
  <c r="L8" i="58"/>
  <c r="O14" i="47"/>
  <c r="M8" i="58" s="1"/>
  <c r="K35" i="47"/>
  <c r="J39" i="47"/>
  <c r="J40" i="47" s="1"/>
  <c r="L32" i="47"/>
  <c r="L33" i="47" s="1"/>
  <c r="J16" i="58"/>
  <c r="J14" i="58" s="1"/>
  <c r="M30" i="47"/>
  <c r="E19" i="52"/>
  <c r="E21" i="52" s="1"/>
  <c r="H20" i="58"/>
  <c r="H21" i="58" s="1"/>
  <c r="I12" i="47"/>
  <c r="N13" i="47"/>
  <c r="H17" i="47"/>
  <c r="H23" i="47" s="1"/>
  <c r="H42" i="47" s="1"/>
  <c r="H43" i="47" s="1"/>
  <c r="F22" i="58"/>
  <c r="E22" i="52" l="1"/>
  <c r="O13" i="47"/>
  <c r="M7" i="58"/>
  <c r="K16" i="58"/>
  <c r="K14" i="58" s="1"/>
  <c r="N30" i="47"/>
  <c r="M32" i="47"/>
  <c r="N8" i="58"/>
  <c r="J19" i="58"/>
  <c r="L5" i="47"/>
  <c r="M18" i="47"/>
  <c r="E9" i="52"/>
  <c r="D16" i="59" s="1"/>
  <c r="L7" i="58"/>
  <c r="L35" i="47"/>
  <c r="K39" i="47"/>
  <c r="K40" i="47" s="1"/>
  <c r="G22" i="58"/>
  <c r="I17" i="47"/>
  <c r="I23" i="47" s="1"/>
  <c r="I42" i="47" s="1"/>
  <c r="I43" i="47" s="1"/>
  <c r="D5" i="52"/>
  <c r="D8" i="52" s="1"/>
  <c r="I20" i="58"/>
  <c r="I21" i="58" s="1"/>
  <c r="J12" i="47"/>
  <c r="E40" i="52"/>
  <c r="F7" i="52"/>
  <c r="N34" i="47"/>
  <c r="C13" i="57"/>
  <c r="C14" i="57" s="1"/>
  <c r="D29" i="52"/>
  <c r="D14" i="59"/>
  <c r="M29" i="47"/>
  <c r="K11" i="58"/>
  <c r="K12" i="58" s="1"/>
  <c r="K19" i="58" s="1"/>
  <c r="N28" i="47"/>
  <c r="F40" i="52" l="1"/>
  <c r="O30" i="47"/>
  <c r="N32" i="47"/>
  <c r="L16" i="58"/>
  <c r="L14" i="58" s="1"/>
  <c r="L11" i="58"/>
  <c r="L12" i="58" s="1"/>
  <c r="L19" i="58" s="1"/>
  <c r="N29" i="47"/>
  <c r="O28" i="47"/>
  <c r="O34" i="47"/>
  <c r="J20" i="58"/>
  <c r="J21" i="58" s="1"/>
  <c r="K12" i="47"/>
  <c r="J17" i="47"/>
  <c r="J23" i="47" s="1"/>
  <c r="J42" i="47" s="1"/>
  <c r="J43" i="47" s="1"/>
  <c r="H22" i="58"/>
  <c r="N7" i="58"/>
  <c r="D11" i="52"/>
  <c r="C18" i="59" s="1"/>
  <c r="C4" i="59"/>
  <c r="M35" i="47"/>
  <c r="E24" i="52"/>
  <c r="L39" i="47"/>
  <c r="L40" i="47" s="1"/>
  <c r="N18" i="47"/>
  <c r="M5" i="47"/>
  <c r="M33" i="47"/>
  <c r="E39" i="52"/>
  <c r="F6" i="52"/>
  <c r="O18" i="47" l="1"/>
  <c r="N5" i="47"/>
  <c r="L12" i="47"/>
  <c r="K20" i="58"/>
  <c r="K21" i="58" s="1"/>
  <c r="E51" i="52"/>
  <c r="O32" i="47"/>
  <c r="M16" i="58"/>
  <c r="F19" i="52"/>
  <c r="D15" i="59"/>
  <c r="E28" i="52"/>
  <c r="D31" i="52"/>
  <c r="E55" i="52"/>
  <c r="F23" i="52"/>
  <c r="F39" i="52"/>
  <c r="N35" i="47"/>
  <c r="M39" i="47"/>
  <c r="M40" i="47" s="1"/>
  <c r="K17" i="47"/>
  <c r="K23" i="47" s="1"/>
  <c r="K42" i="47" s="1"/>
  <c r="K43" i="47" s="1"/>
  <c r="I22" i="58"/>
  <c r="M11" i="58"/>
  <c r="E49" i="52"/>
  <c r="O29" i="47"/>
  <c r="F17" i="52"/>
  <c r="N33" i="47"/>
  <c r="F55" i="52" l="1"/>
  <c r="M14" i="58"/>
  <c r="N14" i="58" s="1"/>
  <c r="N16" i="58"/>
  <c r="L17" i="47"/>
  <c r="L23" i="47" s="1"/>
  <c r="L42" i="47" s="1"/>
  <c r="L43" i="47" s="1"/>
  <c r="J22" i="58"/>
  <c r="E5" i="52"/>
  <c r="E8" i="52" s="1"/>
  <c r="E14" i="59"/>
  <c r="F14" i="59" s="1"/>
  <c r="D13" i="57"/>
  <c r="D14" i="57" s="1"/>
  <c r="E29" i="52"/>
  <c r="O33" i="47"/>
  <c r="F18" i="52"/>
  <c r="E50" i="52"/>
  <c r="F49" i="52"/>
  <c r="N11" i="58"/>
  <c r="N12" i="58" s="1"/>
  <c r="P12" i="58" s="1"/>
  <c r="M12" i="58"/>
  <c r="M19" i="58" s="1"/>
  <c r="O35" i="47"/>
  <c r="N39" i="47"/>
  <c r="N40" i="47" s="1"/>
  <c r="E53" i="52"/>
  <c r="F51" i="52"/>
  <c r="O5" i="47"/>
  <c r="P5" i="47" s="1"/>
  <c r="Q5" i="47" s="1"/>
  <c r="E42" i="52"/>
  <c r="F9" i="52"/>
  <c r="F21" i="52"/>
  <c r="M12" i="47"/>
  <c r="L20" i="58"/>
  <c r="L21" i="58" s="1"/>
  <c r="E11" i="52" l="1"/>
  <c r="D18" i="59" s="1"/>
  <c r="D4" i="59"/>
  <c r="N19" i="58"/>
  <c r="N12" i="47"/>
  <c r="M20" i="58"/>
  <c r="K22" i="58"/>
  <c r="M17" i="47"/>
  <c r="M23" i="47" s="1"/>
  <c r="M42" i="47" s="1"/>
  <c r="M43" i="47" s="1"/>
  <c r="F42" i="52"/>
  <c r="E54" i="52"/>
  <c r="F53" i="52"/>
  <c r="E5" i="59"/>
  <c r="F5" i="59" s="1"/>
  <c r="Q6" i="47"/>
  <c r="R5" i="47"/>
  <c r="R6" i="47" s="1"/>
  <c r="F22" i="52"/>
  <c r="E56" i="52"/>
  <c r="F24" i="52"/>
  <c r="O39" i="47"/>
  <c r="O40" i="47" s="1"/>
  <c r="E16" i="59"/>
  <c r="F16" i="59" s="1"/>
  <c r="M21" i="58"/>
  <c r="O12" i="47" s="1"/>
  <c r="F50" i="52"/>
  <c r="E31" i="52"/>
  <c r="E38" i="52" l="1"/>
  <c r="M22" i="58"/>
  <c r="O17" i="47"/>
  <c r="O23" i="47" s="1"/>
  <c r="O42" i="47" s="1"/>
  <c r="F5" i="52"/>
  <c r="L22" i="58"/>
  <c r="N17" i="47"/>
  <c r="N23" i="47" s="1"/>
  <c r="N42" i="47" s="1"/>
  <c r="N43" i="47" s="1"/>
  <c r="E15" i="59"/>
  <c r="F15" i="59" s="1"/>
  <c r="F28" i="52"/>
  <c r="F29" i="52" s="1"/>
  <c r="G24" i="52" s="1"/>
  <c r="F56" i="52"/>
  <c r="E60" i="52"/>
  <c r="P19" i="58"/>
  <c r="N21" i="58"/>
  <c r="F54" i="52"/>
  <c r="O43" i="47" l="1"/>
  <c r="F8" i="52"/>
  <c r="F60" i="52"/>
  <c r="E61" i="52"/>
  <c r="G60" i="52" s="1"/>
  <c r="P21" i="58"/>
  <c r="K26" i="58"/>
  <c r="G22" i="52"/>
  <c r="G29" i="52"/>
  <c r="G16" i="52"/>
  <c r="G20" i="52"/>
  <c r="G26" i="52"/>
  <c r="G27" i="52"/>
  <c r="G25" i="52"/>
  <c r="G23" i="52"/>
  <c r="G17" i="52"/>
  <c r="G19" i="52"/>
  <c r="G18" i="52"/>
  <c r="G21" i="52"/>
  <c r="E13" i="57"/>
  <c r="E14" i="57" s="1"/>
  <c r="G28" i="52"/>
  <c r="E41" i="52"/>
  <c r="F38" i="52"/>
  <c r="E44" i="52" l="1"/>
  <c r="G41" i="52"/>
  <c r="F41" i="52"/>
  <c r="G61" i="52"/>
  <c r="G52" i="52"/>
  <c r="G48" i="52"/>
  <c r="G58" i="52"/>
  <c r="G59" i="52"/>
  <c r="G57" i="52"/>
  <c r="G62" i="52"/>
  <c r="F61" i="52"/>
  <c r="G51" i="52"/>
  <c r="G55" i="52"/>
  <c r="G49" i="52"/>
  <c r="G50" i="52"/>
  <c r="G53" i="52"/>
  <c r="G56" i="52"/>
  <c r="G54" i="52"/>
  <c r="F11" i="52"/>
  <c r="E4" i="59"/>
  <c r="F4" i="59" s="1"/>
  <c r="G11" i="52" l="1"/>
  <c r="E18" i="59"/>
  <c r="F18" i="59" s="1"/>
  <c r="G10" i="52"/>
  <c r="G7" i="52"/>
  <c r="G6" i="52"/>
  <c r="G9" i="52"/>
  <c r="G5" i="52"/>
  <c r="F31" i="52"/>
  <c r="G8" i="52"/>
  <c r="G44" i="52"/>
  <c r="G64" i="52" s="1"/>
  <c r="E64" i="52"/>
  <c r="F44" i="52"/>
  <c r="G43" i="52"/>
  <c r="G45" i="52"/>
  <c r="G40" i="52"/>
  <c r="G39" i="52"/>
  <c r="G42" i="52"/>
  <c r="G3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Sazdova - Doneva</author>
  </authors>
  <commentList>
    <comment ref="C14" authorId="0" shapeId="0" xr:uid="{00000000-0006-0000-0600-000001000000}">
      <text>
        <r>
          <rPr>
            <b/>
            <sz val="9"/>
            <color indexed="81"/>
            <rFont val="Tahoma"/>
            <family val="2"/>
            <charset val="204"/>
          </rPr>
          <t>Angela Sazdova - Doneva:</t>
        </r>
        <r>
          <rPr>
            <sz val="9"/>
            <color indexed="81"/>
            <rFont val="Tahoma"/>
            <family val="2"/>
            <charset val="204"/>
          </rPr>
          <t xml:space="preserve">
oktomvriski iznosi *2</t>
        </r>
      </text>
    </comment>
    <comment ref="C15" authorId="0" shapeId="0" xr:uid="{00000000-0006-0000-0600-000002000000}">
      <text>
        <r>
          <rPr>
            <b/>
            <sz val="9"/>
            <color indexed="81"/>
            <rFont val="Tahoma"/>
            <family val="2"/>
            <charset val="204"/>
          </rPr>
          <t xml:space="preserve">Angela Sazdova - Doneva:iznosot e zemen od planirano ostaverno oktomvri (posledno saldo ) materijalni nematerijalni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Angela Sazdova - Doneva</author>
  </authors>
  <commentList>
    <comment ref="A13" authorId="0" shapeId="0" xr:uid="{00000000-0006-0000-0A00-000001000000}">
      <text>
        <r>
          <rPr>
            <b/>
            <sz val="9"/>
            <color indexed="81"/>
            <rFont val="Tahoma"/>
            <family val="2"/>
            <charset val="204"/>
          </rPr>
          <t>Angela Sazdova - Doneva:</t>
        </r>
        <r>
          <rPr>
            <sz val="9"/>
            <color indexed="81"/>
            <rFont val="Tahoma"/>
            <family val="2"/>
            <charset val="204"/>
          </rPr>
          <t xml:space="preserve">
ovie se vnesuvaat racko direktno vo formulata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Angela Sazdova - Doneva</author>
  </authors>
  <commentList>
    <comment ref="P7" authorId="0" shapeId="0" xr:uid="{00000000-0006-0000-0C00-000001000000}">
      <text>
        <r>
          <rPr>
            <b/>
            <sz val="9"/>
            <color indexed="81"/>
            <rFont val="Tahoma"/>
            <family val="2"/>
            <charset val="204"/>
          </rPr>
          <t>Angela Sazdova - Doneva:</t>
        </r>
        <r>
          <rPr>
            <sz val="9"/>
            <color indexed="81"/>
            <rFont val="Tahoma"/>
            <family val="2"/>
            <charset val="204"/>
          </rPr>
          <t xml:space="preserve">
ne znam od kaj doagja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04" refreshedVersion="0" background="1">
    <extLst>
      <ext xmlns:x15="http://schemas.microsoft.com/office/spreadsheetml/2010/11/main" uri="{DE250136-89BD-433C-8126-D09CA5730AF9}">
        <x15:connection id="Calendar"/>
      </ext>
    </extLst>
  </connection>
  <connection id="2" xr16:uid="{00000000-0015-0000-FFFF-FFFF01000000}" name="Query - Amortizacija" description="Connection to the 'Amortizacija' query in the workbook." type="100" refreshedVersion="6" minRefreshableVersion="5">
    <extLst>
      <ext xmlns:x15="http://schemas.microsoft.com/office/spreadsheetml/2010/11/main" uri="{DE250136-89BD-433C-8126-D09CA5730AF9}">
        <x15:connection id="a7eab882-08ae-45c9-8d26-ffcb388fe7b2"/>
      </ext>
    </extLst>
  </connection>
  <connection id="3" xr16:uid="{00000000-0015-0000-FFFF-FFFF02000000}" name="Query - CAPEX" description="Connection to the 'CAPEX' query in the workbook." type="100" refreshedVersion="6" minRefreshableVersion="5">
    <extLst>
      <ext xmlns:x15="http://schemas.microsoft.com/office/spreadsheetml/2010/11/main" uri="{DE250136-89BD-433C-8126-D09CA5730AF9}">
        <x15:connection id="b6f96daa-cbfe-4c60-b10d-04f5bac41db1"/>
      </ext>
    </extLst>
  </connection>
  <connection id="4" xr16:uid="{00000000-0015-0000-FFFF-FFFF03000000}" keepAlive="1" name="Query - CAPEX-JN" description="Connection to the 'CAPEX-JN' query in the workbook." type="5" refreshedVersion="6" background="1" saveData="1">
    <dbPr connection="Provider=Microsoft.Mashup.OleDb.1;Data Source=$Workbook$;Location=CAPEX-JN;Extended Properties=&quot;&quot;" command="SELECT * FROM [CAPEX-JN]"/>
  </connection>
  <connection id="5" xr16:uid="{00000000-0015-0000-FFFF-FFFF04000000}" keepAlive="1" name="Query - dMapping" description="Connection to the 'dMapping' query in the workbook." type="5" refreshedVersion="0" background="1">
    <dbPr connection="provider=Microsoft.Mashup.OleDb.1;data source=$Workbook$;location=dMapping;extended properties=" command="SELECT * FROM [dMapping]"/>
  </connection>
  <connection id="6" xr16:uid="{00000000-0015-0000-FFFF-FFFF05000000}" keepAlive="1" name="Query - dObrasci" description="Connection to the 'dObrasci' query in the workbook." type="5" refreshedVersion="0" background="1">
    <dbPr connection="provider=Microsoft.Mashup.OleDb.1;data source=$Workbook$;location=dObrasci;extended properties=" command="SELECT * FROM [dObrasci]"/>
  </connection>
  <connection id="7" xr16:uid="{00000000-0015-0000-FFFF-FFFF06000000}" keepAlive="1" name="Query - dStavki" description="Connection to the 'dStavki' query in the workbook." type="5" refreshedVersion="0" background="1">
    <dbPr connection="provider=Microsoft.Mashup.OleDb.1;data source=$Workbook$;location=dStavki;extended properties=" command="SELECT * FROM [dStavki]"/>
  </connection>
  <connection id="8" xr16:uid="{00000000-0015-0000-FFFF-FFFF07000000}" name="Query - fActual" description="Connection to the 'fActual' query in the workbook." type="5" refreshedVersion="0" background="1">
    <dbPr connection="provider=Microsoft.Mashup.OleDb.1;data source=$Workbook$;location=fActual;extended properties=" command="SELECT * FROM [fActual]"/>
  </connection>
  <connection id="9" xr16:uid="{00000000-0015-0000-FFFF-FFFF08000000}" name="Query - fActualAndBudget" description="Connection to the 'fActualAndBudget' query in the workbook." type="100" refreshedVersion="6" minRefreshableVersion="5">
    <extLst>
      <ext xmlns:x15="http://schemas.microsoft.com/office/spreadsheetml/2010/11/main" uri="{DE250136-89BD-433C-8126-D09CA5730AF9}">
        <x15:connection id="a1572fff-5f80-4cfd-b7e6-e81d6db9629f"/>
      </ext>
    </extLst>
  </connection>
  <connection id="10" xr16:uid="{00000000-0015-0000-FFFF-FFFF09000000}" name="Query - fArtikliCeni" description="Connection to the 'fArtikliCeni' query in the workbook." type="100" refreshedVersion="6" minRefreshableVersion="5">
    <extLst>
      <ext xmlns:x15="http://schemas.microsoft.com/office/spreadsheetml/2010/11/main" uri="{DE250136-89BD-433C-8126-D09CA5730AF9}">
        <x15:connection id="7771cd8f-740b-4305-9b1f-477fdb8c6bde"/>
      </ext>
    </extLst>
  </connection>
  <connection id="11" xr16:uid="{00000000-0015-0000-FFFF-FFFF0A000000}" name="Query - fCoveckiResursi" description="Connection to the 'fCoveckiResursi' query in the workbook." type="100" refreshedVersion="6" minRefreshableVersion="5">
    <extLst>
      <ext xmlns:x15="http://schemas.microsoft.com/office/spreadsheetml/2010/11/main" uri="{DE250136-89BD-433C-8126-D09CA5730AF9}">
        <x15:connection id="d6fc051c-c6a8-4ab1-9d19-e9b88a86860a"/>
      </ext>
    </extLst>
  </connection>
  <connection id="12" xr16:uid="{00000000-0015-0000-FFFF-FFFF0B000000}" keepAlive="1" name="Query - fCoveckiResursi (2)" description="Connection to the 'fCoveckiResursi (2)' query in the workbook." type="5" refreshedVersion="0" background="1">
    <dbPr connection="provider=Microsoft.Mashup.OleDb.1;data source=$Workbook$;location=&quot;fCoveckiResursi (2)&quot;;extended properties=" command="SELECT * FROM [fCoveckiResursi (2)]"/>
  </connection>
  <connection id="13" xr16:uid="{00000000-0015-0000-FFFF-FFFF0C000000}" keepAlive="1" name="Query - fCoveckiResursi -ЈН" description="Connection to the 'fCoveckiResursi -ЈН' query in the workbook." type="5" refreshedVersion="6" background="1" saveData="1">
    <dbPr connection="Provider=Microsoft.Mashup.OleDb.1;Data Source=$Workbook$;Location=fCoveckiResursi -ЈН;Extended Properties=&quot;&quot;" command="SELECT * FROM [fCoveckiResursi -ЈН]"/>
  </connection>
  <connection id="14" xr16:uid="{00000000-0015-0000-FFFF-FFFF0D000000}" name="Query - fOPEX" description="Connection to the 'fOPEX' query in the workbook." type="100" refreshedVersion="6" minRefreshableVersion="5">
    <extLst>
      <ext xmlns:x15="http://schemas.microsoft.com/office/spreadsheetml/2010/11/main" uri="{DE250136-89BD-433C-8126-D09CA5730AF9}">
        <x15:connection id="827d82be-9d19-4a92-91d6-ceb73977e87c"/>
      </ext>
    </extLst>
  </connection>
  <connection id="15" xr16:uid="{00000000-0015-0000-FFFF-FFFF0E000000}" name="Query - fOPEX - ЈН" description="Connection to the 'fOPEX - ЈН' query in the workbook." type="100" refreshedVersion="6" minRefreshableVersion="5">
    <extLst>
      <ext xmlns:x15="http://schemas.microsoft.com/office/spreadsheetml/2010/11/main" uri="{DE250136-89BD-433C-8126-D09CA5730AF9}">
        <x15:connection id="64cb55d7-8ef6-4a0b-9126-45ffec6c4a5e"/>
      </ext>
    </extLst>
  </connection>
  <connection id="16" xr16:uid="{00000000-0015-0000-FFFF-FFFF0F000000}" keepAlive="1" name="Query - fPrihodiOstanati" description="Connection to the 'fPrihodiOstanati' query in the workbook." type="5" refreshedVersion="0" background="1">
    <dbPr connection="provider=Microsoft.Mashup.OleDb.1;data source=$Workbook$;location=fPrihodiOstanati;extended properties=" command="SELECT * FROM [fPrihodiOstanati]"/>
  </connection>
  <connection id="17" xr16:uid="{00000000-0015-0000-FFFF-FFFF10000000}" keepAlive="1" name="Query - fPrihodiRashodiFinPlan" description="Connection to the 'fPrihodiRashodiFinPlan' query in the workbook." type="5" refreshedVersion="6">
    <dbPr connection="provider=Microsoft.Mashup.OleDb.1;data source=$Workbook$;location=fPrihodiRashodiFinPlan;extended properties=" command="SELECT * FROM [fPrihodiRashodiFinPlan]"/>
  </connection>
  <connection id="18" xr16:uid="{00000000-0015-0000-FFFF-FFFF11000000}" keepAlive="1" name="Query - fPrihodiRegistri" description="Connection to the 'fPrihodiRegistri' query in the workbook." type="5" refreshedVersion="0" background="1">
    <dbPr connection="provider=Microsoft.Mashup.OleDb.1;data source=$Workbook$;location=fPrihodiRegistri;extended properties=" command="SELECT * FROM [fPrihodiRegistri]"/>
  </connection>
  <connection id="19" xr16:uid="{00000000-0015-0000-FFFF-FFFF12000000}" keepAlive="1" name="Query - fVkupniPrihodiFinPlan" description="Connection to the 'fVkupniPrihodiFinPlan' query in the workbook." type="5" refreshedVersion="0" background="1">
    <dbPr connection="provider=Microsoft.Mashup.OleDb.1;data source=$Workbook$;location=fVkupniPrihodiFinPlan;extended properties=" command="SELECT * FROM [fVkupniPrihodiFinPlan]"/>
  </connection>
  <connection id="20" xr16:uid="{00000000-0015-0000-FFFF-FFFF13000000}" keepAlive="1" name="Query - fVkupniRashodiFinPlan" description="Connection to the 'fVkupniRashodiFinPlan' query in the workbook." type="5" refreshedVersion="0" background="1">
    <dbPr connection="provider=Microsoft.Mashup.OleDb.1;data source=$Workbook$;location=fVkupniRashodiFinPlan;extended properties=" command="SELECT * FROM [fVkupniRashodiFinPlan]"/>
  </connection>
  <connection id="21" xr16:uid="{00000000-0015-0000-FFFF-FFFF14000000}" keepAlive="1" name="Query - Javni nabavki" description="Connection to the 'Javni nabavki' query in the workbook." type="5" refreshedVersion="6" background="1" saveData="1">
    <dbPr connection="Provider=Microsoft.Mashup.OleDb.1;Data Source=$Workbook$;Location=Javni nabavki;Extended Properties=&quot;&quot;" command="SELECT * FROM [Javni nabavki]"/>
  </connection>
  <connection id="22" xr16:uid="{00000000-0015-0000-FFFF-FFFF15000000}" name="Query - OPEXAnaliza" description="Connection to the 'OPEXAnaliza' query in the workbook." type="100" refreshedVersion="6" minRefreshableVersion="5">
    <extLst>
      <ext xmlns:x15="http://schemas.microsoft.com/office/spreadsheetml/2010/11/main" uri="{DE250136-89BD-433C-8126-D09CA5730AF9}">
        <x15:connection id="a1c0a956-aeb8-4c36-845f-a49b4da2b9a6"/>
      </ext>
    </extLst>
  </connection>
  <connection id="23" xr16:uid="{00000000-0015-0000-FFFF-FFFF16000000}" name="Query - rArtikli_HR_Analiza" description="Connection to the 'rArtikli_HR_Analiza' query in the workbook." type="100" refreshedVersion="6" minRefreshableVersion="5">
    <extLst>
      <ext xmlns:x15="http://schemas.microsoft.com/office/spreadsheetml/2010/11/main" uri="{DE250136-89BD-433C-8126-D09CA5730AF9}">
        <x15:connection id="b2ccfd40-7587-4567-9b29-c8b217cd9499"/>
      </ext>
    </extLst>
  </connection>
  <connection id="24" xr16:uid="{00000000-0015-0000-FFFF-FFFF17000000}" name="Query - rArtikliAnaliza" description="Connection to the 'rArtikliAnaliza' query in the workbook." type="100" refreshedVersion="6" minRefreshableVersion="5">
    <extLst>
      <ext xmlns:x15="http://schemas.microsoft.com/office/spreadsheetml/2010/11/main" uri="{DE250136-89BD-433C-8126-D09CA5730AF9}">
        <x15:connection id="f5cff6c5-04de-4dd7-bdad-2f9bbb05f5ed"/>
      </ext>
    </extLst>
  </connection>
  <connection id="25" xr16:uid="{00000000-0015-0000-FFFF-FFFF18000000}"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6" xr16:uid="{00000000-0015-0000-FFFF-FFFF19000000}" keepAlive="1" name="ThisWorkbookDataModel1" description="Data Model" type="5" refreshedVersion="5" minRefreshableVersion="5" background="1">
    <dbPr connection="Data Model Connection" command="AccountingDataCSV" commandType="3"/>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20">
    <s v="ThisWorkbookDataModel"/>
    <s v="[Calendar].[Година].&amp;[2018]"/>
    <s v="[Calendar].[Година].&amp;[2017]"/>
    <s v="[Calendar].[Година].&amp;[2019]"/>
    <s v="[fActualAndBudget].[ReportType].&amp;[План]"/>
    <s v="[fActualAndBudget].[ReportType].&amp;[Остварено]"/>
    <s v="[Calendar].[Месец].&amp;[Nov]"/>
    <s v="[Calendar].[Месец].&amp;[Mar]"/>
    <s v="[Calendar].[Месец].&amp;[Aug]"/>
    <s v="[Calendar].[Месец].&amp;[Dec]"/>
    <s v="[Calendar].[Месец].&amp;[Apr]"/>
    <s v="[Calendar].[Месец].&amp;[Sep]"/>
    <s v="[Calendar].[Месец].&amp;[May]"/>
    <s v="[Calendar].[Месец].&amp;[Jan]"/>
    <s v="[Calendar].[Месец].&amp;[Oct]"/>
    <s v="[Calendar].[Месец].&amp;[Feb]"/>
    <s v="[Calendar].[Месец].&amp;[Jul]"/>
    <s v="[Calendar].[Месец].&amp;[Jun]"/>
    <s v="[fActualAndBudget].[ReportType].&amp;[Предвидување]"/>
    <s v="[Calendar].[MMM-YYYY].&amp;[Nov-2018]"/>
    <s v="[Measures].[Sum of Износ (илјади)]"/>
    <s v="[Measures].[Sum of Износ]"/>
    <s v="[Calendar].[Година].&amp;[2020]"/>
    <s v="{[fActualAndBudget].[ReportType].&amp;[План]}"/>
    <s v="{[fActualAndBudget].[ObrazecIme].&amp;[Finansiski plan_Bilans na uspeh]}"/>
    <s v="[Calendar].[Месец].[All]"/>
    <s v="[fActualAndBudget].[StavkaKategorija].&amp;[2.37. Останати оперативни расходи]"/>
    <s v="[fActualAndBudget].[StavkaImeMK].&amp;[Транспортни услуги]"/>
    <s v="[fActualAndBudget].[StavkaKategorija].&amp;[2.32. Потрошени суровини и материјали]"/>
    <s v="[fActualAndBudget].[StavkaKategorija].&amp;[2.29. Приходи од продажба]"/>
    <s v="[fActualAndBudget].[StavkaImeMK].&amp;[Приходи од Регистар на лизинг]"/>
    <s v="[fActualAndBudget].[StavkaImeMK].&amp;[Премии за осигурување]"/>
    <s v="[fActualAndBudget].[StavkaKategorija].&amp;[2.30. Останати оперативни приходи]"/>
    <s v="[fActualAndBudget].[StavkaImeMK].&amp;[Приходи од закуп]"/>
    <s v="[fActualAndBudget].[StavkaImeMK].&amp;[Останати услуги]"/>
    <s v="[fActualAndBudget].[StavkaImeMK].&amp;[Приходи од регистар на директни странски инвестиции]"/>
    <s v="[fActualAndBudget].[StavkaKategorija].&amp;[2.33. Трошоци за вработените]"/>
    <s v="[fActualAndBudget].[StavkaImeMK].&amp;[Надомест на трошоци на вработените, подароци и помошти]"/>
    <s v="[fActualAndBudget].[StavkaImeMK].&amp;[Останати нематеријални трошоци]"/>
    <s v="[fActualAndBudget].[StavkaImeMK].&amp;[Приходи од трговски регистар]"/>
    <s v="[fActualAndBudget].[StavkaImeMK].&amp;[Приходи од прекршочна постапка]"/>
    <s v="[fActualAndBudget].[StavkaImeMK].&amp;[Наемнини и лизинг]"/>
    <s v="[fActualAndBudget].[StavkaImeMK].&amp;[Потрошок на ситен инвентар и автогуми]"/>
    <s v="[fActualAndBudget].[StavkaImeMK].&amp;[Приходи од интернет дистрибутивен систем]"/>
    <s v="[fActualAndBudget].[StavkaImeMK].&amp;[Надворешни услуги]"/>
    <s v="[fActualAndBudget].[StavkaImeMK].&amp;[Приходи од регистрите за кривични санкции, пресуди и др.]"/>
    <s v="[fActualAndBudget].[StavkaImeMK].&amp;[Дневници за службени патувања и патни трошоци]"/>
    <s v="[fActualAndBudget].[StavkaImeMK].&amp;[Приходи од годишни сметки]"/>
    <s v="[fActualAndBudget].[StavkaKategorija].&amp;[2.40. Приходи од финансирање]"/>
    <s v="[fActualAndBudget].[StavkaImeMK].&amp;[Приходи од камати]"/>
    <s v="[fActualAndBudget].[StavkaImeMK].&amp;[Приходи од странство]"/>
    <s v="[fActualAndBudget].[StavkaImeMK].&amp;[Приходи од заложен регистар]"/>
    <s v="[fActualAndBudget].[StavkaImeMK].&amp;[Услуги за одржување и заштита]"/>
    <s v="[fActualAndBudget].[StavkaImeMK].&amp;[Потрошени суровини и материјали]"/>
    <s v="[fActualAndBudget].[StavkaImeMK].&amp;[Приходи од Регистар на резиденти и нерезиденти]"/>
    <s v="[fActualAndBudget].[StavkaImeMK].&amp;[Потрошени резервни делови]"/>
    <s v="[fActualAndBudget].[StavkaImeMK].&amp;[Трошоци за промоција,пропаганда, реклама, репрезентација и спонзорство]"/>
    <s v="[fActualAndBudget].[StavkaImeMK].&amp;[Даноци,чланарини и други давачки кои не зависат од резултатот]"/>
    <s v="[fActualAndBudget].[StavkaImeMK].&amp;[Потрoшена енергија и гориво за возила]"/>
    <s v="[fActualAndBudget].[StavkaImeMK].&amp;[Приходи од регистар на недвижности]"/>
    <s v="[fActualAndBudget].[StavkaImeMK].&amp;[Банкарски услуги и трошоци за платен промет]"/>
    <s v="[fActualAndBudget].[StavkaKategorija].&amp;[2.34. Амортизација на материјални средства]"/>
    <s v="[fActualAndBudget].[StavkaKategorija].&amp;[2.41. Расходи од финансирање]"/>
    <s v="[fActualAndBudget].[StavkaImeMK].&amp;[Вонредни невообичаени приходи]"/>
    <s v="[fActualAndBudget].[StavkaImeMK].&amp;[Приходи од курсни разлики]"/>
    <s v="[fActualAndBudget].[StavkaKategorija].&amp;[2.35. Вредносно усогласување на тековни средства]"/>
    <s v="[fActualAndBudget].[StavkaImeMK].&amp;[Приходи од продажба на подвижен имот]"/>
    <s v="[fActualAndBudget].[StavkaImeMK].&amp;[Лиценци за разни софтвери (едногодишни, обновливи)]"/>
    <s v="[fActualAndBudget].[StavkaImeMK].&amp;[Приходи од донации]"/>
    <s v="[fActualAndBudget].[StavkaImeMK].&amp;[Казни, пенали и надомест на штети затезни камати]"/>
    <s v="[fActualAndBudget].[StavkaImeMK].&amp;[Други неспомнати приходи]"/>
    <s v="[fActualAndBudget].[StavkaImeMK].&amp;[Приходи од регистар на задолжница]"/>
    <s v="[fActualAndBudget].[StavkaImeMK].&amp;[Загуби и кусоци]"/>
    <s v="[fActualAndBudget].[StavkaImeMK].&amp;[Курсни разлики]"/>
    <s v="[fActualAndBudget].[StavkaImeMK].&amp;[Останати расходи]"/>
    <s v="[fActualAndBudget].[StavkaGrupa].&amp;[3.1. Приходи од дејноста]"/>
    <s v="[fActualAndBudget].[StavkaGrupa].&amp;[4.1. Расходи од дејноста]"/>
    <s v="[fActualAndBudget].[StavkaImeMK].&amp;[Амортизација по минимални стапки]"/>
    <s v="[fActualAndBudget].[StavkaGrupa].&amp;[3.2. Останати приходи]"/>
    <s v="[fActualAndBudget].[StavkaImeMK].&amp;[Капитална добивка од продажба на материјални и неметеријални средства]"/>
    <s v="[fActualAndBudget].[StavkaGrupa].&amp;[4.2. Останати расходи]"/>
    <s v="{[fActualAndBudget].[ReportType].&amp;[Предвидување]}"/>
    <s v="[fActualAndBudget].[StavkaImeMK].&amp;[Вредносно усогласување на тековни и нетековни средства]"/>
    <s v="{[fActualAndBudget].[ObrazecIme].&amp;[Finansiski plan_Bilans na sostojba]}"/>
    <s v="[fActualAndBudget].[StavkaKategorija].&amp;[1.1. Парични средства]"/>
    <s v="[fActualAndBudget].[StavkaKategorija].&amp;[1.2. Побарувања]"/>
    <s v="[fActualAndBudget].[StavkaKategorija].&amp;[1.3. Залихи]"/>
    <s v="[fActualAndBudget].[StavkaKategorija].&amp;[1.22. Акумулирана добивка]"/>
    <s v="[fActualAndBudget].[StavkaKategorija].&amp;[1.21. Капитал]"/>
    <s v="[fActualAndBudget].[StavkaKategorija].&amp;[1.9. Нематеријални средства]"/>
    <s v="[fActualAndBudget].[StavkaKategorija].&amp;[1.7. Материјални средства и вложувања во недвижности]"/>
    <s v="[fActualAndBudget].[StavkaKategorija].&amp;[1.28. Вонбилансна пасива]"/>
    <s v="[fActualAndBudget].[StavkaKategorija].&amp;[1.17. Долгорочни обврски]"/>
    <s v="[fActualAndBudget].[StavkaKategorija].&amp;[1.15. Одложено плаќање на трошоци и приходи (ПВР)]"/>
    <s v="[fActualAndBudget].[StavkaKategorija].&amp;[1.23. Резерви]"/>
    <s v="[fActualAndBudget].[StavkaKategorija].&amp;[1.14. Краткорочни обврски]"/>
    <s v="[fActualAndBudget].[StavkaKategorija].&amp;[1.25. Добивка / Загуба за деловната година]"/>
    <s v="[fActualAndBudget].[StavkaKategorija].&amp;[1.13. Вонбилансна актива]"/>
    <s v="[Measures].[Sum of Проценета вредност на набавка со ДДВ (денари)]"/>
    <s v="[CAPEX].[Број на јавна набавка (план)].[All]"/>
    <s v="[Measures].[Sum of Износ 2]"/>
    <s v="{[Calendar].[Година].&amp;[2019]}"/>
    <s v="[CAPEX].[Конто Средства].[All]"/>
    <s v="[Calendar].[Година].&amp;[2021]"/>
    <s v="{[fActualAndBudget].[ReportType].&amp;[Остварено]}"/>
    <s v="[fActualAndBudget].[ObrazecIme].&amp;[Finansiski plan_Bilans na sostojba]"/>
    <s v="[fActualAndBudget].[StavkaImeMK].&amp;[Софтвер]"/>
    <s v="[fActualAndBudget].[StavkaImeMK].&amp;[Нематеријални средства во подготовка]"/>
    <s v="[fActualAndBudget].[StavkaImeMK].&amp;[Побарувања за аванси за материјални исредства]"/>
    <s v="[fActualAndBudget].[StavkaImeMK].&amp;[Реинвестирана добивка]"/>
    <s v="[fActualAndBudget].[StavkaImeMK].&amp;[Останати тековни обврски]"/>
    <s v="[fActualAndBudget].[StavkaImeMK].&amp;[Останати резерви - резерви за развој]"/>
    <s v="[fActualAndBudget].[StavkaImeMK].&amp;[Обврски спрема државата]"/>
    <s v="[fActualAndBudget].[StavkaImeMK].&amp;[Залихи на ситен инвентар и авто гуми]"/>
    <s v="[fActualAndBudget].[StavkaImeMK].&amp;[Побарувања од државата]"/>
    <s v="[fActualAndBudget].[StavkaImeMK].&amp;[Жиро сметки]"/>
    <s v="[fActualAndBudget].[StavkaImeMK].&amp;[Залихи на резервни делови]"/>
    <s v="[fActualAndBudget].[StavkaImeMK].&amp;[Побарувања од вработените]"/>
    <s v="[fActualAndBudget].[StavkaImeMK].&amp;[Готовина странска валута]"/>
    <s v="[fActualAndBudget].[StavkaImeMK].&amp;[Недвижности]"/>
    <s v="[fActualAndBudget].[StavkaImeMK].&amp;[Патнички автомобили]"/>
    <s v="[fActualAndBudget].[StavkaImeMK].&amp;[Останати материјални основни средства]"/>
    <s v="[fActualAndBudget].[StavkaImeMK].&amp;[Залихи на канцелариски и останат материјал]"/>
    <s v="[fActualAndBudget].[StavkaImeMK].&amp;[Законска резерва]"/>
    <s v="[fActualAndBudget].[StavkaImeMK].&amp;[Краткорочни финансиски побарувања]"/>
    <s v="[fActualAndBudget].[StavkaImeMK].&amp;[Обврски кон добавувачи во земјата]"/>
    <s v="[fActualAndBudget].[StavkaImeMK].&amp;[Готовина домашна валута]"/>
    <s v="[fActualAndBudget].[StavkaImeMK].&amp;[Вонбилансна актива]"/>
    <s v="[fActualAndBudget].[StavkaImeMK].&amp;[Вонбилансна пасива]"/>
    <s v="[fActualAndBudget].[StavkaImeMK].&amp;[Добивка/ Загуба за деловната година]"/>
    <s v="[fActualAndBudget].[StavkaImeMK].&amp;[Одложено плаќање на трошоци и признавање на приходи (ПВР)]"/>
    <s v="[fActualAndBudget].[StavkaImeMK].&amp;[Обврски кон вработените]"/>
    <s v="[fActualAndBudget].[StavkaImeMK].&amp;[Компјутерска и останата опрема]"/>
    <s v="[fActualAndBudget].[StavkaImeMK].&amp;[Обврски за даноци и придонеси]"/>
    <s v="[fActualAndBudget].[StavkaImeMK].&amp;[Канцелариски мебел]"/>
    <s v="[fActualAndBudget].[StavkaImeMK].&amp;[Инвестиции во тек - недвижности]"/>
    <s v="[fActualAndBudget].[StavkaImeMK].&amp;[Долгорочни финансиски обврски]"/>
    <s v="[fActualAndBudget].[StavkaImeMK].&amp;[Акумулирана добивка]"/>
    <s v="[fActualAndBudget].[StavkaImeMK].&amp;[Државен капитал]"/>
    <s v="[Amortizacija].[Конто].&amp;[43030]"/>
    <s v="[Amortizacija].[Конто].&amp;[43136]"/>
    <s v="[CAPEX].[Конто Средства].&amp;[0030]"/>
    <s v="[Amortizacija].[Конто].&amp;[43134]"/>
    <s v="#,0"/>
    <s v="[CAPEX].[Конто Средства].&amp;[0031]"/>
    <s v="[Amortizacija].[Конто].&amp;[43031]"/>
    <s v="[CAPEX].[Број на јавна набавка (план)].&amp;[2021-010]"/>
    <s v="[CAPEX].[Очекуван датум на плаќање].&amp;[2021-12-01T00:00:00]"/>
    <s v="[CAPEX].[Број на јавна набавка (план)].&amp;[2021-011]"/>
    <s v="[CAPEX].[Број на јавна набавка (план)].&amp;[2021-012]"/>
    <s v="[CAPEX].[Број на јавна набавка (план)].&amp;[2019-006]"/>
    <s v="[CAPEX].[Број на јавна набавка (план)].&amp;[2021-013]"/>
    <s v="[CAPEX].[Конто Средства].&amp;[0191001]"/>
    <s v="[Amortizacija].[Конто].&amp;[431001]"/>
    <s v="[CAPEX].[Број на јавна набавка (план)].&amp;[2019-007]"/>
    <s v="[rArtikli_HR_Analiza].[StavkaKategorija.1].&amp;[2.37. Останати оперативни расходи]"/>
    <s v="{[OPEXAnaliza].[ObrazecIme].&amp;[Godisna smetka_Bilans na uspeh],[OPEXAnaliza].[ObrazecIme].&amp;[Finansiski plan_Bilans na uspeh]}"/>
    <s v="[Calendar].[Квартал].&amp;[2022-06-30T00:00:00]"/>
    <s v="[Calendar].[Квартал].&amp;[2022-03-31T00:00:00]"/>
    <s v="[Calendar].[Квартал].&amp;[2022-12-31T00:00:00]"/>
    <s v="[Calendar].[Година].&amp;[2022]"/>
    <s v="[Calendar].[Квартал].&amp;[2022-09-30T00:00:00]"/>
    <s v="{[rArtikli_HR_Analiza].[Период].&amp;[2021-10-01T00:00:00],[rArtikli_HR_Analiza].[Период].&amp;[2021-11-01T00:00:00],[rArtikli_HR_Analiza].[Период].&amp;[2021-12-01T00:00:00]}"/>
    <s v="{[rArtikli_HR_Analiza].[ObrazecIme].[All]}"/>
    <s v="[rArtikli_HR_Analiza].[StavkaKategorija.1].&amp;[2.32. Потрошени суровини и материјали]"/>
    <s v="{[fActualAndBudget].[ReportType].[All]}"/>
    <s v="[fActualAndBudget].[StavkaImeMK].&amp;[Приходи од регистар на вистински сопственици]"/>
    <s v="[Calendar].[Date Hierarchy].[Year].&amp;[2022]"/>
    <s v="[Amortizacija].[Период].&amp;[2022-01-01T00:00:00]"/>
    <s v="[Amortizacija].[Период].&amp;[2022-02-01T00:00:00]"/>
    <s v="[Amortizacija].[Период].&amp;[2022-03-01T00:00:00]"/>
    <s v="[Amortizacija].[Период].&amp;[2022-04-01T00:00:00]"/>
    <s v="[Amortizacija].[Период].&amp;[2022-05-01T00:00:00]"/>
    <s v="[Amortizacija].[Период].&amp;[2022-06-01T00:00:00]"/>
    <s v="[Amortizacija].[Период].&amp;[2022-07-01T00:00:00]"/>
    <s v="[Amortizacija].[Период].&amp;[2022-08-01T00:00:00]"/>
    <s v="[Amortizacija].[Период].&amp;[2022-09-01T00:00:00]"/>
    <s v="[Amortizacija].[Период].&amp;[2022-10-01T00:00:00]"/>
    <s v="[Amortizacija].[Период].&amp;[2022-11-01T00:00:00]"/>
    <s v="[Amortizacija].[Период].&amp;[2022-12-01T00:00:00]"/>
    <s v="{[Calendar].[Година].&amp;[2021]}"/>
    <s v="[CAPEX].[Очекуван датум на плаќање].&amp;[2022-02-01T00:00:00]"/>
    <s v="[CAPEX].[Очекуван датум на плаќање].&amp;[2022-03-01T00:00:00]"/>
    <s v="[CAPEX].[Очекуван датум на плаќање].&amp;[2022-09-01T00:00:00]"/>
    <s v="[CAPEX].[Очекуван датум на плаќање].&amp;[2022-05-01T00:00:00]"/>
    <s v="[CAPEX].[Очекуван датум на плаќање].&amp;[2022-06-01T00:00:00]"/>
    <s v="[CAPEX].[Очекуван датум на плаќање].&amp;[2022-12-01T00:00:00]"/>
    <s v="[CAPEX].[Очекуван датум на плаќање].&amp;[2022-04-01T00:00:00]"/>
    <s v="[CAPEX].[Очекуван датум на плаќање].&amp;[2022-11-01T00:00:00]"/>
    <s v="[CAPEX].[Очекуван датум на плаќање].&amp;[2022-07-01T00:00:00]"/>
    <s v="[CAPEX].[Број на јавна набавка (план)].&amp;[2022-001]"/>
    <s v="[CAPEX].[Број на јавна набавка (план)].&amp;[2022-002]"/>
    <s v="[CAPEX].[Број на јавна набавка (план)].&amp;[2022-003]"/>
    <s v="[CAPEX].[Број на јавна набавка (план)].&amp;[2021-014]"/>
    <s v="[CAPEX].[Број на јавна набавка (план)].&amp;[2022-006]"/>
    <s v="[CAPEX].[Број на јавна набавка (план)].&amp;[2022-007]"/>
    <s v="[CAPEX].[Број на јавна набавка (план)].&amp;[2022-008]"/>
    <s v="[CAPEX].[Број на јавна набавка (план)].&amp;[2022-013]"/>
    <s v="[CAPEX].[Број на јавна набавка (план)].&amp;[2022-015]"/>
    <s v="[CAPEX].[Број на јавна набавка (план)].&amp;[2022-016]"/>
    <s v="[CAPEX].[Број на јавна набавка (план)].&amp;[2021-015]"/>
    <s v="[CAPEX].[Број на јавна набавка (план)].&amp;[2022-004]"/>
    <s v="[CAPEX].[Број на јавна набавка (план)].&amp;[2022-018]"/>
    <s v="[CAPEX].[Број на јавна набавка (план)].&amp;[2022-017]"/>
    <s v="[CAPEX].[Број на јавна набавка (план)].&amp;[2022-012]"/>
    <s v="[CAPEX].[Број на јавна набавка (план)].&amp;[2022-005]"/>
    <s v="[CAPEX].[Конто Средства].&amp;[01213]"/>
    <s v="[CAPEX].[Конто Средства].&amp;[0135]"/>
    <s v="[CAPEX].[Конто Средства].&amp;[01363]"/>
    <s v="[CAPEX].[Очекуван датум за ставање во употреба (месец)].&amp;[2022-04-01T00:00:00]"/>
    <s v="[CAPEX].[Очекуван датум за ставање во употреба (месец)].&amp;[2022-05-01T00:00:00]"/>
    <s v="[CAPEX].[Очекуван датум за ставање во употреба (месец)].&amp;[2022-06-01T00:00:00]"/>
    <s v="[CAPEX].[Очекуван датум за ставање во употреба (месец)].&amp;[2022-07-01T00:00:00]"/>
    <s v="[CAPEX].[Очекуван датум за ставање во употреба (месец)].&amp;[2022-09-01T00:00:00]"/>
    <s v="[CAPEX].[Очекуван датум за ставање во употреба (месец)].&amp;[2022-10-01T00:00:00]"/>
    <s v="[CAPEX].[Очекуван датум за ставање во употреба (месец)].&amp;[2022-11-01T00:00:00]"/>
    <s v="[CAPEX].[Очекуван датум за ставање во употреба (месец)].&amp;[2022-01-01T00:00:00]"/>
    <s v="[Calendar].[Date Hierarchy].[Year].&amp;[2021]"/>
    <s v="{[fActualAndBudget].[Конто].&amp;[43010],[fActualAndBudget].[Конто].&amp;[43011],[fActualAndBudget].[Конто].&amp;[43020],[fActualAndBudget].[Конто].&amp;[43030],[fActualAndBudget].[Конто].&amp;[43031],[fActualAndBudget].[Конто].&amp;[43132],[fActualAndBudget].[Конто].&amp;[43133],[fActualAndBudget].[Конто].&amp;[43134],[fActualAndBudget].[Конто].&amp;[43136],[fActualAndBudget].[Конто].&amp;[43139],[fActualAndBudget].[Конто].&amp;[43155],[fActualAndBudget].[Конто].&amp;[43211],[fActualAndBudget].[Конто].&amp;[431001],[fActualAndBudget].[Конто].&amp;[431002]}"/>
    <s v="{[Calendar].[Година].&amp;[2022]}"/>
  </metadataStrings>
  <mdxMetadata count="3120">
    <mdx n="0" f="m">
      <t c="1">
        <n x="3"/>
      </t>
    </mdx>
    <mdx n="0" f="m">
      <t c="2">
        <n x="3"/>
        <n x="4"/>
      </t>
    </mdx>
    <mdx n="0" f="m">
      <t c="2">
        <n x="2"/>
        <n x="5"/>
      </t>
    </mdx>
    <mdx n="0" f="m">
      <t c="2">
        <n x="1"/>
        <n x="18"/>
      </t>
    </mdx>
    <mdx n="0" f="m">
      <t c="1">
        <n x="5"/>
      </t>
    </mdx>
    <mdx n="0" f="m">
      <t c="1">
        <n x="4"/>
      </t>
    </mdx>
    <mdx n="0" f="m">
      <t c="1">
        <n x="18"/>
      </t>
    </mdx>
    <mdx n="0" f="m">
      <t c="1">
        <n x="19"/>
      </t>
    </mdx>
    <mdx n="0" f="m">
      <t c="1">
        <n x="20"/>
      </t>
    </mdx>
    <mdx n="0" f="m">
      <t c="1">
        <n x="21"/>
      </t>
    </mdx>
    <mdx n="0" f="m">
      <t c="1">
        <n x="22"/>
      </t>
    </mdx>
    <mdx n="0" f="s">
      <ms ns="23" c="0"/>
    </mdx>
    <mdx n="0" f="s">
      <ms ns="24" c="0"/>
    </mdx>
    <mdx n="0" f="m">
      <t c="1">
        <n x="13"/>
      </t>
    </mdx>
    <mdx n="0" f="m">
      <t c="1">
        <n x="15"/>
      </t>
    </mdx>
    <mdx n="0" f="m">
      <t c="1">
        <n x="7"/>
      </t>
    </mdx>
    <mdx n="0" f="m">
      <t c="1">
        <n x="10"/>
      </t>
    </mdx>
    <mdx n="0" f="m">
      <t c="1">
        <n x="12"/>
      </t>
    </mdx>
    <mdx n="0" f="m">
      <t c="1">
        <n x="17"/>
      </t>
    </mdx>
    <mdx n="0" f="m">
      <t c="1">
        <n x="16"/>
      </t>
    </mdx>
    <mdx n="0" f="m">
      <t c="1">
        <n x="8"/>
      </t>
    </mdx>
    <mdx n="0" f="m">
      <t c="1">
        <n x="11"/>
      </t>
    </mdx>
    <mdx n="0" f="m">
      <t c="1">
        <n x="14"/>
      </t>
    </mdx>
    <mdx n="0" f="m">
      <t c="1">
        <n x="6"/>
      </t>
    </mdx>
    <mdx n="0" f="m">
      <t c="1">
        <n x="9"/>
      </t>
    </mdx>
    <mdx n="0" f="m">
      <t c="1">
        <n x="25"/>
      </t>
    </mdx>
    <mdx n="0" f="m">
      <t c="2">
        <n x="26"/>
        <n x="27"/>
      </t>
    </mdx>
    <mdx n="0" f="m">
      <t c="1">
        <n x="28"/>
      </t>
    </mdx>
    <mdx n="0" f="m">
      <t c="2">
        <n x="29"/>
        <n x="30"/>
      </t>
    </mdx>
    <mdx n="0" f="m">
      <t c="2">
        <n x="26"/>
        <n x="31"/>
      </t>
    </mdx>
    <mdx n="0" f="m">
      <t c="2">
        <n x="32"/>
        <n x="33"/>
      </t>
    </mdx>
    <mdx n="0" f="m">
      <t c="2">
        <n x="26"/>
        <n x="34"/>
      </t>
    </mdx>
    <mdx n="0" f="m">
      <t c="2">
        <n x="29"/>
        <n x="35"/>
      </t>
    </mdx>
    <mdx n="0" f="m">
      <t c="1">
        <n x="32"/>
      </t>
    </mdx>
    <mdx n="0" f="m">
      <t c="2">
        <n x="36"/>
        <n x="37"/>
      </t>
    </mdx>
    <mdx n="0" f="m">
      <t c="2">
        <n x="26"/>
        <n x="38"/>
      </t>
    </mdx>
    <mdx n="0" f="m">
      <t c="1">
        <n x="36"/>
      </t>
    </mdx>
    <mdx n="0" f="m">
      <t c="2">
        <n x="29"/>
        <n x="39"/>
      </t>
    </mdx>
    <mdx n="0" f="m">
      <t c="2">
        <n x="29"/>
        <n x="40"/>
      </t>
    </mdx>
    <mdx n="0" f="m">
      <t c="2">
        <n x="26"/>
        <n x="41"/>
      </t>
    </mdx>
    <mdx n="0" f="m">
      <t c="2">
        <n x="28"/>
        <n x="42"/>
      </t>
    </mdx>
    <mdx n="0" f="m">
      <t c="2">
        <n x="29"/>
        <n x="43"/>
      </t>
    </mdx>
    <mdx n="0" f="m">
      <t c="2">
        <n x="26"/>
        <n x="44"/>
      </t>
    </mdx>
    <mdx n="0" f="m">
      <t c="2">
        <n x="29"/>
        <n x="45"/>
      </t>
    </mdx>
    <mdx n="0" f="m">
      <t c="2">
        <n x="26"/>
        <n x="46"/>
      </t>
    </mdx>
    <mdx n="0" f="m">
      <t c="2">
        <n x="29"/>
        <n x="47"/>
      </t>
    </mdx>
    <mdx n="0" f="m">
      <t c="2">
        <n x="48"/>
        <n x="49"/>
      </t>
    </mdx>
    <mdx n="0" f="m">
      <t c="2">
        <n x="29"/>
        <n x="50"/>
      </t>
    </mdx>
    <mdx n="0" f="m">
      <t c="1">
        <n x="48"/>
      </t>
    </mdx>
    <mdx n="0" f="m">
      <t c="2">
        <n x="29"/>
        <n x="51"/>
      </t>
    </mdx>
    <mdx n="0" f="m">
      <t c="2">
        <n x="26"/>
        <n x="52"/>
      </t>
    </mdx>
    <mdx n="0" f="m">
      <t c="2">
        <n x="28"/>
        <n x="53"/>
      </t>
    </mdx>
    <mdx n="0" f="m">
      <t c="2">
        <n x="29"/>
        <n x="54"/>
      </t>
    </mdx>
    <mdx n="0" f="m">
      <t c="2">
        <n x="28"/>
        <n x="55"/>
      </t>
    </mdx>
    <mdx n="0" f="m">
      <t c="2">
        <n x="26"/>
        <n x="56"/>
      </t>
    </mdx>
    <mdx n="0" f="m">
      <t c="2">
        <n x="26"/>
        <n x="57"/>
      </t>
    </mdx>
    <mdx n="0" f="m">
      <t c="2">
        <n x="28"/>
        <n x="58"/>
      </t>
    </mdx>
    <mdx n="0" f="m">
      <t c="2">
        <n x="29"/>
        <n x="59"/>
      </t>
    </mdx>
    <mdx n="0" f="m">
      <t c="1">
        <n x="29"/>
      </t>
    </mdx>
    <mdx n="0" f="m">
      <t c="2">
        <n x="26"/>
        <n x="60"/>
      </t>
    </mdx>
    <mdx n="0" f="m">
      <t c="1">
        <n x="26"/>
      </t>
    </mdx>
    <mdx n="0" f="m">
      <t c="1">
        <n x="61"/>
      </t>
    </mdx>
    <mdx n="0" f="m">
      <t c="1">
        <n x="62"/>
      </t>
    </mdx>
    <mdx n="0" f="m">
      <t c="2">
        <n x="32"/>
        <n x="63"/>
      </t>
    </mdx>
    <mdx n="0" f="m">
      <t c="2">
        <n x="48"/>
        <n x="64"/>
      </t>
    </mdx>
    <mdx n="0" f="m">
      <t c="1">
        <n x="65"/>
      </t>
    </mdx>
    <mdx n="0" f="m">
      <t c="2">
        <n x="32"/>
        <n x="66"/>
      </t>
    </mdx>
    <mdx n="0" f="m">
      <t c="2">
        <n x="26"/>
        <n x="67"/>
      </t>
    </mdx>
    <mdx n="0" f="m">
      <t c="2">
        <n x="32"/>
        <n x="68"/>
      </t>
    </mdx>
    <mdx n="0" f="m">
      <t c="2">
        <n x="26"/>
        <n x="69"/>
      </t>
    </mdx>
    <mdx n="0" f="m">
      <t c="2">
        <n x="32"/>
        <n x="70"/>
      </t>
    </mdx>
    <mdx n="0" f="m">
      <t c="2">
        <n x="29"/>
        <n x="71"/>
      </t>
    </mdx>
    <mdx n="0" f="m">
      <t c="1">
        <n x="75"/>
      </t>
    </mdx>
    <mdx n="0" f="m">
      <t c="2">
        <n x="75"/>
        <n x="47"/>
      </t>
    </mdx>
    <mdx n="0" f="m">
      <t c="2">
        <n x="75"/>
        <n x="51"/>
      </t>
    </mdx>
    <mdx n="0" f="m">
      <t c="2">
        <n x="75"/>
        <n x="43"/>
      </t>
    </mdx>
    <mdx n="0" f="m">
      <t c="2">
        <n x="75"/>
        <n x="40"/>
      </t>
    </mdx>
    <mdx n="0" f="m">
      <t c="2">
        <n x="75"/>
        <n x="35"/>
      </t>
    </mdx>
    <mdx n="0" f="m">
      <t c="2">
        <n x="75"/>
        <n x="30"/>
      </t>
    </mdx>
    <mdx n="0" f="m">
      <t c="2">
        <n x="75"/>
        <n x="59"/>
      </t>
    </mdx>
    <mdx n="0" f="m">
      <t c="2">
        <n x="75"/>
        <n x="54"/>
      </t>
    </mdx>
    <mdx n="0" f="m">
      <t c="2">
        <n x="75"/>
        <n x="45"/>
      </t>
    </mdx>
    <mdx n="0" f="m">
      <t c="2">
        <n x="75"/>
        <n x="50"/>
      </t>
    </mdx>
    <mdx n="0" f="m">
      <t c="2">
        <n x="75"/>
        <n x="39"/>
      </t>
    </mdx>
    <mdx n="0" f="m">
      <t c="2">
        <n x="76"/>
        <n x="55"/>
      </t>
    </mdx>
    <mdx n="0" f="m">
      <t c="2">
        <n x="76"/>
        <n x="57"/>
      </t>
    </mdx>
    <mdx n="0" f="m">
      <t c="2">
        <n x="76"/>
        <n x="58"/>
      </t>
    </mdx>
    <mdx n="0" f="m">
      <t c="2">
        <n x="76"/>
        <n x="52"/>
      </t>
    </mdx>
    <mdx n="0" f="m">
      <t c="2">
        <n x="76"/>
        <n x="34"/>
      </t>
    </mdx>
    <mdx n="0" f="m">
      <t c="2">
        <n x="76"/>
        <n x="77"/>
      </t>
    </mdx>
    <mdx n="0" f="m">
      <t c="2">
        <n x="76"/>
        <n x="31"/>
      </t>
    </mdx>
    <mdx n="0" f="m">
      <t c="2">
        <n x="78"/>
        <n x="33"/>
      </t>
    </mdx>
    <mdx n="0" f="m">
      <t c="2">
        <n x="76"/>
        <n x="56"/>
      </t>
    </mdx>
    <mdx n="0" f="m">
      <t c="2">
        <n x="76"/>
        <n x="38"/>
      </t>
    </mdx>
    <mdx n="0" f="m">
      <t c="1">
        <n x="76"/>
      </t>
    </mdx>
    <mdx n="0" f="m">
      <t c="2">
        <n x="76"/>
        <n x="27"/>
      </t>
    </mdx>
    <mdx n="0" f="m">
      <t c="2">
        <n x="76"/>
        <n x="41"/>
      </t>
    </mdx>
    <mdx n="0" f="m">
      <t c="2">
        <n x="78"/>
        <n x="49"/>
      </t>
    </mdx>
    <mdx n="0" f="m">
      <t c="2">
        <n x="76"/>
        <n x="37"/>
      </t>
    </mdx>
    <mdx n="0" f="m">
      <t c="2">
        <n x="76"/>
        <n x="42"/>
      </t>
    </mdx>
    <mdx n="0" f="m">
      <t c="2">
        <n x="76"/>
        <n x="44"/>
      </t>
    </mdx>
    <mdx n="0" f="m">
      <t c="1">
        <n x="78"/>
      </t>
    </mdx>
    <mdx n="0" f="m">
      <t c="2">
        <n x="76"/>
        <n x="53"/>
      </t>
    </mdx>
    <mdx n="0" f="m">
      <t c="2">
        <n x="76"/>
        <n x="46"/>
      </t>
    </mdx>
    <mdx n="0" f="m">
      <t c="2">
        <n x="76"/>
        <n x="60"/>
      </t>
    </mdx>
    <mdx n="0" f="m">
      <t c="2">
        <n x="78"/>
        <n x="64"/>
      </t>
    </mdx>
    <mdx n="0" f="m">
      <t c="2">
        <n x="78"/>
        <n x="68"/>
      </t>
    </mdx>
    <mdx n="0" f="m">
      <t c="2">
        <n x="78"/>
        <n x="66"/>
      </t>
    </mdx>
    <mdx n="0" f="m">
      <t c="2">
        <n x="78"/>
        <n x="79"/>
      </t>
    </mdx>
    <mdx n="0" f="m">
      <t c="2">
        <n x="78"/>
        <n x="63"/>
      </t>
    </mdx>
    <mdx n="0" f="m">
      <t c="2">
        <n x="78"/>
        <n x="70"/>
      </t>
    </mdx>
    <mdx n="0" f="m">
      <t c="2">
        <n x="80"/>
        <n x="69"/>
      </t>
    </mdx>
    <mdx n="0" f="m">
      <t c="2">
        <n x="80"/>
        <n x="73"/>
      </t>
    </mdx>
    <mdx n="0" f="m">
      <t c="2">
        <n x="80"/>
        <n x="72"/>
      </t>
    </mdx>
    <mdx n="0" f="m">
      <t c="2">
        <n x="80"/>
        <n x="74"/>
      </t>
    </mdx>
    <mdx n="0" f="m">
      <t c="2">
        <n x="62"/>
        <n x="72"/>
      </t>
    </mdx>
    <mdx n="0" f="m">
      <t c="2">
        <n x="62"/>
        <n x="73"/>
      </t>
    </mdx>
    <mdx n="0" f="m">
      <t c="2">
        <n x="62"/>
        <n x="74"/>
      </t>
    </mdx>
    <mdx n="0" f="s">
      <ms ns="81" c="0"/>
    </mdx>
    <mdx n="0" f="m">
      <t c="2">
        <n x="76"/>
        <n x="67"/>
      </t>
    </mdx>
    <mdx n="0" f="m">
      <t c="2">
        <n x="80"/>
        <n x="82"/>
      </t>
    </mdx>
    <mdx n="0" f="s">
      <ms ns="83" c="0"/>
    </mdx>
    <mdx n="0" f="m">
      <t c="1">
        <n x="84"/>
      </t>
    </mdx>
    <mdx n="0" f="m">
      <t c="1">
        <n x="85"/>
      </t>
    </mdx>
    <mdx n="0" f="m">
      <t c="1">
        <n x="86"/>
      </t>
    </mdx>
    <mdx n="0" f="m">
      <t c="1">
        <n x="87"/>
      </t>
    </mdx>
    <mdx n="0" f="m">
      <t c="1">
        <n x="88"/>
      </t>
    </mdx>
    <mdx n="0" f="m">
      <t c="1">
        <n x="89"/>
      </t>
    </mdx>
    <mdx n="0" f="m">
      <t c="1">
        <n x="90"/>
      </t>
    </mdx>
    <mdx n="0" f="m">
      <t c="1">
        <n x="91"/>
      </t>
    </mdx>
    <mdx n="0" f="m">
      <t c="1">
        <n x="92"/>
      </t>
    </mdx>
    <mdx n="0" f="m">
      <t c="1">
        <n x="93"/>
      </t>
    </mdx>
    <mdx n="0" f="m">
      <t c="1">
        <n x="94"/>
      </t>
    </mdx>
    <mdx n="0" f="m">
      <t c="1">
        <n x="95"/>
      </t>
    </mdx>
    <mdx n="0" f="m">
      <t c="1">
        <n x="96"/>
      </t>
    </mdx>
    <mdx n="0" f="m">
      <t c="1">
        <n x="97"/>
      </t>
    </mdx>
    <mdx n="0" f="m">
      <t c="1">
        <n x="98"/>
      </t>
    </mdx>
    <mdx n="0" f="m">
      <t c="1">
        <n x="99"/>
      </t>
    </mdx>
    <mdx n="0" f="m">
      <t c="1">
        <n x="100"/>
      </t>
    </mdx>
    <mdx n="0" f="s">
      <ms ns="101" c="0"/>
    </mdx>
    <mdx n="0" f="m">
      <t c="1">
        <n x="102"/>
      </t>
    </mdx>
    <mdx n="0" f="m">
      <t c="1">
        <n x="103"/>
      </t>
    </mdx>
    <mdx n="0" f="s">
      <ms ns="104" c="0"/>
    </mdx>
    <mdx n="0" f="m">
      <t c="1">
        <n x="105"/>
      </t>
    </mdx>
    <mdx n="0" f="m">
      <t c="2">
        <n x="89"/>
        <n x="106"/>
      </t>
    </mdx>
    <mdx n="0" f="m">
      <t c="2">
        <n x="89"/>
        <n x="107"/>
      </t>
    </mdx>
    <mdx n="0" f="m">
      <t c="2">
        <n x="90"/>
        <n x="108"/>
      </t>
    </mdx>
    <mdx n="0" f="m">
      <t c="2">
        <n x="94"/>
        <n x="109"/>
      </t>
    </mdx>
    <mdx n="0" f="m">
      <t c="2">
        <n x="95"/>
        <n x="110"/>
      </t>
    </mdx>
    <mdx n="0" f="m">
      <t c="2">
        <n x="94"/>
        <n x="111"/>
      </t>
    </mdx>
    <mdx n="0" f="m">
      <t c="2">
        <n x="95"/>
        <n x="112"/>
      </t>
    </mdx>
    <mdx n="0" f="m">
      <t c="2">
        <n x="86"/>
        <n x="113"/>
      </t>
    </mdx>
    <mdx n="0" f="m">
      <t c="2">
        <n x="85"/>
        <n x="114"/>
      </t>
    </mdx>
    <mdx n="0" f="m">
      <t c="2">
        <n x="84"/>
        <n x="115"/>
      </t>
    </mdx>
    <mdx n="0" f="m">
      <t c="2">
        <n x="86"/>
        <n x="116"/>
      </t>
    </mdx>
    <mdx n="0" f="m">
      <t c="2">
        <n x="85"/>
        <n x="117"/>
      </t>
    </mdx>
    <mdx n="0" f="m">
      <t c="2">
        <n x="84"/>
        <n x="118"/>
      </t>
    </mdx>
    <mdx n="0" f="m">
      <t c="2">
        <n x="90"/>
        <n x="119"/>
      </t>
    </mdx>
    <mdx n="0" f="m">
      <t c="2">
        <n x="90"/>
        <n x="120"/>
      </t>
    </mdx>
    <mdx n="0" f="m">
      <t c="2">
        <n x="90"/>
        <n x="121"/>
      </t>
    </mdx>
    <mdx n="0" f="m">
      <t c="2">
        <n x="86"/>
        <n x="122"/>
      </t>
    </mdx>
    <mdx n="0" f="m">
      <t c="2">
        <n x="94"/>
        <n x="123"/>
      </t>
    </mdx>
    <mdx n="0" f="m">
      <t c="2">
        <n x="85"/>
        <n x="124"/>
      </t>
    </mdx>
    <mdx n="0" f="m">
      <t c="2">
        <n x="95"/>
        <n x="125"/>
      </t>
    </mdx>
    <mdx n="0" f="m">
      <t c="2">
        <n x="84"/>
        <n x="126"/>
      </t>
    </mdx>
    <mdx n="0" f="m">
      <t c="2">
        <n x="97"/>
        <n x="127"/>
      </t>
    </mdx>
    <mdx n="0" f="m">
      <t c="2">
        <n x="91"/>
        <n x="128"/>
      </t>
    </mdx>
    <mdx n="0" f="m">
      <t c="2">
        <n x="96"/>
        <n x="129"/>
      </t>
    </mdx>
    <mdx n="0" f="m">
      <t c="2">
        <n x="93"/>
        <n x="130"/>
      </t>
    </mdx>
    <mdx n="0" f="m">
      <t c="2">
        <n x="95"/>
        <n x="131"/>
      </t>
    </mdx>
    <mdx n="0" f="m">
      <t c="2">
        <n x="90"/>
        <n x="132"/>
      </t>
    </mdx>
    <mdx n="0" f="m">
      <t c="2">
        <n x="95"/>
        <n x="133"/>
      </t>
    </mdx>
    <mdx n="0" f="m">
      <t c="2">
        <n x="90"/>
        <n x="134"/>
      </t>
    </mdx>
    <mdx n="0" f="m">
      <t c="2">
        <n x="90"/>
        <n x="135"/>
      </t>
    </mdx>
    <mdx n="0" f="m">
      <t c="2">
        <n x="92"/>
        <n x="136"/>
      </t>
    </mdx>
    <mdx n="0" f="m">
      <t c="2">
        <n x="87"/>
        <n x="137"/>
      </t>
    </mdx>
    <mdx n="0" f="m">
      <t c="2">
        <n x="88"/>
        <n x="138"/>
      </t>
    </mdx>
    <mdx n="0" f="v">
      <t c="6">
        <n x="5"/>
        <n x="105"/>
        <n x="21"/>
        <n x="94"/>
        <n x="123"/>
        <n x="3"/>
      </t>
    </mdx>
    <mdx n="0" f="v">
      <t c="6">
        <n x="5"/>
        <n x="105"/>
        <n x="21"/>
        <n x="89"/>
        <n x="107"/>
        <n x="3"/>
      </t>
    </mdx>
    <mdx n="0" f="v">
      <t c="6">
        <n x="5"/>
        <n x="105"/>
        <n x="21"/>
        <n x="85"/>
        <n x="124"/>
        <n x="3"/>
      </t>
    </mdx>
    <mdx n="0" f="v">
      <t c="5">
        <n x="5"/>
        <n x="105"/>
        <n x="21"/>
        <n x="91"/>
        <n x="3"/>
      </t>
    </mdx>
    <mdx n="0" f="v">
      <t c="6">
        <n x="5"/>
        <n x="105"/>
        <n x="21"/>
        <n x="90"/>
        <n x="134"/>
        <n x="3"/>
      </t>
    </mdx>
    <mdx n="0" f="v">
      <t c="6">
        <n x="5"/>
        <n x="105"/>
        <n x="21"/>
        <n x="90"/>
        <n x="121"/>
        <n x="3"/>
      </t>
    </mdx>
    <mdx n="0" f="v">
      <t c="6">
        <n x="5"/>
        <n x="105"/>
        <n x="21"/>
        <n x="87"/>
        <n x="137"/>
        <n x="3"/>
      </t>
    </mdx>
    <mdx n="0" f="v">
      <t c="6">
        <n x="5"/>
        <n x="105"/>
        <n x="21"/>
        <n x="85"/>
        <n x="117"/>
        <n x="3"/>
      </t>
    </mdx>
    <mdx n="0" f="v">
      <t c="6">
        <n x="5"/>
        <n x="105"/>
        <n x="21"/>
        <n x="84"/>
        <n x="126"/>
        <n x="3"/>
      </t>
    </mdx>
    <mdx n="0" f="v">
      <t c="5">
        <n x="5"/>
        <n x="105"/>
        <n x="21"/>
        <n x="88"/>
        <n x="3"/>
      </t>
    </mdx>
    <mdx n="0" f="v">
      <t c="5">
        <n x="5"/>
        <n x="105"/>
        <n x="21"/>
        <n x="85"/>
        <n x="3"/>
      </t>
    </mdx>
    <mdx n="0" f="v">
      <t c="5">
        <n x="5"/>
        <n x="105"/>
        <n x="21"/>
        <n x="87"/>
        <n x="3"/>
      </t>
    </mdx>
    <mdx n="0" f="v">
      <t c="6">
        <n x="5"/>
        <n x="105"/>
        <n x="21"/>
        <n x="85"/>
        <n x="114"/>
        <n x="3"/>
      </t>
    </mdx>
    <mdx n="0" f="v">
      <t c="5">
        <n x="5"/>
        <n x="105"/>
        <n x="21"/>
        <n x="96"/>
        <n x="3"/>
      </t>
    </mdx>
    <mdx n="0" f="v">
      <t c="6">
        <n x="5"/>
        <n x="105"/>
        <n x="21"/>
        <n x="90"/>
        <n x="135"/>
        <n x="3"/>
      </t>
    </mdx>
    <mdx n="0" f="v">
      <t c="5">
        <n x="5"/>
        <n x="105"/>
        <n x="21"/>
        <n x="95"/>
        <n x="3"/>
      </t>
    </mdx>
    <mdx n="0" f="v">
      <t c="6">
        <n x="5"/>
        <n x="105"/>
        <n x="21"/>
        <n x="84"/>
        <n x="115"/>
        <n x="3"/>
      </t>
    </mdx>
    <mdx n="0" f="v">
      <t c="6">
        <n x="5"/>
        <n x="105"/>
        <n x="21"/>
        <n x="86"/>
        <n x="122"/>
        <n x="3"/>
      </t>
    </mdx>
    <mdx n="0" f="v">
      <t c="6">
        <n x="5"/>
        <n x="105"/>
        <n x="21"/>
        <n x="93"/>
        <n x="130"/>
        <n x="3"/>
      </t>
    </mdx>
    <mdx n="0" f="v">
      <t c="6">
        <n x="5"/>
        <n x="105"/>
        <n x="21"/>
        <n x="90"/>
        <n x="132"/>
        <n x="3"/>
      </t>
    </mdx>
    <mdx n="0" f="v">
      <t c="6">
        <n x="5"/>
        <n x="105"/>
        <n x="21"/>
        <n x="95"/>
        <n x="112"/>
        <n x="3"/>
      </t>
    </mdx>
    <mdx n="0" f="v">
      <t c="6">
        <n x="5"/>
        <n x="105"/>
        <n x="21"/>
        <n x="90"/>
        <n x="120"/>
        <n x="3"/>
      </t>
    </mdx>
    <mdx n="0" f="v">
      <t c="6">
        <n x="5"/>
        <n x="105"/>
        <n x="21"/>
        <n x="95"/>
        <n x="125"/>
        <n x="3"/>
      </t>
    </mdx>
    <mdx n="0" f="v">
      <t c="6">
        <n x="5"/>
        <n x="105"/>
        <n x="21"/>
        <n x="97"/>
        <n x="127"/>
        <n x="3"/>
      </t>
    </mdx>
    <mdx n="0" f="v">
      <t c="6">
        <n x="5"/>
        <n x="105"/>
        <n x="21"/>
        <n x="91"/>
        <n x="128"/>
        <n x="3"/>
      </t>
    </mdx>
    <mdx n="0" f="v">
      <t c="6">
        <n x="5"/>
        <n x="105"/>
        <n x="21"/>
        <n x="90"/>
        <n x="119"/>
        <n x="3"/>
      </t>
    </mdx>
    <mdx n="0" f="v">
      <t c="5">
        <n x="5"/>
        <n x="105"/>
        <n x="21"/>
        <n x="92"/>
        <n x="3"/>
      </t>
    </mdx>
    <mdx n="0" f="v">
      <t c="6">
        <n x="5"/>
        <n x="105"/>
        <n x="21"/>
        <n x="84"/>
        <n x="118"/>
        <n x="3"/>
      </t>
    </mdx>
    <mdx n="0" f="v">
      <t c="5">
        <n x="5"/>
        <n x="105"/>
        <n x="21"/>
        <n x="86"/>
        <n x="3"/>
      </t>
    </mdx>
    <mdx n="0" f="v">
      <t c="6">
        <n x="5"/>
        <n x="105"/>
        <n x="21"/>
        <n x="86"/>
        <n x="113"/>
        <n x="3"/>
      </t>
    </mdx>
    <mdx n="0" f="v">
      <t c="6">
        <n x="5"/>
        <n x="105"/>
        <n x="21"/>
        <n x="94"/>
        <n x="111"/>
        <n x="3"/>
      </t>
    </mdx>
    <mdx n="0" f="v">
      <t c="6">
        <n x="5"/>
        <n x="105"/>
        <n x="21"/>
        <n x="89"/>
        <n x="106"/>
        <n x="3"/>
      </t>
    </mdx>
    <mdx n="0" f="v">
      <t c="6">
        <n x="5"/>
        <n x="105"/>
        <n x="21"/>
        <n x="90"/>
        <n x="108"/>
        <n x="3"/>
      </t>
    </mdx>
    <mdx n="0" f="v">
      <t c="5">
        <n x="5"/>
        <n x="105"/>
        <n x="21"/>
        <n x="97"/>
        <n x="3"/>
      </t>
    </mdx>
    <mdx n="0" f="v">
      <t c="6">
        <n x="5"/>
        <n x="105"/>
        <n x="21"/>
        <n x="94"/>
        <n x="109"/>
        <n x="3"/>
      </t>
    </mdx>
    <mdx n="0" f="v">
      <t c="5">
        <n x="5"/>
        <n x="105"/>
        <n x="21"/>
        <n x="93"/>
        <n x="3"/>
      </t>
    </mdx>
    <mdx n="0" f="v">
      <t c="6">
        <n x="5"/>
        <n x="105"/>
        <n x="21"/>
        <n x="95"/>
        <n x="131"/>
        <n x="3"/>
      </t>
    </mdx>
    <mdx n="0" f="v">
      <t c="6">
        <n x="5"/>
        <n x="105"/>
        <n x="21"/>
        <n x="96"/>
        <n x="129"/>
        <n x="3"/>
      </t>
    </mdx>
    <mdx n="0" f="v">
      <t c="6">
        <n x="5"/>
        <n x="105"/>
        <n x="21"/>
        <n x="88"/>
        <n x="138"/>
        <n x="3"/>
      </t>
    </mdx>
    <mdx n="0" f="v">
      <t c="5">
        <n x="5"/>
        <n x="105"/>
        <n x="21"/>
        <n x="94"/>
        <n x="3"/>
      </t>
    </mdx>
    <mdx n="0" f="v">
      <t c="6">
        <n x="5"/>
        <n x="105"/>
        <n x="21"/>
        <n x="95"/>
        <n x="133"/>
        <n x="3"/>
      </t>
    </mdx>
    <mdx n="0" f="v">
      <t c="6">
        <n x="5"/>
        <n x="105"/>
        <n x="21"/>
        <n x="92"/>
        <n x="136"/>
        <n x="3"/>
      </t>
    </mdx>
    <mdx n="0" f="v">
      <t c="5">
        <n x="5"/>
        <n x="105"/>
        <n x="21"/>
        <n x="89"/>
        <n x="3"/>
      </t>
    </mdx>
    <mdx n="0" f="v">
      <t c="5">
        <n x="5"/>
        <n x="105"/>
        <n x="21"/>
        <n x="90"/>
        <n x="3"/>
      </t>
    </mdx>
    <mdx n="0" f="v">
      <t c="6">
        <n x="5"/>
        <n x="105"/>
        <n x="21"/>
        <n x="86"/>
        <n x="116"/>
        <n x="3"/>
      </t>
    </mdx>
    <mdx n="0" f="v">
      <t c="6">
        <n x="5"/>
        <n x="105"/>
        <n x="21"/>
        <n x="95"/>
        <n x="110"/>
        <n x="3"/>
      </t>
    </mdx>
    <mdx n="0" f="v">
      <t c="5">
        <n x="5"/>
        <n x="105"/>
        <n x="21"/>
        <n x="84"/>
        <n x="3"/>
      </t>
    </mdx>
    <mdx n="0" f="m">
      <t c="1">
        <n x="139"/>
      </t>
    </mdx>
    <mdx n="0" f="m">
      <t c="1">
        <n x="140"/>
      </t>
    </mdx>
    <mdx n="0" f="m">
      <t c="1">
        <n x="141"/>
      </t>
    </mdx>
    <mdx n="0" f="m">
      <t c="1">
        <n x="142"/>
      </t>
    </mdx>
    <mdx n="0" f="m">
      <t c="1">
        <n x="144"/>
      </t>
    </mdx>
    <mdx n="0" f="m">
      <t c="1">
        <n x="145"/>
      </t>
    </mdx>
    <mdx n="0" f="m">
      <t c="1">
        <n x="146"/>
      </t>
    </mdx>
    <mdx n="0" f="m">
      <t c="1">
        <n x="147"/>
      </t>
    </mdx>
    <mdx n="0" f="v">
      <t c="3">
        <n x="98"/>
        <n x="144"/>
        <n x="147"/>
      </t>
    </mdx>
    <mdx n="0" f="v">
      <t c="3">
        <n x="98"/>
        <n x="146"/>
        <n x="147"/>
      </t>
    </mdx>
    <mdx n="0" f="m">
      <t c="1">
        <n x="148"/>
      </t>
    </mdx>
    <mdx n="0" f="m">
      <t c="1">
        <n x="149"/>
      </t>
    </mdx>
    <mdx n="0" f="m">
      <t c="1">
        <n x="150"/>
      </t>
    </mdx>
    <mdx n="0" f="v">
      <t c="3">
        <n x="98"/>
        <n x="149"/>
        <n x="147"/>
      </t>
    </mdx>
    <mdx n="0" f="v">
      <t c="3">
        <n x="98"/>
        <n x="150"/>
        <n x="147"/>
      </t>
    </mdx>
    <mdx n="0" f="m">
      <t c="1">
        <n x="151"/>
      </t>
    </mdx>
    <mdx n="0" f="m">
      <t c="1">
        <n x="152"/>
      </t>
    </mdx>
    <mdx n="0" f="m">
      <t c="1">
        <n x="153"/>
      </t>
    </mdx>
    <mdx n="0" f="m">
      <t c="1">
        <n x="154"/>
      </t>
    </mdx>
    <mdx n="0" f="v">
      <t c="3">
        <n x="98"/>
        <n x="154"/>
        <n x="147"/>
      </t>
    </mdx>
    <mdx n="0" f="m">
      <t c="1">
        <n x="155"/>
      </t>
    </mdx>
    <mdx n="0" f="s">
      <ms ns="156" c="0"/>
    </mdx>
    <mdx n="0" f="m">
      <t c="1">
        <n x="157"/>
      </t>
    </mdx>
    <mdx n="0" f="m">
      <t c="1">
        <n x="158"/>
      </t>
    </mdx>
    <mdx n="0" f="m">
      <t c="1">
        <n x="159"/>
      </t>
    </mdx>
    <mdx n="0" f="m">
      <t c="1">
        <n x="160"/>
      </t>
    </mdx>
    <mdx n="0" f="m">
      <t c="1">
        <n x="161"/>
      </t>
    </mdx>
    <mdx n="0" f="s">
      <ms ns="162" c="0"/>
    </mdx>
    <mdx n="0" f="s">
      <ms ns="163" c="0"/>
    </mdx>
    <mdx n="0" f="v">
      <t c="6">
        <n x="4"/>
        <n x="24" s="1"/>
        <n x="21"/>
        <n x="48"/>
        <n x="64"/>
        <n x="160"/>
      </t>
    </mdx>
    <mdx n="0" f="v">
      <t c="5">
        <n x="5"/>
        <n x="24" s="1"/>
        <n x="21"/>
        <n x="36"/>
        <n x="22"/>
      </t>
    </mdx>
    <mdx n="0" f="v">
      <t c="6">
        <n x="4"/>
        <n x="24" s="1"/>
        <n x="21"/>
        <n x="32"/>
        <n x="68"/>
        <n x="160"/>
      </t>
    </mdx>
    <mdx n="0" f="v">
      <t c="6">
        <n x="5"/>
        <n x="24" s="1"/>
        <n x="21"/>
        <n x="32"/>
        <n x="66"/>
        <n x="22"/>
      </t>
    </mdx>
    <mdx n="0" f="v">
      <t c="5">
        <n x="5"/>
        <n x="24" s="1"/>
        <n x="21"/>
        <n x="65"/>
        <n x="22"/>
      </t>
    </mdx>
    <mdx n="0" f="v">
      <t c="5">
        <n x="5"/>
        <n x="24" s="1"/>
        <n x="21"/>
        <n x="28"/>
        <n x="22"/>
      </t>
    </mdx>
    <mdx n="0" f="v">
      <t c="6">
        <n x="18"/>
        <n x="24" s="1"/>
        <n x="21"/>
        <n x="26"/>
        <n x="52"/>
        <n x="103"/>
      </t>
    </mdx>
    <mdx n="0" f="v">
      <t c="6">
        <n x="4"/>
        <n x="24" s="1"/>
        <n x="21"/>
        <n x="32"/>
        <n x="63"/>
        <n x="160"/>
      </t>
    </mdx>
    <mdx n="0" f="v">
      <t c="6">
        <n x="5"/>
        <n x="24" s="1"/>
        <n x="21"/>
        <n x="29"/>
        <n x="45"/>
        <n x="22"/>
      </t>
    </mdx>
    <mdx n="0" f="v">
      <t c="5">
        <n x="4"/>
        <n x="24" s="1"/>
        <n x="21"/>
        <n x="28"/>
        <n x="160"/>
      </t>
    </mdx>
    <mdx n="0" f="v">
      <t c="6">
        <n x="4"/>
        <n x="24" s="1"/>
        <n x="21"/>
        <n x="26"/>
        <n x="38"/>
        <n x="160"/>
      </t>
    </mdx>
    <mdx n="0" f="v">
      <t c="6">
        <n x="18"/>
        <n x="24" s="1"/>
        <n x="21"/>
        <n x="26"/>
        <n x="41"/>
        <n x="103"/>
      </t>
    </mdx>
    <mdx n="0" f="v">
      <t c="6">
        <n x="5"/>
        <n x="24" s="1"/>
        <n x="21"/>
        <n x="29"/>
        <n x="51"/>
        <n x="22"/>
      </t>
    </mdx>
    <mdx n="0" f="v">
      <t c="6">
        <n x="4"/>
        <n x="24" s="1"/>
        <n x="21"/>
        <n x="36"/>
        <n x="37"/>
        <n x="160"/>
      </t>
    </mdx>
    <mdx n="0" f="v">
      <t c="6">
        <n x="18"/>
        <n x="24" s="1"/>
        <n x="21"/>
        <n x="29"/>
        <n x="35"/>
        <n x="103"/>
      </t>
    </mdx>
    <mdx n="0" f="v">
      <t c="6">
        <n x="18"/>
        <n x="24" s="1"/>
        <n x="21"/>
        <n x="29"/>
        <n x="54"/>
        <n x="103"/>
      </t>
    </mdx>
    <mdx n="0" f="v">
      <t c="5">
        <n x="5"/>
        <n x="24" s="1"/>
        <n x="21"/>
        <n x="26"/>
        <n x="22"/>
      </t>
    </mdx>
    <mdx n="0" f="v">
      <t c="6">
        <n x="5"/>
        <n x="24" s="1"/>
        <n x="21"/>
        <n x="29"/>
        <n x="40"/>
        <n x="22"/>
      </t>
    </mdx>
    <mdx n="0" f="v">
      <t c="6">
        <n x="18"/>
        <n x="24" s="1"/>
        <n x="21"/>
        <n x="32"/>
        <n x="70"/>
        <n x="103"/>
      </t>
    </mdx>
    <mdx n="0" f="v">
      <t c="6">
        <n x="4"/>
        <n x="24" s="1"/>
        <n x="21"/>
        <n x="29"/>
        <n x="47"/>
        <n x="160"/>
      </t>
    </mdx>
    <mdx n="0" f="v">
      <t c="6">
        <n x="4"/>
        <n x="24" s="1"/>
        <n x="21"/>
        <n x="29"/>
        <n x="35"/>
        <n x="160"/>
      </t>
    </mdx>
    <mdx n="0" f="v">
      <t c="5">
        <n x="5"/>
        <n x="24" s="1"/>
        <n x="21"/>
        <n x="48"/>
        <n x="22"/>
      </t>
    </mdx>
    <mdx n="0" f="v">
      <t c="6">
        <n x="5"/>
        <n x="24" s="1"/>
        <n x="21"/>
        <n x="26"/>
        <n x="31"/>
        <n x="22"/>
      </t>
    </mdx>
    <mdx n="0" f="v">
      <t c="6">
        <n x="4"/>
        <n x="24" s="1"/>
        <n x="21"/>
        <n x="26"/>
        <n x="44"/>
        <n x="160"/>
      </t>
    </mdx>
    <mdx n="0" f="v">
      <t c="6">
        <n x="18"/>
        <n x="24" s="1"/>
        <n x="21"/>
        <n x="36"/>
        <n x="37"/>
        <n x="103"/>
      </t>
    </mdx>
    <mdx n="0" f="v">
      <t c="6">
        <n x="4"/>
        <n x="24" s="1"/>
        <n x="21"/>
        <n x="29"/>
        <n x="30"/>
        <n x="160"/>
      </t>
    </mdx>
    <mdx n="0" f="v">
      <t c="6">
        <n x="18"/>
        <n x="24" s="1"/>
        <n x="21"/>
        <n x="32"/>
        <n x="33"/>
        <n x="103"/>
      </t>
    </mdx>
    <mdx n="0" f="v">
      <t c="6">
        <n x="4"/>
        <n x="24" s="1"/>
        <n x="21"/>
        <n x="28"/>
        <n x="55"/>
        <n x="160"/>
      </t>
    </mdx>
    <mdx n="0" f="v">
      <t c="6">
        <n x="5"/>
        <n x="24" s="1"/>
        <n x="21"/>
        <n x="26"/>
        <n x="34"/>
        <n x="22"/>
      </t>
    </mdx>
    <mdx n="0" f="v">
      <t c="6">
        <n x="5"/>
        <n x="24" s="1"/>
        <n x="21"/>
        <n x="26"/>
        <n x="60"/>
        <n x="22"/>
      </t>
    </mdx>
    <mdx n="0" f="v">
      <t c="6">
        <n x="4"/>
        <n x="24" s="1"/>
        <n x="21"/>
        <n x="32"/>
        <n x="33"/>
        <n x="160"/>
      </t>
    </mdx>
    <mdx n="0" f="v">
      <t c="6">
        <n x="4"/>
        <n x="24" s="1"/>
        <n x="21"/>
        <n x="26"/>
        <n x="56"/>
        <n x="160"/>
      </t>
    </mdx>
    <mdx n="0" f="v">
      <t c="6">
        <n x="4"/>
        <n x="24" s="1"/>
        <n x="21"/>
        <n x="62"/>
        <n x="72"/>
        <n x="160"/>
      </t>
    </mdx>
    <mdx n="0" f="v">
      <t c="5">
        <n x="18"/>
        <n x="24" s="1"/>
        <n x="21"/>
        <n x="65"/>
        <n x="103"/>
      </t>
    </mdx>
    <mdx n="0" f="v">
      <t c="5">
        <n x="4"/>
        <n x="24" s="1"/>
        <n x="21"/>
        <n x="36"/>
        <n x="160"/>
      </t>
    </mdx>
    <mdx n="0" f="v">
      <t c="5">
        <n x="18"/>
        <n x="24" s="1"/>
        <n x="21"/>
        <n x="29"/>
        <n x="103"/>
      </t>
    </mdx>
    <mdx n="0" f="v">
      <t c="6">
        <n x="4"/>
        <n x="24" s="1"/>
        <n x="21"/>
        <n x="26"/>
        <n x="57"/>
        <n x="160"/>
      </t>
    </mdx>
    <mdx n="0" f="v">
      <t c="6">
        <n x="18"/>
        <n x="24" s="1"/>
        <n x="21"/>
        <n x="26"/>
        <n x="34"/>
        <n x="103"/>
      </t>
    </mdx>
    <mdx n="0" f="v">
      <t c="6">
        <n x="18"/>
        <n x="24" s="1"/>
        <n x="21"/>
        <n x="29"/>
        <n x="51"/>
        <n x="103"/>
      </t>
    </mdx>
    <mdx n="0" f="v">
      <t c="6">
        <n x="5"/>
        <n x="24" s="1"/>
        <n x="21"/>
        <n x="29"/>
        <n x="35"/>
        <n x="22"/>
      </t>
    </mdx>
    <mdx n="0" f="v">
      <t c="6">
        <n x="5"/>
        <n x="24" s="1"/>
        <n x="21"/>
        <n x="28"/>
        <n x="55"/>
        <n x="22"/>
      </t>
    </mdx>
    <mdx n="0" f="v">
      <t c="6">
        <n x="18"/>
        <n x="24" s="1"/>
        <n x="21"/>
        <n x="32"/>
        <n x="68"/>
        <n x="103"/>
      </t>
    </mdx>
    <mdx n="0" f="v">
      <t c="6">
        <n x="18"/>
        <n x="24" s="1"/>
        <n x="21"/>
        <n x="26"/>
        <n x="27"/>
        <n x="103"/>
      </t>
    </mdx>
    <mdx n="0" f="v">
      <t c="6">
        <n x="18"/>
        <n x="24" s="1"/>
        <n x="21"/>
        <n x="29"/>
        <n x="39"/>
        <n x="103"/>
      </t>
    </mdx>
    <mdx n="0" f="v">
      <t c="6">
        <n x="4"/>
        <n x="24" s="1"/>
        <n x="21"/>
        <n x="29"/>
        <n x="39"/>
        <n x="160"/>
      </t>
    </mdx>
    <mdx n="0" f="v">
      <t c="6">
        <n x="18"/>
        <n x="24" s="1"/>
        <n x="21"/>
        <n x="48"/>
        <n x="49"/>
        <n x="103"/>
      </t>
    </mdx>
    <mdx n="0" f="v">
      <t c="5">
        <n x="18"/>
        <n x="24" s="1"/>
        <n x="21"/>
        <n x="32"/>
        <n x="103"/>
      </t>
    </mdx>
    <mdx n="0" f="v">
      <t c="5">
        <n x="5"/>
        <n x="24" s="1"/>
        <n x="21"/>
        <n x="32"/>
        <n x="22"/>
      </t>
    </mdx>
    <mdx n="0" f="v">
      <t c="6">
        <n x="5"/>
        <n x="24" s="1"/>
        <n x="21"/>
        <n x="62"/>
        <n x="72"/>
        <n x="22"/>
      </t>
    </mdx>
    <mdx n="0" f="v">
      <t c="6">
        <n x="4"/>
        <n x="24" s="1"/>
        <n x="21"/>
        <n x="62"/>
        <n x="73"/>
        <n x="160"/>
      </t>
    </mdx>
    <mdx n="0" f="v">
      <t c="6">
        <n x="4"/>
        <n x="24" s="1"/>
        <n x="21"/>
        <n x="32"/>
        <n x="70"/>
        <n x="160"/>
      </t>
    </mdx>
    <mdx n="0" f="v">
      <t c="6">
        <n x="4"/>
        <n x="24" s="1"/>
        <n x="21"/>
        <n x="28"/>
        <n x="42"/>
        <n x="160"/>
      </t>
    </mdx>
    <mdx n="0" f="v">
      <t c="5">
        <n x="18"/>
        <n x="24" s="1"/>
        <n x="21"/>
        <n x="36"/>
        <n x="103"/>
      </t>
    </mdx>
    <mdx n="0" f="v">
      <t c="6">
        <n x="4"/>
        <n x="24" s="1"/>
        <n x="21"/>
        <n x="32"/>
        <n x="66"/>
        <n x="160"/>
      </t>
    </mdx>
    <mdx n="0" f="v">
      <t c="6">
        <n x="4"/>
        <n x="24" s="1"/>
        <n x="21"/>
        <n x="26"/>
        <n x="52"/>
        <n x="160"/>
      </t>
    </mdx>
    <mdx n="0" f="v">
      <t c="6">
        <n x="4"/>
        <n x="24" s="1"/>
        <n x="21"/>
        <n x="29"/>
        <n x="59"/>
        <n x="160"/>
      </t>
    </mdx>
    <mdx n="0" f="v">
      <t c="6">
        <n x="18"/>
        <n x="24" s="1"/>
        <n x="21"/>
        <n x="29"/>
        <n x="43"/>
        <n x="103"/>
      </t>
    </mdx>
    <mdx n="0" f="v">
      <t c="6">
        <n x="4"/>
        <n x="24" s="1"/>
        <n x="21"/>
        <n x="48"/>
        <n x="49"/>
        <n x="160"/>
      </t>
    </mdx>
    <mdx n="0" f="v">
      <t c="6">
        <n x="5"/>
        <n x="24" s="1"/>
        <n x="21"/>
        <n x="62"/>
        <n x="74"/>
        <n x="22"/>
      </t>
    </mdx>
    <mdx n="0" f="v">
      <t c="6">
        <n x="4"/>
        <n x="24" s="1"/>
        <n x="21"/>
        <n x="29"/>
        <n x="45"/>
        <n x="160"/>
      </t>
    </mdx>
    <mdx n="0" f="v">
      <t c="6">
        <n x="18"/>
        <n x="24" s="1"/>
        <n x="21"/>
        <n x="26"/>
        <n x="31"/>
        <n x="103"/>
      </t>
    </mdx>
    <mdx n="0" f="v">
      <t c="6">
        <n x="4"/>
        <n x="24" s="1"/>
        <n x="21"/>
        <n x="29"/>
        <n x="40"/>
        <n x="160"/>
      </t>
    </mdx>
    <mdx n="0" f="v">
      <t c="6">
        <n x="5"/>
        <n x="24" s="1"/>
        <n x="21"/>
        <n x="26"/>
        <n x="57"/>
        <n x="22"/>
      </t>
    </mdx>
    <mdx n="0" f="v">
      <t c="6">
        <n x="18"/>
        <n x="24" s="1"/>
        <n x="21"/>
        <n x="28"/>
        <n x="53"/>
        <n x="103"/>
      </t>
    </mdx>
    <mdx n="0" f="v">
      <t c="5">
        <n x="4"/>
        <n x="24" s="1"/>
        <n x="21"/>
        <n x="32"/>
        <n x="160"/>
      </t>
    </mdx>
    <mdx n="0" f="v">
      <t c="6">
        <n x="18"/>
        <n x="24" s="1"/>
        <n x="21"/>
        <n x="29"/>
        <n x="50"/>
        <n x="103"/>
      </t>
    </mdx>
    <mdx n="0" f="v">
      <t c="6">
        <n x="5"/>
        <n x="24" s="1"/>
        <n x="21"/>
        <n x="36"/>
        <n x="37"/>
        <n x="22"/>
      </t>
    </mdx>
    <mdx n="0" f="v">
      <t c="6">
        <n x="5"/>
        <n x="24" s="1"/>
        <n x="21"/>
        <n x="29"/>
        <n x="47"/>
        <n x="22"/>
      </t>
    </mdx>
    <mdx n="0" f="v">
      <t c="6">
        <n x="18"/>
        <n x="24" s="1"/>
        <n x="21"/>
        <n x="32"/>
        <n x="66"/>
        <n x="103"/>
      </t>
    </mdx>
    <mdx n="0" f="v">
      <t c="5">
        <n x="4"/>
        <n x="24" s="1"/>
        <n x="21"/>
        <n x="61"/>
        <n x="160"/>
      </t>
    </mdx>
    <mdx n="0" f="v">
      <t c="6">
        <n x="5"/>
        <n x="24" s="1"/>
        <n x="21"/>
        <n x="29"/>
        <n x="50"/>
        <n x="22"/>
      </t>
    </mdx>
    <mdx n="0" f="v">
      <t c="6">
        <n x="5"/>
        <n x="24" s="1"/>
        <n x="21"/>
        <n x="26"/>
        <n x="44"/>
        <n x="22"/>
      </t>
    </mdx>
    <mdx n="0" f="v">
      <t c="6">
        <n x="5"/>
        <n x="24" s="1"/>
        <n x="21"/>
        <n x="32"/>
        <n x="68"/>
        <n x="22"/>
      </t>
    </mdx>
    <mdx n="0" f="v">
      <t c="6">
        <n x="4"/>
        <n x="24" s="1"/>
        <n x="21"/>
        <n x="26"/>
        <n x="27"/>
        <n x="160"/>
      </t>
    </mdx>
    <mdx n="0" f="v">
      <t c="5">
        <n x="4"/>
        <n x="24" s="1"/>
        <n x="21"/>
        <n x="65"/>
        <n x="160"/>
      </t>
    </mdx>
    <mdx n="0" f="v">
      <t c="6">
        <n x="18"/>
        <n x="24" s="1"/>
        <n x="21"/>
        <n x="29"/>
        <n x="47"/>
        <n x="103"/>
      </t>
    </mdx>
    <mdx n="0" f="v">
      <t c="6">
        <n x="18"/>
        <n x="24" s="1"/>
        <n x="21"/>
        <n x="48"/>
        <n x="64"/>
        <n x="103"/>
      </t>
    </mdx>
    <mdx n="0" f="v">
      <t c="6">
        <n x="4"/>
        <n x="24" s="1"/>
        <n x="21"/>
        <n x="29"/>
        <n x="51"/>
        <n x="160"/>
      </t>
    </mdx>
    <mdx n="0" f="v">
      <t c="6">
        <n x="5"/>
        <n x="24" s="1"/>
        <n x="21"/>
        <n x="29"/>
        <n x="59"/>
        <n x="22"/>
      </t>
    </mdx>
    <mdx n="0" f="v">
      <t c="5">
        <n x="18"/>
        <n x="24" s="1"/>
        <n x="21"/>
        <n x="61"/>
        <n x="103"/>
      </t>
    </mdx>
    <mdx n="0" f="v">
      <t c="6">
        <n x="5"/>
        <n x="24" s="1"/>
        <n x="21"/>
        <n x="28"/>
        <n x="58"/>
        <n x="22"/>
      </t>
    </mdx>
    <mdx n="0" f="v">
      <t c="6">
        <n x="4"/>
        <n x="24" s="1"/>
        <n x="21"/>
        <n x="62"/>
        <n x="74"/>
        <n x="160"/>
      </t>
    </mdx>
    <mdx n="0" f="v">
      <t c="6">
        <n x="4"/>
        <n x="24" s="1"/>
        <n x="21"/>
        <n x="29"/>
        <n x="54"/>
        <n x="160"/>
      </t>
    </mdx>
    <mdx n="0" f="v">
      <t c="6">
        <n x="4"/>
        <n x="24" s="1"/>
        <n x="21"/>
        <n x="26"/>
        <n x="31"/>
        <n x="160"/>
      </t>
    </mdx>
    <mdx n="0" f="v">
      <t c="6">
        <n x="18"/>
        <n x="24" s="1"/>
        <n x="21"/>
        <n x="26"/>
        <n x="56"/>
        <n x="103"/>
      </t>
    </mdx>
    <mdx n="0" f="v">
      <t c="6">
        <n x="18"/>
        <n x="24" s="1"/>
        <n x="21"/>
        <n x="26"/>
        <n x="46"/>
        <n x="103"/>
      </t>
    </mdx>
    <mdx n="0" f="v">
      <t c="6">
        <n x="5"/>
        <n x="24" s="1"/>
        <n x="21"/>
        <n x="28"/>
        <n x="42"/>
        <n x="22"/>
      </t>
    </mdx>
    <mdx n="0" f="v">
      <t c="6">
        <n x="5"/>
        <n x="24" s="1"/>
        <n x="21"/>
        <n x="29"/>
        <n x="39"/>
        <n x="22"/>
      </t>
    </mdx>
    <mdx n="0" f="v">
      <t c="6">
        <n x="4"/>
        <n x="24" s="1"/>
        <n x="21"/>
        <n x="26"/>
        <n x="41"/>
        <n x="160"/>
      </t>
    </mdx>
    <mdx n="0" f="v">
      <t c="6">
        <n x="4"/>
        <n x="24" s="1"/>
        <n x="21"/>
        <n x="26"/>
        <n x="60"/>
        <n x="160"/>
      </t>
    </mdx>
    <mdx n="0" f="v">
      <t c="6">
        <n x="5"/>
        <n x="24" s="1"/>
        <n x="21"/>
        <n x="26"/>
        <n x="41"/>
        <n x="22"/>
      </t>
    </mdx>
    <mdx n="0" f="v">
      <t c="6">
        <n x="5"/>
        <n x="24" s="1"/>
        <n x="21"/>
        <n x="26"/>
        <n x="52"/>
        <n x="22"/>
      </t>
    </mdx>
    <mdx n="0" f="v">
      <t c="5">
        <n x="4"/>
        <n x="24" s="1"/>
        <n x="21"/>
        <n x="29"/>
        <n x="160"/>
      </t>
    </mdx>
    <mdx n="0" f="v">
      <t c="5">
        <n x="5"/>
        <n x="24" s="1"/>
        <n x="21"/>
        <n x="29"/>
        <n x="22"/>
      </t>
    </mdx>
    <mdx n="0" f="v">
      <t c="6">
        <n x="5"/>
        <n x="24" s="1"/>
        <n x="21"/>
        <n x="29"/>
        <n x="43"/>
        <n x="22"/>
      </t>
    </mdx>
    <mdx n="0" f="v">
      <t c="5">
        <n x="5"/>
        <n x="24" s="1"/>
        <n x="21"/>
        <n x="61"/>
        <n x="22"/>
      </t>
    </mdx>
    <mdx n="0" f="v">
      <t c="6">
        <n x="5"/>
        <n x="24" s="1"/>
        <n x="21"/>
        <n x="32"/>
        <n x="70"/>
        <n x="22"/>
      </t>
    </mdx>
    <mdx n="0" f="v">
      <t c="6">
        <n x="4"/>
        <n x="24" s="1"/>
        <n x="21"/>
        <n x="26"/>
        <n x="46"/>
        <n x="160"/>
      </t>
    </mdx>
    <mdx n="0" f="v">
      <t c="6">
        <n x="5"/>
        <n x="24" s="1"/>
        <n x="21"/>
        <n x="26"/>
        <n x="27"/>
        <n x="22"/>
      </t>
    </mdx>
    <mdx n="0" f="v">
      <t c="5">
        <n x="4"/>
        <n x="24" s="1"/>
        <n x="21"/>
        <n x="48"/>
        <n x="160"/>
      </t>
    </mdx>
    <mdx n="0" f="v">
      <t c="6">
        <n x="4"/>
        <n x="24" s="1"/>
        <n x="21"/>
        <n x="29"/>
        <n x="50"/>
        <n x="160"/>
      </t>
    </mdx>
    <mdx n="0" f="v">
      <t c="6">
        <n x="5"/>
        <n x="24" s="1"/>
        <n x="21"/>
        <n x="26"/>
        <n x="46"/>
        <n x="22"/>
      </t>
    </mdx>
    <mdx n="0" f="v">
      <t c="6">
        <n x="18"/>
        <n x="24" s="1"/>
        <n x="21"/>
        <n x="26"/>
        <n x="60"/>
        <n x="103"/>
      </t>
    </mdx>
    <mdx n="0" f="v">
      <t c="6">
        <n x="18"/>
        <n x="24" s="1"/>
        <n x="21"/>
        <n x="28"/>
        <n x="42"/>
        <n x="103"/>
      </t>
    </mdx>
    <mdx n="0" f="v">
      <t c="6">
        <n x="5"/>
        <n x="24" s="1"/>
        <n x="21"/>
        <n x="26"/>
        <n x="38"/>
        <n x="22"/>
      </t>
    </mdx>
    <mdx n="0" f="v">
      <t c="6">
        <n x="5"/>
        <n x="24" s="1"/>
        <n x="21"/>
        <n x="48"/>
        <n x="64"/>
        <n x="22"/>
      </t>
    </mdx>
    <mdx n="0" f="v">
      <t c="6">
        <n x="4"/>
        <n x="24" s="1"/>
        <n x="21"/>
        <n x="26"/>
        <n x="34"/>
        <n x="160"/>
      </t>
    </mdx>
    <mdx n="0" f="v">
      <t c="6">
        <n x="5"/>
        <n x="24" s="1"/>
        <n x="21"/>
        <n x="32"/>
        <n x="33"/>
        <n x="22"/>
      </t>
    </mdx>
    <mdx n="0" f="v">
      <t c="6">
        <n x="18"/>
        <n x="24" s="1"/>
        <n x="21"/>
        <n x="62"/>
        <n x="73"/>
        <n x="103"/>
      </t>
    </mdx>
    <mdx n="0" f="v">
      <t c="6">
        <n x="18"/>
        <n x="24" s="1"/>
        <n x="21"/>
        <n x="29"/>
        <n x="45"/>
        <n x="103"/>
      </t>
    </mdx>
    <mdx n="0" f="v">
      <t c="6">
        <n x="18"/>
        <n x="24" s="1"/>
        <n x="21"/>
        <n x="26"/>
        <n x="38"/>
        <n x="103"/>
      </t>
    </mdx>
    <mdx n="0" f="v">
      <t c="6">
        <n x="4"/>
        <n x="24" s="1"/>
        <n x="21"/>
        <n x="28"/>
        <n x="53"/>
        <n x="160"/>
      </t>
    </mdx>
    <mdx n="0" f="v">
      <t c="6">
        <n x="18"/>
        <n x="24" s="1"/>
        <n x="21"/>
        <n x="62"/>
        <n x="74"/>
        <n x="103"/>
      </t>
    </mdx>
    <mdx n="0" f="v">
      <t c="6">
        <n x="18"/>
        <n x="24" s="1"/>
        <n x="21"/>
        <n x="26"/>
        <n x="44"/>
        <n x="103"/>
      </t>
    </mdx>
    <mdx n="0" f="v">
      <t c="6">
        <n x="5"/>
        <n x="24" s="1"/>
        <n x="21"/>
        <n x="26"/>
        <n x="56"/>
        <n x="22"/>
      </t>
    </mdx>
    <mdx n="0" f="v">
      <t c="5">
        <n x="4"/>
        <n x="24" s="1"/>
        <n x="21"/>
        <n x="26"/>
        <n x="160"/>
      </t>
    </mdx>
    <mdx n="0" f="v">
      <t c="6">
        <n x="5"/>
        <n x="24" s="1"/>
        <n x="21"/>
        <n x="32"/>
        <n x="63"/>
        <n x="22"/>
      </t>
    </mdx>
    <mdx n="0" f="v">
      <t c="6">
        <n x="5"/>
        <n x="24" s="1"/>
        <n x="21"/>
        <n x="29"/>
        <n x="54"/>
        <n x="22"/>
      </t>
    </mdx>
    <mdx n="0" f="v">
      <t c="6">
        <n x="18"/>
        <n x="24" s="1"/>
        <n x="21"/>
        <n x="29"/>
        <n x="59"/>
        <n x="103"/>
      </t>
    </mdx>
    <mdx n="0" f="v">
      <t c="5">
        <n x="18"/>
        <n x="24" s="1"/>
        <n x="21"/>
        <n x="26"/>
        <n x="103"/>
      </t>
    </mdx>
    <mdx n="0" f="v">
      <t c="6">
        <n x="5"/>
        <n x="24" s="1"/>
        <n x="21"/>
        <n x="62"/>
        <n x="73"/>
        <n x="22"/>
      </t>
    </mdx>
    <mdx n="0" f="v">
      <t c="6">
        <n x="5"/>
        <n x="24" s="1"/>
        <n x="21"/>
        <n x="48"/>
        <n x="49"/>
        <n x="22"/>
      </t>
    </mdx>
    <mdx n="0" f="v">
      <t c="6">
        <n x="5"/>
        <n x="24" s="1"/>
        <n x="21"/>
        <n x="28"/>
        <n x="53"/>
        <n x="22"/>
      </t>
    </mdx>
    <mdx n="0" f="v">
      <t c="6">
        <n x="18"/>
        <n x="24" s="1"/>
        <n x="21"/>
        <n x="62"/>
        <n x="72"/>
        <n x="103"/>
      </t>
    </mdx>
    <mdx n="0" f="v">
      <t c="5">
        <n x="18"/>
        <n x="24" s="1"/>
        <n x="21"/>
        <n x="28"/>
        <n x="103"/>
      </t>
    </mdx>
    <mdx n="0" f="v">
      <t c="6">
        <n x="18"/>
        <n x="24" s="1"/>
        <n x="21"/>
        <n x="32"/>
        <n x="63"/>
        <n x="103"/>
      </t>
    </mdx>
    <mdx n="0" f="v">
      <t c="5">
        <n x="18"/>
        <n x="24" s="1"/>
        <n x="21"/>
        <n x="48"/>
        <n x="103"/>
      </t>
    </mdx>
    <mdx n="0" f="v">
      <t c="6">
        <n x="18"/>
        <n x="24" s="1"/>
        <n x="21"/>
        <n x="29"/>
        <n x="40"/>
        <n x="103"/>
      </t>
    </mdx>
    <mdx n="0" f="v">
      <t c="6">
        <n x="18"/>
        <n x="24" s="1"/>
        <n x="21"/>
        <n x="26"/>
        <n x="57"/>
        <n x="103"/>
      </t>
    </mdx>
    <mdx n="0" f="v">
      <t c="6">
        <n x="18"/>
        <n x="24" s="1"/>
        <n x="21"/>
        <n x="28"/>
        <n x="55"/>
        <n x="103"/>
      </t>
    </mdx>
    <mdx n="0" f="v">
      <t c="6">
        <n x="5"/>
        <n x="24" s="1"/>
        <n x="21"/>
        <n x="29"/>
        <n x="30"/>
        <n x="22"/>
      </t>
    </mdx>
    <mdx n="0" f="v">
      <t c="6">
        <n x="18"/>
        <n x="24" s="1"/>
        <n x="21"/>
        <n x="28"/>
        <n x="58"/>
        <n x="103"/>
      </t>
    </mdx>
    <mdx n="0" f="v">
      <t c="6">
        <n x="4"/>
        <n x="24" s="1"/>
        <n x="21"/>
        <n x="28"/>
        <n x="58"/>
        <n x="160"/>
      </t>
    </mdx>
    <mdx n="0" f="v">
      <t c="6">
        <n x="18"/>
        <n x="24" s="1"/>
        <n x="21"/>
        <n x="29"/>
        <n x="30"/>
        <n x="103"/>
      </t>
    </mdx>
    <mdx n="0" f="v">
      <t c="6">
        <n x="4"/>
        <n x="24" s="1"/>
        <n x="21"/>
        <n x="29"/>
        <n x="43"/>
        <n x="160"/>
      </t>
    </mdx>
    <mdx n="0" f="v">
      <t c="6">
        <n x="24" s="1"/>
        <n x="21"/>
        <n x="75"/>
        <n x="35"/>
        <n x="160"/>
        <n x="4"/>
      </t>
    </mdx>
    <mdx n="0" f="v">
      <t c="6">
        <n x="23" s="1"/>
        <n x="24" s="1"/>
        <n x="21"/>
        <n x="78"/>
        <n x="33"/>
        <n x="157"/>
      </t>
    </mdx>
    <mdx n="0" f="v">
      <t c="6">
        <n x="23" s="1"/>
        <n x="24" s="1"/>
        <n x="21"/>
        <n x="78"/>
        <n x="79"/>
        <n x="157"/>
      </t>
    </mdx>
    <mdx n="0" f="v">
      <t c="6">
        <n x="24" s="1"/>
        <n x="21"/>
        <n x="78"/>
        <n x="64"/>
        <n x="22"/>
        <n x="5"/>
      </t>
    </mdx>
    <mdx n="0" f="v">
      <t c="6">
        <n x="24" s="1"/>
        <n x="21"/>
        <n x="75"/>
        <n x="47"/>
        <n x="160"/>
        <n x="4"/>
      </t>
    </mdx>
    <mdx n="0" f="v">
      <t c="6">
        <n x="24" s="1"/>
        <n x="21"/>
        <n x="75"/>
        <n x="30"/>
        <n x="103"/>
        <n x="18"/>
      </t>
    </mdx>
    <mdx n="0" f="v">
      <t c="6">
        <n x="24" s="1"/>
        <n x="21"/>
        <n x="78"/>
        <n x="33"/>
        <n x="160"/>
        <n x="4"/>
      </t>
    </mdx>
    <mdx n="0" f="v">
      <t c="6">
        <n x="24" s="1"/>
        <n x="21"/>
        <n x="78"/>
        <n x="64"/>
        <n x="160"/>
        <n x="4"/>
      </t>
    </mdx>
    <mdx n="0" f="v">
      <t c="6">
        <n x="23" s="1"/>
        <n x="24" s="1"/>
        <n x="21"/>
        <n x="75"/>
        <n x="59"/>
        <n x="161"/>
      </t>
    </mdx>
    <mdx n="0" f="v">
      <t c="6">
        <n x="23" s="1"/>
        <n x="24" s="1"/>
        <n x="21"/>
        <n x="75"/>
        <n x="40"/>
        <n x="159"/>
      </t>
    </mdx>
    <mdx n="0" f="v">
      <t c="6">
        <n x="23" s="1"/>
        <n x="24" s="1"/>
        <n x="21"/>
        <n x="75"/>
        <n x="54"/>
        <n x="157"/>
      </t>
    </mdx>
    <mdx n="0" f="v">
      <t c="6">
        <n x="23" s="1"/>
        <n x="24" s="1"/>
        <n x="21"/>
        <n x="75"/>
        <n x="30"/>
        <n x="157"/>
      </t>
    </mdx>
    <mdx n="0" f="v">
      <t c="6">
        <n x="23" s="1"/>
        <n x="24" s="1"/>
        <n x="21"/>
        <n x="78"/>
        <n x="64"/>
        <n x="157"/>
      </t>
    </mdx>
    <mdx n="0" f="v">
      <t c="6">
        <n x="23" s="1"/>
        <n x="24" s="1"/>
        <n x="21"/>
        <n x="78"/>
        <n x="79"/>
        <n x="161"/>
      </t>
    </mdx>
    <mdx n="0" f="v">
      <t c="6">
        <n x="23" s="1"/>
        <n x="24" s="1"/>
        <n x="21"/>
        <n x="75"/>
        <n x="59"/>
        <n x="158"/>
      </t>
    </mdx>
    <mdx n="0" f="v">
      <t c="6">
        <n x="24" s="1"/>
        <n x="21"/>
        <n x="78"/>
        <n x="70"/>
        <n x="160"/>
        <n x="4"/>
      </t>
    </mdx>
    <mdx n="0" f="v">
      <t c="6">
        <n x="23" s="1"/>
        <n x="24" s="1"/>
        <n x="21"/>
        <n x="75"/>
        <n x="50"/>
        <n x="159"/>
      </t>
    </mdx>
    <mdx n="0" f="v">
      <t c="6">
        <n x="23" s="1"/>
        <n x="24" s="1"/>
        <n x="21"/>
        <n x="75"/>
        <n x="47"/>
        <n x="159"/>
      </t>
    </mdx>
    <mdx n="0" f="v">
      <t c="6">
        <n x="23" s="1"/>
        <n x="24" s="1"/>
        <n x="21"/>
        <n x="75"/>
        <n x="40"/>
        <n x="161"/>
      </t>
    </mdx>
    <mdx n="0" f="v">
      <t c="6">
        <n x="23" s="1"/>
        <n x="24" s="1"/>
        <n x="21"/>
        <n x="78"/>
        <n x="49"/>
        <n x="161"/>
      </t>
    </mdx>
    <mdx n="0" f="v">
      <t c="6">
        <n x="24" s="1"/>
        <n x="21"/>
        <n x="75"/>
        <n x="47"/>
        <n x="22"/>
        <n x="5"/>
      </t>
    </mdx>
    <mdx n="0" f="v">
      <t c="6">
        <n x="24" s="1"/>
        <n x="21"/>
        <n x="78"/>
        <n x="66"/>
        <n x="160"/>
        <n x="4"/>
      </t>
    </mdx>
    <mdx n="0" f="v">
      <t c="6">
        <n x="24" s="1"/>
        <n x="21"/>
        <n x="75"/>
        <n x="30"/>
        <n x="22"/>
        <n x="5"/>
      </t>
    </mdx>
    <mdx n="0" f="v">
      <t c="6">
        <n x="23" s="1"/>
        <n x="24" s="1"/>
        <n x="21"/>
        <n x="78"/>
        <n x="49"/>
        <n x="159"/>
      </t>
    </mdx>
    <mdx n="0" f="v">
      <t c="6">
        <n x="23" s="1"/>
        <n x="24" s="1"/>
        <n x="21"/>
        <n x="78"/>
        <n x="70"/>
        <n x="158"/>
      </t>
    </mdx>
    <mdx n="0" f="v">
      <t c="6">
        <n x="23" s="1"/>
        <n x="24" s="1"/>
        <n x="21"/>
        <n x="75"/>
        <n x="45"/>
        <n x="158"/>
      </t>
    </mdx>
    <mdx n="0" f="v">
      <t c="6">
        <n x="23" s="1"/>
        <n x="24" s="1"/>
        <n x="21"/>
        <n x="75"/>
        <n x="50"/>
        <n x="157"/>
      </t>
    </mdx>
    <mdx n="0" f="v">
      <t c="6">
        <n x="23" s="1"/>
        <n x="24" s="1"/>
        <n x="21"/>
        <n x="75"/>
        <n x="54"/>
        <n x="159"/>
      </t>
    </mdx>
    <mdx n="0" f="v">
      <t c="6">
        <n x="24" s="1"/>
        <n x="21"/>
        <n x="78"/>
        <n x="66"/>
        <n x="103"/>
        <n x="18"/>
      </t>
    </mdx>
    <mdx n="0" f="v">
      <t c="6">
        <n x="23" s="1"/>
        <n x="24" s="1"/>
        <n x="21"/>
        <n x="78"/>
        <n x="64"/>
        <n x="158"/>
      </t>
    </mdx>
    <mdx n="0" f="v">
      <t c="6">
        <n x="23" s="1"/>
        <n x="24" s="1"/>
        <n x="21"/>
        <n x="78"/>
        <n x="68"/>
        <n x="161"/>
      </t>
    </mdx>
    <mdx n="0" f="v">
      <t c="6">
        <n x="23" s="1"/>
        <n x="24" s="1"/>
        <n x="21"/>
        <n x="78"/>
        <n x="64"/>
        <n x="159"/>
      </t>
    </mdx>
    <mdx n="0" f="v">
      <t c="6">
        <n x="24" s="1"/>
        <n x="21"/>
        <n x="75"/>
        <n x="45"/>
        <n x="22"/>
        <n x="5"/>
      </t>
    </mdx>
    <mdx n="0" f="v">
      <t c="6">
        <n x="23" s="1"/>
        <n x="24" s="1"/>
        <n x="21"/>
        <n x="75"/>
        <n x="39"/>
        <n x="158"/>
      </t>
    </mdx>
    <mdx n="0" f="v">
      <t c="6">
        <n x="24" s="1"/>
        <n x="21"/>
        <n x="75"/>
        <n x="43"/>
        <n x="103"/>
        <n x="18"/>
      </t>
    </mdx>
    <mdx n="0" f="v">
      <t c="6">
        <n x="24" s="1"/>
        <n x="21"/>
        <n x="75"/>
        <n x="50"/>
        <n x="22"/>
        <n x="5"/>
      </t>
    </mdx>
    <mdx n="0" f="v">
      <t c="6">
        <n x="24" s="1"/>
        <n x="21"/>
        <n x="78"/>
        <n x="66"/>
        <n x="22"/>
        <n x="5"/>
      </t>
    </mdx>
    <mdx n="0" f="v">
      <t c="6">
        <n x="23" s="1"/>
        <n x="24" s="1"/>
        <n x="21"/>
        <n x="75"/>
        <n x="30"/>
        <n x="159"/>
      </t>
    </mdx>
    <mdx n="0" f="v">
      <t c="6">
        <n x="23" s="1"/>
        <n x="24" s="1"/>
        <n x="21"/>
        <n x="78"/>
        <n x="33"/>
        <n x="161"/>
      </t>
    </mdx>
    <mdx n="0" f="v">
      <t c="6">
        <n x="23" s="1"/>
        <n x="24" s="1"/>
        <n x="21"/>
        <n x="75"/>
        <n x="59"/>
        <n x="159"/>
      </t>
    </mdx>
    <mdx n="0" f="v">
      <t c="6">
        <n x="24" s="1"/>
        <n x="21"/>
        <n x="75"/>
        <n x="40"/>
        <n x="22"/>
        <n x="5"/>
      </t>
    </mdx>
    <mdx n="0" f="v">
      <t c="6">
        <n x="24" s="1"/>
        <n x="21"/>
        <n x="75"/>
        <n x="39"/>
        <n x="103"/>
        <n x="18"/>
      </t>
    </mdx>
    <mdx n="0" f="v">
      <t c="6">
        <n x="23" s="1"/>
        <n x="24" s="1"/>
        <n x="21"/>
        <n x="78"/>
        <n x="66"/>
        <n x="161"/>
      </t>
    </mdx>
    <mdx n="0" f="v">
      <t c="6">
        <n x="23" s="1"/>
        <n x="24" s="1"/>
        <n x="21"/>
        <n x="75"/>
        <n x="54"/>
        <n x="161"/>
      </t>
    </mdx>
    <mdx n="0" f="v">
      <t c="6">
        <n x="23" s="1"/>
        <n x="24" s="1"/>
        <n x="21"/>
        <n x="75"/>
        <n x="45"/>
        <n x="161"/>
      </t>
    </mdx>
    <mdx n="0" f="v">
      <t c="6">
        <n x="24" s="1"/>
        <n x="21"/>
        <n x="75"/>
        <n x="54"/>
        <n x="22"/>
        <n x="5"/>
      </t>
    </mdx>
    <mdx n="0" f="v">
      <t c="6">
        <n x="24" s="1"/>
        <n x="21"/>
        <n x="75"/>
        <n x="39"/>
        <n x="22"/>
        <n x="5"/>
      </t>
    </mdx>
    <mdx n="0" f="v">
      <t c="6">
        <n x="23" s="1"/>
        <n x="24" s="1"/>
        <n x="21"/>
        <n x="75"/>
        <n x="47"/>
        <n x="161"/>
      </t>
    </mdx>
    <mdx n="0" f="v">
      <t c="6">
        <n x="23" s="1"/>
        <n x="24" s="1"/>
        <n x="21"/>
        <n x="75"/>
        <n x="40"/>
        <n x="158"/>
      </t>
    </mdx>
    <mdx n="0" f="v">
      <t c="6">
        <n x="23" s="1"/>
        <n x="24" s="1"/>
        <n x="21"/>
        <n x="78"/>
        <n x="79"/>
        <n x="159"/>
      </t>
    </mdx>
    <mdx n="0" f="v">
      <t c="6">
        <n x="23" s="1"/>
        <n x="24" s="1"/>
        <n x="21"/>
        <n x="78"/>
        <n x="66"/>
        <n x="157"/>
      </t>
    </mdx>
    <mdx n="0" f="v">
      <t c="6">
        <n x="23" s="1"/>
        <n x="24" s="1"/>
        <n x="21"/>
        <n x="75"/>
        <n x="47"/>
        <n x="158"/>
      </t>
    </mdx>
    <mdx n="0" f="v">
      <t c="6">
        <n x="23" s="1"/>
        <n x="24" s="1"/>
        <n x="21"/>
        <n x="78"/>
        <n x="63"/>
        <n x="158"/>
      </t>
    </mdx>
    <mdx n="0" f="v">
      <t c="6">
        <n x="24" s="1"/>
        <n x="21"/>
        <n x="78"/>
        <n x="33"/>
        <n x="22"/>
        <n x="5"/>
      </t>
    </mdx>
    <mdx n="0" f="v">
      <t c="6">
        <n x="24" s="1"/>
        <n x="21"/>
        <n x="75"/>
        <n x="43"/>
        <n x="22"/>
        <n x="5"/>
      </t>
    </mdx>
    <mdx n="0" f="v">
      <t c="6">
        <n x="24" s="1"/>
        <n x="21"/>
        <n x="75"/>
        <n x="59"/>
        <n x="160"/>
        <n x="4"/>
      </t>
    </mdx>
    <mdx n="0" f="v">
      <t c="6">
        <n x="23" s="1"/>
        <n x="24" s="1"/>
        <n x="21"/>
        <n x="75"/>
        <n x="40"/>
        <n x="157"/>
      </t>
    </mdx>
    <mdx n="0" f="v">
      <t c="6">
        <n x="23" s="1"/>
        <n x="24" s="1"/>
        <n x="21"/>
        <n x="75"/>
        <n x="39"/>
        <n x="161"/>
      </t>
    </mdx>
    <mdx n="0" f="v">
      <t c="6">
        <n x="23" s="1"/>
        <n x="24" s="1"/>
        <n x="21"/>
        <n x="75"/>
        <n x="45"/>
        <n x="159"/>
      </t>
    </mdx>
    <mdx n="0" f="v">
      <t c="6">
        <n x="23" s="1"/>
        <n x="24" s="1"/>
        <n x="21"/>
        <n x="75"/>
        <n x="50"/>
        <n x="158"/>
      </t>
    </mdx>
    <mdx n="0" f="v">
      <t c="6">
        <n x="24" s="1"/>
        <n x="21"/>
        <n x="78"/>
        <n x="68"/>
        <n x="160"/>
        <n x="4"/>
      </t>
    </mdx>
    <mdx n="0" f="v">
      <t c="6">
        <n x="23" s="1"/>
        <n x="24" s="1"/>
        <n x="21"/>
        <n x="78"/>
        <n x="63"/>
        <n x="161"/>
      </t>
    </mdx>
    <mdx n="0" f="v">
      <t c="6">
        <n x="23" s="1"/>
        <n x="24" s="1"/>
        <n x="21"/>
        <n x="78"/>
        <n x="63"/>
        <n x="157"/>
      </t>
    </mdx>
    <mdx n="0" f="v">
      <t c="6">
        <n x="24" s="1"/>
        <n x="21"/>
        <n x="75"/>
        <n x="43"/>
        <n x="160"/>
        <n x="4"/>
      </t>
    </mdx>
    <mdx n="0" f="v">
      <t c="6">
        <n x="23" s="1"/>
        <n x="24" s="1"/>
        <n x="21"/>
        <n x="75"/>
        <n x="54"/>
        <n x="158"/>
      </t>
    </mdx>
    <mdx n="0" f="v">
      <t c="6">
        <n x="24" s="1"/>
        <n x="21"/>
        <n x="75"/>
        <n x="45"/>
        <n x="103"/>
        <n x="18"/>
      </t>
    </mdx>
    <mdx n="0" f="v">
      <t c="6">
        <n x="23" s="1"/>
        <n x="24" s="1"/>
        <n x="21"/>
        <n x="78"/>
        <n x="68"/>
        <n x="159"/>
      </t>
    </mdx>
    <mdx n="0" f="v">
      <t c="6">
        <n x="23" s="1"/>
        <n x="24" s="1"/>
        <n x="21"/>
        <n x="78"/>
        <n x="68"/>
        <n x="158"/>
      </t>
    </mdx>
    <mdx n="0" f="v">
      <t c="6">
        <n x="23" s="1"/>
        <n x="24" s="1"/>
        <n x="21"/>
        <n x="75"/>
        <n x="39"/>
        <n x="159"/>
      </t>
    </mdx>
    <mdx n="0" f="v">
      <t c="6">
        <n x="23" s="1"/>
        <n x="24" s="1"/>
        <n x="21"/>
        <n x="75"/>
        <n x="45"/>
        <n x="157"/>
      </t>
    </mdx>
    <mdx n="0" f="v">
      <t c="6">
        <n x="23" s="1"/>
        <n x="24" s="1"/>
        <n x="21"/>
        <n x="75"/>
        <n x="51"/>
        <n x="157"/>
      </t>
    </mdx>
    <mdx n="0" f="v">
      <t c="6">
        <n x="24" s="1"/>
        <n x="21"/>
        <n x="75"/>
        <n x="50"/>
        <n x="103"/>
        <n x="18"/>
      </t>
    </mdx>
    <mdx n="0" f="v">
      <t c="6">
        <n x="24" s="1"/>
        <n x="21"/>
        <n x="75"/>
        <n x="39"/>
        <n x="160"/>
        <n x="4"/>
      </t>
    </mdx>
    <mdx n="0" f="v">
      <t c="6">
        <n x="24" s="1"/>
        <n x="21"/>
        <n x="75"/>
        <n x="59"/>
        <n x="103"/>
        <n x="18"/>
      </t>
    </mdx>
    <mdx n="0" f="v">
      <t c="6">
        <n x="24" s="1"/>
        <n x="21"/>
        <n x="75"/>
        <n x="47"/>
        <n x="103"/>
        <n x="18"/>
      </t>
    </mdx>
    <mdx n="0" f="v">
      <t c="6">
        <n x="23" s="1"/>
        <n x="24" s="1"/>
        <n x="21"/>
        <n x="75"/>
        <n x="51"/>
        <n x="159"/>
      </t>
    </mdx>
    <mdx n="0" f="v">
      <t c="6">
        <n x="24" s="1"/>
        <n x="21"/>
        <n x="75"/>
        <n x="35"/>
        <n x="103"/>
        <n x="18"/>
      </t>
    </mdx>
    <mdx n="0" f="v">
      <t c="6">
        <n x="23" s="1"/>
        <n x="24" s="1"/>
        <n x="21"/>
        <n x="75"/>
        <n x="43"/>
        <n x="161"/>
      </t>
    </mdx>
    <mdx n="0" f="v">
      <t c="6">
        <n x="23" s="1"/>
        <n x="24" s="1"/>
        <n x="21"/>
        <n x="75"/>
        <n x="43"/>
        <n x="157"/>
      </t>
    </mdx>
    <mdx n="0" f="v">
      <t c="6">
        <n x="24" s="1"/>
        <n x="21"/>
        <n x="75"/>
        <n x="30"/>
        <n x="160"/>
        <n x="4"/>
      </t>
    </mdx>
    <mdx n="0" f="v">
      <t c="6">
        <n x="24" s="1"/>
        <n x="21"/>
        <n x="75"/>
        <n x="59"/>
        <n x="22"/>
        <n x="5"/>
      </t>
    </mdx>
    <mdx n="0" f="v">
      <t c="6">
        <n x="23" s="1"/>
        <n x="24" s="1"/>
        <n x="21"/>
        <n x="75"/>
        <n x="43"/>
        <n x="159"/>
      </t>
    </mdx>
    <mdx n="0" f="v">
      <t c="6">
        <n x="23" s="1"/>
        <n x="24" s="1"/>
        <n x="21"/>
        <n x="78"/>
        <n x="33"/>
        <n x="158"/>
      </t>
    </mdx>
    <mdx n="0" f="v">
      <t c="6">
        <n x="24" s="1"/>
        <n x="21"/>
        <n x="75"/>
        <n x="51"/>
        <n x="103"/>
        <n x="18"/>
      </t>
    </mdx>
    <mdx n="0" f="v">
      <t c="6">
        <n x="23" s="1"/>
        <n x="24" s="1"/>
        <n x="21"/>
        <n x="78"/>
        <n x="49"/>
        <n x="157"/>
      </t>
    </mdx>
    <mdx n="0" f="v">
      <t c="6">
        <n x="24" s="1"/>
        <n x="21"/>
        <n x="78"/>
        <n x="33"/>
        <n x="103"/>
        <n x="18"/>
      </t>
    </mdx>
    <mdx n="0" f="v">
      <t c="6">
        <n x="24" s="1"/>
        <n x="21"/>
        <n x="78"/>
        <n x="63"/>
        <n x="160"/>
        <n x="4"/>
      </t>
    </mdx>
    <mdx n="0" f="v">
      <t c="6">
        <n x="23" s="1"/>
        <n x="24" s="1"/>
        <n x="21"/>
        <n x="75"/>
        <n x="39"/>
        <n x="157"/>
      </t>
    </mdx>
    <mdx n="0" f="v">
      <t c="6">
        <n x="23" s="1"/>
        <n x="24" s="1"/>
        <n x="21"/>
        <n x="78"/>
        <n x="63"/>
        <n x="159"/>
      </t>
    </mdx>
    <mdx n="0" f="v">
      <t c="6">
        <n x="24" s="1"/>
        <n x="21"/>
        <n x="78"/>
        <n x="64"/>
        <n x="103"/>
        <n x="18"/>
      </t>
    </mdx>
    <mdx n="0" f="v">
      <t c="6">
        <n x="23" s="1"/>
        <n x="24" s="1"/>
        <n x="21"/>
        <n x="78"/>
        <n x="33"/>
        <n x="159"/>
      </t>
    </mdx>
    <mdx n="0" f="v">
      <t c="6">
        <n x="23" s="1"/>
        <n x="24" s="1"/>
        <n x="21"/>
        <n x="75"/>
        <n x="47"/>
        <n x="157"/>
      </t>
    </mdx>
    <mdx n="0" f="v">
      <t c="6">
        <n x="24" s="1"/>
        <n x="21"/>
        <n x="78"/>
        <n x="49"/>
        <n x="160"/>
        <n x="4"/>
      </t>
    </mdx>
    <mdx n="0" f="v">
      <t c="6">
        <n x="24" s="1"/>
        <n x="21"/>
        <n x="78"/>
        <n x="63"/>
        <n x="103"/>
        <n x="18"/>
      </t>
    </mdx>
    <mdx n="0" f="v">
      <t c="6">
        <n x="24" s="1"/>
        <n x="21"/>
        <n x="75"/>
        <n x="50"/>
        <n x="160"/>
        <n x="4"/>
      </t>
    </mdx>
    <mdx n="0" f="v">
      <t c="6">
        <n x="23" s="1"/>
        <n x="24" s="1"/>
        <n x="21"/>
        <n x="75"/>
        <n x="43"/>
        <n x="158"/>
      </t>
    </mdx>
    <mdx n="0" f="v">
      <t c="6">
        <n x="23" s="1"/>
        <n x="24" s="1"/>
        <n x="21"/>
        <n x="75"/>
        <n x="50"/>
        <n x="161"/>
      </t>
    </mdx>
    <mdx n="0" f="v">
      <t c="6">
        <n x="24" s="1"/>
        <n x="21"/>
        <n x="75"/>
        <n x="51"/>
        <n x="22"/>
        <n x="5"/>
      </t>
    </mdx>
    <mdx n="0" f="v">
      <t c="6">
        <n x="24" s="1"/>
        <n x="21"/>
        <n x="78"/>
        <n x="68"/>
        <n x="22"/>
        <n x="5"/>
      </t>
    </mdx>
    <mdx n="0" f="v">
      <t c="6">
        <n x="24" s="1"/>
        <n x="21"/>
        <n x="75"/>
        <n x="54"/>
        <n x="103"/>
        <n x="18"/>
      </t>
    </mdx>
    <mdx n="0" f="v">
      <t c="6">
        <n x="24" s="1"/>
        <n x="21"/>
        <n x="75"/>
        <n x="35"/>
        <n x="22"/>
        <n x="5"/>
      </t>
    </mdx>
    <mdx n="0" f="v">
      <t c="6">
        <n x="23" s="1"/>
        <n x="24" s="1"/>
        <n x="21"/>
        <n x="75"/>
        <n x="35"/>
        <n x="161"/>
      </t>
    </mdx>
    <mdx n="0" f="v">
      <t c="6">
        <n x="23" s="1"/>
        <n x="24" s="1"/>
        <n x="21"/>
        <n x="75"/>
        <n x="59"/>
        <n x="157"/>
      </t>
    </mdx>
    <mdx n="0" f="v">
      <t c="6">
        <n x="23" s="1"/>
        <n x="24" s="1"/>
        <n x="21"/>
        <n x="75"/>
        <n x="51"/>
        <n x="161"/>
      </t>
    </mdx>
    <mdx n="0" f="v">
      <t c="6">
        <n x="23" s="1"/>
        <n x="24" s="1"/>
        <n x="21"/>
        <n x="75"/>
        <n x="30"/>
        <n x="161"/>
      </t>
    </mdx>
    <mdx n="0" f="v">
      <t c="6">
        <n x="24" s="1"/>
        <n x="21"/>
        <n x="78"/>
        <n x="49"/>
        <n x="22"/>
        <n x="5"/>
      </t>
    </mdx>
    <mdx n="0" f="v">
      <t c="6">
        <n x="23" s="1"/>
        <n x="24" s="1"/>
        <n x="21"/>
        <n x="75"/>
        <n x="35"/>
        <n x="157"/>
      </t>
    </mdx>
    <mdx n="0" f="v">
      <t c="6">
        <n x="24" s="1"/>
        <n x="21"/>
        <n x="75"/>
        <n x="40"/>
        <n x="160"/>
        <n x="4"/>
      </t>
    </mdx>
    <mdx n="0" f="v">
      <t c="6">
        <n x="23" s="1"/>
        <n x="24" s="1"/>
        <n x="21"/>
        <n x="75"/>
        <n x="30"/>
        <n x="158"/>
      </t>
    </mdx>
    <mdx n="0" f="v">
      <t c="6">
        <n x="24" s="1"/>
        <n x="21"/>
        <n x="75"/>
        <n x="40"/>
        <n x="103"/>
        <n x="18"/>
      </t>
    </mdx>
    <mdx n="0" f="v">
      <t c="6">
        <n x="24" s="1"/>
        <n x="21"/>
        <n x="78"/>
        <n x="63"/>
        <n x="22"/>
        <n x="5"/>
      </t>
    </mdx>
    <mdx n="0" f="v">
      <t c="6">
        <n x="24" s="1"/>
        <n x="21"/>
        <n x="75"/>
        <n x="51"/>
        <n x="160"/>
        <n x="4"/>
      </t>
    </mdx>
    <mdx n="0" f="v">
      <t c="6">
        <n x="23" s="1"/>
        <n x="24" s="1"/>
        <n x="21"/>
        <n x="78"/>
        <n x="70"/>
        <n x="159"/>
      </t>
    </mdx>
    <mdx n="0" f="v">
      <t c="6">
        <n x="24" s="1"/>
        <n x="21"/>
        <n x="78"/>
        <n x="79"/>
        <n x="22"/>
        <n x="5"/>
      </t>
    </mdx>
    <mdx n="0" f="v">
      <t c="6">
        <n x="24" s="1"/>
        <n x="21"/>
        <n x="78"/>
        <n x="79"/>
        <n x="160"/>
        <n x="4"/>
      </t>
    </mdx>
    <mdx n="0" f="v">
      <t c="6">
        <n x="24" s="1"/>
        <n x="21"/>
        <n x="78"/>
        <n x="70"/>
        <n x="103"/>
        <n x="18"/>
      </t>
    </mdx>
    <mdx n="0" f="v">
      <t c="6">
        <n x="24" s="1"/>
        <n x="21"/>
        <n x="78"/>
        <n x="79"/>
        <n x="103"/>
        <n x="18"/>
      </t>
    </mdx>
    <mdx n="0" f="v">
      <t c="6">
        <n x="24" s="1"/>
        <n x="21"/>
        <n x="75"/>
        <n x="45"/>
        <n x="160"/>
        <n x="4"/>
      </t>
    </mdx>
    <mdx n="0" f="v">
      <t c="6">
        <n x="24" s="1"/>
        <n x="21"/>
        <n x="78"/>
        <n x="70"/>
        <n x="22"/>
        <n x="5"/>
      </t>
    </mdx>
    <mdx n="0" f="v">
      <t c="6">
        <n x="23" s="1"/>
        <n x="24" s="1"/>
        <n x="21"/>
        <n x="75"/>
        <n x="51"/>
        <n x="158"/>
      </t>
    </mdx>
    <mdx n="0" f="v">
      <t c="6">
        <n x="23" s="1"/>
        <n x="24" s="1"/>
        <n x="21"/>
        <n x="78"/>
        <n x="68"/>
        <n x="157"/>
      </t>
    </mdx>
    <mdx n="0" f="v">
      <t c="6">
        <n x="24" s="1"/>
        <n x="21"/>
        <n x="78"/>
        <n x="68"/>
        <n x="103"/>
        <n x="18"/>
      </t>
    </mdx>
    <mdx n="0" f="v">
      <t c="6">
        <n x="23" s="1"/>
        <n x="24" s="1"/>
        <n x="21"/>
        <n x="78"/>
        <n x="64"/>
        <n x="161"/>
      </t>
    </mdx>
    <mdx n="0" f="v">
      <t c="6">
        <n x="24" s="1"/>
        <n x="21"/>
        <n x="75"/>
        <n x="54"/>
        <n x="160"/>
        <n x="4"/>
      </t>
    </mdx>
    <mdx n="0" f="v">
      <t c="6">
        <n x="23" s="1"/>
        <n x="24" s="1"/>
        <n x="21"/>
        <n x="78"/>
        <n x="49"/>
        <n x="158"/>
      </t>
    </mdx>
    <mdx n="0" f="v">
      <t c="6">
        <n x="24" s="1"/>
        <n x="21"/>
        <n x="78"/>
        <n x="49"/>
        <n x="103"/>
        <n x="18"/>
      </t>
    </mdx>
    <mdx n="0" f="v">
      <t c="6">
        <n x="23" s="1"/>
        <n x="24" s="1"/>
        <n x="21"/>
        <n x="78"/>
        <n x="79"/>
        <n x="158"/>
      </t>
    </mdx>
    <mdx n="0" f="v">
      <t c="6">
        <n x="23" s="1"/>
        <n x="24" s="1"/>
        <n x="21"/>
        <n x="78"/>
        <n x="70"/>
        <n x="161"/>
      </t>
    </mdx>
    <mdx n="0" f="v">
      <t c="6">
        <n x="23" s="1"/>
        <n x="24" s="1"/>
        <n x="21"/>
        <n x="78"/>
        <n x="70"/>
        <n x="157"/>
      </t>
    </mdx>
    <mdx n="0" f="v">
      <t c="6">
        <n x="23" s="1"/>
        <n x="24" s="1"/>
        <n x="21"/>
        <n x="75"/>
        <n x="35"/>
        <n x="159"/>
      </t>
    </mdx>
    <mdx n="0" f="v">
      <t c="6">
        <n x="23" s="1"/>
        <n x="24" s="1"/>
        <n x="21"/>
        <n x="75"/>
        <n x="35"/>
        <n x="158"/>
      </t>
    </mdx>
    <mdx n="0" f="v">
      <t c="6">
        <n x="23" s="1"/>
        <n x="24" s="1"/>
        <n x="21"/>
        <n x="78"/>
        <n x="66"/>
        <n x="158"/>
      </t>
    </mdx>
    <mdx n="0" f="v">
      <t c="6">
        <n x="23" s="1"/>
        <n x="24" s="1"/>
        <n x="21"/>
        <n x="78"/>
        <n x="66"/>
        <n x="159"/>
      </t>
    </mdx>
    <mdx n="0" f="v">
      <t c="6">
        <n x="23" s="1"/>
        <n x="24" s="1"/>
        <n x="21"/>
        <n x="76"/>
        <n x="56"/>
        <n x="157"/>
      </t>
    </mdx>
    <mdx n="0" f="v">
      <t c="6">
        <n x="4"/>
        <n x="24" s="1"/>
        <n x="21"/>
        <n x="80"/>
        <n x="72"/>
        <n x="160"/>
      </t>
    </mdx>
    <mdx n="0" f="v">
      <t c="6">
        <n x="23" s="1"/>
        <n x="24" s="1"/>
        <n x="21"/>
        <n x="76"/>
        <n x="46"/>
        <n x="161"/>
      </t>
    </mdx>
    <mdx n="0" f="v">
      <t c="6">
        <n x="23" s="1"/>
        <n x="24" s="1"/>
        <n x="21"/>
        <n x="76"/>
        <n x="41"/>
        <n x="161"/>
      </t>
    </mdx>
    <mdx n="0" f="v">
      <t c="6">
        <n x="23" s="1"/>
        <n x="24" s="1"/>
        <n x="21"/>
        <n x="76"/>
        <n x="37"/>
        <n x="157"/>
      </t>
    </mdx>
    <mdx n="0" f="v">
      <t c="6">
        <n x="23" s="1"/>
        <n x="24" s="1"/>
        <n x="21"/>
        <n x="76"/>
        <n x="57"/>
        <n x="157"/>
      </t>
    </mdx>
    <mdx n="0" f="v">
      <t c="6">
        <n x="4"/>
        <n x="24" s="1"/>
        <n x="21"/>
        <n x="76"/>
        <n x="37"/>
        <n x="160"/>
      </t>
    </mdx>
    <mdx n="0" f="v">
      <t c="6">
        <n x="23" s="1"/>
        <n x="24" s="1"/>
        <n x="21"/>
        <n x="76"/>
        <n x="53"/>
        <n x="158"/>
      </t>
    </mdx>
    <mdx n="0" f="v">
      <t c="6">
        <n x="23" s="1"/>
        <n x="24" s="1"/>
        <n x="21"/>
        <n x="76"/>
        <n x="38"/>
        <n x="161"/>
      </t>
    </mdx>
    <mdx n="0" f="v">
      <t c="6">
        <n x="23" s="1"/>
        <n x="24" s="1"/>
        <n x="21"/>
        <n x="76"/>
        <n x="77"/>
        <n x="161"/>
      </t>
    </mdx>
    <mdx n="0" f="v">
      <t c="6">
        <n x="23" s="1"/>
        <n x="24" s="1"/>
        <n x="21"/>
        <n x="80"/>
        <n x="73"/>
        <n x="157"/>
      </t>
    </mdx>
    <mdx n="0" f="v">
      <t c="6">
        <n x="23" s="1"/>
        <n x="24" s="1"/>
        <n x="21"/>
        <n x="76"/>
        <n x="38"/>
        <n x="159"/>
      </t>
    </mdx>
    <mdx n="0" f="v">
      <t c="6">
        <n x="23" s="1"/>
        <n x="24" s="1"/>
        <n x="21"/>
        <n x="80"/>
        <n x="69"/>
        <n x="157"/>
      </t>
    </mdx>
    <mdx n="0" f="v">
      <t c="6">
        <n x="18"/>
        <n x="24" s="1"/>
        <n x="21"/>
        <n x="76"/>
        <n x="67"/>
        <n x="103"/>
      </t>
    </mdx>
    <mdx n="0" f="v">
      <t c="6">
        <n x="4"/>
        <n x="24" s="1"/>
        <n x="21"/>
        <n x="76"/>
        <n x="27"/>
        <n x="160"/>
      </t>
    </mdx>
    <mdx n="0" f="v">
      <t c="6">
        <n x="23" s="1"/>
        <n x="24" s="1"/>
        <n x="21"/>
        <n x="76"/>
        <n x="55"/>
        <n x="159"/>
      </t>
    </mdx>
    <mdx n="0" f="v">
      <t c="6">
        <n x="23" s="1"/>
        <n x="24" s="1"/>
        <n x="21"/>
        <n x="76"/>
        <n x="52"/>
        <n x="158"/>
      </t>
    </mdx>
    <mdx n="0" f="v">
      <t c="6">
        <n x="23" s="1"/>
        <n x="24" s="1"/>
        <n x="21"/>
        <n x="80"/>
        <n x="69"/>
        <n x="161"/>
      </t>
    </mdx>
    <mdx n="0" f="v">
      <t c="6">
        <n x="23" s="1"/>
        <n x="24" s="1"/>
        <n x="21"/>
        <n x="80"/>
        <n x="72"/>
        <n x="161"/>
      </t>
    </mdx>
    <mdx n="0" f="v">
      <t c="6">
        <n x="23" s="1"/>
        <n x="24" s="1"/>
        <n x="21"/>
        <n x="76"/>
        <n x="52"/>
        <n x="159"/>
      </t>
    </mdx>
    <mdx n="0" f="v">
      <t c="6">
        <n x="18"/>
        <n x="24" s="1"/>
        <n x="21"/>
        <n x="76"/>
        <n x="56"/>
        <n x="103"/>
      </t>
    </mdx>
    <mdx n="0" f="v">
      <t c="6">
        <n x="18"/>
        <n x="24" s="1"/>
        <n x="21"/>
        <n x="76"/>
        <n x="52"/>
        <n x="103"/>
      </t>
    </mdx>
    <mdx n="0" f="v">
      <t c="6">
        <n x="23" s="1"/>
        <n x="24" s="1"/>
        <n x="21"/>
        <n x="76"/>
        <n x="27"/>
        <n x="158"/>
      </t>
    </mdx>
    <mdx n="0" f="v">
      <t c="6">
        <n x="23" s="1"/>
        <n x="24" s="1"/>
        <n x="21"/>
        <n x="76"/>
        <n x="27"/>
        <n x="157"/>
      </t>
    </mdx>
    <mdx n="0" f="v">
      <t c="6">
        <n x="23" s="1"/>
        <n x="24" s="1"/>
        <n x="21"/>
        <n x="76"/>
        <n x="52"/>
        <n x="157"/>
      </t>
    </mdx>
    <mdx n="0" f="v">
      <t c="6">
        <n x="23" s="1"/>
        <n x="24" s="1"/>
        <n x="21"/>
        <n x="80"/>
        <n x="73"/>
        <n x="159"/>
      </t>
    </mdx>
    <mdx n="0" f="v">
      <t c="6">
        <n x="18"/>
        <n x="24" s="1"/>
        <n x="21"/>
        <n x="80"/>
        <n x="72"/>
        <n x="103"/>
      </t>
    </mdx>
    <mdx n="0" f="v">
      <t c="6">
        <n x="18"/>
        <n x="24" s="1"/>
        <n x="21"/>
        <n x="76"/>
        <n x="46"/>
        <n x="103"/>
      </t>
    </mdx>
    <mdx n="0" f="v">
      <t c="6">
        <n x="4"/>
        <n x="24" s="1"/>
        <n x="21"/>
        <n x="76"/>
        <n x="41"/>
        <n x="160"/>
      </t>
    </mdx>
    <mdx n="0" f="v">
      <t c="6">
        <n x="23" s="1"/>
        <n x="24" s="1"/>
        <n x="21"/>
        <n x="76"/>
        <n x="60"/>
        <n x="161"/>
      </t>
    </mdx>
    <mdx n="0" f="v">
      <t c="6">
        <n x="4"/>
        <n x="24" s="1"/>
        <n x="21"/>
        <n x="80"/>
        <n x="74"/>
        <n x="160"/>
      </t>
    </mdx>
    <mdx n="0" f="v">
      <t c="6">
        <n x="23" s="1"/>
        <n x="24" s="1"/>
        <n x="21"/>
        <n x="76"/>
        <n x="58"/>
        <n x="161"/>
      </t>
    </mdx>
    <mdx n="0" f="v">
      <t c="6">
        <n x="23" s="1"/>
        <n x="24" s="1"/>
        <n x="21"/>
        <n x="76"/>
        <n x="57"/>
        <n x="158"/>
      </t>
    </mdx>
    <mdx n="0" f="v">
      <t c="6">
        <n x="23" s="1"/>
        <n x="24" s="1"/>
        <n x="21"/>
        <n x="80"/>
        <n x="74"/>
        <n x="161"/>
      </t>
    </mdx>
    <mdx n="0" f="v">
      <t c="6">
        <n x="23" s="1"/>
        <n x="24" s="1"/>
        <n x="21"/>
        <n x="76"/>
        <n x="44"/>
        <n x="158"/>
      </t>
    </mdx>
    <mdx n="0" f="v">
      <t c="6">
        <n x="23" s="1"/>
        <n x="24" s="1"/>
        <n x="21"/>
        <n x="76"/>
        <n x="34"/>
        <n x="157"/>
      </t>
    </mdx>
    <mdx n="0" f="v">
      <t c="6">
        <n x="4"/>
        <n x="24" s="1"/>
        <n x="21"/>
        <n x="76"/>
        <n x="38"/>
        <n x="160"/>
      </t>
    </mdx>
    <mdx n="0" f="v">
      <t c="6">
        <n x="23" s="1"/>
        <n x="24" s="1"/>
        <n x="21"/>
        <n x="76"/>
        <n x="55"/>
        <n x="158"/>
      </t>
    </mdx>
    <mdx n="0" f="v">
      <t c="6">
        <n x="5"/>
        <n x="24" s="1"/>
        <n x="21"/>
        <n x="76"/>
        <n x="53"/>
        <n x="22"/>
      </t>
    </mdx>
    <mdx n="0" f="v">
      <t c="6">
        <n x="23" s="1"/>
        <n x="24" s="1"/>
        <n x="21"/>
        <n x="80"/>
        <n x="74"/>
        <n x="159"/>
      </t>
    </mdx>
    <mdx n="0" f="v">
      <t c="6">
        <n x="23" s="1"/>
        <n x="24" s="1"/>
        <n x="21"/>
        <n x="80"/>
        <n x="72"/>
        <n x="159"/>
      </t>
    </mdx>
    <mdx n="0" f="v">
      <t c="6">
        <n x="23" s="1"/>
        <n x="24" s="1"/>
        <n x="21"/>
        <n x="80"/>
        <n x="69"/>
        <n x="159"/>
      </t>
    </mdx>
    <mdx n="0" f="v">
      <t c="6">
        <n x="5"/>
        <n x="24" s="1"/>
        <n x="21"/>
        <n x="80"/>
        <n x="72"/>
        <n x="22"/>
      </t>
    </mdx>
    <mdx n="0" f="v">
      <t c="6">
        <n x="23" s="1"/>
        <n x="24" s="1"/>
        <n x="21"/>
        <n x="80"/>
        <n x="74"/>
        <n x="157"/>
      </t>
    </mdx>
    <mdx n="0" f="v">
      <t c="6">
        <n x="23" s="1"/>
        <n x="24" s="1"/>
        <n x="21"/>
        <n x="76"/>
        <n x="34"/>
        <n x="159"/>
      </t>
    </mdx>
    <mdx n="0" f="v">
      <t c="6">
        <n x="18"/>
        <n x="24" s="1"/>
        <n x="21"/>
        <n x="76"/>
        <n x="60"/>
        <n x="103"/>
      </t>
    </mdx>
    <mdx n="0" f="v">
      <t c="6">
        <n x="4"/>
        <n x="24" s="1"/>
        <n x="21"/>
        <n x="80"/>
        <n x="73"/>
        <n x="160"/>
      </t>
    </mdx>
    <mdx n="0" f="v">
      <t c="6">
        <n x="4"/>
        <n x="24" s="1"/>
        <n x="21"/>
        <n x="76"/>
        <n x="58"/>
        <n x="160"/>
      </t>
    </mdx>
    <mdx n="0" f="v">
      <t c="6">
        <n x="23" s="1"/>
        <n x="24" s="1"/>
        <n x="21"/>
        <n x="76"/>
        <n x="53"/>
        <n x="159"/>
      </t>
    </mdx>
    <mdx n="0" f="v">
      <t c="6">
        <n x="23" s="1"/>
        <n x="24" s="1"/>
        <n x="21"/>
        <n x="76"/>
        <n x="53"/>
        <n x="161"/>
      </t>
    </mdx>
    <mdx n="0" f="v">
      <t c="6">
        <n x="5"/>
        <n x="24" s="1"/>
        <n x="21"/>
        <n x="76"/>
        <n x="27"/>
        <n x="22"/>
      </t>
    </mdx>
    <mdx n="0" f="v">
      <t c="6">
        <n x="23" s="1"/>
        <n x="24" s="1"/>
        <n x="21"/>
        <n x="76"/>
        <n x="44"/>
        <n x="161"/>
      </t>
    </mdx>
    <mdx n="0" f="v">
      <t c="6">
        <n x="5"/>
        <n x="24" s="1"/>
        <n x="21"/>
        <n x="76"/>
        <n x="57"/>
        <n x="22"/>
      </t>
    </mdx>
    <mdx n="0" f="v">
      <t c="6">
        <n x="5"/>
        <n x="24" s="1"/>
        <n x="21"/>
        <n x="76"/>
        <n x="44"/>
        <n x="22"/>
      </t>
    </mdx>
    <mdx n="0" f="v">
      <t c="6">
        <n x="23" s="1"/>
        <n x="24" s="1"/>
        <n x="21"/>
        <n x="76"/>
        <n x="46"/>
        <n x="158"/>
      </t>
    </mdx>
    <mdx n="0" f="v">
      <t c="6">
        <n x="5"/>
        <n x="24" s="1"/>
        <n x="21"/>
        <n x="76"/>
        <n x="77"/>
        <n x="22"/>
      </t>
    </mdx>
    <mdx n="0" f="v">
      <t c="6">
        <n x="5"/>
        <n x="24" s="1"/>
        <n x="21"/>
        <n x="80"/>
        <n x="82"/>
        <n x="22"/>
      </t>
    </mdx>
    <mdx n="0" f="v">
      <t c="6">
        <n x="5"/>
        <n x="24" s="1"/>
        <n x="21"/>
        <n x="76"/>
        <n x="38"/>
        <n x="22"/>
      </t>
    </mdx>
    <mdx n="0" f="v">
      <t c="6">
        <n x="23" s="1"/>
        <n x="24" s="1"/>
        <n x="21"/>
        <n x="76"/>
        <n x="55"/>
        <n x="161"/>
      </t>
    </mdx>
    <mdx n="0" f="v">
      <t c="6">
        <n x="18"/>
        <n x="24" s="1"/>
        <n x="21"/>
        <n x="76"/>
        <n x="58"/>
        <n x="103"/>
      </t>
    </mdx>
    <mdx n="0" f="v">
      <t c="6">
        <n x="23" s="1"/>
        <n x="24" s="1"/>
        <n x="21"/>
        <n x="76"/>
        <n x="37"/>
        <n x="159"/>
      </t>
    </mdx>
    <mdx n="0" f="v">
      <t c="6">
        <n x="23" s="1"/>
        <n x="24" s="1"/>
        <n x="21"/>
        <n x="76"/>
        <n x="27"/>
        <n x="159"/>
      </t>
    </mdx>
    <mdx n="0" f="v">
      <t c="6">
        <n x="5"/>
        <n x="24" s="1"/>
        <n x="21"/>
        <n x="76"/>
        <n x="58"/>
        <n x="22"/>
      </t>
    </mdx>
    <mdx n="0" f="v">
      <t c="6">
        <n x="5"/>
        <n x="24" s="1"/>
        <n x="21"/>
        <n x="80"/>
        <n x="73"/>
        <n x="22"/>
      </t>
    </mdx>
    <mdx n="0" f="v">
      <t c="6">
        <n x="23" s="1"/>
        <n x="24" s="1"/>
        <n x="21"/>
        <n x="76"/>
        <n x="46"/>
        <n x="159"/>
      </t>
    </mdx>
    <mdx n="0" f="v">
      <t c="6">
        <n x="5"/>
        <n x="24" s="1"/>
        <n x="21"/>
        <n x="76"/>
        <n x="56"/>
        <n x="22"/>
      </t>
    </mdx>
    <mdx n="0" f="v">
      <t c="6">
        <n x="23" s="1"/>
        <n x="24" s="1"/>
        <n x="21"/>
        <n x="76"/>
        <n x="55"/>
        <n x="157"/>
      </t>
    </mdx>
    <mdx n="0" f="v">
      <t c="6">
        <n x="4"/>
        <n x="24" s="1"/>
        <n x="21"/>
        <n x="76"/>
        <n x="44"/>
        <n x="160"/>
      </t>
    </mdx>
    <mdx n="0" f="v">
      <t c="6">
        <n x="23" s="1"/>
        <n x="24" s="1"/>
        <n x="21"/>
        <n x="76"/>
        <n x="77"/>
        <n x="157"/>
      </t>
    </mdx>
    <mdx n="0" f="v">
      <t c="6">
        <n x="23" s="1"/>
        <n x="24" s="1"/>
        <n x="21"/>
        <n x="76"/>
        <n x="38"/>
        <n x="157"/>
      </t>
    </mdx>
    <mdx n="0" f="v">
      <t c="6">
        <n x="23" s="1"/>
        <n x="24" s="1"/>
        <n x="21"/>
        <n x="76"/>
        <n x="58"/>
        <n x="158"/>
      </t>
    </mdx>
    <mdx n="0" f="v">
      <t c="6">
        <n x="18"/>
        <n x="24" s="1"/>
        <n x="21"/>
        <n x="76"/>
        <n x="53"/>
        <n x="103"/>
      </t>
    </mdx>
    <mdx n="0" f="v">
      <t c="6">
        <n x="23" s="1"/>
        <n x="24" s="1"/>
        <n x="21"/>
        <n x="76"/>
        <n x="37"/>
        <n x="158"/>
      </t>
    </mdx>
    <mdx n="0" f="v">
      <t c="6">
        <n x="18"/>
        <n x="24" s="1"/>
        <n x="21"/>
        <n x="76"/>
        <n x="77"/>
        <n x="103"/>
      </t>
    </mdx>
    <mdx n="0" f="v">
      <t c="6">
        <n x="23" s="1"/>
        <n x="24" s="1"/>
        <n x="21"/>
        <n x="76"/>
        <n x="60"/>
        <n x="158"/>
      </t>
    </mdx>
    <mdx n="0" f="v">
      <t c="6">
        <n x="23" s="1"/>
        <n x="24" s="1"/>
        <n x="21"/>
        <n x="76"/>
        <n x="31"/>
        <n x="157"/>
      </t>
    </mdx>
    <mdx n="0" f="v">
      <t c="6">
        <n x="5"/>
        <n x="24" s="1"/>
        <n x="21"/>
        <n x="76"/>
        <n x="67"/>
        <n x="22"/>
      </t>
    </mdx>
    <mdx n="0" f="v">
      <t c="6">
        <n x="4"/>
        <n x="24" s="1"/>
        <n x="21"/>
        <n x="80"/>
        <n x="82"/>
        <n x="160"/>
      </t>
    </mdx>
    <mdx n="0" f="v">
      <t c="6">
        <n x="5"/>
        <n x="24" s="1"/>
        <n x="21"/>
        <n x="76"/>
        <n x="34"/>
        <n x="22"/>
      </t>
    </mdx>
    <mdx n="0" f="v">
      <t c="6">
        <n x="4"/>
        <n x="24" s="1"/>
        <n x="21"/>
        <n x="76"/>
        <n x="42"/>
        <n x="160"/>
      </t>
    </mdx>
    <mdx n="0" f="v">
      <t c="6">
        <n x="23" s="1"/>
        <n x="24" s="1"/>
        <n x="21"/>
        <n x="80"/>
        <n x="69"/>
        <n x="158"/>
      </t>
    </mdx>
    <mdx n="0" f="v">
      <t c="6">
        <n x="23" s="1"/>
        <n x="24" s="1"/>
        <n x="21"/>
        <n x="76"/>
        <n x="31"/>
        <n x="161"/>
      </t>
    </mdx>
    <mdx n="0" f="v">
      <t c="6">
        <n x="18"/>
        <n x="24" s="1"/>
        <n x="21"/>
        <n x="76"/>
        <n x="34"/>
        <n x="103"/>
      </t>
    </mdx>
    <mdx n="0" f="v">
      <t c="6">
        <n x="23" s="1"/>
        <n x="24" s="1"/>
        <n x="21"/>
        <n x="80"/>
        <n x="72"/>
        <n x="157"/>
      </t>
    </mdx>
    <mdx n="0" f="v">
      <t c="6">
        <n x="4"/>
        <n x="24" s="1"/>
        <n x="21"/>
        <n x="80"/>
        <n x="69"/>
        <n x="160"/>
      </t>
    </mdx>
    <mdx n="0" f="v">
      <t c="6">
        <n x="18"/>
        <n x="24" s="1"/>
        <n x="21"/>
        <n x="76"/>
        <n x="57"/>
        <n x="103"/>
      </t>
    </mdx>
    <mdx n="0" f="v">
      <t c="6">
        <n x="23" s="1"/>
        <n x="24" s="1"/>
        <n x="21"/>
        <n x="80"/>
        <n x="73"/>
        <n x="158"/>
      </t>
    </mdx>
    <mdx n="0" f="v">
      <t c="6">
        <n x="23" s="1"/>
        <n x="24" s="1"/>
        <n x="21"/>
        <n x="76"/>
        <n x="60"/>
        <n x="157"/>
      </t>
    </mdx>
    <mdx n="0" f="v">
      <t c="6">
        <n x="23" s="1"/>
        <n x="24" s="1"/>
        <n x="21"/>
        <n x="76"/>
        <n x="27"/>
        <n x="161"/>
      </t>
    </mdx>
    <mdx n="0" f="v">
      <t c="6">
        <n x="18"/>
        <n x="24" s="1"/>
        <n x="21"/>
        <n x="76"/>
        <n x="38"/>
        <n x="103"/>
      </t>
    </mdx>
    <mdx n="0" f="v">
      <t c="6">
        <n x="18"/>
        <n x="24" s="1"/>
        <n x="21"/>
        <n x="80"/>
        <n x="69"/>
        <n x="103"/>
      </t>
    </mdx>
    <mdx n="0" f="v">
      <t c="6">
        <n x="23" s="1"/>
        <n x="24" s="1"/>
        <n x="21"/>
        <n x="76"/>
        <n x="38"/>
        <n x="158"/>
      </t>
    </mdx>
    <mdx n="0" f="v">
      <t c="6">
        <n x="23" s="1"/>
        <n x="24" s="1"/>
        <n x="21"/>
        <n x="76"/>
        <n x="34"/>
        <n x="158"/>
      </t>
    </mdx>
    <mdx n="0" f="v">
      <t c="6">
        <n x="23" s="1"/>
        <n x="24" s="1"/>
        <n x="21"/>
        <n x="76"/>
        <n x="42"/>
        <n x="161"/>
      </t>
    </mdx>
    <mdx n="0" f="v">
      <t c="6">
        <n x="18"/>
        <n x="24" s="1"/>
        <n x="21"/>
        <n x="76"/>
        <n x="41"/>
        <n x="103"/>
      </t>
    </mdx>
    <mdx n="0" f="v">
      <t c="6">
        <n x="23" s="1"/>
        <n x="24" s="1"/>
        <n x="21"/>
        <n x="76"/>
        <n x="56"/>
        <n x="158"/>
      </t>
    </mdx>
    <mdx n="0" f="v">
      <t c="6">
        <n x="5"/>
        <n x="24" s="1"/>
        <n x="21"/>
        <n x="76"/>
        <n x="37"/>
        <n x="22"/>
      </t>
    </mdx>
    <mdx n="0" f="v">
      <t c="6">
        <n x="5"/>
        <n x="24" s="1"/>
        <n x="21"/>
        <n x="76"/>
        <n x="52"/>
        <n x="22"/>
      </t>
    </mdx>
    <mdx n="0" f="v">
      <t c="6">
        <n x="23" s="1"/>
        <n x="24" s="1"/>
        <n x="21"/>
        <n x="76"/>
        <n x="58"/>
        <n x="159"/>
      </t>
    </mdx>
    <mdx n="0" f="v">
      <t c="6">
        <n x="23" s="1"/>
        <n x="24" s="1"/>
        <n x="21"/>
        <n x="76"/>
        <n x="41"/>
        <n x="157"/>
      </t>
    </mdx>
    <mdx n="0" f="v">
      <t c="6">
        <n x="4"/>
        <n x="24" s="1"/>
        <n x="21"/>
        <n x="76"/>
        <n x="57"/>
        <n x="160"/>
      </t>
    </mdx>
    <mdx n="0" f="v">
      <t c="6">
        <n x="23" s="1"/>
        <n x="24" s="1"/>
        <n x="21"/>
        <n x="76"/>
        <n x="44"/>
        <n x="159"/>
      </t>
    </mdx>
    <mdx n="0" f="v">
      <t c="6">
        <n x="5"/>
        <n x="24" s="1"/>
        <n x="21"/>
        <n x="80"/>
        <n x="69"/>
        <n x="22"/>
      </t>
    </mdx>
    <mdx n="0" f="v">
      <t c="6">
        <n x="18"/>
        <n x="24" s="1"/>
        <n x="21"/>
        <n x="76"/>
        <n x="27"/>
        <n x="103"/>
      </t>
    </mdx>
    <mdx n="0" f="v">
      <t c="6">
        <n x="23" s="1"/>
        <n x="24" s="1"/>
        <n x="21"/>
        <n x="76"/>
        <n x="60"/>
        <n x="159"/>
      </t>
    </mdx>
    <mdx n="0" f="v">
      <t c="6">
        <n x="23" s="1"/>
        <n x="24" s="1"/>
        <n x="21"/>
        <n x="76"/>
        <n x="53"/>
        <n x="157"/>
      </t>
    </mdx>
    <mdx n="0" f="v">
      <t c="6">
        <n x="18"/>
        <n x="24" s="1"/>
        <n x="21"/>
        <n x="76"/>
        <n x="42"/>
        <n x="103"/>
      </t>
    </mdx>
    <mdx n="0" f="v">
      <t c="6">
        <n x="23" s="1"/>
        <n x="24" s="1"/>
        <n x="21"/>
        <n x="80"/>
        <n x="72"/>
        <n x="158"/>
      </t>
    </mdx>
    <mdx n="0" f="v">
      <t c="6">
        <n x="4"/>
        <n x="24" s="1"/>
        <n x="21"/>
        <n x="76"/>
        <n x="53"/>
        <n x="160"/>
      </t>
    </mdx>
    <mdx n="0" f="v">
      <t c="6">
        <n x="23" s="1"/>
        <n x="24" s="1"/>
        <n x="21"/>
        <n x="76"/>
        <n x="46"/>
        <n x="157"/>
      </t>
    </mdx>
    <mdx n="0" f="v">
      <t c="6">
        <n x="5"/>
        <n x="24" s="1"/>
        <n x="21"/>
        <n x="76"/>
        <n x="42"/>
        <n x="22"/>
      </t>
    </mdx>
    <mdx n="0" f="v">
      <t c="6">
        <n x="23" s="1"/>
        <n x="24" s="1"/>
        <n x="21"/>
        <n x="80"/>
        <n x="74"/>
        <n x="158"/>
      </t>
    </mdx>
    <mdx n="0" f="v">
      <t c="6">
        <n x="5"/>
        <n x="24" s="1"/>
        <n x="21"/>
        <n x="76"/>
        <n x="41"/>
        <n x="22"/>
      </t>
    </mdx>
    <mdx n="0" f="v">
      <t c="6">
        <n x="18"/>
        <n x="24" s="1"/>
        <n x="21"/>
        <n x="76"/>
        <n x="37"/>
        <n x="103"/>
      </t>
    </mdx>
    <mdx n="0" f="v">
      <t c="6">
        <n x="5"/>
        <n x="24" s="1"/>
        <n x="21"/>
        <n x="76"/>
        <n x="60"/>
        <n x="22"/>
      </t>
    </mdx>
    <mdx n="0" f="v">
      <t c="6">
        <n x="23" s="1"/>
        <n x="24" s="1"/>
        <n x="21"/>
        <n x="76"/>
        <n x="44"/>
        <n x="157"/>
      </t>
    </mdx>
    <mdx n="0" f="v">
      <t c="6">
        <n x="23" s="1"/>
        <n x="24" s="1"/>
        <n x="21"/>
        <n x="76"/>
        <n x="37"/>
        <n x="161"/>
      </t>
    </mdx>
    <mdx n="0" f="v">
      <t c="6">
        <n x="23" s="1"/>
        <n x="24" s="1"/>
        <n x="21"/>
        <n x="76"/>
        <n x="41"/>
        <n x="158"/>
      </t>
    </mdx>
    <mdx n="0" f="v">
      <t c="6">
        <n x="23" s="1"/>
        <n x="24" s="1"/>
        <n x="21"/>
        <n x="76"/>
        <n x="77"/>
        <n x="158"/>
      </t>
    </mdx>
    <mdx n="0" f="v">
      <t c="6">
        <n x="23" s="1"/>
        <n x="24" s="1"/>
        <n x="21"/>
        <n x="76"/>
        <n x="57"/>
        <n x="159"/>
      </t>
    </mdx>
    <mdx n="0" f="v">
      <t c="6">
        <n x="5"/>
        <n x="24" s="1"/>
        <n x="21"/>
        <n x="80"/>
        <n x="74"/>
        <n x="22"/>
      </t>
    </mdx>
    <mdx n="0" f="v">
      <t c="6">
        <n x="23" s="1"/>
        <n x="24" s="1"/>
        <n x="21"/>
        <n x="76"/>
        <n x="56"/>
        <n x="161"/>
      </t>
    </mdx>
    <mdx n="0" f="v">
      <t c="6">
        <n x="4"/>
        <n x="24" s="1"/>
        <n x="21"/>
        <n x="76"/>
        <n x="31"/>
        <n x="160"/>
      </t>
    </mdx>
    <mdx n="0" f="v">
      <t c="6">
        <n x="23" s="1"/>
        <n x="24" s="1"/>
        <n x="21"/>
        <n x="76"/>
        <n x="42"/>
        <n x="157"/>
      </t>
    </mdx>
    <mdx n="0" f="v">
      <t c="6">
        <n x="5"/>
        <n x="24" s="1"/>
        <n x="21"/>
        <n x="76"/>
        <n x="31"/>
        <n x="22"/>
      </t>
    </mdx>
    <mdx n="0" f="v">
      <t c="6">
        <n x="5"/>
        <n x="24" s="1"/>
        <n x="21"/>
        <n x="76"/>
        <n x="46"/>
        <n x="22"/>
      </t>
    </mdx>
    <mdx n="0" f="v">
      <t c="6">
        <n x="23" s="1"/>
        <n x="24" s="1"/>
        <n x="21"/>
        <n x="80"/>
        <n x="73"/>
        <n x="161"/>
      </t>
    </mdx>
    <mdx n="0" f="v">
      <t c="6">
        <n x="23" s="1"/>
        <n x="24" s="1"/>
        <n x="21"/>
        <n x="76"/>
        <n x="56"/>
        <n x="159"/>
      </t>
    </mdx>
    <mdx n="0" f="v">
      <t c="6">
        <n x="23" s="1"/>
        <n x="24" s="1"/>
        <n x="21"/>
        <n x="76"/>
        <n x="58"/>
        <n x="157"/>
      </t>
    </mdx>
    <mdx n="0" f="v">
      <t c="6">
        <n x="4"/>
        <n x="24" s="1"/>
        <n x="21"/>
        <n x="76"/>
        <n x="55"/>
        <n x="160"/>
      </t>
    </mdx>
    <mdx n="0" f="v">
      <t c="6">
        <n x="4"/>
        <n x="24" s="1"/>
        <n x="21"/>
        <n x="76"/>
        <n x="77"/>
        <n x="160"/>
      </t>
    </mdx>
    <mdx n="0" f="v">
      <t c="6">
        <n x="5"/>
        <n x="24" s="1"/>
        <n x="21"/>
        <n x="76"/>
        <n x="55"/>
        <n x="22"/>
      </t>
    </mdx>
    <mdx n="0" f="v">
      <t c="6">
        <n x="23" s="1"/>
        <n x="24" s="1"/>
        <n x="21"/>
        <n x="76"/>
        <n x="42"/>
        <n x="158"/>
      </t>
    </mdx>
    <mdx n="0" f="v">
      <t c="6">
        <n x="23" s="1"/>
        <n x="24" s="1"/>
        <n x="21"/>
        <n x="76"/>
        <n x="57"/>
        <n x="161"/>
      </t>
    </mdx>
    <mdx n="0" f="v">
      <t c="6">
        <n x="18"/>
        <n x="24" s="1"/>
        <n x="21"/>
        <n x="76"/>
        <n x="55"/>
        <n x="103"/>
      </t>
    </mdx>
    <mdx n="0" f="v">
      <t c="6">
        <n x="23" s="1"/>
        <n x="24" s="1"/>
        <n x="21"/>
        <n x="76"/>
        <n x="77"/>
        <n x="159"/>
      </t>
    </mdx>
    <mdx n="0" f="v">
      <t c="6">
        <n x="4"/>
        <n x="24" s="1"/>
        <n x="21"/>
        <n x="76"/>
        <n x="67"/>
        <n x="160"/>
      </t>
    </mdx>
    <mdx n="0" f="v">
      <t c="6">
        <n x="23" s="1"/>
        <n x="24" s="1"/>
        <n x="21"/>
        <n x="76"/>
        <n x="31"/>
        <n x="159"/>
      </t>
    </mdx>
    <mdx n="0" f="v">
      <t c="6">
        <n x="23" s="1"/>
        <n x="24" s="1"/>
        <n x="21"/>
        <n x="76"/>
        <n x="34"/>
        <n x="161"/>
      </t>
    </mdx>
    <mdx n="0" f="v">
      <t c="6">
        <n x="23" s="1"/>
        <n x="24" s="1"/>
        <n x="21"/>
        <n x="76"/>
        <n x="52"/>
        <n x="161"/>
      </t>
    </mdx>
    <mdx n="0" f="v">
      <t c="6">
        <n x="23" s="1"/>
        <n x="24" s="1"/>
        <n x="21"/>
        <n x="76"/>
        <n x="41"/>
        <n x="159"/>
      </t>
    </mdx>
    <mdx n="0" f="v">
      <t c="6">
        <n x="23" s="1"/>
        <n x="24" s="1"/>
        <n x="21"/>
        <n x="76"/>
        <n x="42"/>
        <n x="159"/>
      </t>
    </mdx>
    <mdx n="0" f="v">
      <t c="6">
        <n x="23" s="1"/>
        <n x="24" s="1"/>
        <n x="21"/>
        <n x="76"/>
        <n x="31"/>
        <n x="158"/>
      </t>
    </mdx>
    <mdx n="0" f="v">
      <t c="6">
        <n x="4"/>
        <n x="24" s="1"/>
        <n x="21"/>
        <n x="76"/>
        <n x="46"/>
        <n x="160"/>
      </t>
    </mdx>
    <mdx n="0" f="v">
      <t c="6">
        <n x="4"/>
        <n x="24" s="1"/>
        <n x="21"/>
        <n x="76"/>
        <n x="60"/>
        <n x="160"/>
      </t>
    </mdx>
    <mdx n="0" f="v">
      <t c="6">
        <n x="4"/>
        <n x="24" s="1"/>
        <n x="21"/>
        <n x="76"/>
        <n x="52"/>
        <n x="160"/>
      </t>
    </mdx>
    <mdx n="0" f="v">
      <t c="6">
        <n x="4"/>
        <n x="24" s="1"/>
        <n x="21"/>
        <n x="76"/>
        <n x="56"/>
        <n x="160"/>
      </t>
    </mdx>
    <mdx n="0" f="v">
      <t c="6">
        <n x="4"/>
        <n x="24" s="1"/>
        <n x="21"/>
        <n x="76"/>
        <n x="34"/>
        <n x="160"/>
      </t>
    </mdx>
    <mdx n="0" f="v">
      <t c="6">
        <n x="18"/>
        <n x="24" s="1"/>
        <n x="21"/>
        <n x="76"/>
        <n x="31"/>
        <n x="103"/>
      </t>
    </mdx>
    <mdx n="0" f="v">
      <t c="6">
        <n x="18"/>
        <n x="24" s="1"/>
        <n x="21"/>
        <n x="80"/>
        <n x="82"/>
        <n x="103"/>
      </t>
    </mdx>
    <mdx n="0" f="v">
      <t c="6">
        <n x="18"/>
        <n x="24" s="1"/>
        <n x="21"/>
        <n x="76"/>
        <n x="44"/>
        <n x="103"/>
      </t>
    </mdx>
    <mdx n="0" f="v">
      <t c="6">
        <n x="18"/>
        <n x="24" s="1"/>
        <n x="21"/>
        <n x="80"/>
        <n x="73"/>
        <n x="103"/>
      </t>
    </mdx>
    <mdx n="0" f="v">
      <t c="6">
        <n x="18"/>
        <n x="24" s="1"/>
        <n x="21"/>
        <n x="80"/>
        <n x="74"/>
        <n x="103"/>
      </t>
    </mdx>
    <mdx n="0" f="m">
      <t c="1">
        <n x="164"/>
      </t>
    </mdx>
    <mdx n="0" f="s">
      <ms ns="165" c="0"/>
    </mdx>
    <mdx n="0" f="v">
      <t c="6">
        <n x="165" s="1"/>
        <n x="24" s="1"/>
        <n x="21"/>
        <n x="26"/>
        <n x="60"/>
        <n x="161"/>
      </t>
    </mdx>
    <mdx n="0" f="v">
      <t c="6">
        <n x="165" s="1"/>
        <n x="24" s="1"/>
        <n x="21"/>
        <n x="26"/>
        <n x="57"/>
        <n x="158"/>
      </t>
    </mdx>
    <mdx n="0" f="v">
      <t c="5">
        <n x="165" s="1"/>
        <n x="24" s="1"/>
        <n x="21"/>
        <n x="32"/>
        <n x="159"/>
      </t>
    </mdx>
    <mdx n="0" f="v">
      <t c="6">
        <n x="165" s="1"/>
        <n x="24" s="1"/>
        <n x="21"/>
        <n x="29"/>
        <n x="39"/>
        <n x="157"/>
      </t>
    </mdx>
    <mdx n="0" f="v">
      <t c="6">
        <n x="165" s="1"/>
        <n x="24" s="1"/>
        <n x="21"/>
        <n x="32"/>
        <n x="33"/>
        <n x="157"/>
      </t>
    </mdx>
    <mdx n="0" f="v">
      <t c="6">
        <n x="165" s="1"/>
        <n x="24" s="1"/>
        <n x="21"/>
        <n x="28"/>
        <n x="55"/>
        <n x="158"/>
      </t>
    </mdx>
    <mdx n="0" f="v">
      <t c="6">
        <n x="165" s="1"/>
        <n x="24" s="1"/>
        <n x="21"/>
        <n x="29"/>
        <n x="54"/>
        <n x="158"/>
      </t>
    </mdx>
    <mdx n="0" f="v">
      <t c="5">
        <n x="165" s="1"/>
        <n x="24" s="1"/>
        <n x="21"/>
        <n x="32"/>
        <n x="161"/>
      </t>
    </mdx>
    <mdx n="0" f="v">
      <t c="6">
        <n x="165" s="1"/>
        <n x="24" s="1"/>
        <n x="21"/>
        <n x="29"/>
        <n x="30"/>
        <n x="157"/>
      </t>
    </mdx>
    <mdx n="0" f="v">
      <t c="6">
        <n x="165" s="1"/>
        <n x="24" s="1"/>
        <n x="21"/>
        <n x="62"/>
        <n x="73"/>
        <n x="158"/>
      </t>
    </mdx>
    <mdx n="0" f="v">
      <t c="6">
        <n x="165" s="1"/>
        <n x="24" s="1"/>
        <n x="21"/>
        <n x="32"/>
        <n x="66"/>
        <n x="161"/>
      </t>
    </mdx>
    <mdx n="0" f="v">
      <t c="6">
        <n x="165" s="1"/>
        <n x="24" s="1"/>
        <n x="21"/>
        <n x="29"/>
        <n x="50"/>
        <n x="161"/>
      </t>
    </mdx>
    <mdx n="0" f="v">
      <t c="6">
        <n x="165" s="1"/>
        <n x="24" s="1"/>
        <n x="21"/>
        <n x="28"/>
        <n x="58"/>
        <n x="159"/>
      </t>
    </mdx>
    <mdx n="0" f="v">
      <t c="6">
        <n x="165" s="1"/>
        <n x="24" s="1"/>
        <n x="21"/>
        <n x="62"/>
        <n x="72"/>
        <n x="161"/>
      </t>
    </mdx>
    <mdx n="0" f="v">
      <t c="6">
        <n x="165" s="1"/>
        <n x="24" s="1"/>
        <n x="21"/>
        <n x="32"/>
        <n x="63"/>
        <n x="159"/>
      </t>
    </mdx>
    <mdx n="0" f="v">
      <t c="6">
        <n x="165" s="1"/>
        <n x="24" s="1"/>
        <n x="21"/>
        <n x="26"/>
        <n x="57"/>
        <n x="157"/>
      </t>
    </mdx>
    <mdx n="0" f="v">
      <t c="6">
        <n x="165" s="1"/>
        <n x="24" s="1"/>
        <n x="21"/>
        <n x="28"/>
        <n x="58"/>
        <n x="158"/>
      </t>
    </mdx>
    <mdx n="0" f="v">
      <t c="6">
        <n x="165" s="1"/>
        <n x="24" s="1"/>
        <n x="21"/>
        <n x="26"/>
        <n x="44"/>
        <n x="159"/>
      </t>
    </mdx>
    <mdx n="0" f="v">
      <t c="6">
        <n x="165" s="1"/>
        <n x="24" s="1"/>
        <n x="21"/>
        <n x="26"/>
        <n x="31"/>
        <n x="158"/>
      </t>
    </mdx>
    <mdx n="0" f="v">
      <t c="6">
        <n x="165" s="1"/>
        <n x="24" s="1"/>
        <n x="21"/>
        <n x="28"/>
        <n x="42"/>
        <n x="159"/>
      </t>
    </mdx>
    <mdx n="0" f="v">
      <t c="6">
        <n x="165" s="1"/>
        <n x="24" s="1"/>
        <n x="21"/>
        <n x="28"/>
        <n x="55"/>
        <n x="159"/>
      </t>
    </mdx>
    <mdx n="0" f="v">
      <t c="5">
        <n x="165" s="1"/>
        <n x="24" s="1"/>
        <n x="21"/>
        <n x="65"/>
        <n x="158"/>
      </t>
    </mdx>
    <mdx n="0" f="v">
      <t c="6">
        <n x="165" s="1"/>
        <n x="24" s="1"/>
        <n x="21"/>
        <n x="26"/>
        <n x="27"/>
        <n x="158"/>
      </t>
    </mdx>
    <mdx n="0" f="v">
      <t c="6">
        <n x="165" s="1"/>
        <n x="24" s="1"/>
        <n x="21"/>
        <n x="26"/>
        <n x="38"/>
        <n x="161"/>
      </t>
    </mdx>
    <mdx n="0" f="v">
      <t c="5">
        <n x="165" s="1"/>
        <n x="24" s="1"/>
        <n x="21"/>
        <n x="65"/>
        <n x="157"/>
      </t>
    </mdx>
    <mdx n="0" f="v">
      <t c="6">
        <n x="165" s="1"/>
        <n x="24" s="1"/>
        <n x="21"/>
        <n x="29"/>
        <n x="54"/>
        <n x="161"/>
      </t>
    </mdx>
    <mdx n="0" f="v">
      <t c="6">
        <n x="165" s="1"/>
        <n x="24" s="1"/>
        <n x="21"/>
        <n x="32"/>
        <n x="70"/>
        <n x="159"/>
      </t>
    </mdx>
    <mdx n="0" f="v">
      <t c="6">
        <n x="165" s="1"/>
        <n x="24" s="1"/>
        <n x="21"/>
        <n x="26"/>
        <n x="56"/>
        <n x="158"/>
      </t>
    </mdx>
    <mdx n="0" f="v">
      <t c="6">
        <n x="165" s="1"/>
        <n x="24" s="1"/>
        <n x="21"/>
        <n x="26"/>
        <n x="56"/>
        <n x="159"/>
      </t>
    </mdx>
    <mdx n="0" f="v">
      <t c="6">
        <n x="165" s="1"/>
        <n x="24" s="1"/>
        <n x="21"/>
        <n x="29"/>
        <n x="50"/>
        <n x="158"/>
      </t>
    </mdx>
    <mdx n="0" f="v">
      <t c="5">
        <n x="165" s="1"/>
        <n x="24" s="1"/>
        <n x="21"/>
        <n x="32"/>
        <n x="158"/>
      </t>
    </mdx>
    <mdx n="0" f="v">
      <t c="6">
        <n x="165" s="1"/>
        <n x="24" s="1"/>
        <n x="21"/>
        <n x="26"/>
        <n x="41"/>
        <n x="157"/>
      </t>
    </mdx>
    <mdx n="0" f="v">
      <t c="6">
        <n x="165" s="1"/>
        <n x="24" s="1"/>
        <n x="21"/>
        <n x="26"/>
        <n x="56"/>
        <n x="161"/>
      </t>
    </mdx>
    <mdx n="0" f="v">
      <t c="6">
        <n x="165" s="1"/>
        <n x="24" s="1"/>
        <n x="21"/>
        <n x="62"/>
        <n x="74"/>
        <n x="157"/>
      </t>
    </mdx>
    <mdx n="0" f="v">
      <t c="6">
        <n x="165" s="1"/>
        <n x="24" s="1"/>
        <n x="21"/>
        <n x="28"/>
        <n x="42"/>
        <n x="158"/>
      </t>
    </mdx>
    <mdx n="0" f="v">
      <t c="6">
        <n x="165" s="1"/>
        <n x="24" s="1"/>
        <n x="21"/>
        <n x="29"/>
        <n x="35"/>
        <n x="158"/>
      </t>
    </mdx>
    <mdx n="0" f="v">
      <t c="6">
        <n x="165" s="1"/>
        <n x="24" s="1"/>
        <n x="21"/>
        <n x="48"/>
        <n x="49"/>
        <n x="158"/>
      </t>
    </mdx>
    <mdx n="0" f="v">
      <t c="6">
        <n x="165" s="1"/>
        <n x="24" s="1"/>
        <n x="21"/>
        <n x="62"/>
        <n x="73"/>
        <n x="157"/>
      </t>
    </mdx>
    <mdx n="0" f="v">
      <t c="6">
        <n x="165" s="1"/>
        <n x="24" s="1"/>
        <n x="21"/>
        <n x="26"/>
        <n x="60"/>
        <n x="158"/>
      </t>
    </mdx>
    <mdx n="0" f="v">
      <t c="6">
        <n x="165" s="1"/>
        <n x="24" s="1"/>
        <n x="21"/>
        <n x="29"/>
        <n x="47"/>
        <n x="157"/>
      </t>
    </mdx>
    <mdx n="0" f="v">
      <t c="6">
        <n x="165" s="1"/>
        <n x="24" s="1"/>
        <n x="21"/>
        <n x="26"/>
        <n x="34"/>
        <n x="157"/>
      </t>
    </mdx>
    <mdx n="0" f="v">
      <t c="6">
        <n x="165" s="1"/>
        <n x="24" s="1"/>
        <n x="21"/>
        <n x="26"/>
        <n x="27"/>
        <n x="157"/>
      </t>
    </mdx>
    <mdx n="0" f="v">
      <t c="6">
        <n x="165" s="1"/>
        <n x="24" s="1"/>
        <n x="21"/>
        <n x="26"/>
        <n x="44"/>
        <n x="161"/>
      </t>
    </mdx>
    <mdx n="0" f="v">
      <t c="5">
        <n x="165" s="1"/>
        <n x="24" s="1"/>
        <n x="21"/>
        <n x="28"/>
        <n x="159"/>
      </t>
    </mdx>
    <mdx n="0" f="v">
      <t c="6">
        <n x="165" s="1"/>
        <n x="24" s="1"/>
        <n x="21"/>
        <n x="32"/>
        <n x="70"/>
        <n x="157"/>
      </t>
    </mdx>
    <mdx n="0" f="v">
      <t c="5">
        <n x="165" s="1"/>
        <n x="24" s="1"/>
        <n x="21"/>
        <n x="28"/>
        <n x="161"/>
      </t>
    </mdx>
    <mdx n="0" f="v">
      <t c="6">
        <n x="165" s="1"/>
        <n x="24" s="1"/>
        <n x="21"/>
        <n x="29"/>
        <n x="43"/>
        <n x="158"/>
      </t>
    </mdx>
    <mdx n="0" f="v">
      <t c="5">
        <n x="165" s="1"/>
        <n x="24" s="1"/>
        <n x="21"/>
        <n x="29"/>
        <n x="158"/>
      </t>
    </mdx>
    <mdx n="0" f="v">
      <t c="5">
        <n x="165" s="1"/>
        <n x="24" s="1"/>
        <n x="21"/>
        <n x="29"/>
        <n x="159"/>
      </t>
    </mdx>
    <mdx n="0" f="v">
      <t c="6">
        <n x="165" s="1"/>
        <n x="24" s="1"/>
        <n x="21"/>
        <n x="48"/>
        <n x="64"/>
        <n x="158"/>
      </t>
    </mdx>
    <mdx n="0" f="v">
      <t c="6">
        <n x="165" s="1"/>
        <n x="24" s="1"/>
        <n x="21"/>
        <n x="26"/>
        <n x="52"/>
        <n x="159"/>
      </t>
    </mdx>
    <mdx n="0" f="v">
      <t c="5">
        <n x="165" s="1"/>
        <n x="24" s="1"/>
        <n x="21"/>
        <n x="65"/>
        <n x="161"/>
      </t>
    </mdx>
    <mdx n="0" f="v">
      <t c="5">
        <n x="165" s="1"/>
        <n x="24" s="1"/>
        <n x="21"/>
        <n x="48"/>
        <n x="157"/>
      </t>
    </mdx>
    <mdx n="0" f="v">
      <t c="6">
        <n x="165" s="1"/>
        <n x="24" s="1"/>
        <n x="21"/>
        <n x="28"/>
        <n x="53"/>
        <n x="159"/>
      </t>
    </mdx>
    <mdx n="0" f="v">
      <t c="5">
        <n x="165" s="1"/>
        <n x="24" s="1"/>
        <n x="21"/>
        <n x="26"/>
        <n x="159"/>
      </t>
    </mdx>
    <mdx n="0" f="v">
      <t c="6">
        <n x="165" s="1"/>
        <n x="24" s="1"/>
        <n x="21"/>
        <n x="32"/>
        <n x="70"/>
        <n x="161"/>
      </t>
    </mdx>
    <mdx n="0" f="v">
      <t c="6">
        <n x="165" s="1"/>
        <n x="24" s="1"/>
        <n x="21"/>
        <n x="32"/>
        <n x="33"/>
        <n x="159"/>
      </t>
    </mdx>
    <mdx n="0" f="v">
      <t c="6">
        <n x="165" s="1"/>
        <n x="24" s="1"/>
        <n x="21"/>
        <n x="29"/>
        <n x="50"/>
        <n x="159"/>
      </t>
    </mdx>
    <mdx n="0" f="v">
      <t c="5">
        <n x="165" s="1"/>
        <n x="24" s="1"/>
        <n x="21"/>
        <n x="36"/>
        <n x="158"/>
      </t>
    </mdx>
    <mdx n="0" f="v">
      <t c="6">
        <n x="165" s="1"/>
        <n x="24" s="1"/>
        <n x="21"/>
        <n x="29"/>
        <n x="54"/>
        <n x="159"/>
      </t>
    </mdx>
    <mdx n="0" f="v">
      <t c="6">
        <n x="165" s="1"/>
        <n x="24" s="1"/>
        <n x="21"/>
        <n x="26"/>
        <n x="31"/>
        <n x="159"/>
      </t>
    </mdx>
    <mdx n="0" f="v">
      <t c="5">
        <n x="165" s="1"/>
        <n x="24" s="1"/>
        <n x="21"/>
        <n x="61"/>
        <n x="159"/>
      </t>
    </mdx>
    <mdx n="0" f="v">
      <t c="6">
        <n x="165" s="1"/>
        <n x="24" s="1"/>
        <n x="21"/>
        <n x="62"/>
        <n x="74"/>
        <n x="158"/>
      </t>
    </mdx>
    <mdx n="0" f="v">
      <t c="6">
        <n x="165" s="1"/>
        <n x="24" s="1"/>
        <n x="21"/>
        <n x="29"/>
        <n x="45"/>
        <n x="159"/>
      </t>
    </mdx>
    <mdx n="0" f="v">
      <t c="6">
        <n x="165" s="1"/>
        <n x="24" s="1"/>
        <n x="21"/>
        <n x="29"/>
        <n x="59"/>
        <n x="157"/>
      </t>
    </mdx>
    <mdx n="0" f="v">
      <t c="6">
        <n x="165" s="1"/>
        <n x="24" s="1"/>
        <n x="21"/>
        <n x="26"/>
        <n x="34"/>
        <n x="161"/>
      </t>
    </mdx>
    <mdx n="0" f="v">
      <t c="6">
        <n x="165" s="1"/>
        <n x="24" s="1"/>
        <n x="21"/>
        <n x="29"/>
        <n x="43"/>
        <n x="157"/>
      </t>
    </mdx>
    <mdx n="0" f="v">
      <t c="6">
        <n x="165" s="1"/>
        <n x="24" s="1"/>
        <n x="21"/>
        <n x="29"/>
        <n x="30"/>
        <n x="161"/>
      </t>
    </mdx>
    <mdx n="0" f="v">
      <t c="6">
        <n x="165" s="1"/>
        <n x="24" s="1"/>
        <n x="21"/>
        <n x="26"/>
        <n x="34"/>
        <n x="158"/>
      </t>
    </mdx>
    <mdx n="0" f="v">
      <t c="6">
        <n x="165" s="1"/>
        <n x="24" s="1"/>
        <n x="21"/>
        <n x="32"/>
        <n x="33"/>
        <n x="158"/>
      </t>
    </mdx>
    <mdx n="0" f="v">
      <t c="6">
        <n x="165" s="1"/>
        <n x="24" s="1"/>
        <n x="21"/>
        <n x="29"/>
        <n x="39"/>
        <n x="159"/>
      </t>
    </mdx>
    <mdx n="0" f="v">
      <t c="6">
        <n x="165" s="1"/>
        <n x="24" s="1"/>
        <n x="21"/>
        <n x="48"/>
        <n x="64"/>
        <n x="157"/>
      </t>
    </mdx>
    <mdx n="0" f="v">
      <t c="6">
        <n x="165" s="1"/>
        <n x="24" s="1"/>
        <n x="21"/>
        <n x="29"/>
        <n x="59"/>
        <n x="158"/>
      </t>
    </mdx>
    <mdx n="0" f="v">
      <t c="5">
        <n x="165" s="1"/>
        <n x="24" s="1"/>
        <n x="21"/>
        <n x="29"/>
        <n x="157"/>
      </t>
    </mdx>
    <mdx n="0" f="v">
      <t c="6">
        <n x="165" s="1"/>
        <n x="24" s="1"/>
        <n x="21"/>
        <n x="62"/>
        <n x="74"/>
        <n x="159"/>
      </t>
    </mdx>
    <mdx n="0" f="v">
      <t c="6">
        <n x="165" s="1"/>
        <n x="24" s="1"/>
        <n x="21"/>
        <n x="29"/>
        <n x="39"/>
        <n x="158"/>
      </t>
    </mdx>
    <mdx n="0" f="v">
      <t c="6">
        <n x="165" s="1"/>
        <n x="24" s="1"/>
        <n x="21"/>
        <n x="36"/>
        <n x="37"/>
        <n x="157"/>
      </t>
    </mdx>
    <mdx n="0" f="v">
      <t c="6">
        <n x="165" s="1"/>
        <n x="24" s="1"/>
        <n x="21"/>
        <n x="28"/>
        <n x="53"/>
        <n x="157"/>
      </t>
    </mdx>
    <mdx n="0" f="v">
      <t c="6">
        <n x="165" s="1"/>
        <n x="24" s="1"/>
        <n x="21"/>
        <n x="26"/>
        <n x="46"/>
        <n x="159"/>
      </t>
    </mdx>
    <mdx n="0" f="v">
      <t c="6">
        <n x="165" s="1"/>
        <n x="24" s="1"/>
        <n x="21"/>
        <n x="29"/>
        <n x="51"/>
        <n x="157"/>
      </t>
    </mdx>
    <mdx n="0" f="v">
      <t c="6">
        <n x="165" s="1"/>
        <n x="24" s="1"/>
        <n x="21"/>
        <n x="26"/>
        <n x="27"/>
        <n x="159"/>
      </t>
    </mdx>
    <mdx n="0" f="v">
      <t c="6">
        <n x="165" s="1"/>
        <n x="24" s="1"/>
        <n x="21"/>
        <n x="29"/>
        <n x="30"/>
        <n x="159"/>
      </t>
    </mdx>
    <mdx n="0" f="v">
      <t c="6">
        <n x="165" s="1"/>
        <n x="24" s="1"/>
        <n x="21"/>
        <n x="26"/>
        <n x="41"/>
        <n x="161"/>
      </t>
    </mdx>
    <mdx n="0" f="v">
      <t c="6">
        <n x="165" s="1"/>
        <n x="24" s="1"/>
        <n x="21"/>
        <n x="26"/>
        <n x="41"/>
        <n x="158"/>
      </t>
    </mdx>
    <mdx n="0" f="v">
      <t c="6">
        <n x="165" s="1"/>
        <n x="24" s="1"/>
        <n x="21"/>
        <n x="29"/>
        <n x="47"/>
        <n x="161"/>
      </t>
    </mdx>
    <mdx n="0" f="v">
      <t c="5">
        <n x="165" s="1"/>
        <n x="24" s="1"/>
        <n x="21"/>
        <n x="36"/>
        <n x="157"/>
      </t>
    </mdx>
    <mdx n="0" f="v">
      <t c="6">
        <n x="165" s="1"/>
        <n x="24" s="1"/>
        <n x="21"/>
        <n x="29"/>
        <n x="51"/>
        <n x="158"/>
      </t>
    </mdx>
    <mdx n="0" f="v">
      <t c="6">
        <n x="165" s="1"/>
        <n x="24" s="1"/>
        <n x="21"/>
        <n x="48"/>
        <n x="64"/>
        <n x="159"/>
      </t>
    </mdx>
    <mdx n="0" f="v">
      <t c="6">
        <n x="165" s="1"/>
        <n x="24" s="1"/>
        <n x="21"/>
        <n x="28"/>
        <n x="58"/>
        <n x="157"/>
      </t>
    </mdx>
    <mdx n="0" f="v">
      <t c="6">
        <n x="165" s="1"/>
        <n x="24" s="1"/>
        <n x="21"/>
        <n x="26"/>
        <n x="57"/>
        <n x="161"/>
      </t>
    </mdx>
    <mdx n="0" f="v">
      <t c="6">
        <n x="165" s="1"/>
        <n x="24" s="1"/>
        <n x="21"/>
        <n x="62"/>
        <n x="72"/>
        <n x="159"/>
      </t>
    </mdx>
    <mdx n="0" f="v">
      <t c="6">
        <n x="165" s="1"/>
        <n x="24" s="1"/>
        <n x="21"/>
        <n x="26"/>
        <n x="52"/>
        <n x="158"/>
      </t>
    </mdx>
    <mdx n="0" f="v">
      <t c="6">
        <n x="165" s="1"/>
        <n x="24" s="1"/>
        <n x="21"/>
        <n x="28"/>
        <n x="53"/>
        <n x="158"/>
      </t>
    </mdx>
    <mdx n="0" f="v">
      <t c="6">
        <n x="165" s="1"/>
        <n x="24" s="1"/>
        <n x="21"/>
        <n x="48"/>
        <n x="64"/>
        <n x="161"/>
      </t>
    </mdx>
    <mdx n="0" f="v">
      <t c="5">
        <n x="165" s="1"/>
        <n x="24" s="1"/>
        <n x="21"/>
        <n x="28"/>
        <n x="158"/>
      </t>
    </mdx>
    <mdx n="0" f="v">
      <t c="6">
        <n x="165" s="1"/>
        <n x="24" s="1"/>
        <n x="21"/>
        <n x="62"/>
        <n x="74"/>
        <n x="161"/>
      </t>
    </mdx>
    <mdx n="0" f="v">
      <t c="6">
        <n x="165" s="1"/>
        <n x="24" s="1"/>
        <n x="21"/>
        <n x="29"/>
        <n x="45"/>
        <n x="161"/>
      </t>
    </mdx>
    <mdx n="0" f="v">
      <t c="6">
        <n x="165" s="1"/>
        <n x="24" s="1"/>
        <n x="21"/>
        <n x="26"/>
        <n x="52"/>
        <n x="161"/>
      </t>
    </mdx>
    <mdx n="0" f="v">
      <t c="6">
        <n x="165" s="1"/>
        <n x="24" s="1"/>
        <n x="21"/>
        <n x="29"/>
        <n x="35"/>
        <n x="159"/>
      </t>
    </mdx>
    <mdx n="0" f="v">
      <t c="5">
        <n x="165" s="1"/>
        <n x="24" s="1"/>
        <n x="21"/>
        <n x="28"/>
        <n x="157"/>
      </t>
    </mdx>
    <mdx n="0" f="v">
      <t c="6">
        <n x="165" s="1"/>
        <n x="24" s="1"/>
        <n x="21"/>
        <n x="28"/>
        <n x="55"/>
        <n x="157"/>
      </t>
    </mdx>
    <mdx n="0" f="v">
      <t c="6">
        <n x="165" s="1"/>
        <n x="24" s="1"/>
        <n x="21"/>
        <n x="26"/>
        <n x="46"/>
        <n x="158"/>
      </t>
    </mdx>
    <mdx n="0" f="v">
      <t c="5">
        <n x="165" s="1"/>
        <n x="24" s="1"/>
        <n x="21"/>
        <n x="29"/>
        <n x="161"/>
      </t>
    </mdx>
    <mdx n="0" f="v">
      <t c="6">
        <n x="165" s="1"/>
        <n x="24" s="1"/>
        <n x="21"/>
        <n x="32"/>
        <n x="33"/>
        <n x="161"/>
      </t>
    </mdx>
    <mdx n="0" f="v">
      <t c="6">
        <n x="165" s="1"/>
        <n x="24" s="1"/>
        <n x="21"/>
        <n x="29"/>
        <n x="30"/>
        <n x="158"/>
      </t>
    </mdx>
    <mdx n="0" f="v">
      <t c="6">
        <n x="165" s="1"/>
        <n x="24" s="1"/>
        <n x="21"/>
        <n x="26"/>
        <n x="60"/>
        <n x="159"/>
      </t>
    </mdx>
    <mdx n="0" f="v">
      <t c="6">
        <n x="165" s="1"/>
        <n x="24" s="1"/>
        <n x="21"/>
        <n x="26"/>
        <n x="60"/>
        <n x="157"/>
      </t>
    </mdx>
    <mdx n="0" f="v">
      <t c="6">
        <n x="165" s="1"/>
        <n x="24" s="1"/>
        <n x="21"/>
        <n x="36"/>
        <n x="37"/>
        <n x="159"/>
      </t>
    </mdx>
    <mdx n="0" f="v">
      <t c="6">
        <n x="165" s="1"/>
        <n x="24" s="1"/>
        <n x="21"/>
        <n x="26"/>
        <n x="52"/>
        <n x="157"/>
      </t>
    </mdx>
    <mdx n="0" f="v">
      <t c="5">
        <n x="165" s="1"/>
        <n x="24" s="1"/>
        <n x="21"/>
        <n x="61"/>
        <n x="157"/>
      </t>
    </mdx>
    <mdx n="0" f="v">
      <t c="5">
        <n x="165" s="1"/>
        <n x="24" s="1"/>
        <n x="21"/>
        <n x="61"/>
        <n x="161"/>
      </t>
    </mdx>
    <mdx n="0" f="v">
      <t c="6">
        <n x="165" s="1"/>
        <n x="24" s="1"/>
        <n x="21"/>
        <n x="29"/>
        <n x="45"/>
        <n x="158"/>
      </t>
    </mdx>
    <mdx n="0" f="v">
      <t c="6">
        <n x="165" s="1"/>
        <n x="24" s="1"/>
        <n x="21"/>
        <n x="28"/>
        <n x="58"/>
        <n x="161"/>
      </t>
    </mdx>
    <mdx n="0" f="v">
      <t c="6">
        <n x="165" s="1"/>
        <n x="24" s="1"/>
        <n x="21"/>
        <n x="29"/>
        <n x="45"/>
        <n x="157"/>
      </t>
    </mdx>
    <mdx n="0" f="v">
      <t c="5">
        <n x="165" s="1"/>
        <n x="24" s="1"/>
        <n x="21"/>
        <n x="48"/>
        <n x="158"/>
      </t>
    </mdx>
    <mdx n="0" f="v">
      <t c="6">
        <n x="165" s="1"/>
        <n x="24" s="1"/>
        <n x="21"/>
        <n x="29"/>
        <n x="35"/>
        <n x="161"/>
      </t>
    </mdx>
    <mdx n="0" f="v">
      <t c="6">
        <n x="165" s="1"/>
        <n x="24" s="1"/>
        <n x="21"/>
        <n x="26"/>
        <n x="46"/>
        <n x="161"/>
      </t>
    </mdx>
    <mdx n="0" f="v">
      <t c="6">
        <n x="165" s="1"/>
        <n x="24" s="1"/>
        <n x="21"/>
        <n x="32"/>
        <n x="70"/>
        <n x="158"/>
      </t>
    </mdx>
    <mdx n="0" f="v">
      <t c="6">
        <n x="165" s="1"/>
        <n x="24" s="1"/>
        <n x="21"/>
        <n x="29"/>
        <n x="59"/>
        <n x="159"/>
      </t>
    </mdx>
    <mdx n="0" f="v">
      <t c="6">
        <n x="165" s="1"/>
        <n x="24" s="1"/>
        <n x="21"/>
        <n x="32"/>
        <n x="68"/>
        <n x="159"/>
      </t>
    </mdx>
    <mdx n="0" f="v">
      <t c="6">
        <n x="165" s="1"/>
        <n x="24" s="1"/>
        <n x="21"/>
        <n x="62"/>
        <n x="73"/>
        <n x="159"/>
      </t>
    </mdx>
    <mdx n="0" f="v">
      <t c="6">
        <n x="165" s="1"/>
        <n x="24" s="1"/>
        <n x="21"/>
        <n x="26"/>
        <n x="56"/>
        <n x="157"/>
      </t>
    </mdx>
    <mdx n="0" f="v">
      <t c="5">
        <n x="165" s="1"/>
        <n x="24" s="1"/>
        <n x="21"/>
        <n x="61"/>
        <n x="158"/>
      </t>
    </mdx>
    <mdx n="0" f="v">
      <t c="6">
        <n x="165" s="1"/>
        <n x="24" s="1"/>
        <n x="21"/>
        <n x="29"/>
        <n x="39"/>
        <n x="161"/>
      </t>
    </mdx>
    <mdx n="0" f="v">
      <t c="6">
        <n x="165" s="1"/>
        <n x="24" s="1"/>
        <n x="21"/>
        <n x="32"/>
        <n x="63"/>
        <n x="158"/>
      </t>
    </mdx>
    <mdx n="0" f="v">
      <t c="6">
        <n x="165" s="1"/>
        <n x="24" s="1"/>
        <n x="21"/>
        <n x="32"/>
        <n x="63"/>
        <n x="157"/>
      </t>
    </mdx>
    <mdx n="0" f="v">
      <t c="5">
        <n x="165" s="1"/>
        <n x="24" s="1"/>
        <n x="21"/>
        <n x="36"/>
        <n x="161"/>
      </t>
    </mdx>
    <mdx n="0" f="v">
      <t c="6">
        <n x="165" s="1"/>
        <n x="24" s="1"/>
        <n x="21"/>
        <n x="36"/>
        <n x="37"/>
        <n x="158"/>
      </t>
    </mdx>
    <mdx n="0" f="v">
      <t c="6">
        <n x="165" s="1"/>
        <n x="24" s="1"/>
        <n x="21"/>
        <n x="28"/>
        <n x="53"/>
        <n x="161"/>
      </t>
    </mdx>
    <mdx n="0" f="v">
      <t c="6">
        <n x="165" s="1"/>
        <n x="24" s="1"/>
        <n x="21"/>
        <n x="29"/>
        <n x="51"/>
        <n x="159"/>
      </t>
    </mdx>
    <mdx n="0" f="v">
      <t c="5">
        <n x="165" s="1"/>
        <n x="24" s="1"/>
        <n x="21"/>
        <n x="36"/>
        <n x="159"/>
      </t>
    </mdx>
    <mdx n="0" f="v">
      <t c="6">
        <n x="165" s="1"/>
        <n x="24" s="1"/>
        <n x="21"/>
        <n x="26"/>
        <n x="31"/>
        <n x="161"/>
      </t>
    </mdx>
    <mdx n="0" f="v">
      <t c="6">
        <n x="165" s="1"/>
        <n x="24" s="1"/>
        <n x="21"/>
        <n x="26"/>
        <n x="44"/>
        <n x="157"/>
      </t>
    </mdx>
    <mdx n="0" f="v">
      <t c="6">
        <n x="165" s="1"/>
        <n x="24" s="1"/>
        <n x="21"/>
        <n x="28"/>
        <n x="42"/>
        <n x="157"/>
      </t>
    </mdx>
    <mdx n="0" f="v">
      <t c="6">
        <n x="165" s="1"/>
        <n x="24" s="1"/>
        <n x="21"/>
        <n x="32"/>
        <n x="66"/>
        <n x="157"/>
      </t>
    </mdx>
    <mdx n="0" f="v">
      <t c="6">
        <n x="165" s="1"/>
        <n x="24" s="1"/>
        <n x="21"/>
        <n x="29"/>
        <n x="35"/>
        <n x="157"/>
      </t>
    </mdx>
    <mdx n="0" f="v">
      <t c="6">
        <n x="165" s="1"/>
        <n x="24" s="1"/>
        <n x="21"/>
        <n x="36"/>
        <n x="37"/>
        <n x="161"/>
      </t>
    </mdx>
    <mdx n="0" f="v">
      <t c="6">
        <n x="165" s="1"/>
        <n x="24" s="1"/>
        <n x="21"/>
        <n x="62"/>
        <n x="72"/>
        <n x="158"/>
      </t>
    </mdx>
    <mdx n="0" f="v">
      <t c="6">
        <n x="165" s="1"/>
        <n x="24" s="1"/>
        <n x="21"/>
        <n x="29"/>
        <n x="43"/>
        <n x="159"/>
      </t>
    </mdx>
    <mdx n="0" f="v">
      <t c="6">
        <n x="165" s="1"/>
        <n x="24" s="1"/>
        <n x="21"/>
        <n x="32"/>
        <n x="68"/>
        <n x="157"/>
      </t>
    </mdx>
    <mdx n="0" f="v">
      <t c="5">
        <n x="165" s="1"/>
        <n x="24" s="1"/>
        <n x="21"/>
        <n x="65"/>
        <n x="159"/>
      </t>
    </mdx>
    <mdx n="0" f="v">
      <t c="5">
        <n x="165" s="1"/>
        <n x="24" s="1"/>
        <n x="21"/>
        <n x="26"/>
        <n x="157"/>
      </t>
    </mdx>
    <mdx n="0" f="v">
      <t c="6">
        <n x="165" s="1"/>
        <n x="24" s="1"/>
        <n x="21"/>
        <n x="48"/>
        <n x="49"/>
        <n x="157"/>
      </t>
    </mdx>
    <mdx n="0" f="v">
      <t c="6">
        <n x="165" s="1"/>
        <n x="24" s="1"/>
        <n x="21"/>
        <n x="26"/>
        <n x="44"/>
        <n x="158"/>
      </t>
    </mdx>
    <mdx n="0" f="v">
      <t c="6">
        <n x="165" s="1"/>
        <n x="24" s="1"/>
        <n x="21"/>
        <n x="32"/>
        <n x="68"/>
        <n x="158"/>
      </t>
    </mdx>
    <mdx n="0" f="v">
      <t c="6">
        <n x="165" s="1"/>
        <n x="24" s="1"/>
        <n x="21"/>
        <n x="29"/>
        <n x="43"/>
        <n x="161"/>
      </t>
    </mdx>
    <mdx n="0" f="v">
      <t c="6">
        <n x="165" s="1"/>
        <n x="24" s="1"/>
        <n x="21"/>
        <n x="26"/>
        <n x="41"/>
        <n x="159"/>
      </t>
    </mdx>
    <mdx n="0" f="v">
      <t c="5">
        <n x="165" s="1"/>
        <n x="24" s="1"/>
        <n x="21"/>
        <n x="48"/>
        <n x="161"/>
      </t>
    </mdx>
    <mdx n="0" f="v">
      <t c="5">
        <n x="165" s="1"/>
        <n x="24" s="1"/>
        <n x="21"/>
        <n x="26"/>
        <n x="158"/>
      </t>
    </mdx>
    <mdx n="0" f="v">
      <t c="5">
        <n x="165" s="1"/>
        <n x="24" s="1"/>
        <n x="21"/>
        <n x="26"/>
        <n x="161"/>
      </t>
    </mdx>
    <mdx n="0" f="v">
      <t c="6">
        <n x="165" s="1"/>
        <n x="24" s="1"/>
        <n x="21"/>
        <n x="62"/>
        <n x="72"/>
        <n x="157"/>
      </t>
    </mdx>
    <mdx n="0" f="v">
      <t c="6">
        <n x="165" s="1"/>
        <n x="24" s="1"/>
        <n x="21"/>
        <n x="26"/>
        <n x="34"/>
        <n x="159"/>
      </t>
    </mdx>
    <mdx n="0" f="v">
      <t c="5">
        <n x="165" s="1"/>
        <n x="24" s="1"/>
        <n x="21"/>
        <n x="48"/>
        <n x="159"/>
      </t>
    </mdx>
    <mdx n="0" f="v">
      <t c="6">
        <n x="165" s="1"/>
        <n x="24" s="1"/>
        <n x="21"/>
        <n x="29"/>
        <n x="50"/>
        <n x="157"/>
      </t>
    </mdx>
    <mdx n="0" f="v">
      <t c="6">
        <n x="165" s="1"/>
        <n x="24" s="1"/>
        <n x="21"/>
        <n x="32"/>
        <n x="63"/>
        <n x="161"/>
      </t>
    </mdx>
    <mdx n="0" f="v">
      <t c="6">
        <n x="165" s="1"/>
        <n x="24" s="1"/>
        <n x="21"/>
        <n x="29"/>
        <n x="54"/>
        <n x="157"/>
      </t>
    </mdx>
    <mdx n="0" f="v">
      <t c="6">
        <n x="165" s="1"/>
        <n x="24" s="1"/>
        <n x="21"/>
        <n x="32"/>
        <n x="68"/>
        <n x="161"/>
      </t>
    </mdx>
    <mdx n="0" f="v">
      <t c="6">
        <n x="165" s="1"/>
        <n x="24" s="1"/>
        <n x="21"/>
        <n x="48"/>
        <n x="49"/>
        <n x="159"/>
      </t>
    </mdx>
    <mdx n="0" f="v">
      <t c="6">
        <n x="165" s="1"/>
        <n x="24" s="1"/>
        <n x="21"/>
        <n x="29"/>
        <n x="51"/>
        <n x="161"/>
      </t>
    </mdx>
    <mdx n="0" f="v">
      <t c="6">
        <n x="165" s="1"/>
        <n x="24" s="1"/>
        <n x="21"/>
        <n x="26"/>
        <n x="57"/>
        <n x="159"/>
      </t>
    </mdx>
    <mdx n="0" f="v">
      <t c="6">
        <n x="165" s="1"/>
        <n x="24" s="1"/>
        <n x="21"/>
        <n x="28"/>
        <n x="55"/>
        <n x="161"/>
      </t>
    </mdx>
    <mdx n="0" f="v">
      <t c="6">
        <n x="165" s="1"/>
        <n x="24" s="1"/>
        <n x="21"/>
        <n x="26"/>
        <n x="46"/>
        <n x="157"/>
      </t>
    </mdx>
    <mdx n="0" f="v">
      <t c="6">
        <n x="165" s="1"/>
        <n x="24" s="1"/>
        <n x="21"/>
        <n x="26"/>
        <n x="27"/>
        <n x="161"/>
      </t>
    </mdx>
    <mdx n="0" f="v">
      <t c="6">
        <n x="165" s="1"/>
        <n x="24" s="1"/>
        <n x="21"/>
        <n x="28"/>
        <n x="42"/>
        <n x="161"/>
      </t>
    </mdx>
    <mdx n="0" f="v">
      <t c="6">
        <n x="165" s="1"/>
        <n x="24" s="1"/>
        <n x="21"/>
        <n x="48"/>
        <n x="49"/>
        <n x="161"/>
      </t>
    </mdx>
    <mdx n="0" f="v">
      <t c="6">
        <n x="165" s="1"/>
        <n x="24" s="1"/>
        <n x="21"/>
        <n x="62"/>
        <n x="73"/>
        <n x="161"/>
      </t>
    </mdx>
    <mdx n="0" f="v">
      <t c="6">
        <n x="165" s="1"/>
        <n x="24" s="1"/>
        <n x="21"/>
        <n x="32"/>
        <n x="66"/>
        <n x="159"/>
      </t>
    </mdx>
    <mdx n="0" f="v">
      <t c="6">
        <n x="165" s="1"/>
        <n x="24" s="1"/>
        <n x="21"/>
        <n x="29"/>
        <n x="59"/>
        <n x="161"/>
      </t>
    </mdx>
    <mdx n="0" f="v">
      <t c="6">
        <n x="165" s="1"/>
        <n x="24" s="1"/>
        <n x="21"/>
        <n x="32"/>
        <n x="66"/>
        <n x="158"/>
      </t>
    </mdx>
    <mdx n="0" f="v">
      <t c="6">
        <n x="165" s="1"/>
        <n x="24" s="1"/>
        <n x="21"/>
        <n x="26"/>
        <n x="38"/>
        <n x="157"/>
      </t>
    </mdx>
    <mdx n="0" f="v">
      <t c="6">
        <n x="165" s="1"/>
        <n x="24" s="1"/>
        <n x="21"/>
        <n x="26"/>
        <n x="38"/>
        <n x="159"/>
      </t>
    </mdx>
    <mdx n="0" f="v">
      <t c="6">
        <n x="165" s="1"/>
        <n x="24" s="1"/>
        <n x="21"/>
        <n x="29"/>
        <n x="47"/>
        <n x="158"/>
      </t>
    </mdx>
    <mdx n="0" f="v">
      <t c="6">
        <n x="165" s="1"/>
        <n x="24" s="1"/>
        <n x="21"/>
        <n x="26"/>
        <n x="38"/>
        <n x="158"/>
      </t>
    </mdx>
    <mdx n="0" f="v">
      <t c="5">
        <n x="165" s="1"/>
        <n x="24" s="1"/>
        <n x="21"/>
        <n x="32"/>
        <n x="157"/>
      </t>
    </mdx>
    <mdx n="0" f="v">
      <t c="6">
        <n x="165" s="1"/>
        <n x="24" s="1"/>
        <n x="21"/>
        <n x="26"/>
        <n x="31"/>
        <n x="157"/>
      </t>
    </mdx>
    <mdx n="0" f="v">
      <t c="6">
        <n x="165" s="1"/>
        <n x="24" s="1"/>
        <n x="21"/>
        <n x="29"/>
        <n x="47"/>
        <n x="159"/>
      </t>
    </mdx>
    <mdx n="0" f="v">
      <t c="3" si="143">
        <n x="98"/>
        <n x="151"/>
        <n x="147"/>
      </t>
    </mdx>
    <mdx n="0" f="v">
      <t c="3">
        <n x="98"/>
        <n x="148"/>
        <n x="147"/>
      </t>
    </mdx>
    <mdx n="0" f="v">
      <t c="3">
        <n x="98"/>
        <n x="141"/>
        <n x="147"/>
      </t>
    </mdx>
    <mdx n="0" f="v">
      <t c="3" si="143">
        <n x="98"/>
        <n x="152"/>
        <n x="147"/>
      </t>
    </mdx>
    <mdx n="0" f="m">
      <t c="2">
        <n x="29"/>
        <n x="166"/>
      </t>
    </mdx>
    <mdx n="0" f="v">
      <t c="6">
        <n x="18"/>
        <n x="24" s="1"/>
        <n x="21"/>
        <n x="29"/>
        <n x="166"/>
        <n x="103"/>
      </t>
    </mdx>
    <mdx n="0" f="v">
      <t c="6">
        <n x="5"/>
        <n x="24" s="1"/>
        <n x="21"/>
        <n x="29"/>
        <n x="166"/>
        <n x="22"/>
      </t>
    </mdx>
    <mdx n="0" f="v">
      <t c="6">
        <n x="4"/>
        <n x="24" s="1"/>
        <n x="21"/>
        <n x="29"/>
        <n x="166"/>
        <n x="160"/>
      </t>
    </mdx>
    <mdx n="0" f="v">
      <t c="6">
        <n x="165" s="1"/>
        <n x="24" s="1"/>
        <n x="21"/>
        <n x="29"/>
        <n x="166"/>
        <n x="161"/>
      </t>
    </mdx>
    <mdx n="0" f="v">
      <t c="6">
        <n x="165" s="1"/>
        <n x="24" s="1"/>
        <n x="21"/>
        <n x="29"/>
        <n x="166"/>
        <n x="158"/>
      </t>
    </mdx>
    <mdx n="0" f="v">
      <t c="6">
        <n x="165" s="1"/>
        <n x="24" s="1"/>
        <n x="21"/>
        <n x="29"/>
        <n x="166"/>
        <n x="157"/>
      </t>
    </mdx>
    <mdx n="0" f="v">
      <t c="6">
        <n x="165" s="1"/>
        <n x="24" s="1"/>
        <n x="21"/>
        <n x="29"/>
        <n x="166"/>
        <n x="159"/>
      </t>
    </mdx>
    <mdx n="0" f="m">
      <t c="2">
        <n x="75"/>
        <n x="166"/>
      </t>
    </mdx>
    <mdx n="0" f="v">
      <t c="6">
        <n x="23" s="1"/>
        <n x="24" s="1"/>
        <n x="21"/>
        <n x="75"/>
        <n x="166"/>
        <n x="158"/>
      </t>
    </mdx>
    <mdx n="0" f="v">
      <t c="6">
        <n x="23" s="1"/>
        <n x="24" s="1"/>
        <n x="21"/>
        <n x="75"/>
        <n x="166"/>
        <n x="159"/>
      </t>
    </mdx>
    <mdx n="0" f="v">
      <t c="6">
        <n x="23" s="1"/>
        <n x="24" s="1"/>
        <n x="21"/>
        <n x="75"/>
        <n x="166"/>
        <n x="161"/>
      </t>
    </mdx>
    <mdx n="0" f="v">
      <t c="6">
        <n x="23" s="1"/>
        <n x="24" s="1"/>
        <n x="21"/>
        <n x="75"/>
        <n x="166"/>
        <n x="157"/>
      </t>
    </mdx>
    <mdx n="0" f="v">
      <t c="6">
        <n x="24" s="1"/>
        <n x="21"/>
        <n x="75"/>
        <n x="166"/>
        <n x="160"/>
        <n x="4"/>
      </t>
    </mdx>
    <mdx n="0" f="v">
      <t c="6">
        <n x="24" s="1"/>
        <n x="21"/>
        <n x="75"/>
        <n x="166"/>
        <n x="103"/>
        <n x="18"/>
      </t>
    </mdx>
    <mdx n="0" f="v">
      <t c="6">
        <n x="24" s="1"/>
        <n x="21"/>
        <n x="75"/>
        <n x="166"/>
        <n x="22"/>
        <n x="5"/>
      </t>
    </mdx>
    <mdx n="0" f="m">
      <t c="1">
        <n x="167"/>
      </t>
    </mdx>
    <mdx n="0" f="v">
      <t c="6">
        <n x="23" s="1"/>
        <n x="24" s="1"/>
        <n x="21"/>
        <n x="61"/>
        <n x="12"/>
        <n x="167"/>
      </t>
    </mdx>
    <mdx n="0" f="v">
      <t c="7">
        <n x="23" s="1"/>
        <n x="24" s="1"/>
        <n x="21"/>
        <n x="29"/>
        <n x="51"/>
        <n x="16"/>
        <n x="167"/>
      </t>
    </mdx>
    <mdx n="0" f="v">
      <t c="7">
        <n x="23" s="1"/>
        <n x="24" s="1"/>
        <n x="21"/>
        <n x="26"/>
        <n x="46"/>
        <n x="10"/>
        <n x="167"/>
      </t>
    </mdx>
    <mdx n="0" f="v">
      <t c="7">
        <n x="23" s="1"/>
        <n x="24" s="1"/>
        <n x="21"/>
        <n x="29"/>
        <n x="35"/>
        <n x="10"/>
        <n x="167"/>
      </t>
    </mdx>
    <mdx n="0" f="v">
      <t c="7">
        <n x="23" s="1"/>
        <n x="24" s="1"/>
        <n x="21"/>
        <n x="26"/>
        <n x="60"/>
        <n x="12"/>
        <n x="167"/>
      </t>
    </mdx>
    <mdx n="0" f="v">
      <t c="7">
        <n x="23" s="1"/>
        <n x="24" s="1"/>
        <n x="21"/>
        <n x="29"/>
        <n x="45"/>
        <n x="17"/>
        <n x="167"/>
      </t>
    </mdx>
    <mdx n="0" f="v">
      <t c="7">
        <n x="23" s="1"/>
        <n x="24" s="1"/>
        <n x="21"/>
        <n x="29"/>
        <n x="45"/>
        <n x="25"/>
        <n x="167"/>
      </t>
    </mdx>
    <mdx n="0" f="v">
      <t c="7">
        <n x="23" s="1"/>
        <n x="24" s="1"/>
        <n x="21"/>
        <n x="29"/>
        <n x="50"/>
        <n x="17"/>
        <n x="167"/>
      </t>
    </mdx>
    <mdx n="0" f="v">
      <t c="7">
        <n x="23" s="1"/>
        <n x="24" s="1"/>
        <n x="21"/>
        <n x="32"/>
        <n x="63"/>
        <n x="16"/>
        <n x="167"/>
      </t>
    </mdx>
    <mdx n="0" f="v">
      <t c="7">
        <n x="23" s="1"/>
        <n x="24" s="1"/>
        <n x="21"/>
        <n x="29"/>
        <n x="45"/>
        <n x="16"/>
        <n x="167"/>
      </t>
    </mdx>
    <mdx n="0" f="v">
      <t c="7">
        <n x="23" s="1"/>
        <n x="24" s="1"/>
        <n x="21"/>
        <n x="29"/>
        <n x="50"/>
        <n x="25"/>
        <n x="167"/>
      </t>
    </mdx>
    <mdx n="0" f="v">
      <t c="7">
        <n x="23" s="1"/>
        <n x="24" s="1"/>
        <n x="21"/>
        <n x="29"/>
        <n x="40"/>
        <n x="8"/>
        <n x="167"/>
      </t>
    </mdx>
    <mdx n="0" f="v">
      <t c="7">
        <n x="23" s="1"/>
        <n x="24" s="1"/>
        <n x="21"/>
        <n x="26"/>
        <n x="44"/>
        <n x="7"/>
        <n x="167"/>
      </t>
    </mdx>
    <mdx n="0" f="v">
      <t c="7">
        <n x="23" s="1"/>
        <n x="24" s="1"/>
        <n x="21"/>
        <n x="29"/>
        <n x="30"/>
        <n x="8"/>
        <n x="167"/>
      </t>
    </mdx>
    <mdx n="0" f="v">
      <t c="7">
        <n x="23" s="1"/>
        <n x="24" s="1"/>
        <n x="21"/>
        <n x="28"/>
        <n x="58"/>
        <n x="25"/>
        <n x="167"/>
      </t>
    </mdx>
    <mdx n="0" f="v">
      <t c="7">
        <n x="23" s="1"/>
        <n x="24" s="1"/>
        <n x="21"/>
        <n x="32"/>
        <n x="63"/>
        <n x="25"/>
        <n x="167"/>
      </t>
    </mdx>
    <mdx n="0" f="v">
      <t c="6">
        <n x="23" s="1"/>
        <n x="24" s="1"/>
        <n x="21"/>
        <n x="29"/>
        <n x="25"/>
        <n x="167"/>
      </t>
    </mdx>
    <mdx n="0" f="v">
      <t c="7">
        <n x="23" s="1"/>
        <n x="24" s="1"/>
        <n x="21"/>
        <n x="26"/>
        <n x="57"/>
        <n x="8"/>
        <n x="167"/>
      </t>
    </mdx>
    <mdx n="0" f="v">
      <t c="7">
        <n x="23" s="1"/>
        <n x="24" s="1"/>
        <n x="21"/>
        <n x="28"/>
        <n x="42"/>
        <n x="16"/>
        <n x="167"/>
      </t>
    </mdx>
    <mdx n="0" f="v">
      <t c="7">
        <n x="23" s="1"/>
        <n x="24" s="1"/>
        <n x="21"/>
        <n x="26"/>
        <n x="57"/>
        <n x="13"/>
        <n x="167"/>
      </t>
    </mdx>
    <mdx n="0" f="v">
      <t c="7">
        <n x="23" s="1"/>
        <n x="24" s="1"/>
        <n x="21"/>
        <n x="28"/>
        <n x="58"/>
        <n x="16"/>
        <n x="167"/>
      </t>
    </mdx>
    <mdx n="0" f="v">
      <t c="7">
        <n x="23" s="1"/>
        <n x="24" s="1"/>
        <n x="21"/>
        <n x="32"/>
        <n x="68"/>
        <n x="25"/>
        <n x="167"/>
      </t>
    </mdx>
    <mdx n="0" f="v">
      <t c="7">
        <n x="23" s="1"/>
        <n x="24" s="1"/>
        <n x="21"/>
        <n x="62"/>
        <n x="73"/>
        <n x="8"/>
        <n x="167"/>
      </t>
    </mdx>
    <mdx n="0" f="v">
      <t c="7">
        <n x="23" s="1"/>
        <n x="24" s="1"/>
        <n x="21"/>
        <n x="29"/>
        <n x="40"/>
        <n x="12"/>
        <n x="167"/>
      </t>
    </mdx>
    <mdx n="0" f="v">
      <t c="7">
        <n x="23" s="1"/>
        <n x="24" s="1"/>
        <n x="21"/>
        <n x="26"/>
        <n x="46"/>
        <n x="16"/>
        <n x="167"/>
      </t>
    </mdx>
    <mdx n="0" f="v">
      <t c="7">
        <n x="23" s="1"/>
        <n x="24" s="1"/>
        <n x="21"/>
        <n x="32"/>
        <n x="33"/>
        <n x="10"/>
        <n x="167"/>
      </t>
    </mdx>
    <mdx n="0" f="v">
      <t c="6">
        <n x="23" s="1"/>
        <n x="24" s="1"/>
        <n x="21"/>
        <n x="26"/>
        <n x="16"/>
        <n x="167"/>
      </t>
    </mdx>
    <mdx n="0" f="v">
      <t c="7">
        <n x="23" s="1"/>
        <n x="24" s="1"/>
        <n x="21"/>
        <n x="32"/>
        <n x="70"/>
        <n x="25"/>
        <n x="167"/>
      </t>
    </mdx>
    <mdx n="0" f="v">
      <t c="7">
        <n x="23" s="1"/>
        <n x="24" s="1"/>
        <n x="21"/>
        <n x="26"/>
        <n x="57"/>
        <n x="12"/>
        <n x="167"/>
      </t>
    </mdx>
    <mdx n="0" f="v">
      <t c="7">
        <n x="23" s="1"/>
        <n x="24" s="1"/>
        <n x="21"/>
        <n x="26"/>
        <n x="52"/>
        <n x="25"/>
        <n x="167"/>
      </t>
    </mdx>
    <mdx n="0" f="v">
      <t c="7">
        <n x="23" s="1"/>
        <n x="24" s="1"/>
        <n x="21"/>
        <n x="29"/>
        <n x="54"/>
        <n x="13"/>
        <n x="167"/>
      </t>
    </mdx>
    <mdx n="0" f="v">
      <t c="7">
        <n x="23" s="1"/>
        <n x="24" s="1"/>
        <n x="21"/>
        <n x="28"/>
        <n x="42"/>
        <n x="14"/>
        <n x="167"/>
      </t>
    </mdx>
    <mdx n="0" f="v">
      <t c="7">
        <n x="23" s="1"/>
        <n x="24" s="1"/>
        <n x="21"/>
        <n x="29"/>
        <n x="54"/>
        <n x="25"/>
        <n x="167"/>
      </t>
    </mdx>
    <mdx n="0" f="v">
      <t c="7">
        <n x="23" s="1"/>
        <n x="24" s="1"/>
        <n x="21"/>
        <n x="26"/>
        <n x="44"/>
        <n x="12"/>
        <n x="167"/>
      </t>
    </mdx>
    <mdx n="0" f="v">
      <t c="6">
        <n x="23" s="1"/>
        <n x="24" s="1"/>
        <n x="21"/>
        <n x="29"/>
        <n x="16"/>
        <n x="167"/>
      </t>
    </mdx>
    <mdx n="0" f="v">
      <t c="7">
        <n x="23" s="1"/>
        <n x="24" s="1"/>
        <n x="21"/>
        <n x="26"/>
        <n x="44"/>
        <n x="10"/>
        <n x="167"/>
      </t>
    </mdx>
    <mdx n="0" f="v">
      <t c="7">
        <n x="23" s="1"/>
        <n x="24" s="1"/>
        <n x="21"/>
        <n x="26"/>
        <n x="27"/>
        <n x="16"/>
        <n x="167"/>
      </t>
    </mdx>
    <mdx n="0" f="v">
      <t c="7">
        <n x="23" s="1"/>
        <n x="24" s="1"/>
        <n x="21"/>
        <n x="48"/>
        <n x="64"/>
        <n x="16"/>
        <n x="167"/>
      </t>
    </mdx>
    <mdx n="0" f="v">
      <t c="7">
        <n x="23" s="1"/>
        <n x="24" s="1"/>
        <n x="21"/>
        <n x="62"/>
        <n x="74"/>
        <n x="11"/>
        <n x="167"/>
      </t>
    </mdx>
    <mdx n="0" f="v">
      <t c="7">
        <n x="23" s="1"/>
        <n x="24" s="1"/>
        <n x="21"/>
        <n x="29"/>
        <n x="71"/>
        <n x="11"/>
        <n x="167"/>
      </t>
    </mdx>
    <mdx n="0" f="v">
      <t c="6">
        <n x="23" s="1"/>
        <n x="24" s="1"/>
        <n x="21"/>
        <n x="48"/>
        <n x="8"/>
        <n x="167"/>
      </t>
    </mdx>
    <mdx n="0" f="v">
      <t c="7">
        <n x="23" s="1"/>
        <n x="24" s="1"/>
        <n x="21"/>
        <n x="29"/>
        <n x="71"/>
        <n x="25"/>
        <n x="167"/>
      </t>
    </mdx>
    <mdx n="0" f="v">
      <t c="7">
        <n x="23" s="1"/>
        <n x="24" s="1"/>
        <n x="21"/>
        <n x="29"/>
        <n x="59"/>
        <n x="12"/>
        <n x="167"/>
      </t>
    </mdx>
    <mdx n="0" f="v">
      <t c="7">
        <n x="23" s="1"/>
        <n x="24" s="1"/>
        <n x="21"/>
        <n x="26"/>
        <n x="41"/>
        <n x="8"/>
        <n x="167"/>
      </t>
    </mdx>
    <mdx n="0" f="v">
      <t c="7">
        <n x="23" s="1"/>
        <n x="24" s="1"/>
        <n x="21"/>
        <n x="28"/>
        <n x="58"/>
        <n x="8"/>
        <n x="167"/>
      </t>
    </mdx>
    <mdx n="0" f="v">
      <t c="7">
        <n x="23" s="1"/>
        <n x="24" s="1"/>
        <n x="21"/>
        <n x="29"/>
        <n x="35"/>
        <n x="14"/>
        <n x="167"/>
      </t>
    </mdx>
    <mdx n="0" f="v">
      <t c="7">
        <n x="23" s="1"/>
        <n x="24" s="1"/>
        <n x="21"/>
        <n x="26"/>
        <n x="46"/>
        <n x="8"/>
        <n x="167"/>
      </t>
    </mdx>
    <mdx n="0" f="v">
      <t c="6">
        <n x="23" s="1"/>
        <n x="24" s="1"/>
        <n x="21"/>
        <n x="65"/>
        <n x="12"/>
        <n x="167"/>
      </t>
    </mdx>
    <mdx n="0" f="v">
      <t c="6">
        <n x="23" s="1"/>
        <n x="24" s="1"/>
        <n x="21"/>
        <n x="48"/>
        <n x="17"/>
        <n x="167"/>
      </t>
    </mdx>
    <mdx n="0" f="v">
      <t c="7">
        <n x="23" s="1"/>
        <n x="24" s="1"/>
        <n x="21"/>
        <n x="28"/>
        <n x="53"/>
        <n x="13"/>
        <n x="167"/>
      </t>
    </mdx>
    <mdx n="0" f="v">
      <t c="7">
        <n x="23" s="1"/>
        <n x="24" s="1"/>
        <n x="21"/>
        <n x="26"/>
        <n x="34"/>
        <n x="10"/>
        <n x="167"/>
      </t>
    </mdx>
    <mdx n="0" f="v">
      <t c="7">
        <n x="23" s="1"/>
        <n x="24" s="1"/>
        <n x="21"/>
        <n x="62"/>
        <n x="72"/>
        <n x="14"/>
        <n x="167"/>
      </t>
    </mdx>
    <mdx n="0" f="v">
      <t c="7">
        <n x="23" s="1"/>
        <n x="24" s="1"/>
        <n x="21"/>
        <n x="28"/>
        <n x="42"/>
        <n x="11"/>
        <n x="167"/>
      </t>
    </mdx>
    <mdx n="0" f="v">
      <t c="7">
        <n x="23" s="1"/>
        <n x="24" s="1"/>
        <n x="21"/>
        <n x="29"/>
        <n x="45"/>
        <n x="7"/>
        <n x="167"/>
      </t>
    </mdx>
    <mdx n="0" f="v">
      <t c="6">
        <n x="23" s="1"/>
        <n x="24" s="1"/>
        <n x="21"/>
        <n x="29"/>
        <n x="14"/>
        <n x="167"/>
      </t>
    </mdx>
    <mdx n="0" f="v">
      <t c="7">
        <n x="23" s="1"/>
        <n x="24" s="1"/>
        <n x="21"/>
        <n x="26"/>
        <n x="52"/>
        <n x="16"/>
        <n x="167"/>
      </t>
    </mdx>
    <mdx n="0" f="v">
      <t c="7">
        <n x="23" s="1"/>
        <n x="24" s="1"/>
        <n x="21"/>
        <n x="28"/>
        <n x="42"/>
        <n x="12"/>
        <n x="167"/>
      </t>
    </mdx>
    <mdx n="0" f="v">
      <t c="7">
        <n x="23" s="1"/>
        <n x="24" s="1"/>
        <n x="21"/>
        <n x="26"/>
        <n x="31"/>
        <n x="16"/>
        <n x="167"/>
      </t>
    </mdx>
    <mdx n="0" f="v">
      <t c="7">
        <n x="23" s="1"/>
        <n x="24" s="1"/>
        <n x="21"/>
        <n x="29"/>
        <n x="35"/>
        <n x="17"/>
        <n x="167"/>
      </t>
    </mdx>
    <mdx n="0" f="v">
      <t c="6">
        <n x="23" s="1"/>
        <n x="24" s="1"/>
        <n x="21"/>
        <n x="26"/>
        <n x="25"/>
        <n x="167"/>
      </t>
    </mdx>
    <mdx n="0" f="v">
      <t c="7">
        <n x="23" s="1"/>
        <n x="24" s="1"/>
        <n x="21"/>
        <n x="32"/>
        <n x="33"/>
        <n x="12"/>
        <n x="167"/>
      </t>
    </mdx>
    <mdx n="0" f="v">
      <t c="7">
        <n x="23" s="1"/>
        <n x="24" s="1"/>
        <n x="21"/>
        <n x="29"/>
        <n x="47"/>
        <n x="14"/>
        <n x="167"/>
      </t>
    </mdx>
    <mdx n="0" f="v">
      <t c="7">
        <n x="23" s="1"/>
        <n x="24" s="1"/>
        <n x="21"/>
        <n x="26"/>
        <n x="31"/>
        <n x="12"/>
        <n x="167"/>
      </t>
    </mdx>
    <mdx n="0" f="v">
      <t c="7">
        <n x="23" s="1"/>
        <n x="24" s="1"/>
        <n x="21"/>
        <n x="26"/>
        <n x="52"/>
        <n x="12"/>
        <n x="167"/>
      </t>
    </mdx>
    <mdx n="0" f="v">
      <t c="7">
        <n x="23" s="1"/>
        <n x="24" s="1"/>
        <n x="21"/>
        <n x="32"/>
        <n x="66"/>
        <n x="10"/>
        <n x="167"/>
      </t>
    </mdx>
    <mdx n="0" f="v">
      <t c="7">
        <n x="23" s="1"/>
        <n x="24" s="1"/>
        <n x="21"/>
        <n x="29"/>
        <n x="39"/>
        <n x="16"/>
        <n x="167"/>
      </t>
    </mdx>
    <mdx n="0" f="v">
      <t c="6">
        <n x="23" s="1"/>
        <n x="24" s="1"/>
        <n x="21"/>
        <n x="29"/>
        <n x="12"/>
        <n x="167"/>
      </t>
    </mdx>
    <mdx n="0" f="v">
      <t c="7">
        <n x="23" s="1"/>
        <n x="24" s="1"/>
        <n x="21"/>
        <n x="32"/>
        <n x="33"/>
        <n x="14"/>
        <n x="167"/>
      </t>
    </mdx>
    <mdx n="0" f="v">
      <t c="6">
        <n x="23" s="1"/>
        <n x="24" s="1"/>
        <n x="21"/>
        <n x="32"/>
        <n x="17"/>
        <n x="167"/>
      </t>
    </mdx>
    <mdx n="0" f="v">
      <t c="7">
        <n x="23" s="1"/>
        <n x="24" s="1"/>
        <n x="21"/>
        <n x="28"/>
        <n x="53"/>
        <n x="11"/>
        <n x="167"/>
      </t>
    </mdx>
    <mdx n="0" f="v">
      <t c="7">
        <n x="23" s="1"/>
        <n x="24" s="1"/>
        <n x="21"/>
        <n x="29"/>
        <n x="47"/>
        <n x="17"/>
        <n x="167"/>
      </t>
    </mdx>
    <mdx n="0" f="v">
      <t c="7">
        <n x="23" s="1"/>
        <n x="24" s="1"/>
        <n x="21"/>
        <n x="29"/>
        <n x="39"/>
        <n x="7"/>
        <n x="167"/>
      </t>
    </mdx>
    <mdx n="0" f="v">
      <t c="7">
        <n x="23" s="1"/>
        <n x="24" s="1"/>
        <n x="21"/>
        <n x="29"/>
        <n x="45"/>
        <n x="13"/>
        <n x="167"/>
      </t>
    </mdx>
    <mdx n="0" f="v">
      <t c="7">
        <n x="23" s="1"/>
        <n x="24" s="1"/>
        <n x="21"/>
        <n x="48"/>
        <n x="64"/>
        <n x="11"/>
        <n x="167"/>
      </t>
    </mdx>
    <mdx n="0" f="v">
      <t c="7">
        <n x="23" s="1"/>
        <n x="24" s="1"/>
        <n x="21"/>
        <n x="29"/>
        <n x="54"/>
        <n x="14"/>
        <n x="167"/>
      </t>
    </mdx>
    <mdx n="0" f="v">
      <t c="7">
        <n x="23" s="1"/>
        <n x="24" s="1"/>
        <n x="21"/>
        <n x="26"/>
        <n x="60"/>
        <n x="13"/>
        <n x="167"/>
      </t>
    </mdx>
    <mdx n="0" f="v">
      <t c="7">
        <n x="23" s="1"/>
        <n x="24" s="1"/>
        <n x="21"/>
        <n x="29"/>
        <n x="71"/>
        <n x="17"/>
        <n x="167"/>
      </t>
    </mdx>
    <mdx n="0" f="v">
      <t c="7">
        <n x="23" s="1"/>
        <n x="24" s="1"/>
        <n x="21"/>
        <n x="29"/>
        <n x="59"/>
        <n x="10"/>
        <n x="167"/>
      </t>
    </mdx>
    <mdx n="0" f="v">
      <t c="7">
        <n x="23" s="1"/>
        <n x="24" s="1"/>
        <n x="21"/>
        <n x="26"/>
        <n x="56"/>
        <n x="13"/>
        <n x="167"/>
      </t>
    </mdx>
    <mdx n="0" f="v">
      <t c="7">
        <n x="23" s="1"/>
        <n x="24" s="1"/>
        <n x="21"/>
        <n x="29"/>
        <n x="51"/>
        <n x="10"/>
        <n x="167"/>
      </t>
    </mdx>
    <mdx n="0" f="v">
      <t c="6">
        <n x="23" s="1"/>
        <n x="24" s="1"/>
        <n x="21"/>
        <n x="48"/>
        <n x="7"/>
        <n x="167"/>
      </t>
    </mdx>
    <mdx n="0" f="v">
      <t c="7">
        <n x="23" s="1"/>
        <n x="24" s="1"/>
        <n x="21"/>
        <n x="36"/>
        <n x="37"/>
        <n x="12"/>
        <n x="167"/>
      </t>
    </mdx>
    <mdx n="0" f="v">
      <t c="6">
        <n x="23" s="1"/>
        <n x="24" s="1"/>
        <n x="21"/>
        <n x="61"/>
        <n x="6"/>
        <n x="167"/>
      </t>
    </mdx>
    <mdx n="0" f="v">
      <t c="7">
        <n x="23" s="1"/>
        <n x="24" s="1"/>
        <n x="21"/>
        <n x="32"/>
        <n x="66"/>
        <n x="25"/>
        <n x="167"/>
      </t>
    </mdx>
    <mdx n="0" f="v">
      <t c="7">
        <n x="23" s="1"/>
        <n x="24" s="1"/>
        <n x="21"/>
        <n x="62"/>
        <n x="72"/>
        <n x="25"/>
        <n x="167"/>
      </t>
    </mdx>
    <mdx n="0" f="v">
      <t c="7">
        <n x="23" s="1"/>
        <n x="24" s="1"/>
        <n x="21"/>
        <n x="32"/>
        <n x="70"/>
        <n x="17"/>
        <n x="167"/>
      </t>
    </mdx>
    <mdx n="0" f="v">
      <t c="7">
        <n x="23" s="1"/>
        <n x="24" s="1"/>
        <n x="21"/>
        <n x="32"/>
        <n x="68"/>
        <n x="16"/>
        <n x="167"/>
      </t>
    </mdx>
    <mdx n="0" f="v">
      <t c="7">
        <n x="23" s="1"/>
        <n x="24" s="1"/>
        <n x="21"/>
        <n x="29"/>
        <n x="59"/>
        <n x="11"/>
        <n x="167"/>
      </t>
    </mdx>
    <mdx n="0" f="v">
      <t c="6">
        <n x="23" s="1"/>
        <n x="24" s="1"/>
        <n x="21"/>
        <n x="65"/>
        <n x="13"/>
        <n x="167"/>
      </t>
    </mdx>
    <mdx n="0" f="v">
      <t c="7">
        <n x="23" s="1"/>
        <n x="24" s="1"/>
        <n x="21"/>
        <n x="28"/>
        <n x="58"/>
        <n x="6"/>
        <n x="167"/>
      </t>
    </mdx>
    <mdx n="0" f="v">
      <t c="6">
        <n x="23" s="1"/>
        <n x="24" s="1"/>
        <n x="21"/>
        <n x="61"/>
        <n x="16"/>
        <n x="167"/>
      </t>
    </mdx>
    <mdx n="0" f="v">
      <t c="6">
        <n x="23" s="1"/>
        <n x="24" s="1"/>
        <n x="21"/>
        <n x="29"/>
        <n x="10"/>
        <n x="167"/>
      </t>
    </mdx>
    <mdx n="0" f="v">
      <t c="7">
        <n x="23" s="1"/>
        <n x="24" s="1"/>
        <n x="21"/>
        <n x="29"/>
        <n x="35"/>
        <n x="6"/>
        <n x="167"/>
      </t>
    </mdx>
    <mdx n="0" f="v">
      <t c="7">
        <n x="23" s="1"/>
        <n x="24" s="1"/>
        <n x="21"/>
        <n x="26"/>
        <n x="44"/>
        <n x="13"/>
        <n x="167"/>
      </t>
    </mdx>
    <mdx n="0" f="v">
      <t c="7">
        <n x="23" s="1"/>
        <n x="24" s="1"/>
        <n x="21"/>
        <n x="26"/>
        <n x="27"/>
        <n x="25"/>
        <n x="167"/>
      </t>
    </mdx>
    <mdx n="0" f="v">
      <t c="7">
        <n x="23" s="1"/>
        <n x="24" s="1"/>
        <n x="21"/>
        <n x="62"/>
        <n x="72"/>
        <n x="6"/>
        <n x="167"/>
      </t>
    </mdx>
    <mdx n="0" f="v">
      <t c="7">
        <n x="23" s="1"/>
        <n x="24" s="1"/>
        <n x="21"/>
        <n x="29"/>
        <n x="51"/>
        <n x="6"/>
        <n x="167"/>
      </t>
    </mdx>
    <mdx n="0" f="v">
      <t c="7">
        <n x="23" s="1"/>
        <n x="24" s="1"/>
        <n x="21"/>
        <n x="29"/>
        <n x="54"/>
        <n x="16"/>
        <n x="167"/>
      </t>
    </mdx>
    <mdx n="0" f="v">
      <t c="7">
        <n x="23" s="1"/>
        <n x="24" s="1"/>
        <n x="21"/>
        <n x="26"/>
        <n x="38"/>
        <n x="14"/>
        <n x="167"/>
      </t>
    </mdx>
    <mdx n="0" f="v">
      <t c="7">
        <n x="23" s="1"/>
        <n x="24" s="1"/>
        <n x="21"/>
        <n x="26"/>
        <n x="31"/>
        <n x="13"/>
        <n x="167"/>
      </t>
    </mdx>
    <mdx n="0" f="v">
      <t c="7">
        <n x="23" s="1"/>
        <n x="24" s="1"/>
        <n x="21"/>
        <n x="32"/>
        <n x="70"/>
        <n x="11"/>
        <n x="167"/>
      </t>
    </mdx>
    <mdx n="0" f="v">
      <t c="6">
        <n x="23" s="1"/>
        <n x="24" s="1"/>
        <n x="21"/>
        <n x="28"/>
        <n x="14"/>
        <n x="167"/>
      </t>
    </mdx>
    <mdx n="0" f="v">
      <t c="7">
        <n x="23" s="1"/>
        <n x="24" s="1"/>
        <n x="21"/>
        <n x="32"/>
        <n x="68"/>
        <n x="13"/>
        <n x="167"/>
      </t>
    </mdx>
    <mdx n="0" f="v">
      <t c="7">
        <n x="23" s="1"/>
        <n x="24" s="1"/>
        <n x="21"/>
        <n x="36"/>
        <n x="37"/>
        <n x="25"/>
        <n x="167"/>
      </t>
    </mdx>
    <mdx n="0" f="v">
      <t c="7">
        <n x="23" s="1"/>
        <n x="24" s="1"/>
        <n x="21"/>
        <n x="29"/>
        <n x="51"/>
        <n x="11"/>
        <n x="167"/>
      </t>
    </mdx>
    <mdx n="0" f="v">
      <t c="6">
        <n x="23" s="1"/>
        <n x="24" s="1"/>
        <n x="21"/>
        <n x="29"/>
        <n x="6"/>
        <n x="167"/>
      </t>
    </mdx>
    <mdx n="0" f="v">
      <t c="7">
        <n x="23" s="1"/>
        <n x="24" s="1"/>
        <n x="21"/>
        <n x="29"/>
        <n x="30"/>
        <n x="14"/>
        <n x="167"/>
      </t>
    </mdx>
    <mdx n="0" f="v">
      <t c="7">
        <n x="23" s="1"/>
        <n x="24" s="1"/>
        <n x="21"/>
        <n x="32"/>
        <n x="70"/>
        <n x="8"/>
        <n x="167"/>
      </t>
    </mdx>
    <mdx n="0" f="v">
      <t c="7">
        <n x="23" s="1"/>
        <n x="24" s="1"/>
        <n x="21"/>
        <n x="26"/>
        <n x="41"/>
        <n x="10"/>
        <n x="167"/>
      </t>
    </mdx>
    <mdx n="0" f="v">
      <t c="7">
        <n x="23" s="1"/>
        <n x="24" s="1"/>
        <n x="21"/>
        <n x="62"/>
        <n x="73"/>
        <n x="13"/>
        <n x="167"/>
      </t>
    </mdx>
    <mdx n="0" f="v">
      <t c="7">
        <n x="23" s="1"/>
        <n x="24" s="1"/>
        <n x="21"/>
        <n x="32"/>
        <n x="33"/>
        <n x="17"/>
        <n x="167"/>
      </t>
    </mdx>
    <mdx n="0" f="v">
      <t c="6">
        <n x="23" s="1"/>
        <n x="24" s="1"/>
        <n x="21"/>
        <n x="26"/>
        <n x="11"/>
        <n x="167"/>
      </t>
    </mdx>
    <mdx n="0" f="v">
      <t c="7">
        <n x="23" s="1"/>
        <n x="24" s="1"/>
        <n x="21"/>
        <n x="26"/>
        <n x="67"/>
        <n x="7"/>
        <n x="167"/>
      </t>
    </mdx>
    <mdx n="0" f="v">
      <t c="7">
        <n x="23" s="1"/>
        <n x="24" s="1"/>
        <n x="21"/>
        <n x="26"/>
        <n x="57"/>
        <n x="16"/>
        <n x="167"/>
      </t>
    </mdx>
    <mdx n="0" f="v">
      <t c="7">
        <n x="23" s="1"/>
        <n x="24" s="1"/>
        <n x="21"/>
        <n x="26"/>
        <n x="69"/>
        <n x="13"/>
        <n x="167"/>
      </t>
    </mdx>
    <mdx n="0" f="v">
      <t c="7">
        <n x="23" s="1"/>
        <n x="24" s="1"/>
        <n x="21"/>
        <n x="26"/>
        <n x="44"/>
        <n x="25"/>
        <n x="167"/>
      </t>
    </mdx>
    <mdx n="0" f="v">
      <t c="7">
        <n x="23" s="1"/>
        <n x="24" s="1"/>
        <n x="21"/>
        <n x="29"/>
        <n x="71"/>
        <n x="8"/>
        <n x="167"/>
      </t>
    </mdx>
    <mdx n="0" f="v">
      <t c="6">
        <n x="23" s="1"/>
        <n x="24" s="1"/>
        <n x="21"/>
        <n x="65"/>
        <n x="11"/>
        <n x="167"/>
      </t>
    </mdx>
    <mdx n="0" f="v">
      <t c="7">
        <n x="23" s="1"/>
        <n x="24" s="1"/>
        <n x="21"/>
        <n x="26"/>
        <n x="60"/>
        <n x="25"/>
        <n x="167"/>
      </t>
    </mdx>
    <mdx n="0" f="v">
      <t c="7">
        <n x="23" s="1"/>
        <n x="24" s="1"/>
        <n x="21"/>
        <n x="28"/>
        <n x="55"/>
        <n x="17"/>
        <n x="167"/>
      </t>
    </mdx>
    <mdx n="0" f="v">
      <t c="7">
        <n x="23" s="1"/>
        <n x="24" s="1"/>
        <n x="21"/>
        <n x="29"/>
        <n x="51"/>
        <n x="25"/>
        <n x="167"/>
      </t>
    </mdx>
    <mdx n="0" f="v">
      <t c="7">
        <n x="23" s="1"/>
        <n x="24" s="1"/>
        <n x="21"/>
        <n x="26"/>
        <n x="27"/>
        <n x="6"/>
        <n x="167"/>
      </t>
    </mdx>
    <mdx n="0" f="v">
      <t c="7">
        <n x="23" s="1"/>
        <n x="24" s="1"/>
        <n x="21"/>
        <n x="32"/>
        <n x="66"/>
        <n x="6"/>
        <n x="167"/>
      </t>
    </mdx>
    <mdx n="0" f="v">
      <t c="7">
        <n x="23" s="1"/>
        <n x="24" s="1"/>
        <n x="21"/>
        <n x="26"/>
        <n x="57"/>
        <n x="11"/>
        <n x="167"/>
      </t>
    </mdx>
    <mdx n="0" f="v">
      <t c="7">
        <n x="23" s="1"/>
        <n x="24" s="1"/>
        <n x="21"/>
        <n x="26"/>
        <n x="56"/>
        <n x="25"/>
        <n x="167"/>
      </t>
    </mdx>
    <mdx n="0" f="v">
      <t c="7">
        <n x="23" s="1"/>
        <n x="24" s="1"/>
        <n x="21"/>
        <n x="26"/>
        <n x="34"/>
        <n x="16"/>
        <n x="167"/>
      </t>
    </mdx>
    <mdx n="0" f="v">
      <t c="7">
        <n x="23" s="1"/>
        <n x="24" s="1"/>
        <n x="21"/>
        <n x="32"/>
        <n x="70"/>
        <n x="7"/>
        <n x="167"/>
      </t>
    </mdx>
    <mdx n="0" f="v">
      <t c="7">
        <n x="23" s="1"/>
        <n x="24" s="1"/>
        <n x="21"/>
        <n x="26"/>
        <n x="57"/>
        <n x="10"/>
        <n x="167"/>
      </t>
    </mdx>
    <mdx n="0" f="v">
      <t c="7">
        <n x="23" s="1"/>
        <n x="24" s="1"/>
        <n x="21"/>
        <n x="26"/>
        <n x="31"/>
        <n x="14"/>
        <n x="167"/>
      </t>
    </mdx>
    <mdx n="0" f="v">
      <t c="7">
        <n x="23" s="1"/>
        <n x="24" s="1"/>
        <n x="21"/>
        <n x="29"/>
        <n x="71"/>
        <n x="15"/>
        <n x="167"/>
      </t>
    </mdx>
    <mdx n="0" f="v">
      <t c="7">
        <n x="23" s="1"/>
        <n x="24" s="1"/>
        <n x="21"/>
        <n x="29"/>
        <n x="40"/>
        <n x="9"/>
        <n x="167"/>
      </t>
    </mdx>
    <mdx n="0" f="v">
      <t c="7">
        <n x="23" s="1"/>
        <n x="24" s="1"/>
        <n x="21"/>
        <n x="28"/>
        <n x="42"/>
        <n x="15"/>
        <n x="167"/>
      </t>
    </mdx>
    <mdx n="0" f="v">
      <t c="6">
        <n x="23" s="1"/>
        <n x="24" s="1"/>
        <n x="21"/>
        <n x="61"/>
        <n x="14"/>
        <n x="167"/>
      </t>
    </mdx>
    <mdx n="0" f="v">
      <t c="7">
        <n x="23" s="1"/>
        <n x="24" s="1"/>
        <n x="21"/>
        <n x="32"/>
        <n x="63"/>
        <n x="7"/>
        <n x="167"/>
      </t>
    </mdx>
    <mdx n="0" f="v">
      <t c="7">
        <n x="23" s="1"/>
        <n x="24" s="1"/>
        <n x="21"/>
        <n x="26"/>
        <n x="34"/>
        <n x="13"/>
        <n x="167"/>
      </t>
    </mdx>
    <mdx n="0" f="v">
      <t c="7">
        <n x="23" s="1"/>
        <n x="24" s="1"/>
        <n x="21"/>
        <n x="62"/>
        <n x="74"/>
        <n x="25"/>
        <n x="167"/>
      </t>
    </mdx>
    <mdx n="0" f="v">
      <t c="7">
        <n x="23" s="1"/>
        <n x="24" s="1"/>
        <n x="21"/>
        <n x="48"/>
        <n x="64"/>
        <n x="14"/>
        <n x="167"/>
      </t>
    </mdx>
    <mdx n="0" f="v">
      <t c="7">
        <n x="23" s="1"/>
        <n x="24" s="1"/>
        <n x="21"/>
        <n x="26"/>
        <n x="67"/>
        <n x="17"/>
        <n x="167"/>
      </t>
    </mdx>
    <mdx n="0" f="v">
      <t c="7">
        <n x="23" s="1"/>
        <n x="24" s="1"/>
        <n x="21"/>
        <n x="29"/>
        <n x="30"/>
        <n x="10"/>
        <n x="167"/>
      </t>
    </mdx>
    <mdx n="0" f="v">
      <t c="7">
        <n x="23" s="1"/>
        <n x="24" s="1"/>
        <n x="21"/>
        <n x="28"/>
        <n x="55"/>
        <n x="14"/>
        <n x="167"/>
      </t>
    </mdx>
    <mdx n="0" f="v">
      <t c="7">
        <n x="23" s="1"/>
        <n x="24" s="1"/>
        <n x="21"/>
        <n x="29"/>
        <n x="30"/>
        <n x="15"/>
        <n x="167"/>
      </t>
    </mdx>
    <mdx n="0" f="v">
      <t c="7">
        <n x="23" s="1"/>
        <n x="24" s="1"/>
        <n x="21"/>
        <n x="26"/>
        <n x="31"/>
        <n x="7"/>
        <n x="167"/>
      </t>
    </mdx>
    <mdx n="0" f="v">
      <t c="7">
        <n x="23" s="1"/>
        <n x="24" s="1"/>
        <n x="21"/>
        <n x="29"/>
        <n x="50"/>
        <n x="16"/>
        <n x="167"/>
      </t>
    </mdx>
    <mdx n="0" f="v">
      <t c="7">
        <n x="23" s="1"/>
        <n x="24" s="1"/>
        <n x="21"/>
        <n x="26"/>
        <n x="44"/>
        <n x="17"/>
        <n x="167"/>
      </t>
    </mdx>
    <mdx n="0" f="v">
      <t c="7">
        <n x="23" s="1"/>
        <n x="24" s="1"/>
        <n x="21"/>
        <n x="29"/>
        <n x="43"/>
        <n x="14"/>
        <n x="167"/>
      </t>
    </mdx>
    <mdx n="0" f="v">
      <t c="7">
        <n x="23" s="1"/>
        <n x="24" s="1"/>
        <n x="21"/>
        <n x="29"/>
        <n x="40"/>
        <n x="11"/>
        <n x="167"/>
      </t>
    </mdx>
    <mdx n="0" f="v">
      <t c="7">
        <n x="23" s="1"/>
        <n x="24" s="1"/>
        <n x="21"/>
        <n x="29"/>
        <n x="50"/>
        <n x="14"/>
        <n x="167"/>
      </t>
    </mdx>
    <mdx n="0" f="v">
      <t c="7">
        <n x="23" s="1"/>
        <n x="24" s="1"/>
        <n x="21"/>
        <n x="32"/>
        <n x="70"/>
        <n x="15"/>
        <n x="167"/>
      </t>
    </mdx>
    <mdx n="0" f="v">
      <t c="7">
        <n x="23" s="1"/>
        <n x="24" s="1"/>
        <n x="21"/>
        <n x="26"/>
        <n x="56"/>
        <n x="7"/>
        <n x="167"/>
      </t>
    </mdx>
    <mdx n="0" f="v">
      <t c="7">
        <n x="23" s="1"/>
        <n x="24" s="1"/>
        <n x="21"/>
        <n x="29"/>
        <n x="43"/>
        <n x="16"/>
        <n x="167"/>
      </t>
    </mdx>
    <mdx n="0" f="v">
      <t c="7">
        <n x="23" s="1"/>
        <n x="24" s="1"/>
        <n x="21"/>
        <n x="26"/>
        <n x="56"/>
        <n x="14"/>
        <n x="167"/>
      </t>
    </mdx>
    <mdx n="0" f="v">
      <t c="7">
        <n x="23" s="1"/>
        <n x="24" s="1"/>
        <n x="21"/>
        <n x="26"/>
        <n x="38"/>
        <n x="6"/>
        <n x="167"/>
      </t>
    </mdx>
    <mdx n="0" f="v">
      <t c="7">
        <n x="23" s="1"/>
        <n x="24" s="1"/>
        <n x="21"/>
        <n x="29"/>
        <n x="40"/>
        <n x="13"/>
        <n x="167"/>
      </t>
    </mdx>
    <mdx n="0" f="v">
      <t c="7">
        <n x="23" s="1"/>
        <n x="24" s="1"/>
        <n x="21"/>
        <n x="32"/>
        <n x="66"/>
        <n x="15"/>
        <n x="167"/>
      </t>
    </mdx>
    <mdx n="0" f="v">
      <t c="7">
        <n x="23" s="1"/>
        <n x="24" s="1"/>
        <n x="21"/>
        <n x="26"/>
        <n x="46"/>
        <n x="14"/>
        <n x="167"/>
      </t>
    </mdx>
    <mdx n="0" f="v">
      <t c="7">
        <n x="23" s="1"/>
        <n x="24" s="1"/>
        <n x="21"/>
        <n x="32"/>
        <n x="33"/>
        <n x="11"/>
        <n x="167"/>
      </t>
    </mdx>
    <mdx n="0" f="v">
      <t c="6">
        <n x="23" s="1"/>
        <n x="24" s="1"/>
        <n x="21"/>
        <n x="29"/>
        <n x="15"/>
        <n x="167"/>
      </t>
    </mdx>
    <mdx n="0" f="v">
      <t c="6">
        <n x="23" s="1"/>
        <n x="24" s="1"/>
        <n x="21"/>
        <n x="26"/>
        <n x="8"/>
        <n x="167"/>
      </t>
    </mdx>
    <mdx n="0" f="v">
      <t c="6">
        <n x="23" s="1"/>
        <n x="24" s="1"/>
        <n x="21"/>
        <n x="36"/>
        <n x="7"/>
        <n x="167"/>
      </t>
    </mdx>
    <mdx n="0" f="v">
      <t c="7">
        <n x="23" s="1"/>
        <n x="24" s="1"/>
        <n x="21"/>
        <n x="29"/>
        <n x="59"/>
        <n x="7"/>
        <n x="167"/>
      </t>
    </mdx>
    <mdx n="0" f="v">
      <t c="7">
        <n x="23" s="1"/>
        <n x="24" s="1"/>
        <n x="21"/>
        <n x="29"/>
        <n x="45"/>
        <n x="12"/>
        <n x="167"/>
      </t>
    </mdx>
    <mdx n="0" f="v">
      <t c="7">
        <n x="23" s="1"/>
        <n x="24" s="1"/>
        <n x="21"/>
        <n x="29"/>
        <n x="51"/>
        <n x="15"/>
        <n x="167"/>
      </t>
    </mdx>
    <mdx n="0" f="v">
      <t c="7">
        <n x="23" s="1"/>
        <n x="24" s="1"/>
        <n x="21"/>
        <n x="48"/>
        <n x="64"/>
        <n x="13"/>
        <n x="167"/>
      </t>
    </mdx>
    <mdx n="0" f="v">
      <t c="7">
        <n x="23" s="1"/>
        <n x="24" s="1"/>
        <n x="21"/>
        <n x="29"/>
        <n x="35"/>
        <n x="8"/>
        <n x="167"/>
      </t>
    </mdx>
    <mdx n="0" f="v">
      <t c="7">
        <n x="23" s="1"/>
        <n x="24" s="1"/>
        <n x="21"/>
        <n x="62"/>
        <n x="74"/>
        <n x="16"/>
        <n x="167"/>
      </t>
    </mdx>
    <mdx n="0" f="v">
      <t c="7">
        <n x="23" s="1"/>
        <n x="24" s="1"/>
        <n x="21"/>
        <n x="32"/>
        <n x="33"/>
        <n x="25"/>
        <n x="167"/>
      </t>
    </mdx>
    <mdx n="0" f="v">
      <t c="7">
        <n x="23" s="1"/>
        <n x="24" s="1"/>
        <n x="21"/>
        <n x="28"/>
        <n x="42"/>
        <n x="10"/>
        <n x="167"/>
      </t>
    </mdx>
    <mdx n="0" f="v">
      <t c="7">
        <n x="23" s="1"/>
        <n x="24" s="1"/>
        <n x="21"/>
        <n x="48"/>
        <n x="64"/>
        <n x="8"/>
        <n x="167"/>
      </t>
    </mdx>
    <mdx n="0" f="v">
      <t c="7">
        <n x="23" s="1"/>
        <n x="24" s="1"/>
        <n x="21"/>
        <n x="26"/>
        <n x="31"/>
        <n x="6"/>
        <n x="167"/>
      </t>
    </mdx>
    <mdx n="0" f="v">
      <t c="7">
        <n x="23" s="1"/>
        <n x="24" s="1"/>
        <n x="21"/>
        <n x="29"/>
        <n x="54"/>
        <n x="8"/>
        <n x="167"/>
      </t>
    </mdx>
    <mdx n="0" f="v">
      <t c="7">
        <n x="23" s="1"/>
        <n x="24" s="1"/>
        <n x="21"/>
        <n x="26"/>
        <n x="34"/>
        <n x="15"/>
        <n x="167"/>
      </t>
    </mdx>
    <mdx n="0" f="v">
      <t c="7">
        <n x="23" s="1"/>
        <n x="24" s="1"/>
        <n x="21"/>
        <n x="29"/>
        <n x="59"/>
        <n x="16"/>
        <n x="167"/>
      </t>
    </mdx>
    <mdx n="0" f="v">
      <t c="7">
        <n x="23" s="1"/>
        <n x="24" s="1"/>
        <n x="21"/>
        <n x="26"/>
        <n x="34"/>
        <n x="25"/>
        <n x="167"/>
      </t>
    </mdx>
    <mdx n="0" f="v">
      <t c="6">
        <n x="23" s="1"/>
        <n x="24" s="1"/>
        <n x="21"/>
        <n x="65"/>
        <n x="25"/>
        <n x="167"/>
      </t>
    </mdx>
    <mdx n="0" f="v">
      <t c="7">
        <n x="23" s="1"/>
        <n x="24" s="1"/>
        <n x="21"/>
        <n x="36"/>
        <n x="37"/>
        <n x="13"/>
        <n x="167"/>
      </t>
    </mdx>
    <mdx n="0" f="v">
      <t c="7">
        <n x="23" s="1"/>
        <n x="24" s="1"/>
        <n x="21"/>
        <n x="29"/>
        <n x="50"/>
        <n x="13"/>
        <n x="167"/>
      </t>
    </mdx>
    <mdx n="0" f="v">
      <t c="7">
        <n x="23" s="1"/>
        <n x="24" s="1"/>
        <n x="21"/>
        <n x="29"/>
        <n x="30"/>
        <n x="25"/>
        <n x="167"/>
      </t>
    </mdx>
    <mdx n="0" f="v">
      <t c="7">
        <n x="23" s="1"/>
        <n x="24" s="1"/>
        <n x="21"/>
        <n x="26"/>
        <n x="38"/>
        <n x="10"/>
        <n x="167"/>
      </t>
    </mdx>
    <mdx n="0" f="v">
      <t c="7">
        <n x="23" s="1"/>
        <n x="24" s="1"/>
        <n x="21"/>
        <n x="29"/>
        <n x="50"/>
        <n x="6"/>
        <n x="167"/>
      </t>
    </mdx>
    <mdx n="0" f="v">
      <t c="7">
        <n x="23" s="1"/>
        <n x="24" s="1"/>
        <n x="21"/>
        <n x="48"/>
        <n x="64"/>
        <n x="7"/>
        <n x="167"/>
      </t>
    </mdx>
    <mdx n="0" f="v">
      <t c="6">
        <n x="23" s="1"/>
        <n x="24" s="1"/>
        <n x="21"/>
        <n x="36"/>
        <n x="25"/>
        <n x="167"/>
      </t>
    </mdx>
    <mdx n="0" f="v">
      <t c="7">
        <n x="23" s="1"/>
        <n x="24" s="1"/>
        <n x="21"/>
        <n x="32"/>
        <n x="33"/>
        <n x="8"/>
        <n x="167"/>
      </t>
    </mdx>
    <mdx n="0" f="v">
      <t c="7">
        <n x="23" s="1"/>
        <n x="24" s="1"/>
        <n x="21"/>
        <n x="26"/>
        <n x="56"/>
        <n x="12"/>
        <n x="167"/>
      </t>
    </mdx>
    <mdx n="0" f="v">
      <t c="7">
        <n x="23" s="1"/>
        <n x="24" s="1"/>
        <n x="21"/>
        <n x="29"/>
        <n x="45"/>
        <n x="14"/>
        <n x="167"/>
      </t>
    </mdx>
    <mdx n="0" f="v">
      <t c="7">
        <n x="23" s="1"/>
        <n x="24" s="1"/>
        <n x="21"/>
        <n x="26"/>
        <n x="27"/>
        <n x="13"/>
        <n x="167"/>
      </t>
    </mdx>
    <mdx n="0" f="v">
      <t c="7">
        <n x="23" s="1"/>
        <n x="24" s="1"/>
        <n x="21"/>
        <n x="29"/>
        <n x="40"/>
        <n x="14"/>
        <n x="167"/>
      </t>
    </mdx>
    <mdx n="0" f="v">
      <t c="7">
        <n x="23" s="1"/>
        <n x="24" s="1"/>
        <n x="21"/>
        <n x="29"/>
        <n x="45"/>
        <n x="15"/>
        <n x="167"/>
      </t>
    </mdx>
    <mdx n="0" f="v">
      <t c="7">
        <n x="23" s="1"/>
        <n x="24" s="1"/>
        <n x="21"/>
        <n x="26"/>
        <n x="60"/>
        <n x="16"/>
        <n x="167"/>
      </t>
    </mdx>
    <mdx n="0" f="v">
      <t c="7">
        <n x="23" s="1"/>
        <n x="24" s="1"/>
        <n x="21"/>
        <n x="26"/>
        <n x="69"/>
        <n x="17"/>
        <n x="167"/>
      </t>
    </mdx>
    <mdx n="0" f="v">
      <t c="7">
        <n x="23" s="1"/>
        <n x="24" s="1"/>
        <n x="21"/>
        <n x="26"/>
        <n x="44"/>
        <n x="11"/>
        <n x="167"/>
      </t>
    </mdx>
    <mdx n="0" f="v">
      <t c="6">
        <n x="23" s="1"/>
        <n x="24" s="1"/>
        <n x="21"/>
        <n x="36"/>
        <n x="9"/>
        <n x="167"/>
      </t>
    </mdx>
    <mdx n="0" f="v">
      <t c="7">
        <n x="23" s="1"/>
        <n x="24" s="1"/>
        <n x="21"/>
        <n x="26"/>
        <n x="27"/>
        <n x="9"/>
        <n x="167"/>
      </t>
    </mdx>
    <mdx n="0" f="v">
      <t c="6">
        <n x="23" s="1"/>
        <n x="24" s="1"/>
        <n x="21"/>
        <n x="65"/>
        <n x="6"/>
        <n x="167"/>
      </t>
    </mdx>
    <mdx n="0" f="v">
      <t c="7">
        <n x="23" s="1"/>
        <n x="24" s="1"/>
        <n x="21"/>
        <n x="26"/>
        <n x="57"/>
        <n x="25"/>
        <n x="167"/>
      </t>
    </mdx>
    <mdx n="0" f="v">
      <t c="7">
        <n x="23" s="1"/>
        <n x="24" s="1"/>
        <n x="21"/>
        <n x="32"/>
        <n x="68"/>
        <n x="12"/>
        <n x="167"/>
      </t>
    </mdx>
    <mdx n="0" f="v">
      <t c="7">
        <n x="23" s="1"/>
        <n x="24" s="1"/>
        <n x="21"/>
        <n x="32"/>
        <n x="63"/>
        <n x="6"/>
        <n x="167"/>
      </t>
    </mdx>
    <mdx n="0" f="v">
      <t c="7">
        <n x="23" s="1"/>
        <n x="24" s="1"/>
        <n x="21"/>
        <n x="62"/>
        <n x="74"/>
        <n x="12"/>
        <n x="167"/>
      </t>
    </mdx>
    <mdx n="0" f="v">
      <t c="7">
        <n x="23" s="1"/>
        <n x="24" s="1"/>
        <n x="21"/>
        <n x="62"/>
        <n x="73"/>
        <n x="12"/>
        <n x="167"/>
      </t>
    </mdx>
    <mdx n="0" f="v">
      <t c="7">
        <n x="23" s="1"/>
        <n x="24" s="1"/>
        <n x="21"/>
        <n x="29"/>
        <n x="51"/>
        <n x="7"/>
        <n x="167"/>
      </t>
    </mdx>
    <mdx n="0" f="v">
      <t c="7">
        <n x="23" s="1"/>
        <n x="24" s="1"/>
        <n x="21"/>
        <n x="32"/>
        <n x="63"/>
        <n x="15"/>
        <n x="167"/>
      </t>
    </mdx>
    <mdx n="0" f="v">
      <t c="7">
        <n x="23" s="1"/>
        <n x="24" s="1"/>
        <n x="21"/>
        <n x="32"/>
        <n x="70"/>
        <n x="10"/>
        <n x="167"/>
      </t>
    </mdx>
    <mdx n="0" f="v">
      <t c="7">
        <n x="23" s="1"/>
        <n x="24" s="1"/>
        <n x="21"/>
        <n x="32"/>
        <n x="68"/>
        <n x="7"/>
        <n x="167"/>
      </t>
    </mdx>
    <mdx n="0" f="v">
      <t c="6">
        <n x="23" s="1"/>
        <n x="24" s="1"/>
        <n x="21"/>
        <n x="65"/>
        <n x="7"/>
        <n x="167"/>
      </t>
    </mdx>
    <mdx n="0" f="v">
      <t c="7">
        <n x="23" s="1"/>
        <n x="24" s="1"/>
        <n x="21"/>
        <n x="32"/>
        <n x="66"/>
        <n x="14"/>
        <n x="167"/>
      </t>
    </mdx>
    <mdx n="0" f="v">
      <t c="6">
        <n x="23" s="1"/>
        <n x="24" s="1"/>
        <n x="21"/>
        <n x="48"/>
        <n x="11"/>
        <n x="167"/>
      </t>
    </mdx>
    <mdx n="0" f="v">
      <t c="7">
        <n x="23" s="1"/>
        <n x="24" s="1"/>
        <n x="21"/>
        <n x="32"/>
        <n x="70"/>
        <n x="6"/>
        <n x="167"/>
      </t>
    </mdx>
    <mdx n="0" f="v">
      <t c="7">
        <n x="23" s="1"/>
        <n x="24" s="1"/>
        <n x="21"/>
        <n x="26"/>
        <n x="41"/>
        <n x="12"/>
        <n x="167"/>
      </t>
    </mdx>
    <mdx n="0" f="v">
      <t c="7">
        <n x="23" s="1"/>
        <n x="24" s="1"/>
        <n x="21"/>
        <n x="32"/>
        <n x="68"/>
        <n x="15"/>
        <n x="167"/>
      </t>
    </mdx>
    <mdx n="0" f="v">
      <t c="7">
        <n x="23" s="1"/>
        <n x="24" s="1"/>
        <n x="21"/>
        <n x="28"/>
        <n x="42"/>
        <n x="17"/>
        <n x="167"/>
      </t>
    </mdx>
    <mdx n="0" f="v">
      <t c="6">
        <n x="23" s="1"/>
        <n x="24" s="1"/>
        <n x="21"/>
        <n x="29"/>
        <n x="13"/>
        <n x="167"/>
      </t>
    </mdx>
    <mdx n="0" f="v">
      <t c="6">
        <n x="23" s="1"/>
        <n x="24" s="1"/>
        <n x="21"/>
        <n x="26"/>
        <n x="9"/>
        <n x="167"/>
      </t>
    </mdx>
    <mdx n="0" f="v">
      <t c="7">
        <n x="23" s="1"/>
        <n x="24" s="1"/>
        <n x="21"/>
        <n x="29"/>
        <n x="54"/>
        <n x="7"/>
        <n x="167"/>
      </t>
    </mdx>
    <mdx n="0" f="v">
      <t c="7">
        <n x="23" s="1"/>
        <n x="24" s="1"/>
        <n x="21"/>
        <n x="29"/>
        <n x="43"/>
        <n x="10"/>
        <n x="167"/>
      </t>
    </mdx>
    <mdx n="0" f="v">
      <t c="7">
        <n x="23" s="1"/>
        <n x="24" s="1"/>
        <n x="21"/>
        <n x="29"/>
        <n x="59"/>
        <n x="15"/>
        <n x="167"/>
      </t>
    </mdx>
    <mdx n="0" f="v">
      <t c="6">
        <n x="23" s="1"/>
        <n x="24" s="1"/>
        <n x="21"/>
        <n x="36"/>
        <n x="12"/>
        <n x="167"/>
      </t>
    </mdx>
    <mdx n="0" f="v">
      <t c="7">
        <n x="23" s="1"/>
        <n x="24" s="1"/>
        <n x="21"/>
        <n x="26"/>
        <n x="31"/>
        <n x="15"/>
        <n x="167"/>
      </t>
    </mdx>
    <mdx n="0" f="v">
      <t c="7">
        <n x="23" s="1"/>
        <n x="24" s="1"/>
        <n x="21"/>
        <n x="32"/>
        <n x="66"/>
        <n x="12"/>
        <n x="167"/>
      </t>
    </mdx>
    <mdx n="0" f="v">
      <t c="7">
        <n x="23" s="1"/>
        <n x="24" s="1"/>
        <n x="21"/>
        <n x="26"/>
        <n x="46"/>
        <n x="13"/>
        <n x="167"/>
      </t>
    </mdx>
    <mdx n="0" f="v">
      <t c="6">
        <n x="23" s="1"/>
        <n x="24" s="1"/>
        <n x="21"/>
        <n x="65"/>
        <n x="17"/>
        <n x="167"/>
      </t>
    </mdx>
    <mdx n="0" f="v">
      <t c="7">
        <n x="23" s="1"/>
        <n x="24" s="1"/>
        <n x="21"/>
        <n x="32"/>
        <n x="63"/>
        <n x="12"/>
        <n x="167"/>
      </t>
    </mdx>
    <mdx n="0" f="v">
      <t c="6">
        <n x="23" s="1"/>
        <n x="24" s="1"/>
        <n x="21"/>
        <n x="28"/>
        <n x="25"/>
        <n x="167"/>
      </t>
    </mdx>
    <mdx n="0" f="v">
      <t c="7">
        <n x="23" s="1"/>
        <n x="24" s="1"/>
        <n x="21"/>
        <n x="62"/>
        <n x="73"/>
        <n x="16"/>
        <n x="167"/>
      </t>
    </mdx>
    <mdx n="0" f="v">
      <t c="6">
        <n x="23" s="1"/>
        <n x="24" s="1"/>
        <n x="21"/>
        <n x="48"/>
        <n x="16"/>
        <n x="167"/>
      </t>
    </mdx>
    <mdx n="0" f="v">
      <t c="7">
        <n x="23" s="1"/>
        <n x="24" s="1"/>
        <n x="21"/>
        <n x="26"/>
        <n x="69"/>
        <n x="25"/>
        <n x="167"/>
      </t>
    </mdx>
    <mdx n="0" f="v">
      <t c="7">
        <n x="23" s="1"/>
        <n x="24" s="1"/>
        <n x="21"/>
        <n x="26"/>
        <n x="67"/>
        <n x="10"/>
        <n x="167"/>
      </t>
    </mdx>
    <mdx n="0" f="v">
      <t c="7">
        <n x="23" s="1"/>
        <n x="24" s="1"/>
        <n x="21"/>
        <n x="29"/>
        <n x="39"/>
        <n x="25"/>
        <n x="167"/>
      </t>
    </mdx>
    <mdx n="0" f="v">
      <t c="6">
        <n x="23" s="1"/>
        <n x="24" s="1"/>
        <n x="21"/>
        <n x="32"/>
        <n x="15"/>
        <n x="167"/>
      </t>
    </mdx>
    <mdx n="0" f="v">
      <t c="7">
        <n x="23" s="1"/>
        <n x="24" s="1"/>
        <n x="21"/>
        <n x="26"/>
        <n x="38"/>
        <n x="13"/>
        <n x="167"/>
      </t>
    </mdx>
    <mdx n="0" f="v">
      <t c="7">
        <n x="23" s="1"/>
        <n x="24" s="1"/>
        <n x="21"/>
        <n x="28"/>
        <n x="58"/>
        <n x="10"/>
        <n x="167"/>
      </t>
    </mdx>
    <mdx n="0" f="v">
      <t c="7">
        <n x="23" s="1"/>
        <n x="24" s="1"/>
        <n x="21"/>
        <n x="29"/>
        <n x="59"/>
        <n x="9"/>
        <n x="167"/>
      </t>
    </mdx>
    <mdx n="0" f="v">
      <t c="7">
        <n x="23" s="1"/>
        <n x="24" s="1"/>
        <n x="21"/>
        <n x="32"/>
        <n x="68"/>
        <n x="8"/>
        <n x="167"/>
      </t>
    </mdx>
    <mdx n="0" f="v">
      <t c="7">
        <n x="23" s="1"/>
        <n x="24" s="1"/>
        <n x="21"/>
        <n x="29"/>
        <n x="43"/>
        <n x="13"/>
        <n x="167"/>
      </t>
    </mdx>
    <mdx n="0" f="v">
      <t c="7">
        <n x="23" s="1"/>
        <n x="24" s="1"/>
        <n x="21"/>
        <n x="26"/>
        <n x="67"/>
        <n x="25"/>
        <n x="167"/>
      </t>
    </mdx>
    <mdx n="0" f="v">
      <t c="7">
        <n x="23" s="1"/>
        <n x="24" s="1"/>
        <n x="21"/>
        <n x="32"/>
        <n x="63"/>
        <n x="13"/>
        <n x="167"/>
      </t>
    </mdx>
    <mdx n="0" f="v">
      <t c="6">
        <n x="23" s="1"/>
        <n x="24" s="1"/>
        <n x="21"/>
        <n x="32"/>
        <n x="10"/>
        <n x="167"/>
      </t>
    </mdx>
    <mdx n="0" f="v">
      <t c="6">
        <n x="23" s="1"/>
        <n x="24" s="1"/>
        <n x="21"/>
        <n x="28"/>
        <n x="12"/>
        <n x="167"/>
      </t>
    </mdx>
    <mdx n="0" f="v">
      <t c="7">
        <n x="23" s="1"/>
        <n x="24" s="1"/>
        <n x="21"/>
        <n x="26"/>
        <n x="69"/>
        <n x="6"/>
        <n x="167"/>
      </t>
    </mdx>
    <mdx n="0" f="v">
      <t c="7">
        <n x="23" s="1"/>
        <n x="24" s="1"/>
        <n x="21"/>
        <n x="26"/>
        <n x="27"/>
        <n x="11"/>
        <n x="167"/>
      </t>
    </mdx>
    <mdx n="0" f="v">
      <t c="7">
        <n x="23" s="1"/>
        <n x="24" s="1"/>
        <n x="21"/>
        <n x="32"/>
        <n x="63"/>
        <n x="9"/>
        <n x="167"/>
      </t>
    </mdx>
    <mdx n="0" f="v">
      <t c="7">
        <n x="23" s="1"/>
        <n x="24" s="1"/>
        <n x="21"/>
        <n x="36"/>
        <n x="37"/>
        <n x="14"/>
        <n x="167"/>
      </t>
    </mdx>
    <mdx n="0" f="v">
      <t c="7">
        <n x="23" s="1"/>
        <n x="24" s="1"/>
        <n x="21"/>
        <n x="29"/>
        <n x="71"/>
        <n x="7"/>
        <n x="167"/>
      </t>
    </mdx>
    <mdx n="0" f="v">
      <t c="7">
        <n x="23" s="1"/>
        <n x="24" s="1"/>
        <n x="21"/>
        <n x="26"/>
        <n x="46"/>
        <n x="7"/>
        <n x="167"/>
      </t>
    </mdx>
    <mdx n="0" f="v">
      <t c="6">
        <n x="23" s="1"/>
        <n x="24" s="1"/>
        <n x="21"/>
        <n x="32"/>
        <n x="13"/>
        <n x="167"/>
      </t>
    </mdx>
    <mdx n="0" f="v">
      <t c="7">
        <n x="23" s="1"/>
        <n x="24" s="1"/>
        <n x="21"/>
        <n x="32"/>
        <n x="66"/>
        <n x="9"/>
        <n x="167"/>
      </t>
    </mdx>
    <mdx n="0" f="v">
      <t c="7">
        <n x="23" s="1"/>
        <n x="24" s="1"/>
        <n x="21"/>
        <n x="28"/>
        <n x="42"/>
        <n x="13"/>
        <n x="167"/>
      </t>
    </mdx>
    <mdx n="0" f="v">
      <t c="7">
        <n x="23" s="1"/>
        <n x="24" s="1"/>
        <n x="21"/>
        <n x="29"/>
        <n x="51"/>
        <n x="9"/>
        <n x="167"/>
      </t>
    </mdx>
    <mdx n="0" f="v">
      <t c="7">
        <n x="23" s="1"/>
        <n x="24" s="1"/>
        <n x="21"/>
        <n x="26"/>
        <n x="38"/>
        <n x="7"/>
        <n x="167"/>
      </t>
    </mdx>
    <mdx n="0" f="v">
      <t c="7">
        <n x="23" s="1"/>
        <n x="24" s="1"/>
        <n x="21"/>
        <n x="29"/>
        <n x="47"/>
        <n x="15"/>
        <n x="167"/>
      </t>
    </mdx>
    <mdx n="0" f="v">
      <t c="7">
        <n x="23" s="1"/>
        <n x="24" s="1"/>
        <n x="21"/>
        <n x="26"/>
        <n x="69"/>
        <n x="10"/>
        <n x="167"/>
      </t>
    </mdx>
    <mdx n="0" f="v">
      <t c="7">
        <n x="23" s="1"/>
        <n x="24" s="1"/>
        <n x="21"/>
        <n x="26"/>
        <n x="56"/>
        <n x="6"/>
        <n x="167"/>
      </t>
    </mdx>
    <mdx n="0" f="v">
      <t c="7">
        <n x="23" s="1"/>
        <n x="24" s="1"/>
        <n x="21"/>
        <n x="62"/>
        <n x="73"/>
        <n x="6"/>
        <n x="167"/>
      </t>
    </mdx>
    <mdx n="0" f="v">
      <t c="6">
        <n x="23" s="1"/>
        <n x="24" s="1"/>
        <n x="21"/>
        <n x="28"/>
        <n x="15"/>
        <n x="167"/>
      </t>
    </mdx>
    <mdx n="0" f="v">
      <t c="7">
        <n x="23" s="1"/>
        <n x="24" s="1"/>
        <n x="21"/>
        <n x="48"/>
        <n x="64"/>
        <n x="10"/>
        <n x="167"/>
      </t>
    </mdx>
    <mdx n="0" f="v">
      <t c="7">
        <n x="23" s="1"/>
        <n x="24" s="1"/>
        <n x="21"/>
        <n x="29"/>
        <n x="39"/>
        <n x="17"/>
        <n x="167"/>
      </t>
    </mdx>
    <mdx n="0" f="v">
      <t c="7">
        <n x="23" s="1"/>
        <n x="24" s="1"/>
        <n x="21"/>
        <n x="29"/>
        <n x="40"/>
        <n x="7"/>
        <n x="167"/>
      </t>
    </mdx>
    <mdx n="0" f="v">
      <t c="7">
        <n x="23" s="1"/>
        <n x="24" s="1"/>
        <n x="21"/>
        <n x="26"/>
        <n x="34"/>
        <n x="6"/>
        <n x="167"/>
      </t>
    </mdx>
    <mdx n="0" f="v">
      <t c="7">
        <n x="23" s="1"/>
        <n x="24" s="1"/>
        <n x="21"/>
        <n x="26"/>
        <n x="60"/>
        <n x="6"/>
        <n x="167"/>
      </t>
    </mdx>
    <mdx n="0" f="v">
      <t c="7">
        <n x="23" s="1"/>
        <n x="24" s="1"/>
        <n x="21"/>
        <n x="29"/>
        <n x="50"/>
        <n x="7"/>
        <n x="167"/>
      </t>
    </mdx>
    <mdx n="0" f="v">
      <t c="7">
        <n x="23" s="1"/>
        <n x="24" s="1"/>
        <n x="21"/>
        <n x="29"/>
        <n x="35"/>
        <n x="11"/>
        <n x="167"/>
      </t>
    </mdx>
    <mdx n="0" f="v">
      <t c="7">
        <n x="23" s="1"/>
        <n x="24" s="1"/>
        <n x="21"/>
        <n x="62"/>
        <n x="73"/>
        <n x="15"/>
        <n x="167"/>
      </t>
    </mdx>
    <mdx n="0" f="v">
      <t c="6">
        <n x="23" s="1"/>
        <n x="24" s="1"/>
        <n x="21"/>
        <n x="32"/>
        <n x="25"/>
        <n x="167"/>
      </t>
    </mdx>
    <mdx n="0" f="v">
      <t c="7">
        <n x="23" s="1"/>
        <n x="24" s="1"/>
        <n x="21"/>
        <n x="26"/>
        <n x="56"/>
        <n x="9"/>
        <n x="167"/>
      </t>
    </mdx>
    <mdx n="0" f="v">
      <t c="6">
        <n x="23" s="1"/>
        <n x="24" s="1"/>
        <n x="21"/>
        <n x="61"/>
        <n x="10"/>
        <n x="167"/>
      </t>
    </mdx>
    <mdx n="0" f="v">
      <t c="7">
        <n x="23" s="1"/>
        <n x="24" s="1"/>
        <n x="21"/>
        <n x="62"/>
        <n x="74"/>
        <n x="10"/>
        <n x="167"/>
      </t>
    </mdx>
    <mdx n="0" f="v">
      <t c="7">
        <n x="23" s="1"/>
        <n x="24" s="1"/>
        <n x="21"/>
        <n x="32"/>
        <n x="68"/>
        <n x="10"/>
        <n x="167"/>
      </t>
    </mdx>
    <mdx n="0" f="v">
      <t c="7">
        <n x="23" s="1"/>
        <n x="24" s="1"/>
        <n x="21"/>
        <n x="26"/>
        <n x="52"/>
        <n x="14"/>
        <n x="167"/>
      </t>
    </mdx>
    <mdx n="0" f="v">
      <t c="6">
        <n x="23" s="1"/>
        <n x="24" s="1"/>
        <n x="21"/>
        <n x="32"/>
        <n x="8"/>
        <n x="167"/>
      </t>
    </mdx>
    <mdx n="0" f="v">
      <t c="7">
        <n x="23" s="1"/>
        <n x="24" s="1"/>
        <n x="21"/>
        <n x="28"/>
        <n x="55"/>
        <n x="9"/>
        <n x="167"/>
      </t>
    </mdx>
    <mdx n="0" f="v">
      <t c="7">
        <n x="23" s="1"/>
        <n x="24" s="1"/>
        <n x="21"/>
        <n x="28"/>
        <n x="53"/>
        <n x="25"/>
        <n x="167"/>
      </t>
    </mdx>
    <mdx n="0" f="v">
      <t c="6">
        <n x="23" s="1"/>
        <n x="24" s="1"/>
        <n x="21"/>
        <n x="48"/>
        <n x="6"/>
        <n x="167"/>
      </t>
    </mdx>
    <mdx n="0" f="v">
      <t c="7">
        <n x="23" s="1"/>
        <n x="24" s="1"/>
        <n x="21"/>
        <n x="26"/>
        <n x="52"/>
        <n x="9"/>
        <n x="167"/>
      </t>
    </mdx>
    <mdx n="0" f="v">
      <t c="7">
        <n x="23" s="1"/>
        <n x="24" s="1"/>
        <n x="21"/>
        <n x="26"/>
        <n x="60"/>
        <n x="15"/>
        <n x="167"/>
      </t>
    </mdx>
    <mdx n="0" f="v">
      <t c="7">
        <n x="23" s="1"/>
        <n x="24" s="1"/>
        <n x="21"/>
        <n x="29"/>
        <n x="71"/>
        <n x="9"/>
        <n x="167"/>
      </t>
    </mdx>
    <mdx n="0" f="v">
      <t c="7">
        <n x="23" s="1"/>
        <n x="24" s="1"/>
        <n x="21"/>
        <n x="36"/>
        <n x="37"/>
        <n x="8"/>
        <n x="167"/>
      </t>
    </mdx>
    <mdx n="0" f="v">
      <t c="7">
        <n x="23" s="1"/>
        <n x="24" s="1"/>
        <n x="21"/>
        <n x="26"/>
        <n x="52"/>
        <n x="8"/>
        <n x="167"/>
      </t>
    </mdx>
    <mdx n="0" f="v">
      <t c="6">
        <n x="23" s="1"/>
        <n x="24" s="1"/>
        <n x="21"/>
        <n x="28"/>
        <n x="9"/>
        <n x="167"/>
      </t>
    </mdx>
    <mdx n="0" f="v">
      <t c="7">
        <n x="23" s="1"/>
        <n x="24" s="1"/>
        <n x="21"/>
        <n x="26"/>
        <n x="67"/>
        <n x="11"/>
        <n x="167"/>
      </t>
    </mdx>
    <mdx n="0" f="v">
      <t c="7">
        <n x="23" s="1"/>
        <n x="24" s="1"/>
        <n x="21"/>
        <n x="29"/>
        <n x="45"/>
        <n x="11"/>
        <n x="167"/>
      </t>
    </mdx>
    <mdx n="0" f="v">
      <t c="7">
        <n x="23" s="1"/>
        <n x="24" s="1"/>
        <n x="21"/>
        <n x="26"/>
        <n x="27"/>
        <n x="12"/>
        <n x="167"/>
      </t>
    </mdx>
    <mdx n="0" f="v">
      <t c="7">
        <n x="23" s="1"/>
        <n x="24" s="1"/>
        <n x="21"/>
        <n x="26"/>
        <n x="34"/>
        <n x="7"/>
        <n x="167"/>
      </t>
    </mdx>
    <mdx n="0" f="v">
      <t c="7">
        <n x="23" s="1"/>
        <n x="24" s="1"/>
        <n x="21"/>
        <n x="29"/>
        <n x="51"/>
        <n x="14"/>
        <n x="167"/>
      </t>
    </mdx>
    <mdx n="0" f="v">
      <t c="7">
        <n x="23" s="1"/>
        <n x="24" s="1"/>
        <n x="21"/>
        <n x="29"/>
        <n x="50"/>
        <n x="10"/>
        <n x="167"/>
      </t>
    </mdx>
    <mdx n="0" f="v">
      <t c="7">
        <n x="23" s="1"/>
        <n x="24" s="1"/>
        <n x="21"/>
        <n x="28"/>
        <n x="55"/>
        <n x="7"/>
        <n x="167"/>
      </t>
    </mdx>
    <mdx n="0" f="v">
      <t c="7">
        <n x="23" s="1"/>
        <n x="24" s="1"/>
        <n x="21"/>
        <n x="29"/>
        <n x="43"/>
        <n x="7"/>
        <n x="167"/>
      </t>
    </mdx>
    <mdx n="0" f="v">
      <t c="7">
        <n x="23" s="1"/>
        <n x="24" s="1"/>
        <n x="21"/>
        <n x="32"/>
        <n x="66"/>
        <n x="13"/>
        <n x="167"/>
      </t>
    </mdx>
    <mdx n="0" f="v">
      <t c="6">
        <n x="23" s="1"/>
        <n x="24" s="1"/>
        <n x="21"/>
        <n x="65"/>
        <n x="14"/>
        <n x="167"/>
      </t>
    </mdx>
    <mdx n="0" f="v">
      <t c="7">
        <n x="23" s="1"/>
        <n x="24" s="1"/>
        <n x="21"/>
        <n x="62"/>
        <n x="74"/>
        <n x="17"/>
        <n x="167"/>
      </t>
    </mdx>
    <mdx n="0" f="v">
      <t c="7">
        <n x="23" s="1"/>
        <n x="24" s="1"/>
        <n x="21"/>
        <n x="29"/>
        <n x="39"/>
        <n x="11"/>
        <n x="167"/>
      </t>
    </mdx>
    <mdx n="0" f="v">
      <t c="7">
        <n x="23" s="1"/>
        <n x="24" s="1"/>
        <n x="21"/>
        <n x="26"/>
        <n x="52"/>
        <n x="10"/>
        <n x="167"/>
      </t>
    </mdx>
    <mdx n="0" f="v">
      <t c="7">
        <n x="23" s="1"/>
        <n x="24" s="1"/>
        <n x="21"/>
        <n x="32"/>
        <n x="66"/>
        <n x="16"/>
        <n x="167"/>
      </t>
    </mdx>
    <mdx n="0" f="v">
      <t c="6">
        <n x="23" s="1"/>
        <n x="24" s="1"/>
        <n x="21"/>
        <n x="26"/>
        <n x="14"/>
        <n x="167"/>
      </t>
    </mdx>
    <mdx n="0" f="v">
      <t c="7">
        <n x="23" s="1"/>
        <n x="24" s="1"/>
        <n x="21"/>
        <n x="26"/>
        <n x="34"/>
        <n x="12"/>
        <n x="167"/>
      </t>
    </mdx>
    <mdx n="0" f="v">
      <t c="7">
        <n x="23" s="1"/>
        <n x="24" s="1"/>
        <n x="21"/>
        <n x="28"/>
        <n x="55"/>
        <n x="6"/>
        <n x="167"/>
      </t>
    </mdx>
    <mdx n="0" f="v">
      <t c="7">
        <n x="23" s="1"/>
        <n x="24" s="1"/>
        <n x="21"/>
        <n x="28"/>
        <n x="58"/>
        <n x="15"/>
        <n x="167"/>
      </t>
    </mdx>
    <mdx n="0" f="v">
      <t c="7">
        <n x="23" s="1"/>
        <n x="24" s="1"/>
        <n x="21"/>
        <n x="29"/>
        <n x="43"/>
        <n x="8"/>
        <n x="167"/>
      </t>
    </mdx>
    <mdx n="0" f="v">
      <t c="6">
        <n x="23" s="1"/>
        <n x="24" s="1"/>
        <n x="21"/>
        <n x="29"/>
        <n x="17"/>
        <n x="167"/>
      </t>
    </mdx>
    <mdx n="0" f="v">
      <t c="7">
        <n x="23" s="1"/>
        <n x="24" s="1"/>
        <n x="21"/>
        <n x="26"/>
        <n x="31"/>
        <n x="17"/>
        <n x="167"/>
      </t>
    </mdx>
    <mdx n="0" f="v">
      <t c="7">
        <n x="23" s="1"/>
        <n x="24" s="1"/>
        <n x="21"/>
        <n x="62"/>
        <n x="74"/>
        <n x="6"/>
        <n x="167"/>
      </t>
    </mdx>
    <mdx n="0" f="v">
      <t c="6">
        <n x="23" s="1"/>
        <n x="24" s="1"/>
        <n x="21"/>
        <n x="36"/>
        <n x="14"/>
        <n x="167"/>
      </t>
    </mdx>
    <mdx n="0" f="v">
      <t c="6">
        <n x="23" s="1"/>
        <n x="24" s="1"/>
        <n x="21"/>
        <n x="36"/>
        <n x="17"/>
        <n x="167"/>
      </t>
    </mdx>
    <mdx n="0" f="v">
      <t c="7">
        <n x="23" s="1"/>
        <n x="24" s="1"/>
        <n x="21"/>
        <n x="29"/>
        <n x="30"/>
        <n x="16"/>
        <n x="167"/>
      </t>
    </mdx>
    <mdx n="0" f="v">
      <t c="7">
        <n x="23" s="1"/>
        <n x="24" s="1"/>
        <n x="21"/>
        <n x="32"/>
        <n x="70"/>
        <n x="13"/>
        <n x="167"/>
      </t>
    </mdx>
    <mdx n="0" f="v">
      <t c="7">
        <n x="23" s="1"/>
        <n x="24" s="1"/>
        <n x="21"/>
        <n x="36"/>
        <n x="37"/>
        <n x="11"/>
        <n x="167"/>
      </t>
    </mdx>
    <mdx n="0" f="v">
      <t c="7">
        <n x="23" s="1"/>
        <n x="24" s="1"/>
        <n x="21"/>
        <n x="26"/>
        <n x="41"/>
        <n x="17"/>
        <n x="167"/>
      </t>
    </mdx>
    <mdx n="0" f="v">
      <t c="7">
        <n x="23" s="1"/>
        <n x="24" s="1"/>
        <n x="21"/>
        <n x="29"/>
        <n x="43"/>
        <n x="17"/>
        <n x="167"/>
      </t>
    </mdx>
    <mdx n="0" f="v">
      <t c="7">
        <n x="23" s="1"/>
        <n x="24" s="1"/>
        <n x="21"/>
        <n x="29"/>
        <n x="35"/>
        <n x="9"/>
        <n x="167"/>
      </t>
    </mdx>
    <mdx n="0" f="v">
      <t c="7">
        <n x="23" s="1"/>
        <n x="24" s="1"/>
        <n x="21"/>
        <n x="26"/>
        <n x="67"/>
        <n x="14"/>
        <n x="167"/>
      </t>
    </mdx>
    <mdx n="0" f="v">
      <t c="6">
        <n x="23" s="1"/>
        <n x="24" s="1"/>
        <n x="21"/>
        <n x="48"/>
        <n x="25"/>
        <n x="167"/>
      </t>
    </mdx>
    <mdx n="0" f="v">
      <t c="7">
        <n x="23" s="1"/>
        <n x="24" s="1"/>
        <n x="21"/>
        <n x="26"/>
        <n x="46"/>
        <n x="25"/>
        <n x="167"/>
      </t>
    </mdx>
    <mdx n="0" f="v">
      <t c="7">
        <n x="23" s="1"/>
        <n x="24" s="1"/>
        <n x="21"/>
        <n x="32"/>
        <n x="33"/>
        <n x="16"/>
        <n x="167"/>
      </t>
    </mdx>
    <mdx n="0" f="v">
      <t c="7">
        <n x="23" s="1"/>
        <n x="24" s="1"/>
        <n x="21"/>
        <n x="26"/>
        <n x="67"/>
        <n x="16"/>
        <n x="167"/>
      </t>
    </mdx>
    <mdx n="0" f="v">
      <t c="6">
        <n x="23" s="1"/>
        <n x="24" s="1"/>
        <n x="21"/>
        <n x="61"/>
        <n x="17"/>
        <n x="167"/>
      </t>
    </mdx>
    <mdx n="0" f="v">
      <t c="7">
        <n x="23" s="1"/>
        <n x="24" s="1"/>
        <n x="21"/>
        <n x="26"/>
        <n x="56"/>
        <n x="17"/>
        <n x="167"/>
      </t>
    </mdx>
    <mdx n="0" f="v">
      <t c="7">
        <n x="23" s="1"/>
        <n x="24" s="1"/>
        <n x="21"/>
        <n x="29"/>
        <n x="54"/>
        <n x="11"/>
        <n x="167"/>
      </t>
    </mdx>
    <mdx n="0" f="v">
      <t c="7">
        <n x="23" s="1"/>
        <n x="24" s="1"/>
        <n x="21"/>
        <n x="26"/>
        <n x="34"/>
        <n x="11"/>
        <n x="167"/>
      </t>
    </mdx>
    <mdx n="0" f="v">
      <t c="6">
        <n x="23" s="1"/>
        <n x="24" s="1"/>
        <n x="21"/>
        <n x="32"/>
        <n x="7"/>
        <n x="167"/>
      </t>
    </mdx>
    <mdx n="0" f="v">
      <t c="7">
        <n x="23" s="1"/>
        <n x="24" s="1"/>
        <n x="21"/>
        <n x="26"/>
        <n x="67"/>
        <n x="13"/>
        <n x="167"/>
      </t>
    </mdx>
    <mdx n="0" f="v">
      <t c="7">
        <n x="23" s="1"/>
        <n x="24" s="1"/>
        <n x="21"/>
        <n x="26"/>
        <n x="60"/>
        <n x="7"/>
        <n x="167"/>
      </t>
    </mdx>
    <mdx n="0" f="v">
      <t c="7">
        <n x="23" s="1"/>
        <n x="24" s="1"/>
        <n x="21"/>
        <n x="26"/>
        <n x="67"/>
        <n x="6"/>
        <n x="167"/>
      </t>
    </mdx>
    <mdx n="0" f="v">
      <t c="7">
        <n x="23" s="1"/>
        <n x="24" s="1"/>
        <n x="21"/>
        <n x="26"/>
        <n x="38"/>
        <n x="16"/>
        <n x="167"/>
      </t>
    </mdx>
    <mdx n="0" f="v">
      <t c="7">
        <n x="23" s="1"/>
        <n x="24" s="1"/>
        <n x="21"/>
        <n x="48"/>
        <n x="64"/>
        <n x="15"/>
        <n x="167"/>
      </t>
    </mdx>
    <mdx n="0" f="v">
      <t c="6">
        <n x="23" s="1"/>
        <n x="24" s="1"/>
        <n x="21"/>
        <n x="32"/>
        <n x="9"/>
        <n x="167"/>
      </t>
    </mdx>
    <mdx n="0" f="v">
      <t c="7">
        <n x="23" s="1"/>
        <n x="24" s="1"/>
        <n x="21"/>
        <n x="28"/>
        <n x="58"/>
        <n x="11"/>
        <n x="167"/>
      </t>
    </mdx>
    <mdx n="0" f="v">
      <t c="7">
        <n x="23" s="1"/>
        <n x="24" s="1"/>
        <n x="21"/>
        <n x="26"/>
        <n x="57"/>
        <n x="17"/>
        <n x="167"/>
      </t>
    </mdx>
    <mdx n="0" f="v">
      <t c="7">
        <n x="23" s="1"/>
        <n x="24" s="1"/>
        <n x="21"/>
        <n x="29"/>
        <n x="51"/>
        <n x="12"/>
        <n x="167"/>
      </t>
    </mdx>
    <mdx n="0" f="v">
      <t c="7">
        <n x="23" s="1"/>
        <n x="24" s="1"/>
        <n x="21"/>
        <n x="26"/>
        <n x="41"/>
        <n x="7"/>
        <n x="167"/>
      </t>
    </mdx>
    <mdx n="0" f="v">
      <t c="7">
        <n x="23" s="1"/>
        <n x="24" s="1"/>
        <n x="21"/>
        <n x="26"/>
        <n x="60"/>
        <n x="9"/>
        <n x="167"/>
      </t>
    </mdx>
    <mdx n="0" f="v">
      <t c="7">
        <n x="23" s="1"/>
        <n x="24" s="1"/>
        <n x="21"/>
        <n x="62"/>
        <n x="72"/>
        <n x="7"/>
        <n x="167"/>
      </t>
    </mdx>
    <mdx n="0" f="v">
      <t c="7">
        <n x="23" s="1"/>
        <n x="24" s="1"/>
        <n x="21"/>
        <n x="26"/>
        <n x="46"/>
        <n x="6"/>
        <n x="167"/>
      </t>
    </mdx>
    <mdx n="0" f="v">
      <t c="7">
        <n x="23" s="1"/>
        <n x="24" s="1"/>
        <n x="21"/>
        <n x="26"/>
        <n x="52"/>
        <n x="13"/>
        <n x="167"/>
      </t>
    </mdx>
    <mdx n="0" f="v">
      <t c="7">
        <n x="23" s="1"/>
        <n x="24" s="1"/>
        <n x="21"/>
        <n x="26"/>
        <n x="34"/>
        <n x="8"/>
        <n x="167"/>
      </t>
    </mdx>
    <mdx n="0" f="v">
      <t c="7">
        <n x="23" s="1"/>
        <n x="24" s="1"/>
        <n x="21"/>
        <n x="32"/>
        <n x="63"/>
        <n x="14"/>
        <n x="167"/>
      </t>
    </mdx>
    <mdx n="0" f="v">
      <t c="7">
        <n x="23" s="1"/>
        <n x="24" s="1"/>
        <n x="21"/>
        <n x="26"/>
        <n x="69"/>
        <n x="14"/>
        <n x="167"/>
      </t>
    </mdx>
    <mdx n="0" f="v">
      <t c="7">
        <n x="23" s="1"/>
        <n x="24" s="1"/>
        <n x="21"/>
        <n x="32"/>
        <n x="33"/>
        <n x="7"/>
        <n x="167"/>
      </t>
    </mdx>
    <mdx n="0" f="v">
      <t c="7">
        <n x="23" s="1"/>
        <n x="24" s="1"/>
        <n x="21"/>
        <n x="48"/>
        <n x="64"/>
        <n x="6"/>
        <n x="167"/>
      </t>
    </mdx>
    <mdx n="0" f="v">
      <t c="6">
        <n x="23" s="1"/>
        <n x="24" s="1"/>
        <n x="21"/>
        <n x="28"/>
        <n x="17"/>
        <n x="167"/>
      </t>
    </mdx>
    <mdx n="0" f="v">
      <t c="7">
        <n x="23" s="1"/>
        <n x="24" s="1"/>
        <n x="21"/>
        <n x="48"/>
        <n x="64"/>
        <n x="12"/>
        <n x="167"/>
      </t>
    </mdx>
    <mdx n="0" f="v">
      <t c="7">
        <n x="23" s="1"/>
        <n x="24" s="1"/>
        <n x="21"/>
        <n x="29"/>
        <n x="39"/>
        <n x="8"/>
        <n x="167"/>
      </t>
    </mdx>
    <mdx n="0" f="v">
      <t c="7">
        <n x="23" s="1"/>
        <n x="24" s="1"/>
        <n x="21"/>
        <n x="32"/>
        <n x="70"/>
        <n x="16"/>
        <n x="167"/>
      </t>
    </mdx>
    <mdx n="0" f="v">
      <t c="7">
        <n x="23" s="1"/>
        <n x="24" s="1"/>
        <n x="21"/>
        <n x="26"/>
        <n x="38"/>
        <n x="15"/>
        <n x="167"/>
      </t>
    </mdx>
    <mdx n="0" f="v">
      <t c="7">
        <n x="23" s="1"/>
        <n x="24" s="1"/>
        <n x="21"/>
        <n x="26"/>
        <n x="41"/>
        <n x="25"/>
        <n x="167"/>
      </t>
    </mdx>
    <mdx n="0" f="v">
      <t c="7">
        <n x="23" s="1"/>
        <n x="24" s="1"/>
        <n x="21"/>
        <n x="62"/>
        <n x="72"/>
        <n x="12"/>
        <n x="167"/>
      </t>
    </mdx>
    <mdx n="0" f="v">
      <t c="7">
        <n x="23" s="1"/>
        <n x="24" s="1"/>
        <n x="21"/>
        <n x="29"/>
        <n x="30"/>
        <n x="9"/>
        <n x="167"/>
      </t>
    </mdx>
    <mdx n="0" f="v">
      <t c="6">
        <n x="23" s="1"/>
        <n x="24" s="1"/>
        <n x="21"/>
        <n x="61"/>
        <n x="9"/>
        <n x="167"/>
      </t>
    </mdx>
    <mdx n="0" f="v">
      <t c="7">
        <n x="23" s="1"/>
        <n x="24" s="1"/>
        <n x="21"/>
        <n x="26"/>
        <n x="41"/>
        <n x="14"/>
        <n x="167"/>
      </t>
    </mdx>
    <mdx n="0" f="v">
      <t c="7">
        <n x="23" s="1"/>
        <n x="24" s="1"/>
        <n x="21"/>
        <n x="62"/>
        <n x="73"/>
        <n x="25"/>
        <n x="167"/>
      </t>
    </mdx>
    <mdx n="0" f="v">
      <t c="7">
        <n x="23" s="1"/>
        <n x="24" s="1"/>
        <n x="21"/>
        <n x="28"/>
        <n x="53"/>
        <n x="9"/>
        <n x="167"/>
      </t>
    </mdx>
    <mdx n="0" f="v">
      <t c="6">
        <n x="23" s="1"/>
        <n x="24" s="1"/>
        <n x="21"/>
        <n x="36"/>
        <n x="10"/>
        <n x="167"/>
      </t>
    </mdx>
    <mdx n="0" f="v">
      <t c="7">
        <n x="23" s="1"/>
        <n x="24" s="1"/>
        <n x="21"/>
        <n x="26"/>
        <n x="27"/>
        <n x="14"/>
        <n x="167"/>
      </t>
    </mdx>
    <mdx n="0" f="v">
      <t c="6">
        <n x="23" s="1"/>
        <n x="24" s="1"/>
        <n x="21"/>
        <n x="26"/>
        <n x="15"/>
        <n x="167"/>
      </t>
    </mdx>
    <mdx n="0" f="v">
      <t c="7">
        <n x="23" s="1"/>
        <n x="24" s="1"/>
        <n x="21"/>
        <n x="29"/>
        <n x="30"/>
        <n x="7"/>
        <n x="167"/>
      </t>
    </mdx>
    <mdx n="0" f="v">
      <t c="6">
        <n x="23" s="1"/>
        <n x="24" s="1"/>
        <n x="21"/>
        <n x="65"/>
        <n x="16"/>
        <n x="167"/>
      </t>
    </mdx>
    <mdx n="0" f="v">
      <t c="7">
        <n x="23" s="1"/>
        <n x="24" s="1"/>
        <n x="21"/>
        <n x="32"/>
        <n x="63"/>
        <n x="11"/>
        <n x="167"/>
      </t>
    </mdx>
    <mdx n="0" f="v">
      <t c="7">
        <n x="23" s="1"/>
        <n x="24" s="1"/>
        <n x="21"/>
        <n x="26"/>
        <n x="69"/>
        <n x="9"/>
        <n x="167"/>
      </t>
    </mdx>
    <mdx n="0" f="v">
      <t c="7">
        <n x="23" s="1"/>
        <n x="24" s="1"/>
        <n x="21"/>
        <n x="29"/>
        <n x="47"/>
        <n x="10"/>
        <n x="167"/>
      </t>
    </mdx>
    <mdx n="0" f="v">
      <t c="7">
        <n x="23" s="1"/>
        <n x="24" s="1"/>
        <n x="21"/>
        <n x="48"/>
        <n x="64"/>
        <n x="17"/>
        <n x="167"/>
      </t>
    </mdx>
    <mdx n="0" f="v">
      <t c="7">
        <n x="23" s="1"/>
        <n x="24" s="1"/>
        <n x="21"/>
        <n x="26"/>
        <n x="57"/>
        <n x="15"/>
        <n x="167"/>
      </t>
    </mdx>
    <mdx n="0" f="v">
      <t c="7">
        <n x="23" s="1"/>
        <n x="24" s="1"/>
        <n x="21"/>
        <n x="29"/>
        <n x="47"/>
        <n x="8"/>
        <n x="167"/>
      </t>
    </mdx>
    <mdx n="0" f="v">
      <t c="7">
        <n x="23" s="1"/>
        <n x="24" s="1"/>
        <n x="21"/>
        <n x="26"/>
        <n x="38"/>
        <n x="9"/>
        <n x="167"/>
      </t>
    </mdx>
    <mdx n="0" f="v">
      <t c="7">
        <n x="23" s="1"/>
        <n x="24" s="1"/>
        <n x="21"/>
        <n x="26"/>
        <n x="46"/>
        <n x="12"/>
        <n x="167"/>
      </t>
    </mdx>
    <mdx n="0" f="v">
      <t c="7">
        <n x="23" s="1"/>
        <n x="24" s="1"/>
        <n x="21"/>
        <n x="29"/>
        <n x="59"/>
        <n x="14"/>
        <n x="167"/>
      </t>
    </mdx>
    <mdx n="0" f="v">
      <t c="7">
        <n x="23" s="1"/>
        <n x="24" s="1"/>
        <n x="21"/>
        <n x="26"/>
        <n x="60"/>
        <n x="14"/>
        <n x="167"/>
      </t>
    </mdx>
    <mdx n="0" f="v">
      <t c="7">
        <n x="23" s="1"/>
        <n x="24" s="1"/>
        <n x="21"/>
        <n x="29"/>
        <n x="59"/>
        <n x="25"/>
        <n x="167"/>
      </t>
    </mdx>
    <mdx n="0" f="v">
      <t c="6">
        <n x="23" s="1"/>
        <n x="24" s="1"/>
        <n x="21"/>
        <n x="28"/>
        <n x="7"/>
        <n x="167"/>
      </t>
    </mdx>
    <mdx n="0" f="v">
      <t c="7">
        <n x="23" s="1"/>
        <n x="24" s="1"/>
        <n x="21"/>
        <n x="29"/>
        <n x="54"/>
        <n x="10"/>
        <n x="167"/>
      </t>
    </mdx>
    <mdx n="0" f="v">
      <t c="7">
        <n x="23" s="1"/>
        <n x="24" s="1"/>
        <n x="21"/>
        <n x="26"/>
        <n x="60"/>
        <n x="10"/>
        <n x="167"/>
      </t>
    </mdx>
    <mdx n="0" f="v">
      <t c="7">
        <n x="23" s="1"/>
        <n x="24" s="1"/>
        <n x="21"/>
        <n x="29"/>
        <n x="54"/>
        <n x="17"/>
        <n x="167"/>
      </t>
    </mdx>
    <mdx n="0" f="v">
      <t c="7">
        <n x="23" s="1"/>
        <n x="24" s="1"/>
        <n x="21"/>
        <n x="26"/>
        <n x="69"/>
        <n x="12"/>
        <n x="167"/>
      </t>
    </mdx>
    <mdx n="0" f="v">
      <t c="6">
        <n x="23" s="1"/>
        <n x="24" s="1"/>
        <n x="21"/>
        <n x="61"/>
        <n x="7"/>
        <n x="167"/>
      </t>
    </mdx>
    <mdx n="0" f="v">
      <t c="7">
        <n x="23" s="1"/>
        <n x="24" s="1"/>
        <n x="21"/>
        <n x="26"/>
        <n x="56"/>
        <n x="16"/>
        <n x="167"/>
      </t>
    </mdx>
    <mdx n="0" f="v">
      <t c="7">
        <n x="23" s="1"/>
        <n x="24" s="1"/>
        <n x="21"/>
        <n x="29"/>
        <n x="50"/>
        <n x="11"/>
        <n x="167"/>
      </t>
    </mdx>
    <mdx n="0" f="v">
      <t c="7">
        <n x="23" s="1"/>
        <n x="24" s="1"/>
        <n x="21"/>
        <n x="28"/>
        <n x="53"/>
        <n x="8"/>
        <n x="167"/>
      </t>
    </mdx>
    <mdx n="0" f="v">
      <t c="7">
        <n x="23" s="1"/>
        <n x="24" s="1"/>
        <n x="21"/>
        <n x="29"/>
        <n x="50"/>
        <n x="8"/>
        <n x="167"/>
      </t>
    </mdx>
    <mdx n="0" f="v">
      <t c="7">
        <n x="23" s="1"/>
        <n x="24" s="1"/>
        <n x="21"/>
        <n x="36"/>
        <n x="37"/>
        <n x="9"/>
        <n x="167"/>
      </t>
    </mdx>
    <mdx n="0" f="v">
      <t c="7">
        <n x="23" s="1"/>
        <n x="24" s="1"/>
        <n x="21"/>
        <n x="26"/>
        <n x="38"/>
        <n x="12"/>
        <n x="167"/>
      </t>
    </mdx>
    <mdx n="0" f="v">
      <t c="7">
        <n x="23" s="1"/>
        <n x="24" s="1"/>
        <n x="21"/>
        <n x="62"/>
        <n x="73"/>
        <n x="17"/>
        <n x="167"/>
      </t>
    </mdx>
    <mdx n="0" f="v">
      <t c="7">
        <n x="23" s="1"/>
        <n x="24" s="1"/>
        <n x="21"/>
        <n x="29"/>
        <n x="43"/>
        <n x="15"/>
        <n x="167"/>
      </t>
    </mdx>
    <mdx n="0" f="v">
      <t c="7">
        <n x="23" s="1"/>
        <n x="24" s="1"/>
        <n x="21"/>
        <n x="29"/>
        <n x="43"/>
        <n x="6"/>
        <n x="167"/>
      </t>
    </mdx>
    <mdx n="0" f="v">
      <t c="7">
        <n x="23" s="1"/>
        <n x="24" s="1"/>
        <n x="21"/>
        <n x="29"/>
        <n x="45"/>
        <n x="10"/>
        <n x="167"/>
      </t>
    </mdx>
    <mdx n="0" f="v">
      <t c="7">
        <n x="23" s="1"/>
        <n x="24" s="1"/>
        <n x="21"/>
        <n x="29"/>
        <n x="40"/>
        <n x="15"/>
        <n x="167"/>
      </t>
    </mdx>
    <mdx n="0" f="v">
      <t c="7">
        <n x="23" s="1"/>
        <n x="24" s="1"/>
        <n x="21"/>
        <n x="26"/>
        <n x="57"/>
        <n x="14"/>
        <n x="167"/>
      </t>
    </mdx>
    <mdx n="0" f="v">
      <t c="7">
        <n x="23" s="1"/>
        <n x="24" s="1"/>
        <n x="21"/>
        <n x="29"/>
        <n x="45"/>
        <n x="6"/>
        <n x="167"/>
      </t>
    </mdx>
    <mdx n="0" f="v">
      <t c="7">
        <n x="23" s="1"/>
        <n x="24" s="1"/>
        <n x="21"/>
        <n x="29"/>
        <n x="39"/>
        <n x="9"/>
        <n x="167"/>
      </t>
    </mdx>
    <mdx n="0" f="v">
      <t c="6">
        <n x="23" s="1"/>
        <n x="24" s="1"/>
        <n x="21"/>
        <n x="32"/>
        <n x="16"/>
        <n x="167"/>
      </t>
    </mdx>
    <mdx n="0" f="v">
      <t c="6">
        <n x="23" s="1"/>
        <n x="24" s="1"/>
        <n x="21"/>
        <n x="32"/>
        <n x="12"/>
        <n x="167"/>
      </t>
    </mdx>
    <mdx n="0" f="v">
      <t c="7">
        <n x="23" s="1"/>
        <n x="24" s="1"/>
        <n x="21"/>
        <n x="32"/>
        <n x="63"/>
        <n x="17"/>
        <n x="167"/>
      </t>
    </mdx>
    <mdx n="0" f="v">
      <t c="6">
        <n x="23" s="1"/>
        <n x="24" s="1"/>
        <n x="21"/>
        <n x="32"/>
        <n x="6"/>
        <n x="167"/>
      </t>
    </mdx>
    <mdx n="0" f="v">
      <t c="7">
        <n x="23" s="1"/>
        <n x="24" s="1"/>
        <n x="21"/>
        <n x="28"/>
        <n x="53"/>
        <n x="12"/>
        <n x="167"/>
      </t>
    </mdx>
    <mdx n="0" f="v">
      <t c="6">
        <n x="23" s="1"/>
        <n x="24" s="1"/>
        <n x="21"/>
        <n x="48"/>
        <n x="12"/>
        <n x="167"/>
      </t>
    </mdx>
    <mdx n="0" f="v">
      <t c="7">
        <n x="23" s="1"/>
        <n x="24" s="1"/>
        <n x="21"/>
        <n x="28"/>
        <n x="53"/>
        <n x="15"/>
        <n x="167"/>
      </t>
    </mdx>
    <mdx n="0" f="v">
      <t c="7">
        <n x="23" s="1"/>
        <n x="24" s="1"/>
        <n x="21"/>
        <n x="26"/>
        <n x="41"/>
        <n x="9"/>
        <n x="167"/>
      </t>
    </mdx>
    <mdx n="0" f="v">
      <t c="7">
        <n x="23" s="1"/>
        <n x="24" s="1"/>
        <n x="21"/>
        <n x="26"/>
        <n x="31"/>
        <n x="8"/>
        <n x="167"/>
      </t>
    </mdx>
    <mdx n="0" f="v">
      <t c="7">
        <n x="23" s="1"/>
        <n x="24" s="1"/>
        <n x="21"/>
        <n x="62"/>
        <n x="72"/>
        <n x="11"/>
        <n x="167"/>
      </t>
    </mdx>
    <mdx n="0" f="v">
      <t c="7">
        <n x="23" s="1"/>
        <n x="24" s="1"/>
        <n x="21"/>
        <n x="28"/>
        <n x="53"/>
        <n x="17"/>
        <n x="167"/>
      </t>
    </mdx>
    <mdx n="0" f="v">
      <t c="7">
        <n x="23" s="1"/>
        <n x="24" s="1"/>
        <n x="21"/>
        <n x="28"/>
        <n x="42"/>
        <n x="8"/>
        <n x="167"/>
      </t>
    </mdx>
    <mdx n="0" f="v">
      <t c="7">
        <n x="23" s="1"/>
        <n x="24" s="1"/>
        <n x="21"/>
        <n x="28"/>
        <n x="58"/>
        <n x="9"/>
        <n x="167"/>
      </t>
    </mdx>
    <mdx n="0" f="v">
      <t c="7">
        <n x="23" s="1"/>
        <n x="24" s="1"/>
        <n x="21"/>
        <n x="29"/>
        <n x="54"/>
        <n x="12"/>
        <n x="167"/>
      </t>
    </mdx>
    <mdx n="0" f="v">
      <t c="7">
        <n x="23" s="1"/>
        <n x="24" s="1"/>
        <n x="21"/>
        <n x="28"/>
        <n x="42"/>
        <n x="25"/>
        <n x="167"/>
      </t>
    </mdx>
    <mdx n="0" f="v">
      <t c="6">
        <n x="23" s="1"/>
        <n x="24" s="1"/>
        <n x="21"/>
        <n x="65"/>
        <n x="15"/>
        <n x="167"/>
      </t>
    </mdx>
    <mdx n="0" f="v">
      <t c="7">
        <n x="23" s="1"/>
        <n x="24" s="1"/>
        <n x="21"/>
        <n x="32"/>
        <n x="33"/>
        <n x="6"/>
        <n x="167"/>
      </t>
    </mdx>
    <mdx n="0" f="v">
      <t c="7">
        <n x="23" s="1"/>
        <n x="24" s="1"/>
        <n x="21"/>
        <n x="29"/>
        <n x="50"/>
        <n x="12"/>
        <n x="167"/>
      </t>
    </mdx>
    <mdx n="0" f="v">
      <t c="6">
        <n x="23" s="1"/>
        <n x="24" s="1"/>
        <n x="21"/>
        <n x="29"/>
        <n x="8"/>
        <n x="167"/>
      </t>
    </mdx>
    <mdx n="0" f="v">
      <t c="7">
        <n x="23" s="1"/>
        <n x="24" s="1"/>
        <n x="21"/>
        <n x="28"/>
        <n x="58"/>
        <n x="14"/>
        <n x="167"/>
      </t>
    </mdx>
    <mdx n="0" f="v">
      <t c="7">
        <n x="23" s="1"/>
        <n x="24" s="1"/>
        <n x="21"/>
        <n x="26"/>
        <n x="38"/>
        <n x="17"/>
        <n x="167"/>
      </t>
    </mdx>
    <mdx n="0" f="v">
      <t c="7">
        <n x="23" s="1"/>
        <n x="24" s="1"/>
        <n x="21"/>
        <n x="62"/>
        <n x="73"/>
        <n x="11"/>
        <n x="167"/>
      </t>
    </mdx>
    <mdx n="0" f="v">
      <t c="6">
        <n x="23" s="1"/>
        <n x="24" s="1"/>
        <n x="21"/>
        <n x="26"/>
        <n x="13"/>
        <n x="167"/>
      </t>
    </mdx>
    <mdx n="0" f="v">
      <t c="7">
        <n x="23" s="1"/>
        <n x="24" s="1"/>
        <n x="21"/>
        <n x="48"/>
        <n x="49"/>
        <n x="10"/>
        <n x="167"/>
      </t>
    </mdx>
    <mdx n="0" f="v">
      <t c="7">
        <n x="23" s="1"/>
        <n x="24" s="1"/>
        <n x="21"/>
        <n x="29"/>
        <n x="40"/>
        <n x="10"/>
        <n x="167"/>
      </t>
    </mdx>
    <mdx n="0" f="v">
      <t c="7">
        <n x="23" s="1"/>
        <n x="24" s="1"/>
        <n x="21"/>
        <n x="26"/>
        <n x="56"/>
        <n x="15"/>
        <n x="167"/>
      </t>
    </mdx>
    <mdx n="0" f="v">
      <t c="7">
        <n x="23" s="1"/>
        <n x="24" s="1"/>
        <n x="21"/>
        <n x="29"/>
        <n x="35"/>
        <n x="25"/>
        <n x="167"/>
      </t>
    </mdx>
    <mdx n="0" f="v">
      <t c="6">
        <n x="23" s="1"/>
        <n x="24" s="1"/>
        <n x="21"/>
        <n x="32"/>
        <n x="11"/>
        <n x="167"/>
      </t>
    </mdx>
    <mdx n="0" f="v">
      <t c="7">
        <n x="23" s="1"/>
        <n x="24" s="1"/>
        <n x="21"/>
        <n x="29"/>
        <n x="50"/>
        <n x="15"/>
        <n x="167"/>
      </t>
    </mdx>
    <mdx n="0" f="v">
      <t c="6">
        <n x="23" s="1"/>
        <n x="24" s="1"/>
        <n x="21"/>
        <n x="28"/>
        <n x="8"/>
        <n x="167"/>
      </t>
    </mdx>
    <mdx n="0" f="v">
      <t c="7">
        <n x="23" s="1"/>
        <n x="24" s="1"/>
        <n x="21"/>
        <n x="26"/>
        <n x="34"/>
        <n x="14"/>
        <n x="167"/>
      </t>
    </mdx>
    <mdx n="0" f="v">
      <t c="6">
        <n x="23" s="1"/>
        <n x="24" s="1"/>
        <n x="21"/>
        <n x="65"/>
        <n x="10"/>
        <n x="167"/>
      </t>
    </mdx>
    <mdx n="0" f="v">
      <t c="7">
        <n x="23" s="1"/>
        <n x="24" s="1"/>
        <n x="21"/>
        <n x="62"/>
        <n x="72"/>
        <n x="10"/>
        <n x="167"/>
      </t>
    </mdx>
    <mdx n="0" f="v">
      <t c="7">
        <n x="23" s="1"/>
        <n x="24" s="1"/>
        <n x="21"/>
        <n x="28"/>
        <n x="55"/>
        <n x="10"/>
        <n x="167"/>
      </t>
    </mdx>
    <mdx n="0" f="v">
      <t c="7">
        <n x="23" s="1"/>
        <n x="24" s="1"/>
        <n x="21"/>
        <n x="26"/>
        <n x="27"/>
        <n x="8"/>
        <n x="167"/>
      </t>
    </mdx>
    <mdx n="0" f="v">
      <t c="7">
        <n x="23" s="1"/>
        <n x="24" s="1"/>
        <n x="21"/>
        <n x="48"/>
        <n x="49"/>
        <n x="8"/>
        <n x="167"/>
      </t>
    </mdx>
    <mdx n="0" f="v">
      <t c="6">
        <n x="23" s="1"/>
        <n x="24" s="1"/>
        <n x="21"/>
        <n x="28"/>
        <n x="11"/>
        <n x="167"/>
      </t>
    </mdx>
    <mdx n="0" f="v">
      <t c="7">
        <n x="23" s="1"/>
        <n x="24" s="1"/>
        <n x="21"/>
        <n x="26"/>
        <n x="67"/>
        <n x="8"/>
        <n x="167"/>
      </t>
    </mdx>
    <mdx n="0" f="v">
      <t c="7">
        <n x="23" s="1"/>
        <n x="24" s="1"/>
        <n x="21"/>
        <n x="32"/>
        <n x="66"/>
        <n x="8"/>
        <n x="167"/>
      </t>
    </mdx>
    <mdx n="0" f="v">
      <t c="7">
        <n x="23" s="1"/>
        <n x="24" s="1"/>
        <n x="21"/>
        <n x="29"/>
        <n x="43"/>
        <n x="25"/>
        <n x="167"/>
      </t>
    </mdx>
    <mdx n="0" f="v">
      <t c="7">
        <n x="23" s="1"/>
        <n x="24" s="1"/>
        <n x="21"/>
        <n x="29"/>
        <n x="51"/>
        <n x="8"/>
        <n x="167"/>
      </t>
    </mdx>
    <mdx n="0" f="v">
      <t c="7">
        <n x="23" s="1"/>
        <n x="24" s="1"/>
        <n x="21"/>
        <n x="29"/>
        <n x="54"/>
        <n x="15"/>
        <n x="167"/>
      </t>
    </mdx>
    <mdx n="0" f="v">
      <t c="6">
        <n x="23" s="1"/>
        <n x="24" s="1"/>
        <n x="21"/>
        <n x="28"/>
        <n x="10"/>
        <n x="167"/>
      </t>
    </mdx>
    <mdx n="0" f="v">
      <t c="7">
        <n x="23" s="1"/>
        <n x="24" s="1"/>
        <n x="21"/>
        <n x="28"/>
        <n x="58"/>
        <n x="13"/>
        <n x="167"/>
      </t>
    </mdx>
    <mdx n="0" f="v">
      <t c="7">
        <n x="23" s="1"/>
        <n x="24" s="1"/>
        <n x="21"/>
        <n x="29"/>
        <n x="43"/>
        <n x="12"/>
        <n x="167"/>
      </t>
    </mdx>
    <mdx n="0" f="v">
      <t c="7">
        <n x="23" s="1"/>
        <n x="24" s="1"/>
        <n x="21"/>
        <n x="62"/>
        <n x="74"/>
        <n x="9"/>
        <n x="167"/>
      </t>
    </mdx>
    <mdx n="0" f="v">
      <t c="7">
        <n x="23" s="1"/>
        <n x="24" s="1"/>
        <n x="21"/>
        <n x="62"/>
        <n x="72"/>
        <n x="16"/>
        <n x="167"/>
      </t>
    </mdx>
    <mdx n="0" f="v">
      <t c="7">
        <n x="23" s="1"/>
        <n x="24" s="1"/>
        <n x="21"/>
        <n x="29"/>
        <n x="47"/>
        <n x="9"/>
        <n x="167"/>
      </t>
    </mdx>
    <mdx n="0" f="v">
      <t c="7">
        <n x="23" s="1"/>
        <n x="24" s="1"/>
        <n x="21"/>
        <n x="29"/>
        <n x="47"/>
        <n x="25"/>
        <n x="167"/>
      </t>
    </mdx>
    <mdx n="0" f="v">
      <t c="7">
        <n x="23" s="1"/>
        <n x="24" s="1"/>
        <n x="21"/>
        <n x="29"/>
        <n x="47"/>
        <n x="7"/>
        <n x="167"/>
      </t>
    </mdx>
    <mdx n="0" f="v">
      <t c="7">
        <n x="23" s="1"/>
        <n x="24" s="1"/>
        <n x="21"/>
        <n x="36"/>
        <n x="37"/>
        <n x="17"/>
        <n x="167"/>
      </t>
    </mdx>
    <mdx n="0" f="v">
      <t c="7">
        <n x="23" s="1"/>
        <n x="24" s="1"/>
        <n x="21"/>
        <n x="29"/>
        <n x="43"/>
        <n x="11"/>
        <n x="167"/>
      </t>
    </mdx>
    <mdx n="0" f="v">
      <t c="7">
        <n x="23" s="1"/>
        <n x="24" s="1"/>
        <n x="21"/>
        <n x="29"/>
        <n x="71"/>
        <n x="6"/>
        <n x="167"/>
      </t>
    </mdx>
    <mdx n="0" f="v">
      <t c="7">
        <n x="23" s="1"/>
        <n x="24" s="1"/>
        <n x="21"/>
        <n x="26"/>
        <n x="46"/>
        <n x="11"/>
        <n x="167"/>
      </t>
    </mdx>
    <mdx n="0" f="v">
      <t c="7">
        <n x="23" s="1"/>
        <n x="24" s="1"/>
        <n x="21"/>
        <n x="62"/>
        <n x="73"/>
        <n x="7"/>
        <n x="167"/>
      </t>
    </mdx>
    <mdx n="0" f="v">
      <t c="7">
        <n x="23" s="1"/>
        <n x="24" s="1"/>
        <n x="21"/>
        <n x="26"/>
        <n x="27"/>
        <n x="7"/>
        <n x="167"/>
      </t>
    </mdx>
    <mdx n="0" f="v">
      <t c="7">
        <n x="23" s="1"/>
        <n x="24" s="1"/>
        <n x="21"/>
        <n x="32"/>
        <n x="68"/>
        <n x="6"/>
        <n x="167"/>
      </t>
    </mdx>
    <mdx n="0" f="v">
      <t c="7">
        <n x="23" s="1"/>
        <n x="24" s="1"/>
        <n x="21"/>
        <n x="26"/>
        <n x="27"/>
        <n x="10"/>
        <n x="167"/>
      </t>
    </mdx>
    <mdx n="0" f="v">
      <t c="7">
        <n x="23" s="1"/>
        <n x="24" s="1"/>
        <n x="21"/>
        <n x="32"/>
        <n x="68"/>
        <n x="11"/>
        <n x="167"/>
      </t>
    </mdx>
    <mdx n="0" f="v">
      <t c="7">
        <n x="23" s="1"/>
        <n x="24" s="1"/>
        <n x="21"/>
        <n x="29"/>
        <n x="71"/>
        <n x="10"/>
        <n x="167"/>
      </t>
    </mdx>
    <mdx n="0" f="v">
      <t c="6">
        <n x="23" s="1"/>
        <n x="24" s="1"/>
        <n x="21"/>
        <n x="61"/>
        <n x="13"/>
        <n x="167"/>
      </t>
    </mdx>
    <mdx n="0" f="v">
      <t c="7">
        <n x="23" s="1"/>
        <n x="24" s="1"/>
        <n x="21"/>
        <n x="29"/>
        <n x="43"/>
        <n x="9"/>
        <n x="167"/>
      </t>
    </mdx>
    <mdx n="0" f="v">
      <t c="7">
        <n x="23" s="1"/>
        <n x="24" s="1"/>
        <n x="21"/>
        <n x="62"/>
        <n x="72"/>
        <n x="8"/>
        <n x="167"/>
      </t>
    </mdx>
    <mdx n="0" f="v">
      <t c="7">
        <n x="23" s="1"/>
        <n x="24" s="1"/>
        <n x="21"/>
        <n x="29"/>
        <n x="51"/>
        <n x="13"/>
        <n x="167"/>
      </t>
    </mdx>
    <mdx n="0" f="v">
      <t c="7">
        <n x="23" s="1"/>
        <n x="24" s="1"/>
        <n x="21"/>
        <n x="29"/>
        <n x="39"/>
        <n x="10"/>
        <n x="167"/>
      </t>
    </mdx>
    <mdx n="0" f="v">
      <t c="7">
        <n x="23" s="1"/>
        <n x="24" s="1"/>
        <n x="21"/>
        <n x="29"/>
        <n x="54"/>
        <n x="9"/>
        <n x="167"/>
      </t>
    </mdx>
    <mdx n="0" f="v">
      <t c="7">
        <n x="23" s="1"/>
        <n x="24" s="1"/>
        <n x="21"/>
        <n x="29"/>
        <n x="45"/>
        <n x="8"/>
        <n x="167"/>
      </t>
    </mdx>
    <mdx n="0" f="v">
      <t c="7">
        <n x="23" s="1"/>
        <n x="24" s="1"/>
        <n x="21"/>
        <n x="29"/>
        <n x="59"/>
        <n x="13"/>
        <n x="167"/>
      </t>
    </mdx>
    <mdx n="0" f="v">
      <t c="7">
        <n x="23" s="1"/>
        <n x="24" s="1"/>
        <n x="21"/>
        <n x="32"/>
        <n x="63"/>
        <n x="10"/>
        <n x="167"/>
      </t>
    </mdx>
    <mdx n="0" f="v">
      <t c="7">
        <n x="23" s="1"/>
        <n x="24" s="1"/>
        <n x="21"/>
        <n x="62"/>
        <n x="74"/>
        <n x="8"/>
        <n x="167"/>
      </t>
    </mdx>
    <mdx n="0" f="v">
      <t c="7">
        <n x="23" s="1"/>
        <n x="24" s="1"/>
        <n x="21"/>
        <n x="28"/>
        <n x="53"/>
        <n x="7"/>
        <n x="167"/>
      </t>
    </mdx>
    <mdx n="0" f="v">
      <t c="7">
        <n x="23" s="1"/>
        <n x="24" s="1"/>
        <n x="21"/>
        <n x="28"/>
        <n x="53"/>
        <n x="10"/>
        <n x="167"/>
      </t>
    </mdx>
    <mdx n="0" f="v">
      <t c="7">
        <n x="23" s="1"/>
        <n x="24" s="1"/>
        <n x="21"/>
        <n x="32"/>
        <n x="66"/>
        <n x="17"/>
        <n x="167"/>
      </t>
    </mdx>
    <mdx n="0" f="v">
      <t c="7">
        <n x="23" s="1"/>
        <n x="24" s="1"/>
        <n x="21"/>
        <n x="62"/>
        <n x="72"/>
        <n x="13"/>
        <n x="167"/>
      </t>
    </mdx>
    <mdx n="0" f="v">
      <t c="7">
        <n x="23" s="1"/>
        <n x="24" s="1"/>
        <n x="21"/>
        <n x="26"/>
        <n x="46"/>
        <n x="15"/>
        <n x="167"/>
      </t>
    </mdx>
    <mdx n="0" f="v">
      <t c="7">
        <n x="23" s="1"/>
        <n x="24" s="1"/>
        <n x="21"/>
        <n x="26"/>
        <n x="41"/>
        <n x="15"/>
        <n x="167"/>
      </t>
    </mdx>
    <mdx n="0" f="v">
      <t c="7">
        <n x="23" s="1"/>
        <n x="24" s="1"/>
        <n x="21"/>
        <n x="48"/>
        <n x="49"/>
        <n x="25"/>
        <n x="167"/>
      </t>
    </mdx>
    <mdx n="0" f="v">
      <t c="7">
        <n x="23" s="1"/>
        <n x="24" s="1"/>
        <n x="21"/>
        <n x="48"/>
        <n x="49"/>
        <n x="7"/>
        <n x="167"/>
      </t>
    </mdx>
    <mdx n="0" f="v">
      <t c="7">
        <n x="23" s="1"/>
        <n x="24" s="1"/>
        <n x="21"/>
        <n x="29"/>
        <n x="39"/>
        <n x="14"/>
        <n x="167"/>
      </t>
    </mdx>
    <mdx n="0" f="v">
      <t c="7">
        <n x="23" s="1"/>
        <n x="24" s="1"/>
        <n x="21"/>
        <n x="28"/>
        <n x="55"/>
        <n x="16"/>
        <n x="167"/>
      </t>
    </mdx>
    <mdx n="0" f="v">
      <t c="7">
        <n x="23" s="1"/>
        <n x="24" s="1"/>
        <n x="21"/>
        <n x="62"/>
        <n x="72"/>
        <n x="15"/>
        <n x="167"/>
      </t>
    </mdx>
    <mdx n="0" f="v">
      <t c="7">
        <n x="23" s="1"/>
        <n x="24" s="1"/>
        <n x="21"/>
        <n x="29"/>
        <n x="40"/>
        <n x="17"/>
        <n x="167"/>
      </t>
    </mdx>
    <mdx n="0" f="v">
      <t c="7">
        <n x="23" s="1"/>
        <n x="24" s="1"/>
        <n x="21"/>
        <n x="48"/>
        <n x="49"/>
        <n x="13"/>
        <n x="167"/>
      </t>
    </mdx>
    <mdx n="0" f="v">
      <t c="7">
        <n x="23" s="1"/>
        <n x="24" s="1"/>
        <n x="21"/>
        <n x="32"/>
        <n x="70"/>
        <n x="12"/>
        <n x="167"/>
      </t>
    </mdx>
    <mdx n="0" f="v">
      <t c="7">
        <n x="23" s="1"/>
        <n x="24" s="1"/>
        <n x="21"/>
        <n x="26"/>
        <n x="34"/>
        <n x="9"/>
        <n x="167"/>
      </t>
    </mdx>
    <mdx n="0" f="v">
      <t c="7">
        <n x="23" s="1"/>
        <n x="24" s="1"/>
        <n x="21"/>
        <n x="29"/>
        <n x="35"/>
        <n x="16"/>
        <n x="167"/>
      </t>
    </mdx>
    <mdx n="0" f="v">
      <t c="7">
        <n x="23" s="1"/>
        <n x="24" s="1"/>
        <n x="21"/>
        <n x="26"/>
        <n x="31"/>
        <n x="25"/>
        <n x="167"/>
      </t>
    </mdx>
    <mdx n="0" f="v">
      <t c="7">
        <n x="23" s="1"/>
        <n x="24" s="1"/>
        <n x="21"/>
        <n x="48"/>
        <n x="49"/>
        <n x="11"/>
        <n x="167"/>
      </t>
    </mdx>
    <mdx n="0" f="v">
      <t c="7">
        <n x="23" s="1"/>
        <n x="24" s="1"/>
        <n x="21"/>
        <n x="32"/>
        <n x="68"/>
        <n x="17"/>
        <n x="167"/>
      </t>
    </mdx>
    <mdx n="0" f="v">
      <t c="7">
        <n x="23" s="1"/>
        <n x="24" s="1"/>
        <n x="21"/>
        <n x="48"/>
        <n x="49"/>
        <n x="12"/>
        <n x="167"/>
      </t>
    </mdx>
    <mdx n="0" f="v">
      <t c="6">
        <n x="23" s="1"/>
        <n x="24" s="1"/>
        <n x="21"/>
        <n x="26"/>
        <n x="17"/>
        <n x="167"/>
      </t>
    </mdx>
    <mdx n="0" f="v">
      <t c="7">
        <n x="23" s="1"/>
        <n x="24" s="1"/>
        <n x="21"/>
        <n x="29"/>
        <n x="30"/>
        <n x="11"/>
        <n x="167"/>
      </t>
    </mdx>
    <mdx n="0" f="v">
      <t c="7">
        <n x="23" s="1"/>
        <n x="24" s="1"/>
        <n x="21"/>
        <n x="29"/>
        <n x="39"/>
        <n x="13"/>
        <n x="167"/>
      </t>
    </mdx>
    <mdx n="0" f="v">
      <t c="7">
        <n x="23" s="1"/>
        <n x="24" s="1"/>
        <n x="21"/>
        <n x="29"/>
        <n x="45"/>
        <n x="9"/>
        <n x="167"/>
      </t>
    </mdx>
    <mdx n="0" f="v">
      <t c="6">
        <n x="23" s="1"/>
        <n x="24" s="1"/>
        <n x="21"/>
        <n x="48"/>
        <n x="13"/>
        <n x="167"/>
      </t>
    </mdx>
    <mdx n="0" f="v">
      <t c="7">
        <n x="23" s="1"/>
        <n x="24" s="1"/>
        <n x="21"/>
        <n x="28"/>
        <n x="53"/>
        <n x="6"/>
        <n x="167"/>
      </t>
    </mdx>
    <mdx n="0" f="v">
      <t c="7">
        <n x="23" s="1"/>
        <n x="24" s="1"/>
        <n x="21"/>
        <n x="26"/>
        <n x="52"/>
        <n x="7"/>
        <n x="167"/>
      </t>
    </mdx>
    <mdx n="0" f="v">
      <t c="7">
        <n x="23" s="1"/>
        <n x="24" s="1"/>
        <n x="21"/>
        <n x="28"/>
        <n x="55"/>
        <n x="8"/>
        <n x="167"/>
      </t>
    </mdx>
    <mdx n="0" f="v">
      <t c="7">
        <n x="23" s="1"/>
        <n x="24" s="1"/>
        <n x="21"/>
        <n x="62"/>
        <n x="73"/>
        <n x="10"/>
        <n x="167"/>
      </t>
    </mdx>
    <mdx n="0" f="v">
      <t c="7">
        <n x="23" s="1"/>
        <n x="24" s="1"/>
        <n x="21"/>
        <n x="28"/>
        <n x="42"/>
        <n x="6"/>
        <n x="167"/>
      </t>
    </mdx>
    <mdx n="0" f="v">
      <t c="7">
        <n x="23" s="1"/>
        <n x="24" s="1"/>
        <n x="21"/>
        <n x="26"/>
        <n x="44"/>
        <n x="6"/>
        <n x="167"/>
      </t>
    </mdx>
    <mdx n="0" f="v">
      <t c="7">
        <n x="23" s="1"/>
        <n x="24" s="1"/>
        <n x="21"/>
        <n x="29"/>
        <n x="30"/>
        <n x="12"/>
        <n x="167"/>
      </t>
    </mdx>
    <mdx n="0" f="v">
      <t c="7">
        <n x="23" s="1"/>
        <n x="24" s="1"/>
        <n x="21"/>
        <n x="29"/>
        <n x="39"/>
        <n x="12"/>
        <n x="167"/>
      </t>
    </mdx>
    <mdx n="0" f="v">
      <t c="7">
        <n x="23" s="1"/>
        <n x="24" s="1"/>
        <n x="21"/>
        <n x="26"/>
        <n x="31"/>
        <n x="10"/>
        <n x="167"/>
      </t>
    </mdx>
    <mdx n="0" f="v">
      <t c="7">
        <n x="23" s="1"/>
        <n x="24" s="1"/>
        <n x="21"/>
        <n x="28"/>
        <n x="55"/>
        <n x="15"/>
        <n x="167"/>
      </t>
    </mdx>
    <mdx n="0" f="v">
      <t c="7">
        <n x="23" s="1"/>
        <n x="24" s="1"/>
        <n x="21"/>
        <n x="26"/>
        <n x="56"/>
        <n x="10"/>
        <n x="167"/>
      </t>
    </mdx>
    <mdx n="0" f="v">
      <t c="7">
        <n x="23" s="1"/>
        <n x="24" s="1"/>
        <n x="21"/>
        <n x="36"/>
        <n x="37"/>
        <n x="15"/>
        <n x="167"/>
      </t>
    </mdx>
    <mdx n="0" f="v">
      <t c="7">
        <n x="23" s="1"/>
        <n x="24" s="1"/>
        <n x="21"/>
        <n x="32"/>
        <n x="33"/>
        <n x="15"/>
        <n x="167"/>
      </t>
    </mdx>
    <mdx n="0" f="v">
      <t c="7">
        <n x="23" s="1"/>
        <n x="24" s="1"/>
        <n x="21"/>
        <n x="26"/>
        <n x="52"/>
        <n x="15"/>
        <n x="167"/>
      </t>
    </mdx>
    <mdx n="0" f="v">
      <t c="7">
        <n x="23" s="1"/>
        <n x="24" s="1"/>
        <n x="21"/>
        <n x="48"/>
        <n x="49"/>
        <n x="15"/>
        <n x="167"/>
      </t>
    </mdx>
    <mdx n="0" f="v">
      <t c="7">
        <n x="23" s="1"/>
        <n x="24" s="1"/>
        <n x="21"/>
        <n x="48"/>
        <n x="49"/>
        <n x="9"/>
        <n x="167"/>
      </t>
    </mdx>
    <mdx n="0" f="v">
      <t c="7">
        <n x="23" s="1"/>
        <n x="24" s="1"/>
        <n x="21"/>
        <n x="28"/>
        <n x="53"/>
        <n x="16"/>
        <n x="167"/>
      </t>
    </mdx>
    <mdx n="0" f="v">
      <t c="7">
        <n x="23" s="1"/>
        <n x="24" s="1"/>
        <n x="21"/>
        <n x="29"/>
        <n x="35"/>
        <n x="7"/>
        <n x="167"/>
      </t>
    </mdx>
    <mdx n="0" f="v">
      <t c="7">
        <n x="23" s="1"/>
        <n x="24" s="1"/>
        <n x="21"/>
        <n x="26"/>
        <n x="34"/>
        <n x="17"/>
        <n x="167"/>
      </t>
    </mdx>
    <mdx n="0" f="v">
      <t c="6">
        <n x="23" s="1"/>
        <n x="24" s="1"/>
        <n x="21"/>
        <n x="26"/>
        <n x="12"/>
        <n x="167"/>
      </t>
    </mdx>
    <mdx n="0" f="v">
      <t c="7">
        <n x="23" s="1"/>
        <n x="24" s="1"/>
        <n x="21"/>
        <n x="29"/>
        <n x="40"/>
        <n x="25"/>
        <n x="167"/>
      </t>
    </mdx>
    <mdx n="0" f="v">
      <t c="7">
        <n x="23" s="1"/>
        <n x="24" s="1"/>
        <n x="21"/>
        <n x="26"/>
        <n x="60"/>
        <n x="8"/>
        <n x="167"/>
      </t>
    </mdx>
    <mdx n="0" f="v">
      <t c="7">
        <n x="23" s="1"/>
        <n x="24" s="1"/>
        <n x="21"/>
        <n x="29"/>
        <n x="50"/>
        <n x="9"/>
        <n x="167"/>
      </t>
    </mdx>
    <mdx n="0" f="v">
      <t c="7">
        <n x="23" s="1"/>
        <n x="24" s="1"/>
        <n x="21"/>
        <n x="29"/>
        <n x="35"/>
        <n x="13"/>
        <n x="167"/>
      </t>
    </mdx>
    <mdx n="0" f="v">
      <t c="7">
        <n x="23" s="1"/>
        <n x="24" s="1"/>
        <n x="21"/>
        <n x="62"/>
        <n x="74"/>
        <n x="7"/>
        <n x="167"/>
      </t>
    </mdx>
    <mdx n="0" f="v">
      <t c="7">
        <n x="23" s="1"/>
        <n x="24" s="1"/>
        <n x="21"/>
        <n x="26"/>
        <n x="52"/>
        <n x="6"/>
        <n x="167"/>
      </t>
    </mdx>
    <mdx n="0" f="v">
      <t c="6">
        <n x="23" s="1"/>
        <n x="24" s="1"/>
        <n x="21"/>
        <n x="28"/>
        <n x="16"/>
        <n x="167"/>
      </t>
    </mdx>
    <mdx n="0" f="v">
      <t c="7">
        <n x="23" s="1"/>
        <n x="24" s="1"/>
        <n x="21"/>
        <n x="62"/>
        <n x="72"/>
        <n x="17"/>
        <n x="167"/>
      </t>
    </mdx>
    <mdx n="0" f="v">
      <t c="7">
        <n x="23" s="1"/>
        <n x="24" s="1"/>
        <n x="21"/>
        <n x="26"/>
        <n x="27"/>
        <n x="15"/>
        <n x="167"/>
      </t>
    </mdx>
    <mdx n="0" f="v">
      <t c="6">
        <n x="23" s="1"/>
        <n x="24" s="1"/>
        <n x="21"/>
        <n x="61"/>
        <n x="8"/>
        <n x="167"/>
      </t>
    </mdx>
    <mdx n="0" f="v">
      <t c="7">
        <n x="23" s="1"/>
        <n x="24" s="1"/>
        <n x="21"/>
        <n x="29"/>
        <n x="71"/>
        <n x="13"/>
        <n x="167"/>
      </t>
    </mdx>
    <mdx n="0" f="v">
      <t c="7">
        <n x="23" s="1"/>
        <n x="24" s="1"/>
        <n x="21"/>
        <n x="26"/>
        <n x="67"/>
        <n x="12"/>
        <n x="167"/>
      </t>
    </mdx>
    <mdx n="0" f="v">
      <t c="7">
        <n x="23" s="1"/>
        <n x="24" s="1"/>
        <n x="21"/>
        <n x="26"/>
        <n x="44"/>
        <n x="9"/>
        <n x="167"/>
      </t>
    </mdx>
    <mdx n="0" f="v">
      <t c="6">
        <n x="23" s="1"/>
        <n x="24" s="1"/>
        <n x="21"/>
        <n x="28"/>
        <n x="6"/>
        <n x="167"/>
      </t>
    </mdx>
    <mdx n="0" f="v">
      <t c="7">
        <n x="23" s="1"/>
        <n x="24" s="1"/>
        <n x="21"/>
        <n x="29"/>
        <n x="51"/>
        <n x="17"/>
        <n x="167"/>
      </t>
    </mdx>
    <mdx n="0" f="v">
      <t c="7">
        <n x="23" s="1"/>
        <n x="24" s="1"/>
        <n x="21"/>
        <n x="62"/>
        <n x="74"/>
        <n x="13"/>
        <n x="167"/>
      </t>
    </mdx>
    <mdx n="0" f="v">
      <t c="7">
        <n x="23" s="1"/>
        <n x="24" s="1"/>
        <n x="21"/>
        <n x="26"/>
        <n x="41"/>
        <n x="6"/>
        <n x="167"/>
      </t>
    </mdx>
    <mdx n="0" f="v">
      <t c="7">
        <n x="23" s="1"/>
        <n x="24" s="1"/>
        <n x="21"/>
        <n x="28"/>
        <n x="58"/>
        <n x="17"/>
        <n x="167"/>
      </t>
    </mdx>
    <mdx n="0" f="v">
      <t c="7">
        <n x="23" s="1"/>
        <n x="24" s="1"/>
        <n x="21"/>
        <n x="26"/>
        <n x="46"/>
        <n x="17"/>
        <n x="167"/>
      </t>
    </mdx>
    <mdx n="0" f="v">
      <t c="7">
        <n x="23" s="1"/>
        <n x="24" s="1"/>
        <n x="21"/>
        <n x="32"/>
        <n x="70"/>
        <n x="9"/>
        <n x="167"/>
      </t>
    </mdx>
    <mdx n="0" f="v">
      <t c="7">
        <n x="23" s="1"/>
        <n x="24" s="1"/>
        <n x="21"/>
        <n x="29"/>
        <n x="59"/>
        <n x="17"/>
        <n x="167"/>
      </t>
    </mdx>
    <mdx n="0" f="v">
      <t c="6">
        <n x="23" s="1"/>
        <n x="24" s="1"/>
        <n x="21"/>
        <n x="65"/>
        <n x="9"/>
        <n x="167"/>
      </t>
    </mdx>
    <mdx n="0" f="v">
      <t c="7">
        <n x="23" s="1"/>
        <n x="24" s="1"/>
        <n x="21"/>
        <n x="29"/>
        <n x="59"/>
        <n x="8"/>
        <n x="167"/>
      </t>
    </mdx>
    <mdx n="0" f="v">
      <t c="7">
        <n x="23" s="1"/>
        <n x="24" s="1"/>
        <n x="21"/>
        <n x="26"/>
        <n x="41"/>
        <n x="13"/>
        <n x="167"/>
      </t>
    </mdx>
    <mdx n="0" f="v">
      <t c="7">
        <n x="23" s="1"/>
        <n x="24" s="1"/>
        <n x="21"/>
        <n x="28"/>
        <n x="53"/>
        <n x="14"/>
        <n x="167"/>
      </t>
    </mdx>
    <mdx n="0" f="v">
      <t c="7">
        <n x="23" s="1"/>
        <n x="24" s="1"/>
        <n x="21"/>
        <n x="28"/>
        <n x="55"/>
        <n x="11"/>
        <n x="167"/>
      </t>
    </mdx>
    <mdx n="0" f="v">
      <t c="7">
        <n x="23" s="1"/>
        <n x="24" s="1"/>
        <n x="21"/>
        <n x="26"/>
        <n x="56"/>
        <n x="8"/>
        <n x="167"/>
      </t>
    </mdx>
    <mdx n="0" f="v">
      <t c="7">
        <n x="23" s="1"/>
        <n x="24" s="1"/>
        <n x="21"/>
        <n x="62"/>
        <n x="74"/>
        <n x="15"/>
        <n x="167"/>
      </t>
    </mdx>
    <mdx n="0" f="v">
      <t c="7">
        <n x="23" s="1"/>
        <n x="24" s="1"/>
        <n x="21"/>
        <n x="26"/>
        <n x="69"/>
        <n x="15"/>
        <n x="167"/>
      </t>
    </mdx>
    <mdx n="0" f="v">
      <t c="7">
        <n x="23" s="1"/>
        <n x="24" s="1"/>
        <n x="21"/>
        <n x="29"/>
        <n x="39"/>
        <n x="15"/>
        <n x="167"/>
      </t>
    </mdx>
    <mdx n="0" f="v">
      <t c="7">
        <n x="23" s="1"/>
        <n x="24" s="1"/>
        <n x="21"/>
        <n x="48"/>
        <n x="49"/>
        <n x="16"/>
        <n x="167"/>
      </t>
    </mdx>
    <mdx n="0" f="v">
      <t c="7">
        <n x="23" s="1"/>
        <n x="24" s="1"/>
        <n x="21"/>
        <n x="48"/>
        <n x="49"/>
        <n x="17"/>
        <n x="167"/>
      </t>
    </mdx>
    <mdx n="0" f="v">
      <t c="7">
        <n x="23" s="1"/>
        <n x="24" s="1"/>
        <n x="21"/>
        <n x="29"/>
        <n x="47"/>
        <n x="11"/>
        <n x="167"/>
      </t>
    </mdx>
    <mdx n="0" f="v">
      <t c="7">
        <n x="23" s="1"/>
        <n x="24" s="1"/>
        <n x="21"/>
        <n x="32"/>
        <n x="66"/>
        <n x="11"/>
        <n x="167"/>
      </t>
    </mdx>
    <mdx n="0" f="v">
      <t c="7">
        <n x="23" s="1"/>
        <n x="24" s="1"/>
        <n x="21"/>
        <n x="29"/>
        <n x="30"/>
        <n x="13"/>
        <n x="167"/>
      </t>
    </mdx>
    <mdx n="0" f="v">
      <t c="7">
        <n x="23" s="1"/>
        <n x="24" s="1"/>
        <n x="21"/>
        <n x="28"/>
        <n x="55"/>
        <n x="12"/>
        <n x="167"/>
      </t>
    </mdx>
    <mdx n="0" f="v">
      <t c="7">
        <n x="23" s="1"/>
        <n x="24" s="1"/>
        <n x="21"/>
        <n x="26"/>
        <n x="38"/>
        <n x="25"/>
        <n x="167"/>
      </t>
    </mdx>
    <mdx n="0" f="v">
      <t c="6">
        <n x="23" s="1"/>
        <n x="24" s="1"/>
        <n x="21"/>
        <n x="32"/>
        <n x="14"/>
        <n x="167"/>
      </t>
    </mdx>
    <mdx n="0" f="v">
      <t c="7">
        <n x="23" s="1"/>
        <n x="24" s="1"/>
        <n x="21"/>
        <n x="26"/>
        <n x="67"/>
        <n x="15"/>
        <n x="167"/>
      </t>
    </mdx>
    <mdx n="0" f="v">
      <t c="7">
        <n x="23" s="1"/>
        <n x="24" s="1"/>
        <n x="21"/>
        <n x="26"/>
        <n x="44"/>
        <n x="16"/>
        <n x="167"/>
      </t>
    </mdx>
    <mdx n="0" f="v">
      <t c="6">
        <n x="23" s="1"/>
        <n x="24" s="1"/>
        <n x="21"/>
        <n x="48"/>
        <n x="15"/>
        <n x="167"/>
      </t>
    </mdx>
    <mdx n="0" f="v">
      <t c="7">
        <n x="23" s="1"/>
        <n x="24" s="1"/>
        <n x="21"/>
        <n x="32"/>
        <n x="63"/>
        <n x="8"/>
        <n x="167"/>
      </t>
    </mdx>
    <mdx n="0" f="v">
      <t c="7">
        <n x="23" s="1"/>
        <n x="24" s="1"/>
        <n x="21"/>
        <n x="26"/>
        <n x="27"/>
        <n x="17"/>
        <n x="167"/>
      </t>
    </mdx>
    <mdx n="0" f="v">
      <t c="7">
        <n x="23" s="1"/>
        <n x="24" s="1"/>
        <n x="21"/>
        <n x="29"/>
        <n x="54"/>
        <n x="6"/>
        <n x="167"/>
      </t>
    </mdx>
    <mdx n="0" f="v">
      <t c="7">
        <n x="23" s="1"/>
        <n x="24" s="1"/>
        <n x="21"/>
        <n x="32"/>
        <n x="68"/>
        <n x="9"/>
        <n x="167"/>
      </t>
    </mdx>
    <mdx n="0" f="v">
      <t c="7">
        <n x="23" s="1"/>
        <n x="24" s="1"/>
        <n x="21"/>
        <n x="32"/>
        <n x="68"/>
        <n x="14"/>
        <n x="167"/>
      </t>
    </mdx>
    <mdx n="0" f="v">
      <t c="7">
        <n x="23" s="1"/>
        <n x="24" s="1"/>
        <n x="21"/>
        <n x="29"/>
        <n x="30"/>
        <n x="17"/>
        <n x="167"/>
      </t>
    </mdx>
    <mdx n="0" f="v">
      <t c="7">
        <n x="23" s="1"/>
        <n x="24" s="1"/>
        <n x="21"/>
        <n x="29"/>
        <n x="47"/>
        <n x="6"/>
        <n x="167"/>
      </t>
    </mdx>
    <mdx n="0" f="v">
      <t c="7">
        <n x="23" s="1"/>
        <n x="24" s="1"/>
        <n x="21"/>
        <n x="26"/>
        <n x="41"/>
        <n x="16"/>
        <n x="167"/>
      </t>
    </mdx>
    <mdx n="0" f="v">
      <t c="7">
        <n x="23" s="1"/>
        <n x="24" s="1"/>
        <n x="21"/>
        <n x="29"/>
        <n x="71"/>
        <n x="14"/>
        <n x="167"/>
      </t>
    </mdx>
    <mdx n="0" f="v">
      <t c="7">
        <n x="23" s="1"/>
        <n x="24" s="1"/>
        <n x="21"/>
        <n x="26"/>
        <n x="52"/>
        <n x="17"/>
        <n x="167"/>
      </t>
    </mdx>
    <mdx n="0" f="v">
      <t c="6">
        <n x="23" s="1"/>
        <n x="24" s="1"/>
        <n x="21"/>
        <n x="26"/>
        <n x="10"/>
        <n x="167"/>
      </t>
    </mdx>
    <mdx n="0" f="v">
      <t c="7">
        <n x="23" s="1"/>
        <n x="24" s="1"/>
        <n x="21"/>
        <n x="48"/>
        <n x="64"/>
        <n x="25"/>
        <n x="167"/>
      </t>
    </mdx>
    <mdx n="0" f="v">
      <t c="6">
        <n x="23" s="1"/>
        <n x="24" s="1"/>
        <n x="21"/>
        <n x="29"/>
        <n x="11"/>
        <n x="167"/>
      </t>
    </mdx>
    <mdx n="0" f="v">
      <t c="7">
        <n x="23" s="1"/>
        <n x="24" s="1"/>
        <n x="21"/>
        <n x="26"/>
        <n x="60"/>
        <n x="17"/>
        <n x="167"/>
      </t>
    </mdx>
    <mdx n="0" f="v">
      <t c="7">
        <n x="23" s="1"/>
        <n x="24" s="1"/>
        <n x="21"/>
        <n x="26"/>
        <n x="57"/>
        <n x="6"/>
        <n x="167"/>
      </t>
    </mdx>
    <mdx n="0" f="v">
      <t c="7">
        <n x="23" s="1"/>
        <n x="24" s="1"/>
        <n x="21"/>
        <n x="62"/>
        <n x="74"/>
        <n x="14"/>
        <n x="167"/>
      </t>
    </mdx>
    <mdx n="0" f="v">
      <t c="7">
        <n x="23" s="1"/>
        <n x="24" s="1"/>
        <n x="21"/>
        <n x="26"/>
        <n x="44"/>
        <n x="8"/>
        <n x="167"/>
      </t>
    </mdx>
    <mdx n="0" f="v">
      <t c="7">
        <n x="23" s="1"/>
        <n x="24" s="1"/>
        <n x="21"/>
        <n x="62"/>
        <n x="73"/>
        <n x="14"/>
        <n x="167"/>
      </t>
    </mdx>
    <mdx n="0" f="v">
      <t c="7">
        <n x="23" s="1"/>
        <n x="24" s="1"/>
        <n x="21"/>
        <n x="32"/>
        <n x="66"/>
        <n x="7"/>
        <n x="167"/>
      </t>
    </mdx>
    <mdx n="0" f="v">
      <t c="7">
        <n x="23" s="1"/>
        <n x="24" s="1"/>
        <n x="21"/>
        <n x="26"/>
        <n x="44"/>
        <n x="15"/>
        <n x="167"/>
      </t>
    </mdx>
    <mdx n="0" f="v">
      <t c="7">
        <n x="23" s="1"/>
        <n x="24" s="1"/>
        <n x="21"/>
        <n x="28"/>
        <n x="58"/>
        <n x="12"/>
        <n x="167"/>
      </t>
    </mdx>
    <mdx n="0" f="v">
      <t c="6">
        <n x="23" s="1"/>
        <n x="24" s="1"/>
        <n x="21"/>
        <n x="28"/>
        <n x="13"/>
        <n x="167"/>
      </t>
    </mdx>
    <mdx n="0" f="v">
      <t c="7">
        <n x="23" s="1"/>
        <n x="24" s="1"/>
        <n x="21"/>
        <n x="29"/>
        <n x="35"/>
        <n x="15"/>
        <n x="167"/>
      </t>
    </mdx>
    <mdx n="0" f="v">
      <t c="6">
        <n x="23" s="1"/>
        <n x="24" s="1"/>
        <n x="21"/>
        <n x="61"/>
        <n x="25"/>
        <n x="167"/>
      </t>
    </mdx>
    <mdx n="0" f="v">
      <t c="7">
        <n x="23" s="1"/>
        <n x="24" s="1"/>
        <n x="21"/>
        <n x="32"/>
        <n x="33"/>
        <n x="13"/>
        <n x="167"/>
      </t>
    </mdx>
    <mdx n="0" f="v">
      <t c="7">
        <n x="23" s="1"/>
        <n x="24" s="1"/>
        <n x="21"/>
        <n x="28"/>
        <n x="55"/>
        <n x="25"/>
        <n x="167"/>
      </t>
    </mdx>
    <mdx n="0" f="v">
      <t c="7">
        <n x="23" s="1"/>
        <n x="24" s="1"/>
        <n x="21"/>
        <n x="26"/>
        <n x="56"/>
        <n x="11"/>
        <n x="167"/>
      </t>
    </mdx>
    <mdx n="0" f="v">
      <t c="6">
        <n x="23" s="1"/>
        <n x="24" s="1"/>
        <n x="21"/>
        <n x="36"/>
        <n x="15"/>
        <n x="167"/>
      </t>
    </mdx>
    <mdx n="0" f="v">
      <t c="6">
        <n x="23" s="1"/>
        <n x="24" s="1"/>
        <n x="21"/>
        <n x="61"/>
        <n x="15"/>
        <n x="167"/>
      </t>
    </mdx>
    <mdx n="0" f="v">
      <t c="7">
        <n x="23" s="1"/>
        <n x="24" s="1"/>
        <n x="21"/>
        <n x="48"/>
        <n x="49"/>
        <n x="14"/>
        <n x="167"/>
      </t>
    </mdx>
    <mdx n="0" f="v">
      <t c="7">
        <n x="23" s="1"/>
        <n x="24" s="1"/>
        <n x="21"/>
        <n x="48"/>
        <n x="49"/>
        <n x="6"/>
        <n x="167"/>
      </t>
    </mdx>
    <mdx n="0" f="v">
      <t c="7">
        <n x="23" s="1"/>
        <n x="24" s="1"/>
        <n x="21"/>
        <n x="26"/>
        <n x="38"/>
        <n x="8"/>
        <n x="167"/>
      </t>
    </mdx>
    <mdx n="0" f="v">
      <t c="7">
        <n x="23" s="1"/>
        <n x="24" s="1"/>
        <n x="21"/>
        <n x="29"/>
        <n x="39"/>
        <n x="6"/>
        <n x="167"/>
      </t>
    </mdx>
    <mdx n="0" f="v">
      <t c="6">
        <n x="23" s="1"/>
        <n x="24" s="1"/>
        <n x="21"/>
        <n x="26"/>
        <n x="7"/>
        <n x="167"/>
      </t>
    </mdx>
    <mdx n="0" f="v">
      <t c="7">
        <n x="23" s="1"/>
        <n x="24" s="1"/>
        <n x="21"/>
        <n x="26"/>
        <n x="57"/>
        <n x="7"/>
        <n x="167"/>
      </t>
    </mdx>
    <mdx n="0" f="v">
      <t c="6">
        <n x="23" s="1"/>
        <n x="24" s="1"/>
        <n x="21"/>
        <n x="29"/>
        <n x="7"/>
        <n x="167"/>
      </t>
    </mdx>
    <mdx n="0" f="v">
      <t c="7">
        <n x="23" s="1"/>
        <n x="24" s="1"/>
        <n x="21"/>
        <n x="29"/>
        <n x="40"/>
        <n x="16"/>
        <n x="167"/>
      </t>
    </mdx>
    <mdx n="0" f="v">
      <t c="6">
        <n x="23" s="1"/>
        <n x="24" s="1"/>
        <n x="21"/>
        <n x="36"/>
        <n x="16"/>
        <n x="167"/>
      </t>
    </mdx>
    <mdx n="0" f="v">
      <t c="6">
        <n x="23" s="1"/>
        <n x="24" s="1"/>
        <n x="21"/>
        <n x="36"/>
        <n x="8"/>
        <n x="167"/>
      </t>
    </mdx>
    <mdx n="0" f="v">
      <t c="6">
        <n x="23" s="1"/>
        <n x="24" s="1"/>
        <n x="21"/>
        <n x="36"/>
        <n x="13"/>
        <n x="167"/>
      </t>
    </mdx>
    <mdx n="0" f="v">
      <t c="7">
        <n x="23" s="1"/>
        <n x="24" s="1"/>
        <n x="21"/>
        <n x="32"/>
        <n x="70"/>
        <n x="14"/>
        <n x="167"/>
      </t>
    </mdx>
    <mdx n="0" f="v">
      <t c="7">
        <n x="23" s="1"/>
        <n x="24" s="1"/>
        <n x="21"/>
        <n x="26"/>
        <n x="44"/>
        <n x="14"/>
        <n x="167"/>
      </t>
    </mdx>
    <mdx n="0" f="v">
      <t c="7">
        <n x="23" s="1"/>
        <n x="24" s="1"/>
        <n x="21"/>
        <n x="29"/>
        <n x="71"/>
        <n x="12"/>
        <n x="167"/>
      </t>
    </mdx>
    <mdx n="0" f="v">
      <t c="7">
        <n x="23" s="1"/>
        <n x="24" s="1"/>
        <n x="21"/>
        <n x="29"/>
        <n x="71"/>
        <n x="16"/>
        <n x="167"/>
      </t>
    </mdx>
    <mdx n="0" f="v">
      <t c="6">
        <n x="23" s="1"/>
        <n x="24" s="1"/>
        <n x="21"/>
        <n x="65"/>
        <n x="8"/>
        <n x="167"/>
      </t>
    </mdx>
    <mdx n="0" f="v">
      <t c="7">
        <n x="23" s="1"/>
        <n x="24" s="1"/>
        <n x="21"/>
        <n x="26"/>
        <n x="60"/>
        <n x="11"/>
        <n x="167"/>
      </t>
    </mdx>
    <mdx n="0" f="v">
      <t c="6">
        <n x="23" s="1"/>
        <n x="24" s="1"/>
        <n x="21"/>
        <n x="36"/>
        <n x="11"/>
        <n x="167"/>
      </t>
    </mdx>
    <mdx n="0" f="v">
      <t c="7">
        <n x="23" s="1"/>
        <n x="24" s="1"/>
        <n x="21"/>
        <n x="26"/>
        <n x="52"/>
        <n x="11"/>
        <n x="167"/>
      </t>
    </mdx>
    <mdx n="0" f="v">
      <t c="7">
        <n x="23" s="1"/>
        <n x="24" s="1"/>
        <n x="21"/>
        <n x="26"/>
        <n x="41"/>
        <n x="11"/>
        <n x="167"/>
      </t>
    </mdx>
    <mdx n="0" f="v">
      <t c="7">
        <n x="23" s="1"/>
        <n x="24" s="1"/>
        <n x="21"/>
        <n x="26"/>
        <n x="38"/>
        <n x="11"/>
        <n x="167"/>
      </t>
    </mdx>
    <mdx n="0" f="v">
      <t c="6">
        <n x="23" s="1"/>
        <n x="24" s="1"/>
        <n x="21"/>
        <n x="61"/>
        <n x="11"/>
        <n x="167"/>
      </t>
    </mdx>
    <mdx n="0" f="v">
      <t c="7">
        <n x="23" s="1"/>
        <n x="24" s="1"/>
        <n x="21"/>
        <n x="26"/>
        <n x="31"/>
        <n x="11"/>
        <n x="167"/>
      </t>
    </mdx>
    <mdx n="0" f="v">
      <t c="7">
        <n x="23" s="1"/>
        <n x="24" s="1"/>
        <n x="21"/>
        <n x="29"/>
        <n x="47"/>
        <n x="13"/>
        <n x="167"/>
      </t>
    </mdx>
    <mdx n="0" f="v">
      <t c="7">
        <n x="23" s="1"/>
        <n x="24" s="1"/>
        <n x="21"/>
        <n x="29"/>
        <n x="47"/>
        <n x="12"/>
        <n x="167"/>
      </t>
    </mdx>
    <mdx n="0" f="v">
      <t c="7">
        <n x="23" s="1"/>
        <n x="24" s="1"/>
        <n x="21"/>
        <n x="29"/>
        <n x="47"/>
        <n x="16"/>
        <n x="167"/>
      </t>
    </mdx>
    <mdx n="0" f="v">
      <t c="6">
        <n x="23" s="1"/>
        <n x="24" s="1"/>
        <n x="21"/>
        <n x="48"/>
        <n x="14"/>
        <n x="167"/>
      </t>
    </mdx>
    <mdx n="0" f="v">
      <t c="6">
        <n x="23" s="1"/>
        <n x="24" s="1"/>
        <n x="21"/>
        <n x="48"/>
        <n x="10"/>
        <n x="167"/>
      </t>
    </mdx>
    <mdx n="0" f="v">
      <t c="7">
        <n x="23" s="1"/>
        <n x="24" s="1"/>
        <n x="21"/>
        <n x="28"/>
        <n x="55"/>
        <n x="13"/>
        <n x="167"/>
      </t>
    </mdx>
    <mdx n="0" f="v">
      <t c="7">
        <n x="23" s="1"/>
        <n x="24" s="1"/>
        <n x="21"/>
        <n x="36"/>
        <n x="37"/>
        <n x="7"/>
        <n x="167"/>
      </t>
    </mdx>
    <mdx n="0" f="v">
      <t c="7">
        <n x="23" s="1"/>
        <n x="24" s="1"/>
        <n x="21"/>
        <n x="36"/>
        <n x="37"/>
        <n x="10"/>
        <n x="167"/>
      </t>
    </mdx>
    <mdx n="0" f="v">
      <t c="7">
        <n x="23" s="1"/>
        <n x="24" s="1"/>
        <n x="21"/>
        <n x="36"/>
        <n x="37"/>
        <n x="16"/>
        <n x="167"/>
      </t>
    </mdx>
    <mdx n="0" f="v">
      <t c="7">
        <n x="23" s="1"/>
        <n x="24" s="1"/>
        <n x="21"/>
        <n x="36"/>
        <n x="37"/>
        <n x="6"/>
        <n x="167"/>
      </t>
    </mdx>
    <mdx n="0" f="v">
      <t c="6">
        <n x="23" s="1"/>
        <n x="24" s="1"/>
        <n x="21"/>
        <n x="36"/>
        <n x="6"/>
        <n x="167"/>
      </t>
    </mdx>
    <mdx n="0" f="v">
      <t c="7">
        <n x="23" s="1"/>
        <n x="24" s="1"/>
        <n x="21"/>
        <n x="29"/>
        <n x="30"/>
        <n x="6"/>
        <n x="167"/>
      </t>
    </mdx>
    <mdx n="0" f="v">
      <t c="6">
        <n x="23" s="1"/>
        <n x="24" s="1"/>
        <n x="21"/>
        <n x="26"/>
        <n x="6"/>
        <n x="167"/>
      </t>
    </mdx>
    <mdx n="0" f="v">
      <t c="7">
        <n x="23" s="1"/>
        <n x="24" s="1"/>
        <n x="21"/>
        <n x="29"/>
        <n x="59"/>
        <n x="6"/>
        <n x="167"/>
      </t>
    </mdx>
    <mdx n="0" f="v">
      <t c="7">
        <n x="23" s="1"/>
        <n x="24" s="1"/>
        <n x="21"/>
        <n x="29"/>
        <n x="40"/>
        <n x="6"/>
        <n x="167"/>
      </t>
    </mdx>
    <mdx n="0" f="v">
      <t c="7">
        <n x="23" s="1"/>
        <n x="24" s="1"/>
        <n x="21"/>
        <n x="28"/>
        <n x="42"/>
        <n x="9"/>
        <n x="167"/>
      </t>
    </mdx>
    <mdx n="0" f="v">
      <t c="7">
        <n x="23" s="1"/>
        <n x="24" s="1"/>
        <n x="21"/>
        <n x="62"/>
        <n x="72"/>
        <n x="9"/>
        <n x="167"/>
      </t>
    </mdx>
    <mdx n="0" f="v">
      <t c="7">
        <n x="23" s="1"/>
        <n x="24" s="1"/>
        <n x="21"/>
        <n x="26"/>
        <n x="67"/>
        <n x="9"/>
        <n x="167"/>
      </t>
    </mdx>
    <mdx n="0" f="v">
      <t c="7">
        <n x="23" s="1"/>
        <n x="24" s="1"/>
        <n x="21"/>
        <n x="26"/>
        <n x="31"/>
        <n x="9"/>
        <n x="167"/>
      </t>
    </mdx>
    <mdx n="0" f="v">
      <t c="7">
        <n x="23" s="1"/>
        <n x="24" s="1"/>
        <n x="21"/>
        <n x="48"/>
        <n x="64"/>
        <n x="9"/>
        <n x="167"/>
      </t>
    </mdx>
    <mdx n="0" f="v">
      <t c="7">
        <n x="23" s="1"/>
        <n x="24" s="1"/>
        <n x="21"/>
        <n x="26"/>
        <n x="46"/>
        <n x="9"/>
        <n x="167"/>
      </t>
    </mdx>
    <mdx n="0" f="v">
      <t c="6">
        <n x="23" s="1"/>
        <n x="24" s="1"/>
        <n x="21"/>
        <n x="48"/>
        <n x="9"/>
        <n x="167"/>
      </t>
    </mdx>
    <mdx n="0" f="v">
      <t c="7">
        <n x="23" s="1"/>
        <n x="24" s="1"/>
        <n x="21"/>
        <n x="26"/>
        <n x="57"/>
        <n x="9"/>
        <n x="167"/>
      </t>
    </mdx>
    <mdx n="0" f="v">
      <t c="6">
        <n x="23" s="1"/>
        <n x="24" s="1"/>
        <n x="21"/>
        <n x="29"/>
        <n x="9"/>
        <n x="167"/>
      </t>
    </mdx>
    <mdx n="0" f="v">
      <t c="7">
        <n x="23" s="1"/>
        <n x="24" s="1"/>
        <n x="21"/>
        <n x="32"/>
        <n x="33"/>
        <n x="9"/>
        <n x="167"/>
      </t>
    </mdx>
    <mdx n="0" f="v">
      <t c="7">
        <n x="23" s="1"/>
        <n x="24" s="1"/>
        <n x="21"/>
        <n x="62"/>
        <n x="73"/>
        <n x="9"/>
        <n x="167"/>
      </t>
    </mdx>
    <mdx n="0" f="v">
      <t c="7">
        <n x="23" s="1"/>
        <n x="24" s="1"/>
        <n x="21"/>
        <n x="26"/>
        <n x="69"/>
        <n x="16"/>
        <n x="167"/>
      </t>
    </mdx>
    <mdx n="0" f="v">
      <t c="7">
        <n x="23" s="1"/>
        <n x="24" s="1"/>
        <n x="21"/>
        <n x="26"/>
        <n x="69"/>
        <n x="11"/>
        <n x="167"/>
      </t>
    </mdx>
    <mdx n="0" f="v">
      <t c="7">
        <n x="23" s="1"/>
        <n x="24" s="1"/>
        <n x="21"/>
        <n x="26"/>
        <n x="69"/>
        <n x="8"/>
        <n x="167"/>
      </t>
    </mdx>
    <mdx n="0" f="v">
      <t c="7">
        <n x="23" s="1"/>
        <n x="24" s="1"/>
        <n x="21"/>
        <n x="26"/>
        <n x="69"/>
        <n x="7"/>
        <n x="167"/>
      </t>
    </mdx>
    <mdx n="0" f="v">
      <t c="7">
        <n x="23" s="1"/>
        <n x="24" s="1"/>
        <n x="21"/>
        <n x="29"/>
        <n x="35"/>
        <n x="12"/>
        <n x="167"/>
      </t>
    </mdx>
    <mdx n="0" f="v">
      <t c="7">
        <n x="23" s="1"/>
        <n x="24" s="1"/>
        <n x="21"/>
        <n x="28"/>
        <n x="42"/>
        <n x="7"/>
        <n x="167"/>
      </t>
    </mdx>
    <mdx n="0" f="v">
      <t c="7">
        <n x="23" s="1"/>
        <n x="24" s="1"/>
        <n x="21"/>
        <n x="28"/>
        <n x="58"/>
        <n x="7"/>
        <n x="167"/>
      </t>
    </mdx>
    <mdx n="0" f="v">
      <t c="6">
        <n x="5"/>
        <n x="105"/>
        <n x="21"/>
        <n x="84"/>
        <n x="115"/>
        <n x="22"/>
      </t>
    </mdx>
    <mdx n="0" f="v">
      <t c="6">
        <n x="5"/>
        <n x="105"/>
        <n x="21"/>
        <n x="89"/>
        <n x="106"/>
        <n x="22"/>
      </t>
    </mdx>
    <mdx n="0" f="v">
      <t c="6">
        <n x="5"/>
        <n x="105"/>
        <n x="21"/>
        <n x="97"/>
        <n x="127"/>
        <n x="22"/>
      </t>
    </mdx>
    <mdx n="0" f="v">
      <t c="6">
        <n x="5"/>
        <n x="105"/>
        <n x="21"/>
        <n x="87"/>
        <n x="137"/>
        <n x="22"/>
      </t>
    </mdx>
    <mdx n="0" f="v">
      <t c="6">
        <n x="5"/>
        <n x="105"/>
        <n x="21"/>
        <n x="85"/>
        <n x="124"/>
        <n x="22"/>
      </t>
    </mdx>
    <mdx n="0" f="v">
      <t c="5">
        <n x="5"/>
        <n x="105"/>
        <n x="21"/>
        <n x="85"/>
        <n x="22"/>
      </t>
    </mdx>
    <mdx n="0" f="v">
      <t c="6">
        <n x="5"/>
        <n x="105"/>
        <n x="21"/>
        <n x="90"/>
        <n x="134"/>
        <n x="22"/>
      </t>
    </mdx>
    <mdx n="0" f="v">
      <t c="6">
        <n x="5"/>
        <n x="105"/>
        <n x="21"/>
        <n x="90"/>
        <n x="132"/>
        <n x="22"/>
      </t>
    </mdx>
    <mdx n="0" f="v">
      <t c="6">
        <n x="5"/>
        <n x="105"/>
        <n x="21"/>
        <n x="90"/>
        <n x="119"/>
        <n x="22"/>
      </t>
    </mdx>
    <mdx n="0" f="v">
      <t c="6">
        <n x="5"/>
        <n x="105"/>
        <n x="21"/>
        <n x="96"/>
        <n x="129"/>
        <n x="22"/>
      </t>
    </mdx>
    <mdx n="0" f="v">
      <t c="6">
        <n x="5"/>
        <n x="105"/>
        <n x="21"/>
        <n x="94"/>
        <n x="123"/>
        <n x="22"/>
      </t>
    </mdx>
    <mdx n="0" f="v">
      <t c="6">
        <n x="5"/>
        <n x="105"/>
        <n x="21"/>
        <n x="84"/>
        <n x="118"/>
        <n x="22"/>
      </t>
    </mdx>
    <mdx n="0" f="v">
      <t c="6">
        <n x="5"/>
        <n x="105"/>
        <n x="21"/>
        <n x="85"/>
        <n x="117"/>
        <n x="22"/>
      </t>
    </mdx>
    <mdx n="0" f="v">
      <t c="5">
        <n x="5"/>
        <n x="105"/>
        <n x="21"/>
        <n x="89"/>
        <n x="22"/>
      </t>
    </mdx>
    <mdx n="0" f="v">
      <t c="6">
        <n x="5"/>
        <n x="105"/>
        <n x="21"/>
        <n x="95"/>
        <n x="110"/>
        <n x="22"/>
      </t>
    </mdx>
    <mdx n="0" f="v">
      <t c="6">
        <n x="5"/>
        <n x="105"/>
        <n x="21"/>
        <n x="95"/>
        <n x="112"/>
        <n x="22"/>
      </t>
    </mdx>
    <mdx n="0" f="v">
      <t c="5">
        <n x="5"/>
        <n x="105"/>
        <n x="21"/>
        <n x="95"/>
        <n x="22"/>
      </t>
    </mdx>
    <mdx n="0" f="v">
      <t c="6">
        <n x="5"/>
        <n x="105"/>
        <n x="21"/>
        <n x="90"/>
        <n x="135"/>
        <n x="22"/>
      </t>
    </mdx>
    <mdx n="0" f="v">
      <t c="6">
        <n x="5"/>
        <n x="105"/>
        <n x="21"/>
        <n x="95"/>
        <n x="131"/>
        <n x="22"/>
      </t>
    </mdx>
    <mdx n="0" f="v">
      <t c="5">
        <n x="5"/>
        <n x="105"/>
        <n x="21"/>
        <n x="84"/>
        <n x="22"/>
      </t>
    </mdx>
    <mdx n="0" f="v">
      <t c="6">
        <n x="5"/>
        <n x="105"/>
        <n x="21"/>
        <n x="94"/>
        <n x="111"/>
        <n x="22"/>
      </t>
    </mdx>
    <mdx n="0" f="v">
      <t c="6">
        <n x="5"/>
        <n x="105"/>
        <n x="21"/>
        <n x="84"/>
        <n x="126"/>
        <n x="22"/>
      </t>
    </mdx>
    <mdx n="0" f="v">
      <t c="6">
        <n x="5"/>
        <n x="105"/>
        <n x="21"/>
        <n x="86"/>
        <n x="116"/>
        <n x="22"/>
      </t>
    </mdx>
    <mdx n="0" f="v">
      <t c="6">
        <n x="5"/>
        <n x="105"/>
        <n x="21"/>
        <n x="86"/>
        <n x="113"/>
        <n x="22"/>
      </t>
    </mdx>
    <mdx n="0" f="v">
      <t c="6">
        <n x="5"/>
        <n x="105"/>
        <n x="21"/>
        <n x="89"/>
        <n x="107"/>
        <n x="22"/>
      </t>
    </mdx>
    <mdx n="0" f="v">
      <t c="6">
        <n x="5"/>
        <n x="105"/>
        <n x="21"/>
        <n x="94"/>
        <n x="109"/>
        <n x="22"/>
      </t>
    </mdx>
    <mdx n="0" f="v">
      <t c="5">
        <n x="5"/>
        <n x="105"/>
        <n x="21"/>
        <n x="97"/>
        <n x="22"/>
      </t>
    </mdx>
    <mdx n="0" f="v">
      <t c="5">
        <n x="5"/>
        <n x="105"/>
        <n x="21"/>
        <n x="88"/>
        <n x="22"/>
      </t>
    </mdx>
    <mdx n="0" f="v">
      <t c="6">
        <n x="5"/>
        <n x="105"/>
        <n x="21"/>
        <n x="90"/>
        <n x="120"/>
        <n x="22"/>
      </t>
    </mdx>
    <mdx n="0" f="v">
      <t c="6">
        <n x="5"/>
        <n x="105"/>
        <n x="21"/>
        <n x="91"/>
        <n x="128"/>
        <n x="22"/>
      </t>
    </mdx>
    <mdx n="0" f="v">
      <t c="5">
        <n x="5"/>
        <n x="105"/>
        <n x="21"/>
        <n x="92"/>
        <n x="22"/>
      </t>
    </mdx>
    <mdx n="0" f="v">
      <t c="5">
        <n x="5"/>
        <n x="105"/>
        <n x="21"/>
        <n x="86"/>
        <n x="22"/>
      </t>
    </mdx>
    <mdx n="0" f="v">
      <t c="5">
        <n x="5"/>
        <n x="105"/>
        <n x="21"/>
        <n x="87"/>
        <n x="22"/>
      </t>
    </mdx>
    <mdx n="0" f="v">
      <t c="6">
        <n x="5"/>
        <n x="105"/>
        <n x="21"/>
        <n x="95"/>
        <n x="133"/>
        <n x="22"/>
      </t>
    </mdx>
    <mdx n="0" f="v">
      <t c="6">
        <n x="5"/>
        <n x="105"/>
        <n x="21"/>
        <n x="95"/>
        <n x="125"/>
        <n x="22"/>
      </t>
    </mdx>
    <mdx n="0" f="v">
      <t c="6">
        <n x="5"/>
        <n x="105"/>
        <n x="21"/>
        <n x="92"/>
        <n x="136"/>
        <n x="22"/>
      </t>
    </mdx>
    <mdx n="0" f="v">
      <t c="5">
        <n x="5"/>
        <n x="105"/>
        <n x="21"/>
        <n x="96"/>
        <n x="22"/>
      </t>
    </mdx>
    <mdx n="0" f="v">
      <t c="5">
        <n x="5"/>
        <n x="105"/>
        <n x="21"/>
        <n x="93"/>
        <n x="22"/>
      </t>
    </mdx>
    <mdx n="0" f="v">
      <t c="5">
        <n x="5"/>
        <n x="105"/>
        <n x="21"/>
        <n x="91"/>
        <n x="22"/>
      </t>
    </mdx>
    <mdx n="0" f="v">
      <t c="6">
        <n x="5"/>
        <n x="105"/>
        <n x="21"/>
        <n x="85"/>
        <n x="114"/>
        <n x="22"/>
      </t>
    </mdx>
    <mdx n="0" f="v">
      <t c="5">
        <n x="5"/>
        <n x="105"/>
        <n x="21"/>
        <n x="94"/>
        <n x="22"/>
      </t>
    </mdx>
    <mdx n="0" f="v">
      <t c="6">
        <n x="5"/>
        <n x="105"/>
        <n x="21"/>
        <n x="93"/>
        <n x="130"/>
        <n x="22"/>
      </t>
    </mdx>
    <mdx n="0" f="v">
      <t c="6">
        <n x="5"/>
        <n x="105"/>
        <n x="21"/>
        <n x="90"/>
        <n x="121"/>
        <n x="22"/>
      </t>
    </mdx>
    <mdx n="0" f="v">
      <t c="6">
        <n x="5"/>
        <n x="105"/>
        <n x="21"/>
        <n x="90"/>
        <n x="108"/>
        <n x="22"/>
      </t>
    </mdx>
    <mdx n="0" f="v">
      <t c="5">
        <n x="5"/>
        <n x="105"/>
        <n x="21"/>
        <n x="90"/>
        <n x="22"/>
      </t>
    </mdx>
    <mdx n="0" f="v">
      <t c="6">
        <n x="5"/>
        <n x="105"/>
        <n x="21"/>
        <n x="88"/>
        <n x="138"/>
        <n x="22"/>
      </t>
    </mdx>
    <mdx n="0" f="v">
      <t c="6">
        <n x="5"/>
        <n x="105"/>
        <n x="21"/>
        <n x="86"/>
        <n x="122"/>
        <n x="22"/>
      </t>
    </mdx>
    <mdx n="0" f="m">
      <t c="1">
        <n x="168"/>
      </t>
    </mdx>
    <mdx n="0" f="m">
      <t c="1">
        <n x="169"/>
      </t>
    </mdx>
    <mdx n="0" f="m">
      <t c="1">
        <n x="170"/>
      </t>
    </mdx>
    <mdx n="0" f="m">
      <t c="1">
        <n x="171"/>
      </t>
    </mdx>
    <mdx n="0" f="m">
      <t c="1">
        <n x="172"/>
      </t>
    </mdx>
    <mdx n="0" f="m">
      <t c="1">
        <n x="173"/>
      </t>
    </mdx>
    <mdx n="0" f="v">
      <t c="3">
        <n x="100"/>
        <n x="145"/>
        <n x="173"/>
      </t>
    </mdx>
    <mdx n="0" f="v">
      <t c="3">
        <n x="100"/>
        <n x="139"/>
        <n x="173"/>
      </t>
    </mdx>
    <mdx n="0" f="m">
      <t c="1">
        <n x="174"/>
      </t>
    </mdx>
    <mdx n="0" f="v">
      <t c="3">
        <n x="100"/>
        <n x="142"/>
        <n x="174"/>
      </t>
    </mdx>
    <mdx n="0" f="v">
      <t c="3">
        <n x="100"/>
        <n x="140"/>
        <n x="174"/>
      </t>
    </mdx>
    <mdx n="0" f="v">
      <t c="3">
        <n x="100"/>
        <n x="139"/>
        <n x="174"/>
      </t>
    </mdx>
    <mdx n="0" f="v">
      <t c="3">
        <n x="100"/>
        <n x="145"/>
        <n x="174"/>
      </t>
    </mdx>
    <mdx n="0" f="m">
      <t c="1">
        <n x="175"/>
      </t>
    </mdx>
    <mdx n="0" f="v">
      <t c="3">
        <n x="100"/>
        <n x="139"/>
        <n x="175"/>
      </t>
    </mdx>
    <mdx n="0" f="v">
      <t c="3">
        <n x="100"/>
        <n x="140"/>
        <n x="175"/>
      </t>
    </mdx>
    <mdx n="0" f="v">
      <t c="3">
        <n x="100"/>
        <n x="142"/>
        <n x="175"/>
      </t>
    </mdx>
    <mdx n="0" f="v">
      <t c="3">
        <n x="100"/>
        <n x="145"/>
        <n x="175"/>
      </t>
    </mdx>
    <mdx n="0" f="m">
      <t c="1">
        <n x="176"/>
      </t>
    </mdx>
    <mdx n="0" f="v">
      <t c="3">
        <n x="100"/>
        <n x="139"/>
        <n x="176"/>
      </t>
    </mdx>
    <mdx n="0" f="v">
      <t c="3">
        <n x="100"/>
        <n x="145"/>
        <n x="176"/>
      </t>
    </mdx>
    <mdx n="0" f="v">
      <t c="3">
        <n x="100"/>
        <n x="142"/>
        <n x="176"/>
      </t>
    </mdx>
    <mdx n="0" f="v">
      <t c="3">
        <n x="100"/>
        <n x="140"/>
        <n x="176"/>
      </t>
    </mdx>
    <mdx n="0" f="m">
      <t c="1">
        <n x="177"/>
      </t>
    </mdx>
    <mdx n="0" f="v">
      <t c="3">
        <n x="100"/>
        <n x="139"/>
        <n x="177"/>
      </t>
    </mdx>
    <mdx n="0" f="v">
      <t c="3">
        <n x="100"/>
        <n x="142"/>
        <n x="177"/>
      </t>
    </mdx>
    <mdx n="0" f="v">
      <t c="3">
        <n x="100"/>
        <n x="140"/>
        <n x="177"/>
      </t>
    </mdx>
    <mdx n="0" f="v">
      <t c="3">
        <n x="100"/>
        <n x="145"/>
        <n x="177"/>
      </t>
    </mdx>
    <mdx n="0" f="m">
      <t c="1">
        <n x="178"/>
      </t>
    </mdx>
    <mdx n="0" f="v">
      <t c="3">
        <n x="100"/>
        <n x="139"/>
        <n x="178"/>
      </t>
    </mdx>
    <mdx n="0" f="v">
      <t c="3">
        <n x="100"/>
        <n x="142"/>
        <n x="178"/>
      </t>
    </mdx>
    <mdx n="0" f="v">
      <t c="3">
        <n x="100"/>
        <n x="153"/>
        <n x="178"/>
      </t>
    </mdx>
    <mdx n="0" f="v">
      <t c="3">
        <n x="100"/>
        <n x="140"/>
        <n x="178"/>
      </t>
    </mdx>
    <mdx n="0" f="v">
      <t c="3">
        <n x="100"/>
        <n x="145"/>
        <n x="178"/>
      </t>
    </mdx>
    <mdx n="0" f="m">
      <t c="1">
        <n x="179"/>
      </t>
    </mdx>
    <mdx n="0" f="v">
      <t c="3">
        <n x="100"/>
        <n x="140"/>
        <n x="179"/>
      </t>
    </mdx>
    <mdx n="0" f="v">
      <t c="3">
        <n x="100"/>
        <n x="145"/>
        <n x="179"/>
      </t>
    </mdx>
    <mdx n="0" f="v">
      <t c="3">
        <n x="100"/>
        <n x="139"/>
        <n x="179"/>
      </t>
    </mdx>
    <mdx n="0" f="v">
      <t c="3">
        <n x="100"/>
        <n x="153"/>
        <n x="179"/>
      </t>
    </mdx>
    <mdx n="0" f="v">
      <t c="3">
        <n x="100"/>
        <n x="142"/>
        <n x="179"/>
      </t>
    </mdx>
    <mdx n="0" f="v">
      <t c="6">
        <n x="165" s="1"/>
        <n x="24" s="1"/>
        <n x="21"/>
        <n x="29"/>
        <n x="71"/>
        <n x="161"/>
      </t>
    </mdx>
    <mdx n="0" f="v">
      <t c="6">
        <n x="165" s="1"/>
        <n x="24" s="1"/>
        <n x="21"/>
        <n x="29"/>
        <n x="71"/>
        <n x="158"/>
      </t>
    </mdx>
    <mdx n="0" f="v">
      <t c="6">
        <n x="165" s="1"/>
        <n x="24" s="1"/>
        <n x="21"/>
        <n x="29"/>
        <n x="71"/>
        <n x="159"/>
      </t>
    </mdx>
    <mdx n="0" f="v">
      <t c="6">
        <n x="165" s="1"/>
        <n x="24" s="1"/>
        <n x="21"/>
        <n x="29"/>
        <n x="71"/>
        <n x="157"/>
      </t>
    </mdx>
    <mdx n="0" f="m">
      <t c="2">
        <n x="75"/>
        <n x="71"/>
      </t>
    </mdx>
    <mdx n="0" f="v">
      <t c="6">
        <n x="23" s="1"/>
        <n x="24" s="1"/>
        <n x="21"/>
        <n x="75"/>
        <n x="71"/>
        <n x="159"/>
      </t>
    </mdx>
    <mdx n="0" f="v">
      <t c="6">
        <n x="23" s="1"/>
        <n x="24" s="1"/>
        <n x="21"/>
        <n x="75"/>
        <n x="71"/>
        <n x="161"/>
      </t>
    </mdx>
    <mdx n="0" f="v">
      <t c="6">
        <n x="23" s="1"/>
        <n x="24" s="1"/>
        <n x="21"/>
        <n x="75"/>
        <n x="71"/>
        <n x="158"/>
      </t>
    </mdx>
    <mdx n="0" f="v">
      <t c="6">
        <n x="23" s="1"/>
        <n x="24" s="1"/>
        <n x="21"/>
        <n x="75"/>
        <n x="71"/>
        <n x="157"/>
      </t>
    </mdx>
    <mdx n="0" f="v">
      <t c="6">
        <n x="24" s="1"/>
        <n x="21"/>
        <n x="75"/>
        <n x="71"/>
        <n x="160"/>
        <n x="4"/>
      </t>
    </mdx>
    <mdx n="0" f="v">
      <t c="6">
        <n x="24" s="1"/>
        <n x="21"/>
        <n x="75"/>
        <n x="71"/>
        <n x="103"/>
        <n x="18"/>
      </t>
    </mdx>
    <mdx n="0" f="v">
      <t c="6">
        <n x="24" s="1"/>
        <n x="21"/>
        <n x="75"/>
        <n x="71"/>
        <n x="22"/>
        <n x="5"/>
      </t>
    </mdx>
    <mdx n="0" f="v">
      <t c="7">
        <n x="18"/>
        <n x="105"/>
        <n x="103"/>
        <n x="21"/>
        <n x="90"/>
        <n x="120"/>
        <n x="16"/>
      </t>
    </mdx>
    <mdx n="0" f="v">
      <t c="7">
        <n x="18"/>
        <n x="105"/>
        <n x="103"/>
        <n x="21"/>
        <n x="92"/>
        <n x="136"/>
        <n x="16"/>
      </t>
    </mdx>
    <mdx n="0" f="v">
      <t c="7">
        <n x="18"/>
        <n x="105"/>
        <n x="103"/>
        <n x="21"/>
        <n x="89"/>
        <n x="107"/>
        <n x="25"/>
      </t>
    </mdx>
    <mdx n="0" f="v">
      <t c="7">
        <n x="18"/>
        <n x="105"/>
        <n x="103"/>
        <n x="21"/>
        <n x="89"/>
        <n x="106"/>
        <n x="25"/>
      </t>
    </mdx>
    <mdx n="0" f="v">
      <t c="6">
        <n x="18"/>
        <n x="105"/>
        <n x="103"/>
        <n x="21"/>
        <n x="87"/>
        <n x="13"/>
      </t>
    </mdx>
    <mdx n="0" f="v">
      <t c="7">
        <n x="18"/>
        <n x="105"/>
        <n x="103"/>
        <n x="21"/>
        <n x="94"/>
        <n x="123"/>
        <n x="14"/>
      </t>
    </mdx>
    <mdx n="0" f="v">
      <t c="6">
        <n x="18"/>
        <n x="105"/>
        <n x="103"/>
        <n x="21"/>
        <n x="97"/>
        <n x="10"/>
      </t>
    </mdx>
    <mdx n="0" f="v">
      <t c="7">
        <n x="18"/>
        <n x="105"/>
        <n x="103"/>
        <n x="21"/>
        <n x="89"/>
        <n x="107"/>
        <n x="12"/>
      </t>
    </mdx>
    <mdx n="0" f="v">
      <t c="7">
        <n x="18"/>
        <n x="105"/>
        <n x="103"/>
        <n x="21"/>
        <n x="94"/>
        <n x="109"/>
        <n x="15"/>
      </t>
    </mdx>
    <mdx n="0" f="v">
      <t c="6">
        <n x="18"/>
        <n x="105"/>
        <n x="103"/>
        <n x="21"/>
        <n x="94"/>
        <n x="13"/>
      </t>
    </mdx>
    <mdx n="0" f="v">
      <t c="6">
        <n x="18"/>
        <n x="105"/>
        <n x="103"/>
        <n x="21"/>
        <n x="86"/>
        <n x="16"/>
      </t>
    </mdx>
    <mdx n="0" f="v">
      <t c="7">
        <n x="18"/>
        <n x="105"/>
        <n x="103"/>
        <n x="21"/>
        <n x="90"/>
        <n x="120"/>
        <n x="11"/>
      </t>
    </mdx>
    <mdx n="0" f="v">
      <t c="7">
        <n x="18"/>
        <n x="105"/>
        <n x="103"/>
        <n x="21"/>
        <n x="89"/>
        <n x="106"/>
        <n x="15"/>
      </t>
    </mdx>
    <mdx n="0" f="v">
      <t c="6">
        <n x="18"/>
        <n x="105"/>
        <n x="103"/>
        <n x="21"/>
        <n x="90"/>
        <n x="15"/>
      </t>
    </mdx>
    <mdx n="0" f="v">
      <t c="7">
        <n x="18"/>
        <n x="105"/>
        <n x="103"/>
        <n x="21"/>
        <n x="96"/>
        <n x="129"/>
        <n x="13"/>
      </t>
    </mdx>
    <mdx n="0" f="v">
      <t c="7">
        <n x="18"/>
        <n x="105"/>
        <n x="103"/>
        <n x="21"/>
        <n x="97"/>
        <n x="127"/>
        <n x="17"/>
      </t>
    </mdx>
    <mdx n="0" f="v">
      <t c="7">
        <n x="18"/>
        <n x="105"/>
        <n x="103"/>
        <n x="21"/>
        <n x="84"/>
        <n x="126"/>
        <n x="13"/>
      </t>
    </mdx>
    <mdx n="0" f="v">
      <t c="6">
        <n x="18"/>
        <n x="105"/>
        <n x="103"/>
        <n x="21"/>
        <n x="85"/>
        <n x="8"/>
      </t>
    </mdx>
    <mdx n="0" f="v">
      <t c="7">
        <n x="18"/>
        <n x="105"/>
        <n x="103"/>
        <n x="21"/>
        <n x="91"/>
        <n x="128"/>
        <n x="11"/>
      </t>
    </mdx>
    <mdx n="0" f="v">
      <t c="6">
        <n x="18"/>
        <n x="105"/>
        <n x="103"/>
        <n x="21"/>
        <n x="92"/>
        <n x="10"/>
      </t>
    </mdx>
    <mdx n="0" f="v">
      <t c="6">
        <n x="18"/>
        <n x="105"/>
        <n x="103"/>
        <n x="21"/>
        <n x="91"/>
        <n x="7"/>
      </t>
    </mdx>
    <mdx n="0" f="v">
      <t c="7">
        <n x="18"/>
        <n x="105"/>
        <n x="103"/>
        <n x="21"/>
        <n x="88"/>
        <n x="138"/>
        <n x="11"/>
      </t>
    </mdx>
    <mdx n="0" f="v">
      <t c="7">
        <n x="18"/>
        <n x="105"/>
        <n x="103"/>
        <n x="21"/>
        <n x="94"/>
        <n x="109"/>
        <n x="13"/>
      </t>
    </mdx>
    <mdx n="0" f="v">
      <t c="6">
        <n x="18"/>
        <n x="105"/>
        <n x="103"/>
        <n x="21"/>
        <n x="85"/>
        <n x="7"/>
      </t>
    </mdx>
    <mdx n="0" f="v">
      <t c="6">
        <n x="18"/>
        <n x="105"/>
        <n x="103"/>
        <n x="21"/>
        <n x="91"/>
        <n x="11"/>
      </t>
    </mdx>
    <mdx n="0" f="v">
      <t c="6">
        <n x="18"/>
        <n x="105"/>
        <n x="103"/>
        <n x="21"/>
        <n x="97"/>
        <n x="11"/>
      </t>
    </mdx>
    <mdx n="0" f="v">
      <t c="7">
        <n x="18"/>
        <n x="105"/>
        <n x="103"/>
        <n x="21"/>
        <n x="84"/>
        <n x="115"/>
        <n x="25"/>
      </t>
    </mdx>
    <mdx n="0" f="v">
      <t c="6">
        <n x="18"/>
        <n x="105"/>
        <n x="103"/>
        <n x="21"/>
        <n x="89"/>
        <n x="11"/>
      </t>
    </mdx>
    <mdx n="0" f="v">
      <t c="7">
        <n x="18"/>
        <n x="105"/>
        <n x="103"/>
        <n x="21"/>
        <n x="84"/>
        <n x="126"/>
        <n x="10"/>
      </t>
    </mdx>
    <mdx n="0" f="v">
      <t c="7">
        <n x="18"/>
        <n x="105"/>
        <n x="103"/>
        <n x="21"/>
        <n x="87"/>
        <n x="137"/>
        <n x="12"/>
      </t>
    </mdx>
    <mdx n="0" f="v">
      <t c="7">
        <n x="18"/>
        <n x="105"/>
        <n x="103"/>
        <n x="21"/>
        <n x="95"/>
        <n x="133"/>
        <n x="16"/>
      </t>
    </mdx>
    <mdx n="0" f="v">
      <t c="6">
        <n x="18"/>
        <n x="105"/>
        <n x="103"/>
        <n x="21"/>
        <n x="96"/>
        <n x="13"/>
      </t>
    </mdx>
    <mdx n="0" f="v">
      <t c="6">
        <n x="18"/>
        <n x="105"/>
        <n x="103"/>
        <n x="21"/>
        <n x="85"/>
        <n x="12"/>
      </t>
    </mdx>
    <mdx n="0" f="v">
      <t c="7">
        <n x="18"/>
        <n x="105"/>
        <n x="103"/>
        <n x="21"/>
        <n x="90"/>
        <n x="120"/>
        <n x="17"/>
      </t>
    </mdx>
    <mdx n="0" f="v">
      <t c="7">
        <n x="18"/>
        <n x="105"/>
        <n x="103"/>
        <n x="21"/>
        <n x="94"/>
        <n x="109"/>
        <n x="12"/>
      </t>
    </mdx>
    <mdx n="0" f="v">
      <t c="6">
        <n x="18"/>
        <n x="105"/>
        <n x="103"/>
        <n x="21"/>
        <n x="88"/>
        <n x="13"/>
      </t>
    </mdx>
    <mdx n="0" f="v">
      <t c="7">
        <n x="18"/>
        <n x="105"/>
        <n x="103"/>
        <n x="21"/>
        <n x="90"/>
        <n x="108"/>
        <n x="10"/>
      </t>
    </mdx>
    <mdx n="0" f="v">
      <t c="7">
        <n x="18"/>
        <n x="105"/>
        <n x="103"/>
        <n x="21"/>
        <n x="89"/>
        <n x="107"/>
        <n x="16"/>
      </t>
    </mdx>
    <mdx n="0" f="v">
      <t c="7">
        <n x="18"/>
        <n x="105"/>
        <n x="103"/>
        <n x="21"/>
        <n x="90"/>
        <n x="119"/>
        <n x="17"/>
      </t>
    </mdx>
    <mdx n="0" f="v">
      <t c="6">
        <n x="18"/>
        <n x="105"/>
        <n x="103"/>
        <n x="21"/>
        <n x="84"/>
        <n x="15"/>
      </t>
    </mdx>
    <mdx n="0" f="v">
      <t c="7">
        <n x="18"/>
        <n x="105"/>
        <n x="103"/>
        <n x="21"/>
        <n x="95"/>
        <n x="133"/>
        <n x="12"/>
      </t>
    </mdx>
    <mdx n="0" f="v">
      <t c="6">
        <n x="18"/>
        <n x="105"/>
        <n x="103"/>
        <n x="21"/>
        <n x="96"/>
        <n x="15"/>
      </t>
    </mdx>
    <mdx n="0" f="v">
      <t c="7">
        <n x="18"/>
        <n x="105"/>
        <n x="103"/>
        <n x="21"/>
        <n x="95"/>
        <n x="112"/>
        <n x="10"/>
      </t>
    </mdx>
    <mdx n="0" f="v">
      <t c="7">
        <n x="18"/>
        <n x="105"/>
        <n x="103"/>
        <n x="21"/>
        <n x="84"/>
        <n x="126"/>
        <n x="15"/>
      </t>
    </mdx>
    <mdx n="0" f="v">
      <t c="7">
        <n x="18"/>
        <n x="105"/>
        <n x="103"/>
        <n x="21"/>
        <n x="95"/>
        <n x="133"/>
        <n x="11"/>
      </t>
    </mdx>
    <mdx n="0" f="v">
      <t c="6">
        <n x="18"/>
        <n x="105"/>
        <n x="103"/>
        <n x="21"/>
        <n x="90"/>
        <n x="25"/>
      </t>
    </mdx>
    <mdx n="0" f="v">
      <t c="7">
        <n x="18"/>
        <n x="105"/>
        <n x="103"/>
        <n x="21"/>
        <n x="97"/>
        <n x="127"/>
        <n x="7"/>
      </t>
    </mdx>
    <mdx n="0" f="v">
      <t c="7">
        <n x="18"/>
        <n x="105"/>
        <n x="103"/>
        <n x="21"/>
        <n x="92"/>
        <n x="136"/>
        <n x="14"/>
      </t>
    </mdx>
    <mdx n="0" f="v">
      <t c="7">
        <n x="18"/>
        <n x="105"/>
        <n x="103"/>
        <n x="21"/>
        <n x="94"/>
        <n x="109"/>
        <n x="25"/>
      </t>
    </mdx>
    <mdx n="0" f="v">
      <t c="7">
        <n x="18"/>
        <n x="105"/>
        <n x="103"/>
        <n x="21"/>
        <n x="92"/>
        <n x="136"/>
        <n x="17"/>
      </t>
    </mdx>
    <mdx n="0" f="v">
      <t c="7">
        <n x="18"/>
        <n x="105"/>
        <n x="103"/>
        <n x="21"/>
        <n x="97"/>
        <n x="127"/>
        <n x="25"/>
      </t>
    </mdx>
    <mdx n="0" f="v">
      <t c="7">
        <n x="18"/>
        <n x="105"/>
        <n x="103"/>
        <n x="21"/>
        <n x="85"/>
        <n x="114"/>
        <n x="10"/>
      </t>
    </mdx>
    <mdx n="0" f="v">
      <t c="6">
        <n x="18"/>
        <n x="105"/>
        <n x="103"/>
        <n x="21"/>
        <n x="92"/>
        <n x="7"/>
      </t>
    </mdx>
    <mdx n="0" f="v">
      <t c="6">
        <n x="18"/>
        <n x="105"/>
        <n x="103"/>
        <n x="21"/>
        <n x="86"/>
        <n x="17"/>
      </t>
    </mdx>
    <mdx n="0" f="v">
      <t c="7">
        <n x="18"/>
        <n x="105"/>
        <n x="103"/>
        <n x="21"/>
        <n x="85"/>
        <n x="124"/>
        <n x="15"/>
      </t>
    </mdx>
    <mdx n="0" f="v">
      <t c="7">
        <n x="18"/>
        <n x="105"/>
        <n x="103"/>
        <n x="21"/>
        <n x="90"/>
        <n x="135"/>
        <n x="10"/>
      </t>
    </mdx>
    <mdx n="0" f="v">
      <t c="7">
        <n x="18"/>
        <n x="105"/>
        <n x="103"/>
        <n x="21"/>
        <n x="90"/>
        <n x="132"/>
        <n x="15"/>
      </t>
    </mdx>
    <mdx n="0" f="v">
      <t c="7">
        <n x="18"/>
        <n x="105"/>
        <n x="103"/>
        <n x="21"/>
        <n x="90"/>
        <n x="119"/>
        <n x="12"/>
      </t>
    </mdx>
    <mdx n="0" f="v">
      <t c="7">
        <n x="18"/>
        <n x="105"/>
        <n x="103"/>
        <n x="21"/>
        <n x="91"/>
        <n x="128"/>
        <n x="14"/>
      </t>
    </mdx>
    <mdx n="0" f="v">
      <t c="7">
        <n x="18"/>
        <n x="105"/>
        <n x="103"/>
        <n x="21"/>
        <n x="90"/>
        <n x="120"/>
        <n x="13"/>
      </t>
    </mdx>
    <mdx n="0" f="v">
      <t c="7">
        <n x="18"/>
        <n x="105"/>
        <n x="103"/>
        <n x="21"/>
        <n x="90"/>
        <n x="135"/>
        <n x="13"/>
      </t>
    </mdx>
    <mdx n="0" f="v">
      <t c="7">
        <n x="18"/>
        <n x="105"/>
        <n x="103"/>
        <n x="21"/>
        <n x="84"/>
        <n x="126"/>
        <n x="12"/>
      </t>
    </mdx>
    <mdx n="0" f="v">
      <t c="6">
        <n x="18"/>
        <n x="105"/>
        <n x="103"/>
        <n x="21"/>
        <n x="93"/>
        <n x="12"/>
      </t>
    </mdx>
    <mdx n="0" f="v">
      <t c="7">
        <n x="18"/>
        <n x="105"/>
        <n x="103"/>
        <n x="21"/>
        <n x="90"/>
        <n x="119"/>
        <n x="14"/>
      </t>
    </mdx>
    <mdx n="0" f="v">
      <t c="6">
        <n x="18"/>
        <n x="105"/>
        <n x="103"/>
        <n x="21"/>
        <n x="97"/>
        <n x="12"/>
      </t>
    </mdx>
    <mdx n="0" f="v">
      <t c="7">
        <n x="18"/>
        <n x="105"/>
        <n x="103"/>
        <n x="21"/>
        <n x="90"/>
        <n x="132"/>
        <n x="16"/>
      </t>
    </mdx>
    <mdx n="0" f="v">
      <t c="7">
        <n x="18"/>
        <n x="105"/>
        <n x="103"/>
        <n x="21"/>
        <n x="96"/>
        <n x="129"/>
        <n x="14"/>
      </t>
    </mdx>
    <mdx n="0" f="v">
      <t c="7">
        <n x="18"/>
        <n x="105"/>
        <n x="103"/>
        <n x="21"/>
        <n x="90"/>
        <n x="132"/>
        <n x="14"/>
      </t>
    </mdx>
    <mdx n="0" f="v">
      <t c="6">
        <n x="18"/>
        <n x="105"/>
        <n x="103"/>
        <n x="21"/>
        <n x="91"/>
        <n x="17"/>
      </t>
    </mdx>
    <mdx n="0" f="v">
      <t c="7">
        <n x="18"/>
        <n x="105"/>
        <n x="103"/>
        <n x="21"/>
        <n x="90"/>
        <n x="134"/>
        <n x="12"/>
      </t>
    </mdx>
    <mdx n="0" f="v">
      <t c="7">
        <n x="18"/>
        <n x="105"/>
        <n x="103"/>
        <n x="21"/>
        <n x="95"/>
        <n x="125"/>
        <n x="12"/>
      </t>
    </mdx>
    <mdx n="0" f="v">
      <t c="7">
        <n x="18"/>
        <n x="105"/>
        <n x="103"/>
        <n x="21"/>
        <n x="94"/>
        <n x="123"/>
        <n x="17"/>
      </t>
    </mdx>
    <mdx n="0" f="v">
      <t c="6">
        <n x="18"/>
        <n x="105"/>
        <n x="103"/>
        <n x="21"/>
        <n x="91"/>
        <n x="14"/>
      </t>
    </mdx>
    <mdx n="0" f="v">
      <t c="7">
        <n x="18"/>
        <n x="105"/>
        <n x="103"/>
        <n x="21"/>
        <n x="89"/>
        <n x="106"/>
        <n x="11"/>
      </t>
    </mdx>
    <mdx n="0" f="v">
      <t c="7">
        <n x="18"/>
        <n x="105"/>
        <n x="103"/>
        <n x="21"/>
        <n x="94"/>
        <n x="111"/>
        <n x="12"/>
      </t>
    </mdx>
    <mdx n="0" f="v">
      <t c="6">
        <n x="18"/>
        <n x="105"/>
        <n x="103"/>
        <n x="21"/>
        <n x="85"/>
        <n x="10"/>
      </t>
    </mdx>
    <mdx n="0" f="v">
      <t c="7">
        <n x="18"/>
        <n x="105"/>
        <n x="103"/>
        <n x="21"/>
        <n x="86"/>
        <n x="116"/>
        <n x="12"/>
      </t>
    </mdx>
    <mdx n="0" f="v">
      <t c="7">
        <n x="18"/>
        <n x="105"/>
        <n x="103"/>
        <n x="21"/>
        <n x="85"/>
        <n x="114"/>
        <n x="16"/>
      </t>
    </mdx>
    <mdx n="0" f="v">
      <t c="7">
        <n x="18"/>
        <n x="105"/>
        <n x="103"/>
        <n x="21"/>
        <n x="84"/>
        <n x="118"/>
        <n x="12"/>
      </t>
    </mdx>
    <mdx n="0" f="v">
      <t c="7">
        <n x="18"/>
        <n x="105"/>
        <n x="103"/>
        <n x="21"/>
        <n x="89"/>
        <n x="106"/>
        <n x="13"/>
      </t>
    </mdx>
    <mdx n="0" f="v">
      <t c="7">
        <n x="18"/>
        <n x="105"/>
        <n x="103"/>
        <n x="21"/>
        <n x="89"/>
        <n x="106"/>
        <n x="17"/>
      </t>
    </mdx>
    <mdx n="0" f="v">
      <t c="6">
        <n x="18"/>
        <n x="105"/>
        <n x="103"/>
        <n x="21"/>
        <n x="89"/>
        <n x="12"/>
      </t>
    </mdx>
    <mdx n="0" f="v">
      <t c="6">
        <n x="18"/>
        <n x="105"/>
        <n x="103"/>
        <n x="21"/>
        <n x="87"/>
        <n x="12"/>
      </t>
    </mdx>
    <mdx n="0" f="v">
      <t c="7">
        <n x="18"/>
        <n x="105"/>
        <n x="103"/>
        <n x="21"/>
        <n x="90"/>
        <n x="132"/>
        <n x="13"/>
      </t>
    </mdx>
    <mdx n="0" f="v">
      <t c="7">
        <n x="18"/>
        <n x="105"/>
        <n x="103"/>
        <n x="21"/>
        <n x="87"/>
        <n x="137"/>
        <n x="11"/>
      </t>
    </mdx>
    <mdx n="0" f="v">
      <t c="7">
        <n x="18"/>
        <n x="105"/>
        <n x="103"/>
        <n x="21"/>
        <n x="85"/>
        <n x="117"/>
        <n x="13"/>
      </t>
    </mdx>
    <mdx n="0" f="v">
      <t c="6">
        <n x="18"/>
        <n x="105"/>
        <n x="103"/>
        <n x="21"/>
        <n x="89"/>
        <n x="14"/>
      </t>
    </mdx>
    <mdx n="0" f="v">
      <t c="7">
        <n x="18"/>
        <n x="105"/>
        <n x="103"/>
        <n x="21"/>
        <n x="91"/>
        <n x="128"/>
        <n x="13"/>
      </t>
    </mdx>
    <mdx n="0" f="v">
      <t c="7">
        <n x="18"/>
        <n x="105"/>
        <n x="103"/>
        <n x="21"/>
        <n x="89"/>
        <n x="107"/>
        <n x="7"/>
      </t>
    </mdx>
    <mdx n="0" f="v">
      <t c="6">
        <n x="18"/>
        <n x="105"/>
        <n x="103"/>
        <n x="21"/>
        <n x="94"/>
        <n x="25"/>
      </t>
    </mdx>
    <mdx n="0" f="v">
      <t c="7">
        <n x="18"/>
        <n x="105"/>
        <n x="103"/>
        <n x="21"/>
        <n x="92"/>
        <n x="136"/>
        <n x="12"/>
      </t>
    </mdx>
    <mdx n="0" f="v">
      <t c="6">
        <n x="18"/>
        <n x="105"/>
        <n x="103"/>
        <n x="21"/>
        <n x="94"/>
        <n x="16"/>
      </t>
    </mdx>
    <mdx n="0" f="v">
      <t c="7">
        <n x="18"/>
        <n x="105"/>
        <n x="103"/>
        <n x="21"/>
        <n x="92"/>
        <n x="136"/>
        <n x="7"/>
      </t>
    </mdx>
    <mdx n="0" f="v">
      <t c="7">
        <n x="18"/>
        <n x="105"/>
        <n x="103"/>
        <n x="21"/>
        <n x="95"/>
        <n x="112"/>
        <n x="11"/>
      </t>
    </mdx>
    <mdx n="0" f="v">
      <t c="7">
        <n x="18"/>
        <n x="105"/>
        <n x="103"/>
        <n x="21"/>
        <n x="90"/>
        <n x="108"/>
        <n x="12"/>
      </t>
    </mdx>
    <mdx n="0" f="v">
      <t c="6">
        <n x="18"/>
        <n x="105"/>
        <n x="103"/>
        <n x="21"/>
        <n x="92"/>
        <n x="11"/>
      </t>
    </mdx>
    <mdx n="0" f="v">
      <t c="6">
        <n x="18"/>
        <n x="105"/>
        <n x="103"/>
        <n x="21"/>
        <n x="90"/>
        <n x="14"/>
      </t>
    </mdx>
    <mdx n="0" f="v">
      <t c="6">
        <n x="18"/>
        <n x="105"/>
        <n x="103"/>
        <n x="21"/>
        <n x="93"/>
        <n x="7"/>
      </t>
    </mdx>
    <mdx n="0" f="v">
      <t c="7">
        <n x="18"/>
        <n x="105"/>
        <n x="103"/>
        <n x="21"/>
        <n x="90"/>
        <n x="132"/>
        <n x="8"/>
      </t>
    </mdx>
    <mdx n="0" f="v">
      <t c="7">
        <n x="18"/>
        <n x="105"/>
        <n x="103"/>
        <n x="21"/>
        <n x="84"/>
        <n x="115"/>
        <n x="7"/>
      </t>
    </mdx>
    <mdx n="0" f="v">
      <t c="7">
        <n x="18"/>
        <n x="105"/>
        <n x="103"/>
        <n x="21"/>
        <n x="90"/>
        <n x="108"/>
        <n x="8"/>
      </t>
    </mdx>
    <mdx n="0" f="v">
      <t c="7">
        <n x="18"/>
        <n x="105"/>
        <n x="103"/>
        <n x="21"/>
        <n x="91"/>
        <n x="128"/>
        <n x="7"/>
      </t>
    </mdx>
    <mdx n="0" f="v">
      <t c="7">
        <n x="18"/>
        <n x="105"/>
        <n x="103"/>
        <n x="21"/>
        <n x="90"/>
        <n x="119"/>
        <n x="13"/>
      </t>
    </mdx>
    <mdx n="0" f="v">
      <t c="7">
        <n x="18"/>
        <n x="105"/>
        <n x="103"/>
        <n x="21"/>
        <n x="94"/>
        <n x="109"/>
        <n x="16"/>
      </t>
    </mdx>
    <mdx n="0" f="v">
      <t c="7">
        <n x="18"/>
        <n x="105"/>
        <n x="103"/>
        <n x="21"/>
        <n x="95"/>
        <n x="133"/>
        <n x="13"/>
      </t>
    </mdx>
    <mdx n="0" f="v">
      <t c="7">
        <n x="18"/>
        <n x="105"/>
        <n x="103"/>
        <n x="21"/>
        <n x="92"/>
        <n x="136"/>
        <n x="10"/>
      </t>
    </mdx>
    <mdx n="0" f="v">
      <t c="6">
        <n x="18"/>
        <n x="105"/>
        <n x="103"/>
        <n x="21"/>
        <n x="96"/>
        <n x="14"/>
      </t>
    </mdx>
    <mdx n="0" f="v">
      <t c="6">
        <n x="18"/>
        <n x="105"/>
        <n x="103"/>
        <n x="21"/>
        <n x="86"/>
        <n x="10"/>
      </t>
    </mdx>
    <mdx n="0" f="v">
      <t c="7">
        <n x="18"/>
        <n x="105"/>
        <n x="103"/>
        <n x="21"/>
        <n x="90"/>
        <n x="120"/>
        <n x="25"/>
      </t>
    </mdx>
    <mdx n="0" f="v">
      <t c="6">
        <n x="18"/>
        <n x="105"/>
        <n x="103"/>
        <n x="21"/>
        <n x="85"/>
        <n x="16"/>
      </t>
    </mdx>
    <mdx n="0" f="v">
      <t c="6">
        <n x="18"/>
        <n x="105"/>
        <n x="103"/>
        <n x="21"/>
        <n x="91"/>
        <n x="8"/>
      </t>
    </mdx>
    <mdx n="0" f="v">
      <t c="7">
        <n x="18"/>
        <n x="105"/>
        <n x="103"/>
        <n x="21"/>
        <n x="90"/>
        <n x="120"/>
        <n x="14"/>
      </t>
    </mdx>
    <mdx n="0" f="v">
      <t c="7">
        <n x="18"/>
        <n x="105"/>
        <n x="103"/>
        <n x="21"/>
        <n x="84"/>
        <n x="118"/>
        <n x="11"/>
      </t>
    </mdx>
    <mdx n="0" f="v">
      <t c="7">
        <n x="18"/>
        <n x="105"/>
        <n x="103"/>
        <n x="21"/>
        <n x="90"/>
        <n x="134"/>
        <n x="16"/>
      </t>
    </mdx>
    <mdx n="0" f="v">
      <t c="7">
        <n x="18"/>
        <n x="105"/>
        <n x="103"/>
        <n x="21"/>
        <n x="85"/>
        <n x="124"/>
        <n x="17"/>
      </t>
    </mdx>
    <mdx n="0" f="v">
      <t c="7">
        <n x="18"/>
        <n x="105"/>
        <n x="103"/>
        <n x="21"/>
        <n x="84"/>
        <n x="118"/>
        <n x="14"/>
      </t>
    </mdx>
    <mdx n="0" f="v">
      <t c="6">
        <n x="18"/>
        <n x="105"/>
        <n x="103"/>
        <n x="21"/>
        <n x="97"/>
        <n x="17"/>
      </t>
    </mdx>
    <mdx n="0" f="v">
      <t c="7">
        <n x="18"/>
        <n x="105"/>
        <n x="103"/>
        <n x="21"/>
        <n x="94"/>
        <n x="123"/>
        <n x="11"/>
      </t>
    </mdx>
    <mdx n="0" f="v">
      <t c="7">
        <n x="18"/>
        <n x="105"/>
        <n x="103"/>
        <n x="21"/>
        <n x="94"/>
        <n x="111"/>
        <n x="7"/>
      </t>
    </mdx>
    <mdx n="0" f="v">
      <t c="7">
        <n x="18"/>
        <n x="105"/>
        <n x="103"/>
        <n x="21"/>
        <n x="87"/>
        <n x="137"/>
        <n x="13"/>
      </t>
    </mdx>
    <mdx n="0" f="v">
      <t c="7">
        <n x="18"/>
        <n x="105"/>
        <n x="103"/>
        <n x="21"/>
        <n x="90"/>
        <n x="132"/>
        <n x="10"/>
      </t>
    </mdx>
    <mdx n="0" f="v">
      <t c="6">
        <n x="18"/>
        <n x="105"/>
        <n x="103"/>
        <n x="21"/>
        <n x="97"/>
        <n x="13"/>
      </t>
    </mdx>
    <mdx n="0" f="v">
      <t c="6">
        <n x="18"/>
        <n x="105"/>
        <n x="103"/>
        <n x="21"/>
        <n x="85"/>
        <n x="13"/>
      </t>
    </mdx>
    <mdx n="0" f="v">
      <t c="6">
        <n x="18"/>
        <n x="105"/>
        <n x="103"/>
        <n x="21"/>
        <n x="84"/>
        <n x="8"/>
      </t>
    </mdx>
    <mdx n="0" f="v">
      <t c="7">
        <n x="18"/>
        <n x="105"/>
        <n x="103"/>
        <n x="21"/>
        <n x="94"/>
        <n x="111"/>
        <n x="8"/>
      </t>
    </mdx>
    <mdx n="0" f="v">
      <t c="7">
        <n x="18"/>
        <n x="105"/>
        <n x="103"/>
        <n x="21"/>
        <n x="86"/>
        <n x="113"/>
        <n x="15"/>
      </t>
    </mdx>
    <mdx n="0" f="v">
      <t c="7">
        <n x="18"/>
        <n x="105"/>
        <n x="103"/>
        <n x="21"/>
        <n x="90"/>
        <n x="119"/>
        <n x="8"/>
      </t>
    </mdx>
    <mdx n="0" f="v">
      <t c="6">
        <n x="18"/>
        <n x="105"/>
        <n x="103"/>
        <n x="21"/>
        <n x="94"/>
        <n x="17"/>
      </t>
    </mdx>
    <mdx n="0" f="v">
      <t c="6">
        <n x="18"/>
        <n x="105"/>
        <n x="103"/>
        <n x="21"/>
        <n x="84"/>
        <n x="10"/>
      </t>
    </mdx>
    <mdx n="0" f="v">
      <t c="7">
        <n x="18"/>
        <n x="105"/>
        <n x="103"/>
        <n x="21"/>
        <n x="94"/>
        <n x="111"/>
        <n x="11"/>
      </t>
    </mdx>
    <mdx n="0" f="v">
      <t c="6">
        <n x="18"/>
        <n x="105"/>
        <n x="103"/>
        <n x="21"/>
        <n x="92"/>
        <n x="8"/>
      </t>
    </mdx>
    <mdx n="0" f="v">
      <t c="6">
        <n x="18"/>
        <n x="105"/>
        <n x="103"/>
        <n x="21"/>
        <n x="89"/>
        <n x="7"/>
      </t>
    </mdx>
    <mdx n="0" f="v">
      <t c="7">
        <n x="18"/>
        <n x="105"/>
        <n x="103"/>
        <n x="21"/>
        <n x="85"/>
        <n x="117"/>
        <n x="10"/>
      </t>
    </mdx>
    <mdx n="0" f="v">
      <t c="6">
        <n x="18"/>
        <n x="105"/>
        <n x="103"/>
        <n x="21"/>
        <n x="87"/>
        <n x="25"/>
      </t>
    </mdx>
    <mdx n="0" f="v">
      <t c="7">
        <n x="18"/>
        <n x="105"/>
        <n x="103"/>
        <n x="21"/>
        <n x="86"/>
        <n x="122"/>
        <n x="13"/>
      </t>
    </mdx>
    <mdx n="0" f="v">
      <t c="7">
        <n x="18"/>
        <n x="105"/>
        <n x="103"/>
        <n x="21"/>
        <n x="85"/>
        <n x="114"/>
        <n x="17"/>
      </t>
    </mdx>
    <mdx n="0" f="v">
      <t c="7">
        <n x="18"/>
        <n x="105"/>
        <n x="103"/>
        <n x="21"/>
        <n x="93"/>
        <n x="130"/>
        <n x="7"/>
      </t>
    </mdx>
    <mdx n="0" f="v">
      <t c="7">
        <n x="18"/>
        <n x="105"/>
        <n x="103"/>
        <n x="21"/>
        <n x="84"/>
        <n x="115"/>
        <n x="11"/>
      </t>
    </mdx>
    <mdx n="0" f="v">
      <t c="6">
        <n x="18"/>
        <n x="105"/>
        <n x="103"/>
        <n x="21"/>
        <n x="91"/>
        <n x="16"/>
      </t>
    </mdx>
    <mdx n="0" f="v">
      <t c="7">
        <n x="18"/>
        <n x="105"/>
        <n x="103"/>
        <n x="21"/>
        <n x="84"/>
        <n x="118"/>
        <n x="13"/>
      </t>
    </mdx>
    <mdx n="0" f="v">
      <t c="6">
        <n x="18"/>
        <n x="105"/>
        <n x="103"/>
        <n x="21"/>
        <n x="94"/>
        <n x="15"/>
      </t>
    </mdx>
    <mdx n="0" f="v">
      <t c="6">
        <n x="18"/>
        <n x="105"/>
        <n x="103"/>
        <n x="21"/>
        <n x="84"/>
        <n x="13"/>
      </t>
    </mdx>
    <mdx n="0" f="v">
      <t c="6">
        <n x="18"/>
        <n x="105"/>
        <n x="103"/>
        <n x="21"/>
        <n x="87"/>
        <n x="14"/>
      </t>
    </mdx>
    <mdx n="0" f="v">
      <t c="7">
        <n x="18"/>
        <n x="105"/>
        <n x="103"/>
        <n x="21"/>
        <n x="94"/>
        <n x="123"/>
        <n x="25"/>
      </t>
    </mdx>
    <mdx n="0" f="v">
      <t c="7">
        <n x="18"/>
        <n x="105"/>
        <n x="103"/>
        <n x="21"/>
        <n x="89"/>
        <n x="106"/>
        <n x="16"/>
      </t>
    </mdx>
    <mdx n="0" f="v">
      <t c="6">
        <n x="18"/>
        <n x="105"/>
        <n x="103"/>
        <n x="21"/>
        <n x="89"/>
        <n x="8"/>
      </t>
    </mdx>
    <mdx n="0" f="v">
      <t c="7">
        <n x="18"/>
        <n x="105"/>
        <n x="103"/>
        <n x="21"/>
        <n x="84"/>
        <n x="118"/>
        <n x="15"/>
      </t>
    </mdx>
    <mdx n="0" f="v">
      <t c="7">
        <n x="18"/>
        <n x="105"/>
        <n x="103"/>
        <n x="21"/>
        <n x="93"/>
        <n x="130"/>
        <n x="12"/>
      </t>
    </mdx>
    <mdx n="0" f="v">
      <t c="7">
        <n x="18"/>
        <n x="105"/>
        <n x="103"/>
        <n x="21"/>
        <n x="85"/>
        <n x="117"/>
        <n x="17"/>
      </t>
    </mdx>
    <mdx n="0" f="v">
      <t c="7">
        <n x="18"/>
        <n x="105"/>
        <n x="103"/>
        <n x="21"/>
        <n x="87"/>
        <n x="137"/>
        <n x="25"/>
      </t>
    </mdx>
    <mdx n="0" f="v">
      <t c="7">
        <n x="18"/>
        <n x="105"/>
        <n x="103"/>
        <n x="21"/>
        <n x="95"/>
        <n x="112"/>
        <n x="15"/>
      </t>
    </mdx>
    <mdx n="0" f="v">
      <t c="7">
        <n x="18"/>
        <n x="105"/>
        <n x="103"/>
        <n x="21"/>
        <n x="93"/>
        <n x="130"/>
        <n x="13"/>
      </t>
    </mdx>
    <mdx n="0" f="v">
      <t c="7">
        <n x="18"/>
        <n x="105"/>
        <n x="103"/>
        <n x="21"/>
        <n x="85"/>
        <n x="114"/>
        <n x="13"/>
      </t>
    </mdx>
    <mdx n="0" f="v">
      <t c="7">
        <n x="18"/>
        <n x="105"/>
        <n x="103"/>
        <n x="21"/>
        <n x="86"/>
        <n x="116"/>
        <n x="25"/>
      </t>
    </mdx>
    <mdx n="0" f="v">
      <t c="7">
        <n x="18"/>
        <n x="105"/>
        <n x="103"/>
        <n x="21"/>
        <n x="94"/>
        <n x="109"/>
        <n x="14"/>
      </t>
    </mdx>
    <mdx n="0" f="v">
      <t c="6">
        <n x="18"/>
        <n x="105"/>
        <n x="103"/>
        <n x="21"/>
        <n x="91"/>
        <n x="10"/>
      </t>
    </mdx>
    <mdx n="0" f="v">
      <t c="7">
        <n x="18"/>
        <n x="105"/>
        <n x="103"/>
        <n x="21"/>
        <n x="89"/>
        <n x="107"/>
        <n x="15"/>
      </t>
    </mdx>
    <mdx n="0" f="v">
      <t c="7">
        <n x="18"/>
        <n x="105"/>
        <n x="103"/>
        <n x="21"/>
        <n x="91"/>
        <n x="128"/>
        <n x="8"/>
      </t>
    </mdx>
    <mdx n="0" f="v">
      <t c="7">
        <n x="18"/>
        <n x="105"/>
        <n x="103"/>
        <n x="21"/>
        <n x="90"/>
        <n x="108"/>
        <n x="16"/>
      </t>
    </mdx>
    <mdx n="0" f="v">
      <t c="6">
        <n x="18"/>
        <n x="105"/>
        <n x="103"/>
        <n x="21"/>
        <n x="89"/>
        <n x="25"/>
      </t>
    </mdx>
    <mdx n="0" f="v">
      <t c="6">
        <n x="18"/>
        <n x="105"/>
        <n x="103"/>
        <n x="21"/>
        <n x="94"/>
        <n x="14"/>
      </t>
    </mdx>
    <mdx n="0" f="v">
      <t c="7">
        <n x="18"/>
        <n x="105"/>
        <n x="103"/>
        <n x="21"/>
        <n x="97"/>
        <n x="127"/>
        <n x="13"/>
      </t>
    </mdx>
    <mdx n="0" f="v">
      <t c="7">
        <n x="18"/>
        <n x="105"/>
        <n x="103"/>
        <n x="21"/>
        <n x="90"/>
        <n x="134"/>
        <n x="7"/>
      </t>
    </mdx>
    <mdx n="0" f="v">
      <t c="6">
        <n x="18"/>
        <n x="105"/>
        <n x="103"/>
        <n x="21"/>
        <n x="95"/>
        <n x="25"/>
      </t>
    </mdx>
    <mdx n="0" f="v">
      <t c="6">
        <n x="18"/>
        <n x="105"/>
        <n x="103"/>
        <n x="21"/>
        <n x="87"/>
        <n x="17"/>
      </t>
    </mdx>
    <mdx n="0" f="v">
      <t c="7">
        <n x="18"/>
        <n x="105"/>
        <n x="103"/>
        <n x="21"/>
        <n x="87"/>
        <n x="137"/>
        <n x="17"/>
      </t>
    </mdx>
    <mdx n="0" f="v">
      <t c="7">
        <n x="18"/>
        <n x="105"/>
        <n x="103"/>
        <n x="21"/>
        <n x="90"/>
        <n x="134"/>
        <n x="11"/>
      </t>
    </mdx>
    <mdx n="0" f="v">
      <t c="7">
        <n x="18"/>
        <n x="105"/>
        <n x="103"/>
        <n x="21"/>
        <n x="90"/>
        <n x="120"/>
        <n x="7"/>
      </t>
    </mdx>
    <mdx n="0" f="v">
      <t c="7">
        <n x="18"/>
        <n x="105"/>
        <n x="103"/>
        <n x="21"/>
        <n x="93"/>
        <n x="130"/>
        <n x="16"/>
      </t>
    </mdx>
    <mdx n="0" f="v">
      <t c="7">
        <n x="18"/>
        <n x="105"/>
        <n x="103"/>
        <n x="21"/>
        <n x="85"/>
        <n x="117"/>
        <n x="8"/>
      </t>
    </mdx>
    <mdx n="0" f="v">
      <t c="7">
        <n x="18"/>
        <n x="105"/>
        <n x="103"/>
        <n x="21"/>
        <n x="95"/>
        <n x="125"/>
        <n x="14"/>
      </t>
    </mdx>
    <mdx n="0" f="v">
      <t c="7">
        <n x="18"/>
        <n x="105"/>
        <n x="103"/>
        <n x="21"/>
        <n x="84"/>
        <n x="115"/>
        <n x="17"/>
      </t>
    </mdx>
    <mdx n="0" f="v">
      <t c="7">
        <n x="18"/>
        <n x="105"/>
        <n x="103"/>
        <n x="21"/>
        <n x="95"/>
        <n x="133"/>
        <n x="7"/>
      </t>
    </mdx>
    <mdx n="0" f="v">
      <t c="7">
        <n x="18"/>
        <n x="105"/>
        <n x="103"/>
        <n x="21"/>
        <n x="90"/>
        <n x="108"/>
        <n x="7"/>
      </t>
    </mdx>
    <mdx n="0" f="v">
      <t c="7">
        <n x="18"/>
        <n x="105"/>
        <n x="103"/>
        <n x="21"/>
        <n x="95"/>
        <n x="131"/>
        <n x="14"/>
      </t>
    </mdx>
    <mdx n="0" f="v">
      <t c="7">
        <n x="18"/>
        <n x="105"/>
        <n x="103"/>
        <n x="21"/>
        <n x="96"/>
        <n x="129"/>
        <n x="11"/>
      </t>
    </mdx>
    <mdx n="0" f="v">
      <t c="6">
        <n x="18"/>
        <n x="105"/>
        <n x="103"/>
        <n x="21"/>
        <n x="93"/>
        <n x="8"/>
      </t>
    </mdx>
    <mdx n="0" f="v">
      <t c="6">
        <n x="18"/>
        <n x="105"/>
        <n x="103"/>
        <n x="21"/>
        <n x="84"/>
        <n x="17"/>
      </t>
    </mdx>
    <mdx n="0" f="v">
      <t c="6">
        <n x="18"/>
        <n x="105"/>
        <n x="103"/>
        <n x="21"/>
        <n x="87"/>
        <n x="8"/>
      </t>
    </mdx>
    <mdx n="0" f="v">
      <t c="7">
        <n x="18"/>
        <n x="105"/>
        <n x="103"/>
        <n x="21"/>
        <n x="96"/>
        <n x="129"/>
        <n x="25"/>
      </t>
    </mdx>
    <mdx n="0" f="v">
      <t c="6">
        <n x="18"/>
        <n x="105"/>
        <n x="103"/>
        <n x="21"/>
        <n x="93"/>
        <n x="25"/>
      </t>
    </mdx>
    <mdx n="0" f="v">
      <t c="6">
        <n x="18"/>
        <n x="105"/>
        <n x="103"/>
        <n x="21"/>
        <n x="90"/>
        <n x="7"/>
      </t>
    </mdx>
    <mdx n="0" f="v">
      <t c="7">
        <n x="18"/>
        <n x="105"/>
        <n x="103"/>
        <n x="21"/>
        <n x="94"/>
        <n x="123"/>
        <n x="16"/>
      </t>
    </mdx>
    <mdx n="0" f="v">
      <t c="7">
        <n x="18"/>
        <n x="105"/>
        <n x="103"/>
        <n x="21"/>
        <n x="85"/>
        <n x="124"/>
        <n x="13"/>
      </t>
    </mdx>
    <mdx n="0" f="v">
      <t c="7">
        <n x="18"/>
        <n x="105"/>
        <n x="103"/>
        <n x="21"/>
        <n x="94"/>
        <n x="109"/>
        <n x="11"/>
      </t>
    </mdx>
    <mdx n="0" f="v">
      <t c="6">
        <n x="18"/>
        <n x="105"/>
        <n x="103"/>
        <n x="21"/>
        <n x="95"/>
        <n x="10"/>
      </t>
    </mdx>
    <mdx n="0" f="v">
      <t c="6">
        <n x="18"/>
        <n x="105"/>
        <n x="103"/>
        <n x="21"/>
        <n x="84"/>
        <n x="14"/>
      </t>
    </mdx>
    <mdx n="0" f="v">
      <t c="6">
        <n x="18"/>
        <n x="105"/>
        <n x="103"/>
        <n x="21"/>
        <n x="85"/>
        <n x="17"/>
      </t>
    </mdx>
    <mdx n="0" f="v">
      <t c="7">
        <n x="18"/>
        <n x="105"/>
        <n x="103"/>
        <n x="21"/>
        <n x="88"/>
        <n x="138"/>
        <n x="25"/>
      </t>
    </mdx>
    <mdx n="0" f="v">
      <t c="6">
        <n x="18"/>
        <n x="105"/>
        <n x="103"/>
        <n x="21"/>
        <n x="93"/>
        <n x="15"/>
      </t>
    </mdx>
    <mdx n="0" f="v">
      <t c="7">
        <n x="18"/>
        <n x="105"/>
        <n x="103"/>
        <n x="21"/>
        <n x="90"/>
        <n x="135"/>
        <n x="7"/>
      </t>
    </mdx>
    <mdx n="0" f="v">
      <t c="7">
        <n x="18"/>
        <n x="105"/>
        <n x="103"/>
        <n x="21"/>
        <n x="84"/>
        <n x="115"/>
        <n x="15"/>
      </t>
    </mdx>
    <mdx n="0" f="v">
      <t c="6">
        <n x="18"/>
        <n x="105"/>
        <n x="103"/>
        <n x="21"/>
        <n x="96"/>
        <n x="11"/>
      </t>
    </mdx>
    <mdx n="0" f="v">
      <t c="7">
        <n x="18"/>
        <n x="105"/>
        <n x="103"/>
        <n x="21"/>
        <n x="90"/>
        <n x="132"/>
        <n x="11"/>
      </t>
    </mdx>
    <mdx n="0" f="v">
      <t c="7">
        <n x="18"/>
        <n x="105"/>
        <n x="103"/>
        <n x="21"/>
        <n x="95"/>
        <n x="131"/>
        <n x="10"/>
      </t>
    </mdx>
    <mdx n="0" f="v">
      <t c="6">
        <n x="18"/>
        <n x="105"/>
        <n x="103"/>
        <n x="21"/>
        <n x="97"/>
        <n x="25"/>
      </t>
    </mdx>
    <mdx n="0" f="v">
      <t c="6">
        <n x="18"/>
        <n x="105"/>
        <n x="103"/>
        <n x="21"/>
        <n x="93"/>
        <n x="13"/>
      </t>
    </mdx>
    <mdx n="0" f="v">
      <t c="7">
        <n x="18"/>
        <n x="105"/>
        <n x="103"/>
        <n x="21"/>
        <n x="90"/>
        <n x="119"/>
        <n x="15"/>
      </t>
    </mdx>
    <mdx n="0" f="v">
      <t c="7">
        <n x="18"/>
        <n x="105"/>
        <n x="103"/>
        <n x="21"/>
        <n x="90"/>
        <n x="108"/>
        <n x="15"/>
      </t>
    </mdx>
    <mdx n="0" f="v">
      <t c="6">
        <n x="18"/>
        <n x="105"/>
        <n x="103"/>
        <n x="21"/>
        <n x="96"/>
        <n x="7"/>
      </t>
    </mdx>
    <mdx n="0" f="v">
      <t c="6">
        <n x="18"/>
        <n x="105"/>
        <n x="103"/>
        <n x="21"/>
        <n x="85"/>
        <n x="11"/>
      </t>
    </mdx>
    <mdx n="0" f="v">
      <t c="6">
        <n x="18"/>
        <n x="105"/>
        <n x="103"/>
        <n x="21"/>
        <n x="97"/>
        <n x="16"/>
      </t>
    </mdx>
    <mdx n="0" f="v">
      <t c="7">
        <n x="18"/>
        <n x="105"/>
        <n x="103"/>
        <n x="21"/>
        <n x="84"/>
        <n x="118"/>
        <n x="8"/>
      </t>
    </mdx>
    <mdx n="0" f="v">
      <t c="7">
        <n x="18"/>
        <n x="105"/>
        <n x="103"/>
        <n x="21"/>
        <n x="95"/>
        <n x="112"/>
        <n x="7"/>
      </t>
    </mdx>
    <mdx n="0" f="v">
      <t c="6">
        <n x="18"/>
        <n x="105"/>
        <n x="103"/>
        <n x="21"/>
        <n x="87"/>
        <n x="7"/>
      </t>
    </mdx>
    <mdx n="0" f="v">
      <t c="6">
        <n x="18"/>
        <n x="105"/>
        <n x="103"/>
        <n x="21"/>
        <n x="87"/>
        <n x="16"/>
      </t>
    </mdx>
    <mdx n="0" f="v">
      <t c="7">
        <n x="18"/>
        <n x="105"/>
        <n x="103"/>
        <n x="21"/>
        <n x="95"/>
        <n x="125"/>
        <n x="15"/>
      </t>
    </mdx>
    <mdx n="0" f="v">
      <t c="7">
        <n x="18"/>
        <n x="105"/>
        <n x="103"/>
        <n x="21"/>
        <n x="85"/>
        <n x="124"/>
        <n x="16"/>
      </t>
    </mdx>
    <mdx n="0" f="v">
      <t c="7">
        <n x="18"/>
        <n x="105"/>
        <n x="103"/>
        <n x="21"/>
        <n x="89"/>
        <n x="107"/>
        <n x="11"/>
      </t>
    </mdx>
    <mdx n="0" f="v">
      <t c="7">
        <n x="18"/>
        <n x="105"/>
        <n x="103"/>
        <n x="21"/>
        <n x="89"/>
        <n x="107"/>
        <n x="13"/>
      </t>
    </mdx>
    <mdx n="0" f="v">
      <t c="7">
        <n x="18"/>
        <n x="105"/>
        <n x="103"/>
        <n x="21"/>
        <n x="92"/>
        <n x="136"/>
        <n x="15"/>
      </t>
    </mdx>
    <mdx n="0" f="v">
      <t c="7">
        <n x="18"/>
        <n x="105"/>
        <n x="103"/>
        <n x="21"/>
        <n x="90"/>
        <n x="135"/>
        <n x="25"/>
      </t>
    </mdx>
    <mdx n="0" f="v">
      <t c="7">
        <n x="18"/>
        <n x="105"/>
        <n x="103"/>
        <n x="21"/>
        <n x="87"/>
        <n x="137"/>
        <n x="16"/>
      </t>
    </mdx>
    <mdx n="0" f="v">
      <t c="6">
        <n x="18"/>
        <n x="105"/>
        <n x="103"/>
        <n x="21"/>
        <n x="94"/>
        <n x="12"/>
      </t>
    </mdx>
    <mdx n="0" f="v">
      <t c="7">
        <n x="18"/>
        <n x="105"/>
        <n x="103"/>
        <n x="21"/>
        <n x="93"/>
        <n x="130"/>
        <n x="8"/>
      </t>
    </mdx>
    <mdx n="0" f="v">
      <t c="6">
        <n x="18"/>
        <n x="105"/>
        <n x="103"/>
        <n x="21"/>
        <n x="87"/>
        <n x="15"/>
      </t>
    </mdx>
    <mdx n="0" f="v">
      <t c="6">
        <n x="18"/>
        <n x="105"/>
        <n x="103"/>
        <n x="21"/>
        <n x="94"/>
        <n x="8"/>
      </t>
    </mdx>
    <mdx n="0" f="v">
      <t c="7">
        <n x="18"/>
        <n x="105"/>
        <n x="103"/>
        <n x="21"/>
        <n x="87"/>
        <n x="137"/>
        <n x="7"/>
      </t>
    </mdx>
    <mdx n="0" f="v">
      <t c="7">
        <n x="18"/>
        <n x="105"/>
        <n x="103"/>
        <n x="21"/>
        <n x="95"/>
        <n x="112"/>
        <n x="8"/>
      </t>
    </mdx>
    <mdx n="0" f="v">
      <t c="6">
        <n x="18"/>
        <n x="105"/>
        <n x="103"/>
        <n x="21"/>
        <n x="86"/>
        <n x="15"/>
      </t>
    </mdx>
    <mdx n="0" f="v">
      <t c="7">
        <n x="18"/>
        <n x="105"/>
        <n x="103"/>
        <n x="21"/>
        <n x="95"/>
        <n x="131"/>
        <n x="25"/>
      </t>
    </mdx>
    <mdx n="0" f="v">
      <t c="7">
        <n x="18"/>
        <n x="105"/>
        <n x="103"/>
        <n x="21"/>
        <n x="94"/>
        <n x="123"/>
        <n x="8"/>
      </t>
    </mdx>
    <mdx n="0" f="v">
      <t c="6">
        <n x="18"/>
        <n x="105"/>
        <n x="103"/>
        <n x="21"/>
        <n x="85"/>
        <n x="15"/>
      </t>
    </mdx>
    <mdx n="0" f="v">
      <t c="7">
        <n x="18"/>
        <n x="105"/>
        <n x="103"/>
        <n x="21"/>
        <n x="84"/>
        <n x="115"/>
        <n x="16"/>
      </t>
    </mdx>
    <mdx n="0" f="v">
      <t c="7">
        <n x="18"/>
        <n x="105"/>
        <n x="103"/>
        <n x="21"/>
        <n x="94"/>
        <n x="111"/>
        <n x="17"/>
      </t>
    </mdx>
    <mdx n="0" f="v">
      <t c="7">
        <n x="18"/>
        <n x="105"/>
        <n x="103"/>
        <n x="21"/>
        <n x="85"/>
        <n x="114"/>
        <n x="25"/>
      </t>
    </mdx>
    <mdx n="0" f="v">
      <t c="6">
        <n x="18"/>
        <n x="105"/>
        <n x="103"/>
        <n x="21"/>
        <n x="88"/>
        <n x="8"/>
      </t>
    </mdx>
    <mdx n="0" f="v">
      <t c="6">
        <n x="18"/>
        <n x="105"/>
        <n x="103"/>
        <n x="21"/>
        <n x="92"/>
        <n x="12"/>
      </t>
    </mdx>
    <mdx n="0" f="v">
      <t c="7">
        <n x="18"/>
        <n x="105"/>
        <n x="103"/>
        <n x="21"/>
        <n x="84"/>
        <n x="126"/>
        <n x="14"/>
      </t>
    </mdx>
    <mdx n="0" f="v">
      <t c="7">
        <n x="18"/>
        <n x="105"/>
        <n x="103"/>
        <n x="21"/>
        <n x="90"/>
        <n x="119"/>
        <n x="10"/>
      </t>
    </mdx>
    <mdx n="0" f="v">
      <t c="7">
        <n x="18"/>
        <n x="105"/>
        <n x="103"/>
        <n x="21"/>
        <n x="84"/>
        <n x="118"/>
        <n x="10"/>
      </t>
    </mdx>
    <mdx n="0" f="v">
      <t c="7">
        <n x="18"/>
        <n x="105"/>
        <n x="103"/>
        <n x="21"/>
        <n x="84"/>
        <n x="115"/>
        <n x="12"/>
      </t>
    </mdx>
    <mdx n="0" f="v">
      <t c="6">
        <n x="18"/>
        <n x="105"/>
        <n x="103"/>
        <n x="21"/>
        <n x="96"/>
        <n x="17"/>
      </t>
    </mdx>
    <mdx n="0" f="v">
      <t c="6">
        <n x="18"/>
        <n x="105"/>
        <n x="103"/>
        <n x="21"/>
        <n x="93"/>
        <n x="10"/>
      </t>
    </mdx>
    <mdx n="0" f="v">
      <t c="7">
        <n x="18"/>
        <n x="105"/>
        <n x="103"/>
        <n x="21"/>
        <n x="87"/>
        <n x="137"/>
        <n x="14"/>
      </t>
    </mdx>
    <mdx n="0" f="v">
      <t c="7">
        <n x="18"/>
        <n x="105"/>
        <n x="103"/>
        <n x="21"/>
        <n x="92"/>
        <n x="136"/>
        <n x="13"/>
      </t>
    </mdx>
    <mdx n="0" f="v">
      <t c="7">
        <n x="18"/>
        <n x="105"/>
        <n x="103"/>
        <n x="21"/>
        <n x="90"/>
        <n x="119"/>
        <n x="7"/>
      </t>
    </mdx>
    <mdx n="0" f="v">
      <t c="7">
        <n x="18"/>
        <n x="105"/>
        <n x="103"/>
        <n x="21"/>
        <n x="85"/>
        <n x="114"/>
        <n x="7"/>
      </t>
    </mdx>
    <mdx n="0" f="v">
      <t c="6">
        <n x="18"/>
        <n x="105"/>
        <n x="103"/>
        <n x="21"/>
        <n x="92"/>
        <n x="17"/>
      </t>
    </mdx>
    <mdx n="0" f="v">
      <t c="6">
        <n x="18"/>
        <n x="105"/>
        <n x="103"/>
        <n x="21"/>
        <n x="94"/>
        <n x="11"/>
      </t>
    </mdx>
    <mdx n="0" f="v">
      <t c="6">
        <n x="18"/>
        <n x="105"/>
        <n x="103"/>
        <n x="21"/>
        <n x="89"/>
        <n x="15"/>
      </t>
    </mdx>
    <mdx n="0" f="v">
      <t c="6">
        <n x="18"/>
        <n x="105"/>
        <n x="103"/>
        <n x="21"/>
        <n x="95"/>
        <n x="8"/>
      </t>
    </mdx>
    <mdx n="0" f="v">
      <t c="7">
        <n x="18"/>
        <n x="105"/>
        <n x="103"/>
        <n x="21"/>
        <n x="85"/>
        <n x="114"/>
        <n x="15"/>
      </t>
    </mdx>
    <mdx n="0" f="v">
      <t c="6">
        <n x="18"/>
        <n x="105"/>
        <n x="103"/>
        <n x="21"/>
        <n x="97"/>
        <n x="8"/>
      </t>
    </mdx>
    <mdx n="0" f="v">
      <t c="7">
        <n x="18"/>
        <n x="105"/>
        <n x="103"/>
        <n x="21"/>
        <n x="90"/>
        <n x="134"/>
        <n x="14"/>
      </t>
    </mdx>
    <mdx n="0" f="v">
      <t c="7">
        <n x="18"/>
        <n x="105"/>
        <n x="103"/>
        <n x="21"/>
        <n x="96"/>
        <n x="129"/>
        <n x="17"/>
      </t>
    </mdx>
    <mdx n="0" f="v">
      <t c="7">
        <n x="18"/>
        <n x="105"/>
        <n x="103"/>
        <n x="21"/>
        <n x="95"/>
        <n x="131"/>
        <n x="15"/>
      </t>
    </mdx>
    <mdx n="0" f="v">
      <t c="6">
        <n x="18"/>
        <n x="105"/>
        <n x="103"/>
        <n x="21"/>
        <n x="90"/>
        <n x="8"/>
      </t>
    </mdx>
    <mdx n="0" f="v">
      <t c="6">
        <n x="18"/>
        <n x="105"/>
        <n x="103"/>
        <n x="21"/>
        <n x="91"/>
        <n x="25"/>
      </t>
    </mdx>
    <mdx n="0" f="v">
      <t c="7">
        <n x="18"/>
        <n x="105"/>
        <n x="103"/>
        <n x="21"/>
        <n x="86"/>
        <n x="113"/>
        <n x="13"/>
      </t>
    </mdx>
    <mdx n="0" f="v">
      <t c="7">
        <n x="18"/>
        <n x="105"/>
        <n x="103"/>
        <n x="21"/>
        <n x="95"/>
        <n x="131"/>
        <n x="12"/>
      </t>
    </mdx>
    <mdx n="0" f="v">
      <t c="7">
        <n x="18"/>
        <n x="105"/>
        <n x="103"/>
        <n x="21"/>
        <n x="85"/>
        <n x="117"/>
        <n x="15"/>
      </t>
    </mdx>
    <mdx n="0" f="v">
      <t c="7">
        <n x="18"/>
        <n x="105"/>
        <n x="103"/>
        <n x="21"/>
        <n x="96"/>
        <n x="129"/>
        <n x="12"/>
      </t>
    </mdx>
    <mdx n="0" f="v">
      <t c="6">
        <n x="18"/>
        <n x="105"/>
        <n x="103"/>
        <n x="21"/>
        <n x="92"/>
        <n x="14"/>
      </t>
    </mdx>
    <mdx n="0" f="v">
      <t c="7">
        <n x="18"/>
        <n x="105"/>
        <n x="103"/>
        <n x="21"/>
        <n x="90"/>
        <n x="132"/>
        <n x="12"/>
      </t>
    </mdx>
    <mdx n="0" f="v">
      <t c="7">
        <n x="18"/>
        <n x="105"/>
        <n x="103"/>
        <n x="21"/>
        <n x="84"/>
        <n x="126"/>
        <n x="25"/>
      </t>
    </mdx>
    <mdx n="0" f="v">
      <t c="6">
        <n x="18"/>
        <n x="105"/>
        <n x="103"/>
        <n x="21"/>
        <n x="95"/>
        <n x="11"/>
      </t>
    </mdx>
    <mdx n="0" f="v">
      <t c="7">
        <n x="18"/>
        <n x="105"/>
        <n x="103"/>
        <n x="21"/>
        <n x="90"/>
        <n x="120"/>
        <n x="15"/>
      </t>
    </mdx>
    <mdx n="0" f="v">
      <t c="7">
        <n x="18"/>
        <n x="105"/>
        <n x="103"/>
        <n x="21"/>
        <n x="86"/>
        <n x="113"/>
        <n x="12"/>
      </t>
    </mdx>
    <mdx n="0" f="v">
      <t c="7">
        <n x="18"/>
        <n x="105"/>
        <n x="103"/>
        <n x="21"/>
        <n x="84"/>
        <n x="115"/>
        <n x="10"/>
      </t>
    </mdx>
    <mdx n="0" f="v">
      <t c="7">
        <n x="18"/>
        <n x="105"/>
        <n x="103"/>
        <n x="21"/>
        <n x="84"/>
        <n x="118"/>
        <n x="7"/>
      </t>
    </mdx>
    <mdx n="0" f="v">
      <t c="7">
        <n x="18"/>
        <n x="105"/>
        <n x="103"/>
        <n x="21"/>
        <n x="94"/>
        <n x="123"/>
        <n x="10"/>
      </t>
    </mdx>
    <mdx n="0" f="v">
      <t c="7">
        <n x="18"/>
        <n x="105"/>
        <n x="103"/>
        <n x="21"/>
        <n x="95"/>
        <n x="125"/>
        <n x="17"/>
      </t>
    </mdx>
    <mdx n="0" f="v">
      <t c="6">
        <n x="18"/>
        <n x="105"/>
        <n x="103"/>
        <n x="21"/>
        <n x="92"/>
        <n x="25"/>
      </t>
    </mdx>
    <mdx n="0" f="v">
      <t c="6">
        <n x="18"/>
        <n x="105"/>
        <n x="103"/>
        <n x="21"/>
        <n x="86"/>
        <n x="11"/>
      </t>
    </mdx>
    <mdx n="0" f="v">
      <t c="7">
        <n x="18"/>
        <n x="105"/>
        <n x="103"/>
        <n x="21"/>
        <n x="95"/>
        <n x="112"/>
        <n x="16"/>
      </t>
    </mdx>
    <mdx n="0" f="v">
      <t c="7">
        <n x="18"/>
        <n x="105"/>
        <n x="103"/>
        <n x="21"/>
        <n x="91"/>
        <n x="128"/>
        <n x="10"/>
      </t>
    </mdx>
    <mdx n="0" f="v">
      <t c="7">
        <n x="18"/>
        <n x="105"/>
        <n x="103"/>
        <n x="21"/>
        <n x="90"/>
        <n x="135"/>
        <n x="17"/>
      </t>
    </mdx>
    <mdx n="0" f="v">
      <t c="6">
        <n x="18"/>
        <n x="105"/>
        <n x="103"/>
        <n x="21"/>
        <n x="86"/>
        <n x="8"/>
      </t>
    </mdx>
    <mdx n="0" f="v">
      <t c="7">
        <n x="18"/>
        <n x="105"/>
        <n x="103"/>
        <n x="21"/>
        <n x="91"/>
        <n x="128"/>
        <n x="17"/>
      </t>
    </mdx>
    <mdx n="0" f="v">
      <t c="7">
        <n x="18"/>
        <n x="105"/>
        <n x="103"/>
        <n x="21"/>
        <n x="93"/>
        <n x="130"/>
        <n x="11"/>
      </t>
    </mdx>
    <mdx n="0" f="v">
      <t c="7">
        <n x="18"/>
        <n x="105"/>
        <n x="103"/>
        <n x="21"/>
        <n x="85"/>
        <n x="114"/>
        <n x="12"/>
      </t>
    </mdx>
    <mdx n="0" f="v">
      <t c="7">
        <n x="18"/>
        <n x="105"/>
        <n x="103"/>
        <n x="21"/>
        <n x="86"/>
        <n x="116"/>
        <n x="16"/>
      </t>
    </mdx>
    <mdx n="0" f="v">
      <t c="7">
        <n x="18"/>
        <n x="105"/>
        <n x="103"/>
        <n x="21"/>
        <n x="94"/>
        <n x="109"/>
        <n x="10"/>
      </t>
    </mdx>
    <mdx n="0" f="v">
      <t c="7">
        <n x="18"/>
        <n x="105"/>
        <n x="103"/>
        <n x="21"/>
        <n x="84"/>
        <n x="126"/>
        <n x="7"/>
      </t>
    </mdx>
    <mdx n="0" f="v">
      <t c="6">
        <n x="18"/>
        <n x="105"/>
        <n x="103"/>
        <n x="21"/>
        <n x="86"/>
        <n x="7"/>
      </t>
    </mdx>
    <mdx n="0" f="v">
      <t c="6">
        <n x="18"/>
        <n x="105"/>
        <n x="103"/>
        <n x="21"/>
        <n x="96"/>
        <n x="10"/>
      </t>
    </mdx>
    <mdx n="0" f="v">
      <t c="6">
        <n x="18"/>
        <n x="105"/>
        <n x="103"/>
        <n x="21"/>
        <n x="90"/>
        <n x="13"/>
      </t>
    </mdx>
    <mdx n="0" f="v">
      <t c="7">
        <n x="18"/>
        <n x="105"/>
        <n x="103"/>
        <n x="21"/>
        <n x="90"/>
        <n x="134"/>
        <n x="25"/>
      </t>
    </mdx>
    <mdx n="0" f="v">
      <t c="7">
        <n x="18"/>
        <n x="105"/>
        <n x="103"/>
        <n x="21"/>
        <n x="87"/>
        <n x="137"/>
        <n x="15"/>
      </t>
    </mdx>
    <mdx n="0" f="v">
      <t c="7">
        <n x="18"/>
        <n x="105"/>
        <n x="103"/>
        <n x="21"/>
        <n x="92"/>
        <n x="136"/>
        <n x="11"/>
      </t>
    </mdx>
    <mdx n="0" f="v">
      <t c="7">
        <n x="18"/>
        <n x="105"/>
        <n x="103"/>
        <n x="21"/>
        <n x="90"/>
        <n x="134"/>
        <n x="13"/>
      </t>
    </mdx>
    <mdx n="0" f="v">
      <t c="7">
        <n x="18"/>
        <n x="105"/>
        <n x="103"/>
        <n x="21"/>
        <n x="91"/>
        <n x="128"/>
        <n x="15"/>
      </t>
    </mdx>
    <mdx n="0" f="v">
      <t c="7">
        <n x="18"/>
        <n x="105"/>
        <n x="103"/>
        <n x="21"/>
        <n x="93"/>
        <n x="130"/>
        <n x="10"/>
      </t>
    </mdx>
    <mdx n="0" f="v">
      <t c="7">
        <n x="18"/>
        <n x="105"/>
        <n x="103"/>
        <n x="21"/>
        <n x="97"/>
        <n x="127"/>
        <n x="14"/>
      </t>
    </mdx>
    <mdx n="0" f="v">
      <t c="7">
        <n x="18"/>
        <n x="105"/>
        <n x="103"/>
        <n x="21"/>
        <n x="86"/>
        <n x="122"/>
        <n x="7"/>
      </t>
    </mdx>
    <mdx n="0" f="v">
      <t c="7">
        <n x="18"/>
        <n x="105"/>
        <n x="103"/>
        <n x="21"/>
        <n x="94"/>
        <n x="123"/>
        <n x="7"/>
      </t>
    </mdx>
    <mdx n="0" f="v">
      <t c="7">
        <n x="18"/>
        <n x="105"/>
        <n x="103"/>
        <n x="21"/>
        <n x="90"/>
        <n x="119"/>
        <n x="25"/>
      </t>
    </mdx>
    <mdx n="0" f="v">
      <t c="7">
        <n x="18"/>
        <n x="105"/>
        <n x="103"/>
        <n x="21"/>
        <n x="89"/>
        <n x="107"/>
        <n x="17"/>
      </t>
    </mdx>
    <mdx n="0" f="v">
      <t c="7">
        <n x="18"/>
        <n x="105"/>
        <n x="103"/>
        <n x="21"/>
        <n x="90"/>
        <n x="120"/>
        <n x="8"/>
      </t>
    </mdx>
    <mdx n="0" f="v">
      <t c="7">
        <n x="18"/>
        <n x="105"/>
        <n x="103"/>
        <n x="21"/>
        <n x="95"/>
        <n x="112"/>
        <n x="13"/>
      </t>
    </mdx>
    <mdx n="0" f="v">
      <t c="7">
        <n x="18"/>
        <n x="105"/>
        <n x="103"/>
        <n x="21"/>
        <n x="94"/>
        <n x="109"/>
        <n x="7"/>
      </t>
    </mdx>
    <mdx n="0" f="v">
      <t c="7">
        <n x="18"/>
        <n x="105"/>
        <n x="103"/>
        <n x="21"/>
        <n x="97"/>
        <n x="127"/>
        <n x="11"/>
      </t>
    </mdx>
    <mdx n="0" f="v">
      <t c="6">
        <n x="18"/>
        <n x="105"/>
        <n x="103"/>
        <n x="21"/>
        <n x="89"/>
        <n x="10"/>
      </t>
    </mdx>
    <mdx n="0" f="v">
      <t c="7">
        <n x="18"/>
        <n x="105"/>
        <n x="103"/>
        <n x="21"/>
        <n x="84"/>
        <n x="115"/>
        <n x="8"/>
      </t>
    </mdx>
    <mdx n="0" f="v">
      <t c="6">
        <n x="18"/>
        <n x="105"/>
        <n x="103"/>
        <n x="21"/>
        <n x="84"/>
        <n x="16"/>
      </t>
    </mdx>
    <mdx n="0" f="v">
      <t c="7">
        <n x="18"/>
        <n x="105"/>
        <n x="103"/>
        <n x="21"/>
        <n x="86"/>
        <n x="122"/>
        <n x="17"/>
      </t>
    </mdx>
    <mdx n="0" f="v">
      <t c="7">
        <n x="18"/>
        <n x="105"/>
        <n x="103"/>
        <n x="21"/>
        <n x="90"/>
        <n x="135"/>
        <n x="12"/>
      </t>
    </mdx>
    <mdx n="0" f="v">
      <t c="6">
        <n x="18"/>
        <n x="105"/>
        <n x="103"/>
        <n x="21"/>
        <n x="84"/>
        <n x="12"/>
      </t>
    </mdx>
    <mdx n="0" f="v">
      <t c="7">
        <n x="18"/>
        <n x="105"/>
        <n x="103"/>
        <n x="21"/>
        <n x="95"/>
        <n x="131"/>
        <n x="17"/>
      </t>
    </mdx>
    <mdx n="0" f="v">
      <t c="6">
        <n x="18"/>
        <n x="105"/>
        <n x="103"/>
        <n x="21"/>
        <n x="87"/>
        <n x="10"/>
      </t>
    </mdx>
    <mdx n="0" f="v">
      <t c="7">
        <n x="18"/>
        <n x="105"/>
        <n x="103"/>
        <n x="21"/>
        <n x="95"/>
        <n x="125"/>
        <n x="13"/>
      </t>
    </mdx>
    <mdx n="0" f="v">
      <t c="7">
        <n x="18"/>
        <n x="105"/>
        <n x="103"/>
        <n x="21"/>
        <n x="89"/>
        <n x="106"/>
        <n x="14"/>
      </t>
    </mdx>
    <mdx n="0" f="v">
      <t c="7">
        <n x="18"/>
        <n x="105"/>
        <n x="103"/>
        <n x="21"/>
        <n x="95"/>
        <n x="125"/>
        <n x="25"/>
      </t>
    </mdx>
    <mdx n="0" f="v">
      <t c="7">
        <n x="18"/>
        <n x="105"/>
        <n x="103"/>
        <n x="21"/>
        <n x="86"/>
        <n x="122"/>
        <n x="10"/>
      </t>
    </mdx>
    <mdx n="0" f="v">
      <t c="7">
        <n x="18"/>
        <n x="105"/>
        <n x="103"/>
        <n x="21"/>
        <n x="86"/>
        <n x="122"/>
        <n x="12"/>
      </t>
    </mdx>
    <mdx n="0" f="v">
      <t c="7">
        <n x="18"/>
        <n x="105"/>
        <n x="103"/>
        <n x="21"/>
        <n x="88"/>
        <n x="138"/>
        <n x="17"/>
      </t>
    </mdx>
    <mdx n="0" f="v">
      <t c="7">
        <n x="18"/>
        <n x="105"/>
        <n x="103"/>
        <n x="21"/>
        <n x="89"/>
        <n x="107"/>
        <n x="8"/>
      </t>
    </mdx>
    <mdx n="0" f="v">
      <t c="7">
        <n x="18"/>
        <n x="105"/>
        <n x="103"/>
        <n x="21"/>
        <n x="90"/>
        <n x="135"/>
        <n x="15"/>
      </t>
    </mdx>
    <mdx n="0" f="v">
      <t c="7">
        <n x="18"/>
        <n x="105"/>
        <n x="103"/>
        <n x="21"/>
        <n x="86"/>
        <n x="116"/>
        <n x="17"/>
      </t>
    </mdx>
    <mdx n="0" f="v">
      <t c="7">
        <n x="18"/>
        <n x="105"/>
        <n x="103"/>
        <n x="21"/>
        <n x="95"/>
        <n x="133"/>
        <n x="14"/>
      </t>
    </mdx>
    <mdx n="0" f="v">
      <t c="7">
        <n x="18"/>
        <n x="105"/>
        <n x="103"/>
        <n x="21"/>
        <n x="84"/>
        <n x="118"/>
        <n x="16"/>
      </t>
    </mdx>
    <mdx n="0" f="v">
      <t c="7">
        <n x="18"/>
        <n x="105"/>
        <n x="103"/>
        <n x="21"/>
        <n x="95"/>
        <n x="131"/>
        <n x="8"/>
      </t>
    </mdx>
    <mdx n="0" f="v">
      <t c="7">
        <n x="18"/>
        <n x="105"/>
        <n x="103"/>
        <n x="21"/>
        <n x="86"/>
        <n x="122"/>
        <n x="15"/>
      </t>
    </mdx>
    <mdx n="0" f="v">
      <t c="6">
        <n x="18"/>
        <n x="105"/>
        <n x="103"/>
        <n x="21"/>
        <n x="95"/>
        <n x="12"/>
      </t>
    </mdx>
    <mdx n="0" f="v">
      <t c="7">
        <n x="18"/>
        <n x="105"/>
        <n x="103"/>
        <n x="21"/>
        <n x="95"/>
        <n x="133"/>
        <n x="25"/>
      </t>
    </mdx>
    <mdx n="0" f="v">
      <t c="6">
        <n x="18"/>
        <n x="105"/>
        <n x="103"/>
        <n x="21"/>
        <n x="85"/>
        <n x="14"/>
      </t>
    </mdx>
    <mdx n="0" f="v">
      <t c="7">
        <n x="18"/>
        <n x="105"/>
        <n x="103"/>
        <n x="21"/>
        <n x="95"/>
        <n x="125"/>
        <n x="10"/>
      </t>
    </mdx>
    <mdx n="0" f="v">
      <t c="7">
        <n x="18"/>
        <n x="105"/>
        <n x="103"/>
        <n x="21"/>
        <n x="89"/>
        <n x="107"/>
        <n x="14"/>
      </t>
    </mdx>
    <mdx n="0" f="v">
      <t c="6">
        <n x="18"/>
        <n x="105"/>
        <n x="103"/>
        <n x="21"/>
        <n x="90"/>
        <n x="16"/>
      </t>
    </mdx>
    <mdx n="0" f="v">
      <t c="7">
        <n x="18"/>
        <n x="105"/>
        <n x="103"/>
        <n x="21"/>
        <n x="84"/>
        <n x="118"/>
        <n x="25"/>
      </t>
    </mdx>
    <mdx n="0" f="v">
      <t c="6">
        <n x="18"/>
        <n x="105"/>
        <n x="103"/>
        <n x="21"/>
        <n x="90"/>
        <n x="11"/>
      </t>
    </mdx>
    <mdx n="0" f="v">
      <t c="7">
        <n x="18"/>
        <n x="105"/>
        <n x="103"/>
        <n x="21"/>
        <n x="95"/>
        <n x="125"/>
        <n x="11"/>
      </t>
    </mdx>
    <mdx n="0" f="v">
      <t c="7">
        <n x="18"/>
        <n x="105"/>
        <n x="103"/>
        <n x="21"/>
        <n x="85"/>
        <n x="124"/>
        <n x="10"/>
      </t>
    </mdx>
    <mdx n="0" f="v">
      <t c="7">
        <n x="18"/>
        <n x="105"/>
        <n x="103"/>
        <n x="21"/>
        <n x="85"/>
        <n x="117"/>
        <n x="16"/>
      </t>
    </mdx>
    <mdx n="0" f="v">
      <t c="7">
        <n x="18"/>
        <n x="105"/>
        <n x="103"/>
        <n x="21"/>
        <n x="94"/>
        <n x="111"/>
        <n x="25"/>
      </t>
    </mdx>
    <mdx n="0" f="v">
      <t c="6">
        <n x="18"/>
        <n x="105"/>
        <n x="103"/>
        <n x="21"/>
        <n x="96"/>
        <n x="25"/>
      </t>
    </mdx>
    <mdx n="0" f="v">
      <t c="7">
        <n x="18"/>
        <n x="105"/>
        <n x="103"/>
        <n x="21"/>
        <n x="86"/>
        <n x="113"/>
        <n x="11"/>
      </t>
    </mdx>
    <mdx n="0" f="v">
      <t c="7">
        <n x="18"/>
        <n x="105"/>
        <n x="103"/>
        <n x="21"/>
        <n x="96"/>
        <n x="129"/>
        <n x="10"/>
      </t>
    </mdx>
    <mdx n="0" f="v">
      <t c="6">
        <n x="18"/>
        <n x="105"/>
        <n x="103"/>
        <n x="21"/>
        <n x="92"/>
        <n x="16"/>
      </t>
    </mdx>
    <mdx n="0" f="v">
      <t c="7">
        <n x="18"/>
        <n x="105"/>
        <n x="103"/>
        <n x="21"/>
        <n x="90"/>
        <n x="135"/>
        <n x="8"/>
      </t>
    </mdx>
    <mdx n="0" f="v">
      <t c="6">
        <n x="18"/>
        <n x="105"/>
        <n x="103"/>
        <n x="21"/>
        <n x="89"/>
        <n x="13"/>
      </t>
    </mdx>
    <mdx n="0" f="v">
      <t c="6">
        <n x="18"/>
        <n x="105"/>
        <n x="103"/>
        <n x="21"/>
        <n x="89"/>
        <n x="17"/>
      </t>
    </mdx>
    <mdx n="0" f="v">
      <t c="7">
        <n x="18"/>
        <n x="105"/>
        <n x="103"/>
        <n x="21"/>
        <n x="87"/>
        <n x="137"/>
        <n x="10"/>
      </t>
    </mdx>
    <mdx n="0" f="v">
      <t c="7">
        <n x="18"/>
        <n x="105"/>
        <n x="103"/>
        <n x="21"/>
        <n x="90"/>
        <n x="134"/>
        <n x="15"/>
      </t>
    </mdx>
    <mdx n="0" f="v">
      <t c="7">
        <n x="18"/>
        <n x="105"/>
        <n x="103"/>
        <n x="21"/>
        <n x="86"/>
        <n x="116"/>
        <n x="15"/>
      </t>
    </mdx>
    <mdx n="0" f="v">
      <t c="7">
        <n x="18"/>
        <n x="105"/>
        <n x="103"/>
        <n x="21"/>
        <n x="84"/>
        <n x="115"/>
        <n x="13"/>
      </t>
    </mdx>
    <mdx n="0" f="v">
      <t c="7">
        <n x="18"/>
        <n x="105"/>
        <n x="103"/>
        <n x="21"/>
        <n x="91"/>
        <n x="128"/>
        <n x="16"/>
      </t>
    </mdx>
    <mdx n="0" f="v">
      <t c="7">
        <n x="18"/>
        <n x="105"/>
        <n x="103"/>
        <n x="21"/>
        <n x="93"/>
        <n x="130"/>
        <n x="25"/>
      </t>
    </mdx>
    <mdx n="0" f="v">
      <t c="7">
        <n x="18"/>
        <n x="105"/>
        <n x="103"/>
        <n x="21"/>
        <n x="86"/>
        <n x="113"/>
        <n x="10"/>
      </t>
    </mdx>
    <mdx n="0" f="v">
      <t c="6">
        <n x="18"/>
        <n x="105"/>
        <n x="103"/>
        <n x="21"/>
        <n x="86"/>
        <n x="14"/>
      </t>
    </mdx>
    <mdx n="0" f="v">
      <t c="7">
        <n x="18"/>
        <n x="105"/>
        <n x="103"/>
        <n x="21"/>
        <n x="93"/>
        <n x="130"/>
        <n x="15"/>
      </t>
    </mdx>
    <mdx n="0" f="v">
      <t c="7">
        <n x="18"/>
        <n x="105"/>
        <n x="103"/>
        <n x="21"/>
        <n x="95"/>
        <n x="112"/>
        <n x="14"/>
      </t>
    </mdx>
    <mdx n="0" f="v">
      <t c="7">
        <n x="18"/>
        <n x="105"/>
        <n x="103"/>
        <n x="21"/>
        <n x="84"/>
        <n x="126"/>
        <n x="17"/>
      </t>
    </mdx>
    <mdx n="0" f="v">
      <t c="6">
        <n x="18"/>
        <n x="105"/>
        <n x="103"/>
        <n x="21"/>
        <n x="96"/>
        <n x="8"/>
      </t>
    </mdx>
    <mdx n="0" f="v">
      <t c="7">
        <n x="18"/>
        <n x="105"/>
        <n x="103"/>
        <n x="21"/>
        <n x="95"/>
        <n x="112"/>
        <n x="25"/>
      </t>
    </mdx>
    <mdx n="0" f="v">
      <t c="7">
        <n x="18"/>
        <n x="105"/>
        <n x="103"/>
        <n x="21"/>
        <n x="87"/>
        <n x="137"/>
        <n x="8"/>
      </t>
    </mdx>
    <mdx n="0" f="v">
      <t c="7">
        <n x="18"/>
        <n x="105"/>
        <n x="103"/>
        <n x="21"/>
        <n x="94"/>
        <n x="109"/>
        <n x="8"/>
      </t>
    </mdx>
    <mdx n="0" f="v">
      <t c="6">
        <n x="18"/>
        <n x="105"/>
        <n x="103"/>
        <n x="21"/>
        <n x="88"/>
        <n x="7"/>
      </t>
    </mdx>
    <mdx n="0" f="v">
      <t c="7">
        <n x="18"/>
        <n x="105"/>
        <n x="103"/>
        <n x="21"/>
        <n x="85"/>
        <n x="124"/>
        <n x="7"/>
      </t>
    </mdx>
    <mdx n="0" f="v">
      <t c="6">
        <n x="18"/>
        <n x="105"/>
        <n x="103"/>
        <n x="21"/>
        <n x="92"/>
        <n x="15"/>
      </t>
    </mdx>
    <mdx n="0" f="v">
      <t c="6">
        <n x="18"/>
        <n x="105"/>
        <n x="103"/>
        <n x="21"/>
        <n x="88"/>
        <n x="17"/>
      </t>
    </mdx>
    <mdx n="0" f="v">
      <t c="7">
        <n x="18"/>
        <n x="105"/>
        <n x="103"/>
        <n x="21"/>
        <n x="97"/>
        <n x="127"/>
        <n x="12"/>
      </t>
    </mdx>
    <mdx n="0" f="v">
      <t c="7">
        <n x="18"/>
        <n x="105"/>
        <n x="103"/>
        <n x="21"/>
        <n x="86"/>
        <n x="113"/>
        <n x="7"/>
      </t>
    </mdx>
    <mdx n="0" f="v">
      <t c="7">
        <n x="18"/>
        <n x="105"/>
        <n x="103"/>
        <n x="21"/>
        <n x="85"/>
        <n x="114"/>
        <n x="8"/>
      </t>
    </mdx>
    <mdx n="0" f="v">
      <t c="7">
        <n x="18"/>
        <n x="105"/>
        <n x="103"/>
        <n x="21"/>
        <n x="88"/>
        <n x="138"/>
        <n x="14"/>
      </t>
    </mdx>
    <mdx n="0" f="v">
      <t c="7">
        <n x="18"/>
        <n x="105"/>
        <n x="103"/>
        <n x="21"/>
        <n x="90"/>
        <n x="134"/>
        <n x="17"/>
      </t>
    </mdx>
    <mdx n="0" f="v">
      <t c="7">
        <n x="18"/>
        <n x="105"/>
        <n x="103"/>
        <n x="21"/>
        <n x="88"/>
        <n x="138"/>
        <n x="7"/>
      </t>
    </mdx>
    <mdx n="0" f="v">
      <t c="7">
        <n x="18"/>
        <n x="105"/>
        <n x="103"/>
        <n x="21"/>
        <n x="90"/>
        <n x="134"/>
        <n x="8"/>
      </t>
    </mdx>
    <mdx n="0" f="v">
      <t c="7">
        <n x="18"/>
        <n x="105"/>
        <n x="103"/>
        <n x="21"/>
        <n x="84"/>
        <n x="115"/>
        <n x="14"/>
      </t>
    </mdx>
    <mdx n="0" f="v">
      <t c="6">
        <n x="18"/>
        <n x="105"/>
        <n x="103"/>
        <n x="21"/>
        <n x="91"/>
        <n x="13"/>
      </t>
    </mdx>
    <mdx n="0" f="v">
      <t c="7">
        <n x="18"/>
        <n x="105"/>
        <n x="103"/>
        <n x="21"/>
        <n x="86"/>
        <n x="113"/>
        <n x="17"/>
      </t>
    </mdx>
    <mdx n="0" f="v">
      <t c="6">
        <n x="18"/>
        <n x="105"/>
        <n x="103"/>
        <n x="21"/>
        <n x="97"/>
        <n x="14"/>
      </t>
    </mdx>
    <mdx n="0" f="v">
      <t c="6">
        <n x="18"/>
        <n x="105"/>
        <n x="103"/>
        <n x="21"/>
        <n x="88"/>
        <n x="16"/>
      </t>
    </mdx>
    <mdx n="0" f="v">
      <t c="7">
        <n x="18"/>
        <n x="105"/>
        <n x="103"/>
        <n x="21"/>
        <n x="86"/>
        <n x="116"/>
        <n x="10"/>
      </t>
    </mdx>
    <mdx n="0" f="v">
      <t c="7">
        <n x="18"/>
        <n x="105"/>
        <n x="103"/>
        <n x="21"/>
        <n x="95"/>
        <n x="125"/>
        <n x="16"/>
      </t>
    </mdx>
    <mdx n="0" f="v">
      <t c="7">
        <n x="18"/>
        <n x="105"/>
        <n x="103"/>
        <n x="21"/>
        <n x="90"/>
        <n x="132"/>
        <n x="7"/>
      </t>
    </mdx>
    <mdx n="0" f="v">
      <t c="7">
        <n x="18"/>
        <n x="105"/>
        <n x="103"/>
        <n x="21"/>
        <n x="95"/>
        <n x="131"/>
        <n x="13"/>
      </t>
    </mdx>
    <mdx n="0" f="v">
      <t c="6">
        <n x="18"/>
        <n x="105"/>
        <n x="103"/>
        <n x="21"/>
        <n x="90"/>
        <n x="10"/>
      </t>
    </mdx>
    <mdx n="0" f="v">
      <t c="7">
        <n x="18"/>
        <n x="105"/>
        <n x="103"/>
        <n x="21"/>
        <n x="90"/>
        <n x="135"/>
        <n x="14"/>
      </t>
    </mdx>
    <mdx n="0" f="v">
      <t c="7">
        <n x="18"/>
        <n x="105"/>
        <n x="103"/>
        <n x="21"/>
        <n x="89"/>
        <n x="106"/>
        <n x="12"/>
      </t>
    </mdx>
    <mdx n="0" f="v">
      <t c="6">
        <n x="18"/>
        <n x="105"/>
        <n x="103"/>
        <n x="21"/>
        <n x="95"/>
        <n x="14"/>
      </t>
    </mdx>
    <mdx n="0" f="v">
      <t c="6">
        <n x="18"/>
        <n x="105"/>
        <n x="103"/>
        <n x="21"/>
        <n x="93"/>
        <n x="11"/>
      </t>
    </mdx>
    <mdx n="0" f="v">
      <t c="7">
        <n x="18"/>
        <n x="105"/>
        <n x="103"/>
        <n x="21"/>
        <n x="86"/>
        <n x="116"/>
        <n x="7"/>
      </t>
    </mdx>
    <mdx n="0" f="v">
      <t c="6">
        <n x="18"/>
        <n x="105"/>
        <n x="103"/>
        <n x="21"/>
        <n x="87"/>
        <n x="11"/>
      </t>
    </mdx>
    <mdx n="0" f="v">
      <t c="7">
        <n x="18"/>
        <n x="105"/>
        <n x="103"/>
        <n x="21"/>
        <n x="90"/>
        <n x="134"/>
        <n x="10"/>
      </t>
    </mdx>
    <mdx n="0" f="v">
      <t c="7">
        <n x="18"/>
        <n x="105"/>
        <n x="103"/>
        <n x="21"/>
        <n x="94"/>
        <n x="111"/>
        <n x="10"/>
      </t>
    </mdx>
    <mdx n="0" f="v">
      <t c="7">
        <n x="18"/>
        <n x="105"/>
        <n x="103"/>
        <n x="21"/>
        <n x="96"/>
        <n x="129"/>
        <n x="16"/>
      </t>
    </mdx>
    <mdx n="0" f="v">
      <t c="6">
        <n x="18"/>
        <n x="105"/>
        <n x="103"/>
        <n x="21"/>
        <n x="91"/>
        <n x="12"/>
      </t>
    </mdx>
    <mdx n="0" f="v">
      <t c="7">
        <n x="18"/>
        <n x="105"/>
        <n x="103"/>
        <n x="21"/>
        <n x="93"/>
        <n x="130"/>
        <n x="17"/>
      </t>
    </mdx>
    <mdx n="0" f="v">
      <t c="7">
        <n x="18"/>
        <n x="105"/>
        <n x="103"/>
        <n x="21"/>
        <n x="95"/>
        <n x="133"/>
        <n x="15"/>
      </t>
    </mdx>
    <mdx n="0" f="v">
      <t c="7">
        <n x="18"/>
        <n x="105"/>
        <n x="103"/>
        <n x="21"/>
        <n x="84"/>
        <n x="126"/>
        <n x="16"/>
      </t>
    </mdx>
    <mdx n="0" f="v">
      <t c="7">
        <n x="18"/>
        <n x="105"/>
        <n x="103"/>
        <n x="21"/>
        <n x="90"/>
        <n x="108"/>
        <n x="11"/>
      </t>
    </mdx>
    <mdx n="0" f="v">
      <t c="6">
        <n x="18"/>
        <n x="105"/>
        <n x="103"/>
        <n x="21"/>
        <n x="95"/>
        <n x="7"/>
      </t>
    </mdx>
    <mdx n="0" f="v">
      <t c="7">
        <n x="18"/>
        <n x="105"/>
        <n x="103"/>
        <n x="21"/>
        <n x="86"/>
        <n x="122"/>
        <n x="11"/>
      </t>
    </mdx>
    <mdx n="0" f="v">
      <t c="7">
        <n x="18"/>
        <n x="105"/>
        <n x="103"/>
        <n x="21"/>
        <n x="95"/>
        <n x="133"/>
        <n x="17"/>
      </t>
    </mdx>
    <mdx n="0" f="v">
      <t c="7">
        <n x="18"/>
        <n x="105"/>
        <n x="103"/>
        <n x="21"/>
        <n x="95"/>
        <n x="125"/>
        <n x="7"/>
      </t>
    </mdx>
    <mdx n="0" f="v">
      <t c="6">
        <n x="18"/>
        <n x="105"/>
        <n x="103"/>
        <n x="21"/>
        <n x="95"/>
        <n x="15"/>
      </t>
    </mdx>
    <mdx n="0" f="v">
      <t c="7">
        <n x="18"/>
        <n x="105"/>
        <n x="103"/>
        <n x="21"/>
        <n x="95"/>
        <n x="133"/>
        <n x="10"/>
      </t>
    </mdx>
    <mdx n="0" f="v">
      <t c="7">
        <n x="18"/>
        <n x="105"/>
        <n x="103"/>
        <n x="21"/>
        <n x="94"/>
        <n x="111"/>
        <n x="15"/>
      </t>
    </mdx>
    <mdx n="0" f="v">
      <t c="7">
        <n x="18"/>
        <n x="105"/>
        <n x="103"/>
        <n x="21"/>
        <n x="89"/>
        <n x="106"/>
        <n x="8"/>
      </t>
    </mdx>
    <mdx n="0" f="v">
      <t c="7">
        <n x="18"/>
        <n x="105"/>
        <n x="103"/>
        <n x="21"/>
        <n x="85"/>
        <n x="124"/>
        <n x="8"/>
      </t>
    </mdx>
    <mdx n="0" f="v">
      <t c="6">
        <n x="18"/>
        <n x="105"/>
        <n x="103"/>
        <n x="21"/>
        <n x="95"/>
        <n x="13"/>
      </t>
    </mdx>
    <mdx n="0" f="v">
      <t c="7">
        <n x="18"/>
        <n x="105"/>
        <n x="103"/>
        <n x="21"/>
        <n x="94"/>
        <n x="111"/>
        <n x="16"/>
      </t>
    </mdx>
    <mdx n="0" f="v">
      <t c="7">
        <n x="18"/>
        <n x="105"/>
        <n x="103"/>
        <n x="21"/>
        <n x="85"/>
        <n x="114"/>
        <n x="11"/>
      </t>
    </mdx>
    <mdx n="0" f="v">
      <t c="6">
        <n x="18"/>
        <n x="105"/>
        <n x="103"/>
        <n x="21"/>
        <n x="88"/>
        <n x="25"/>
      </t>
    </mdx>
    <mdx n="0" f="v">
      <t c="6">
        <n x="18"/>
        <n x="105"/>
        <n x="103"/>
        <n x="21"/>
        <n x="90"/>
        <n x="12"/>
      </t>
    </mdx>
    <mdx n="0" f="v">
      <t c="6">
        <n x="18"/>
        <n x="105"/>
        <n x="103"/>
        <n x="21"/>
        <n x="89"/>
        <n x="16"/>
      </t>
    </mdx>
    <mdx n="0" f="v">
      <t c="7">
        <n x="18"/>
        <n x="105"/>
        <n x="103"/>
        <n x="21"/>
        <n x="88"/>
        <n x="138"/>
        <n x="10"/>
      </t>
    </mdx>
    <mdx n="0" f="v">
      <t c="7">
        <n x="18"/>
        <n x="105"/>
        <n x="103"/>
        <n x="21"/>
        <n x="86"/>
        <n x="113"/>
        <n x="16"/>
      </t>
    </mdx>
    <mdx n="0" f="v">
      <t c="6">
        <n x="18"/>
        <n x="105"/>
        <n x="103"/>
        <n x="21"/>
        <n x="85"/>
        <n x="25"/>
      </t>
    </mdx>
    <mdx n="0" f="v">
      <t c="6">
        <n x="18"/>
        <n x="105"/>
        <n x="103"/>
        <n x="21"/>
        <n x="84"/>
        <n x="25"/>
      </t>
    </mdx>
    <mdx n="0" f="v">
      <t c="7">
        <n x="18"/>
        <n x="105"/>
        <n x="103"/>
        <n x="21"/>
        <n x="86"/>
        <n x="116"/>
        <n x="8"/>
      </t>
    </mdx>
    <mdx n="0" f="v">
      <t c="7">
        <n x="18"/>
        <n x="105"/>
        <n x="103"/>
        <n x="21"/>
        <n x="94"/>
        <n x="123"/>
        <n x="15"/>
      </t>
    </mdx>
    <mdx n="0" f="v">
      <t c="6">
        <n x="18"/>
        <n x="105"/>
        <n x="103"/>
        <n x="21"/>
        <n x="88"/>
        <n x="12"/>
      </t>
    </mdx>
    <mdx n="0" f="v">
      <t c="7">
        <n x="18"/>
        <n x="105"/>
        <n x="103"/>
        <n x="21"/>
        <n x="85"/>
        <n x="117"/>
        <n x="25"/>
      </t>
    </mdx>
    <mdx n="0" f="v">
      <t c="7">
        <n x="18"/>
        <n x="105"/>
        <n x="103"/>
        <n x="21"/>
        <n x="84"/>
        <n x="126"/>
        <n x="8"/>
      </t>
    </mdx>
    <mdx n="0" f="v">
      <t c="7">
        <n x="18"/>
        <n x="105"/>
        <n x="103"/>
        <n x="21"/>
        <n x="90"/>
        <n x="108"/>
        <n x="25"/>
      </t>
    </mdx>
    <mdx n="0" f="v">
      <t c="7">
        <n x="18"/>
        <n x="105"/>
        <n x="103"/>
        <n x="21"/>
        <n x="97"/>
        <n x="127"/>
        <n x="15"/>
      </t>
    </mdx>
    <mdx n="0" f="v">
      <t c="7">
        <n x="18"/>
        <n x="105"/>
        <n x="103"/>
        <n x="21"/>
        <n x="94"/>
        <n x="111"/>
        <n x="14"/>
      </t>
    </mdx>
    <mdx n="0" f="v">
      <t c="7">
        <n x="18"/>
        <n x="105"/>
        <n x="103"/>
        <n x="21"/>
        <n x="85"/>
        <n x="117"/>
        <n x="7"/>
      </t>
    </mdx>
    <mdx n="0" f="v">
      <t c="7">
        <n x="18"/>
        <n x="105"/>
        <n x="103"/>
        <n x="21"/>
        <n x="90"/>
        <n x="119"/>
        <n x="16"/>
      </t>
    </mdx>
    <mdx n="0" f="v">
      <t c="7">
        <n x="18"/>
        <n x="105"/>
        <n x="103"/>
        <n x="21"/>
        <n x="86"/>
        <n x="113"/>
        <n x="8"/>
      </t>
    </mdx>
    <mdx n="0" f="v">
      <t c="7">
        <n x="18"/>
        <n x="105"/>
        <n x="103"/>
        <n x="21"/>
        <n x="96"/>
        <n x="129"/>
        <n x="15"/>
      </t>
    </mdx>
    <mdx n="0" f="v">
      <t c="7">
        <n x="18"/>
        <n x="105"/>
        <n x="103"/>
        <n x="21"/>
        <n x="85"/>
        <n x="117"/>
        <n x="14"/>
      </t>
    </mdx>
    <mdx n="0" f="v">
      <t c="7">
        <n x="18"/>
        <n x="105"/>
        <n x="103"/>
        <n x="21"/>
        <n x="94"/>
        <n x="123"/>
        <n x="12"/>
      </t>
    </mdx>
    <mdx n="0" f="v">
      <t c="6">
        <n x="18"/>
        <n x="105"/>
        <n x="103"/>
        <n x="21"/>
        <n x="88"/>
        <n x="14"/>
      </t>
    </mdx>
    <mdx n="0" f="v">
      <t c="7">
        <n x="18"/>
        <n x="105"/>
        <n x="103"/>
        <n x="21"/>
        <n x="90"/>
        <n x="132"/>
        <n x="25"/>
      </t>
    </mdx>
    <mdx n="0" f="v">
      <t c="6">
        <n x="18"/>
        <n x="105"/>
        <n x="103"/>
        <n x="21"/>
        <n x="94"/>
        <n x="7"/>
      </t>
    </mdx>
    <mdx n="0" f="v">
      <t c="7">
        <n x="18"/>
        <n x="105"/>
        <n x="103"/>
        <n x="21"/>
        <n x="89"/>
        <n x="106"/>
        <n x="10"/>
      </t>
    </mdx>
    <mdx n="0" f="v">
      <t c="6">
        <n x="18"/>
        <n x="105"/>
        <n x="103"/>
        <n x="21"/>
        <n x="86"/>
        <n x="25"/>
      </t>
    </mdx>
    <mdx n="0" f="v">
      <t c="7">
        <n x="18"/>
        <n x="105"/>
        <n x="103"/>
        <n x="21"/>
        <n x="91"/>
        <n x="128"/>
        <n x="25"/>
      </t>
    </mdx>
    <mdx n="0" f="v">
      <t c="7">
        <n x="18"/>
        <n x="105"/>
        <n x="103"/>
        <n x="21"/>
        <n x="96"/>
        <n x="129"/>
        <n x="7"/>
      </t>
    </mdx>
    <mdx n="0" f="v">
      <t c="6">
        <n x="18"/>
        <n x="105"/>
        <n x="103"/>
        <n x="21"/>
        <n x="96"/>
        <n x="16"/>
      </t>
    </mdx>
    <mdx n="0" f="v">
      <t c="7">
        <n x="18"/>
        <n x="105"/>
        <n x="103"/>
        <n x="21"/>
        <n x="90"/>
        <n x="120"/>
        <n x="10"/>
      </t>
    </mdx>
    <mdx n="0" f="v">
      <t c="7">
        <n x="18"/>
        <n x="105"/>
        <n x="103"/>
        <n x="21"/>
        <n x="85"/>
        <n x="117"/>
        <n x="12"/>
      </t>
    </mdx>
    <mdx n="0" f="v">
      <t c="7">
        <n x="18"/>
        <n x="105"/>
        <n x="103"/>
        <n x="21"/>
        <n x="86"/>
        <n x="122"/>
        <n x="14"/>
      </t>
    </mdx>
    <mdx n="0" f="v">
      <t c="7">
        <n x="18"/>
        <n x="105"/>
        <n x="103"/>
        <n x="21"/>
        <n x="90"/>
        <n x="121"/>
        <n x="8"/>
      </t>
    </mdx>
    <mdx n="0" f="v">
      <t c="6">
        <n x="18"/>
        <n x="105"/>
        <n x="103"/>
        <n x="21"/>
        <n x="90"/>
        <n x="17"/>
      </t>
    </mdx>
    <mdx n="0" f="v">
      <t c="7">
        <n x="18"/>
        <n x="105"/>
        <n x="103"/>
        <n x="21"/>
        <n x="97"/>
        <n x="127"/>
        <n x="16"/>
      </t>
    </mdx>
    <mdx n="0" f="v">
      <t c="7">
        <n x="18"/>
        <n x="105"/>
        <n x="103"/>
        <n x="21"/>
        <n x="86"/>
        <n x="113"/>
        <n x="14"/>
      </t>
    </mdx>
    <mdx n="0" f="v">
      <t c="7">
        <n x="18"/>
        <n x="105"/>
        <n x="103"/>
        <n x="21"/>
        <n x="85"/>
        <n x="124"/>
        <n x="14"/>
      </t>
    </mdx>
    <mdx n="0" f="v">
      <t c="7">
        <n x="18"/>
        <n x="105"/>
        <n x="103"/>
        <n x="21"/>
        <n x="85"/>
        <n x="124"/>
        <n x="11"/>
      </t>
    </mdx>
    <mdx n="0" f="v">
      <t c="6">
        <n x="18"/>
        <n x="105"/>
        <n x="103"/>
        <n x="21"/>
        <n x="86"/>
        <n x="13"/>
      </t>
    </mdx>
    <mdx n="0" f="v">
      <t c="7">
        <n x="18"/>
        <n x="105"/>
        <n x="103"/>
        <n x="21"/>
        <n x="95"/>
        <n x="131"/>
        <n x="16"/>
      </t>
    </mdx>
    <mdx n="0" f="v">
      <t c="7">
        <n x="18"/>
        <n x="105"/>
        <n x="103"/>
        <n x="21"/>
        <n x="90"/>
        <n x="119"/>
        <n x="11"/>
      </t>
    </mdx>
    <mdx n="0" f="v">
      <t c="7">
        <n x="18"/>
        <n x="105"/>
        <n x="103"/>
        <n x="21"/>
        <n x="95"/>
        <n x="110"/>
        <n x="12"/>
      </t>
    </mdx>
    <mdx n="0" f="v">
      <t c="7">
        <n x="18"/>
        <n x="105"/>
        <n x="103"/>
        <n x="21"/>
        <n x="96"/>
        <n x="129"/>
        <n x="8"/>
      </t>
    </mdx>
    <mdx n="0" f="v">
      <t c="7">
        <n x="18"/>
        <n x="105"/>
        <n x="103"/>
        <n x="21"/>
        <n x="93"/>
        <n x="130"/>
        <n x="14"/>
      </t>
    </mdx>
    <mdx n="0" f="v">
      <t c="7">
        <n x="18"/>
        <n x="105"/>
        <n x="103"/>
        <n x="21"/>
        <n x="91"/>
        <n x="128"/>
        <n x="12"/>
      </t>
    </mdx>
    <mdx n="0" f="v">
      <t c="6">
        <n x="18"/>
        <n x="105"/>
        <n x="103"/>
        <n x="21"/>
        <n x="94"/>
        <n x="10"/>
      </t>
    </mdx>
    <mdx n="0" f="v">
      <t c="6">
        <n x="18"/>
        <n x="105"/>
        <n x="103"/>
        <n x="21"/>
        <n x="96"/>
        <n x="12"/>
      </t>
    </mdx>
    <mdx n="0" f="v">
      <t c="6">
        <n x="18"/>
        <n x="105"/>
        <n x="103"/>
        <n x="21"/>
        <n x="95"/>
        <n x="16"/>
      </t>
    </mdx>
    <mdx n="0" f="v">
      <t c="7">
        <n x="18"/>
        <n x="105"/>
        <n x="103"/>
        <n x="21"/>
        <n x="86"/>
        <n x="122"/>
        <n x="8"/>
      </t>
    </mdx>
    <mdx n="0" f="v">
      <t c="7">
        <n x="18"/>
        <n x="105"/>
        <n x="103"/>
        <n x="21"/>
        <n x="88"/>
        <n x="138"/>
        <n x="16"/>
      </t>
    </mdx>
    <mdx n="0" f="v">
      <t c="7">
        <n x="18"/>
        <n x="105"/>
        <n x="103"/>
        <n x="21"/>
        <n x="86"/>
        <n x="122"/>
        <n x="25"/>
      </t>
    </mdx>
    <mdx n="0" f="v">
      <t c="7">
        <n x="18"/>
        <n x="105"/>
        <n x="103"/>
        <n x="21"/>
        <n x="90"/>
        <n x="108"/>
        <n x="13"/>
      </t>
    </mdx>
    <mdx n="0" f="v">
      <t c="7">
        <n x="18"/>
        <n x="105"/>
        <n x="103"/>
        <n x="21"/>
        <n x="86"/>
        <n x="116"/>
        <n x="11"/>
      </t>
    </mdx>
    <mdx n="0" f="v">
      <t c="7">
        <n x="18"/>
        <n x="105"/>
        <n x="103"/>
        <n x="21"/>
        <n x="92"/>
        <n x="136"/>
        <n x="25"/>
      </t>
    </mdx>
    <mdx n="0" f="v">
      <t c="7">
        <n x="18"/>
        <n x="105"/>
        <n x="103"/>
        <n x="21"/>
        <n x="97"/>
        <n x="127"/>
        <n x="10"/>
      </t>
    </mdx>
    <mdx n="0" f="v">
      <t c="7">
        <n x="18"/>
        <n x="105"/>
        <n x="103"/>
        <n x="21"/>
        <n x="95"/>
        <n x="125"/>
        <n x="8"/>
      </t>
    </mdx>
    <mdx n="0" f="v">
      <t c="7">
        <n x="18"/>
        <n x="105"/>
        <n x="103"/>
        <n x="21"/>
        <n x="86"/>
        <n x="122"/>
        <n x="16"/>
      </t>
    </mdx>
    <mdx n="0" f="v">
      <t c="7">
        <n x="18"/>
        <n x="105"/>
        <n x="103"/>
        <n x="21"/>
        <n x="90"/>
        <n x="121"/>
        <n x="17"/>
      </t>
    </mdx>
    <mdx n="0" f="v">
      <t c="6">
        <n x="18"/>
        <n x="105"/>
        <n x="103"/>
        <n x="21"/>
        <n x="95"/>
        <n x="17"/>
      </t>
    </mdx>
    <mdx n="0" f="v">
      <t c="7">
        <n x="18"/>
        <n x="105"/>
        <n x="103"/>
        <n x="21"/>
        <n x="95"/>
        <n x="112"/>
        <n x="17"/>
      </t>
    </mdx>
    <mdx n="0" f="v">
      <t c="7">
        <n x="18"/>
        <n x="105"/>
        <n x="103"/>
        <n x="21"/>
        <n x="90"/>
        <n x="108"/>
        <n x="14"/>
      </t>
    </mdx>
    <mdx n="0" f="v">
      <t c="7">
        <n x="18"/>
        <n x="105"/>
        <n x="103"/>
        <n x="21"/>
        <n x="94"/>
        <n x="109"/>
        <n x="17"/>
      </t>
    </mdx>
    <mdx n="0" f="v">
      <t c="7">
        <n x="18"/>
        <n x="105"/>
        <n x="103"/>
        <n x="21"/>
        <n x="86"/>
        <n x="116"/>
        <n x="14"/>
      </t>
    </mdx>
    <mdx n="0" f="v">
      <t c="7">
        <n x="18"/>
        <n x="105"/>
        <n x="103"/>
        <n x="21"/>
        <n x="90"/>
        <n x="135"/>
        <n x="11"/>
      </t>
    </mdx>
    <mdx n="0" f="v">
      <t c="6">
        <n x="18"/>
        <n x="105"/>
        <n x="103"/>
        <n x="21"/>
        <n x="88"/>
        <n x="10"/>
      </t>
    </mdx>
    <mdx n="0" f="v">
      <t c="7">
        <n x="18"/>
        <n x="105"/>
        <n x="103"/>
        <n x="21"/>
        <n x="86"/>
        <n x="113"/>
        <n x="25"/>
      </t>
    </mdx>
    <mdx n="0" f="v">
      <t c="7">
        <n x="18"/>
        <n x="105"/>
        <n x="103"/>
        <n x="21"/>
        <n x="84"/>
        <n x="118"/>
        <n x="17"/>
      </t>
    </mdx>
    <mdx n="0" f="v">
      <t c="7">
        <n x="18"/>
        <n x="105"/>
        <n x="103"/>
        <n x="21"/>
        <n x="90"/>
        <n x="120"/>
        <n x="12"/>
      </t>
    </mdx>
    <mdx n="0" f="v">
      <t c="7">
        <n x="18"/>
        <n x="105"/>
        <n x="103"/>
        <n x="21"/>
        <n x="90"/>
        <n x="135"/>
        <n x="16"/>
      </t>
    </mdx>
    <mdx n="0" f="v">
      <t c="7">
        <n x="18"/>
        <n x="105"/>
        <n x="103"/>
        <n x="21"/>
        <n x="94"/>
        <n x="123"/>
        <n x="13"/>
      </t>
    </mdx>
    <mdx n="0" f="v">
      <t c="6">
        <n x="18"/>
        <n x="105"/>
        <n x="103"/>
        <n x="21"/>
        <n x="97"/>
        <n x="15"/>
      </t>
    </mdx>
    <mdx n="0" f="v">
      <t c="6">
        <n x="18"/>
        <n x="105"/>
        <n x="103"/>
        <n x="21"/>
        <n x="84"/>
        <n x="11"/>
      </t>
    </mdx>
    <mdx n="0" f="v">
      <t c="6">
        <n x="18"/>
        <n x="105"/>
        <n x="103"/>
        <n x="21"/>
        <n x="92"/>
        <n x="13"/>
      </t>
    </mdx>
    <mdx n="0" f="v">
      <t c="7">
        <n x="18"/>
        <n x="105"/>
        <n x="103"/>
        <n x="21"/>
        <n x="89"/>
        <n x="107"/>
        <n x="10"/>
      </t>
    </mdx>
    <mdx n="0" f="v">
      <t c="7">
        <n x="18"/>
        <n x="105"/>
        <n x="103"/>
        <n x="21"/>
        <n x="90"/>
        <n x="108"/>
        <n x="17"/>
      </t>
    </mdx>
    <mdx n="0" f="v">
      <t c="7">
        <n x="18"/>
        <n x="105"/>
        <n x="103"/>
        <n x="21"/>
        <n x="94"/>
        <n x="111"/>
        <n x="13"/>
      </t>
    </mdx>
    <mdx n="0" f="v">
      <t c="7">
        <n x="18"/>
        <n x="105"/>
        <n x="103"/>
        <n x="21"/>
        <n x="85"/>
        <n x="117"/>
        <n x="11"/>
      </t>
    </mdx>
    <mdx n="0" f="v">
      <t c="7">
        <n x="18"/>
        <n x="105"/>
        <n x="103"/>
        <n x="21"/>
        <n x="85"/>
        <n x="124"/>
        <n x="25"/>
      </t>
    </mdx>
    <mdx n="0" f="v">
      <t c="7">
        <n x="18"/>
        <n x="105"/>
        <n x="103"/>
        <n x="21"/>
        <n x="90"/>
        <n x="132"/>
        <n x="17"/>
      </t>
    </mdx>
    <mdx n="0" f="v">
      <t c="7">
        <n x="18"/>
        <n x="105"/>
        <n x="103"/>
        <n x="21"/>
        <n x="88"/>
        <n x="138"/>
        <n x="8"/>
      </t>
    </mdx>
    <mdx n="0" f="v">
      <t c="7">
        <n x="18"/>
        <n x="105"/>
        <n x="103"/>
        <n x="21"/>
        <n x="84"/>
        <n x="126"/>
        <n x="11"/>
      </t>
    </mdx>
    <mdx n="0" f="v">
      <t c="6">
        <n x="18"/>
        <n x="105"/>
        <n x="103"/>
        <n x="21"/>
        <n x="93"/>
        <n x="17"/>
      </t>
    </mdx>
    <mdx n="0" f="v">
      <t c="6">
        <n x="18"/>
        <n x="105"/>
        <n x="103"/>
        <n x="21"/>
        <n x="86"/>
        <n x="12"/>
      </t>
    </mdx>
    <mdx n="0" f="v">
      <t c="7">
        <n x="18"/>
        <n x="105"/>
        <n x="103"/>
        <n x="21"/>
        <n x="85"/>
        <n x="124"/>
        <n x="12"/>
      </t>
    </mdx>
    <mdx n="0" f="v">
      <t c="7">
        <n x="18"/>
        <n x="105"/>
        <n x="103"/>
        <n x="21"/>
        <n x="88"/>
        <n x="138"/>
        <n x="15"/>
      </t>
    </mdx>
    <mdx n="0" f="v">
      <t c="7">
        <n x="18"/>
        <n x="105"/>
        <n x="103"/>
        <n x="21"/>
        <n x="95"/>
        <n x="133"/>
        <n x="8"/>
      </t>
    </mdx>
    <mdx n="0" f="v">
      <t c="7">
        <n x="18"/>
        <n x="105"/>
        <n x="103"/>
        <n x="21"/>
        <n x="95"/>
        <n x="131"/>
        <n x="11"/>
      </t>
    </mdx>
    <mdx n="0" f="v">
      <t c="7">
        <n x="18"/>
        <n x="105"/>
        <n x="103"/>
        <n x="21"/>
        <n x="89"/>
        <n x="106"/>
        <n x="7"/>
      </t>
    </mdx>
    <mdx n="0" f="v">
      <t c="7">
        <n x="18"/>
        <n x="105"/>
        <n x="103"/>
        <n x="21"/>
        <n x="97"/>
        <n x="127"/>
        <n x="8"/>
      </t>
    </mdx>
    <mdx n="0" f="v">
      <t c="7">
        <n x="18"/>
        <n x="105"/>
        <n x="103"/>
        <n x="21"/>
        <n x="88"/>
        <n x="138"/>
        <n x="13"/>
      </t>
    </mdx>
    <mdx n="0" f="v">
      <t c="7">
        <n x="18"/>
        <n x="105"/>
        <n x="103"/>
        <n x="21"/>
        <n x="88"/>
        <n x="138"/>
        <n x="12"/>
      </t>
    </mdx>
    <mdx n="0" f="v">
      <t c="6">
        <n x="18"/>
        <n x="105"/>
        <n x="103"/>
        <n x="21"/>
        <n x="97"/>
        <n x="7"/>
      </t>
    </mdx>
    <mdx n="0" f="v">
      <t c="6">
        <n x="18"/>
        <n x="105"/>
        <n x="103"/>
        <n x="21"/>
        <n x="91"/>
        <n x="15"/>
      </t>
    </mdx>
    <mdx n="0" f="v">
      <t c="6">
        <n x="18"/>
        <n x="105"/>
        <n x="103"/>
        <n x="21"/>
        <n x="88"/>
        <n x="15"/>
      </t>
    </mdx>
    <mdx n="0" f="v">
      <t c="7">
        <n x="18"/>
        <n x="105"/>
        <n x="103"/>
        <n x="21"/>
        <n x="95"/>
        <n x="112"/>
        <n x="12"/>
      </t>
    </mdx>
    <mdx n="0" f="v">
      <t c="6">
        <n x="18"/>
        <n x="105"/>
        <n x="103"/>
        <n x="21"/>
        <n x="84"/>
        <n x="7"/>
      </t>
    </mdx>
    <mdx n="0" f="v">
      <t c="7">
        <n x="18"/>
        <n x="105"/>
        <n x="103"/>
        <n x="21"/>
        <n x="86"/>
        <n x="116"/>
        <n x="13"/>
      </t>
    </mdx>
    <mdx n="0" f="v">
      <t c="7">
        <n x="18"/>
        <n x="105"/>
        <n x="103"/>
        <n x="21"/>
        <n x="95"/>
        <n x="131"/>
        <n x="7"/>
      </t>
    </mdx>
    <mdx n="0" f="v">
      <t c="7">
        <n x="18"/>
        <n x="105"/>
        <n x="103"/>
        <n x="21"/>
        <n x="92"/>
        <n x="136"/>
        <n x="8"/>
      </t>
    </mdx>
    <mdx n="0" f="v">
      <t c="6">
        <n x="18"/>
        <n x="105"/>
        <n x="103"/>
        <n x="21"/>
        <n x="88"/>
        <n x="11"/>
      </t>
    </mdx>
    <mdx n="0" f="v">
      <t c="7">
        <n x="18"/>
        <n x="105"/>
        <n x="103"/>
        <n x="21"/>
        <n x="85"/>
        <n x="114"/>
        <n x="14"/>
      </t>
    </mdx>
    <mdx n="0" f="v">
      <t c="6">
        <n x="18"/>
        <n x="105"/>
        <n x="103"/>
        <n x="21"/>
        <n x="93"/>
        <n x="16"/>
      </t>
    </mdx>
    <mdx n="0" f="v">
      <t c="6">
        <n x="18"/>
        <n x="105"/>
        <n x="103"/>
        <n x="21"/>
        <n x="93"/>
        <n x="14"/>
      </t>
    </mdx>
    <mdx n="0" f="v">
      <t c="7">
        <n x="18"/>
        <n x="105"/>
        <n x="103"/>
        <n x="21"/>
        <n x="90"/>
        <n x="121"/>
        <n x="16"/>
      </t>
    </mdx>
    <mdx n="0" f="v">
      <t c="7">
        <n x="18"/>
        <n x="105"/>
        <n x="103"/>
        <n x="21"/>
        <n x="90"/>
        <n x="121"/>
        <n x="7"/>
      </t>
    </mdx>
    <mdx n="0" f="v">
      <t c="7">
        <n x="18"/>
        <n x="105"/>
        <n x="103"/>
        <n x="21"/>
        <n x="90"/>
        <n x="121"/>
        <n x="12"/>
      </t>
    </mdx>
    <mdx n="0" f="v">
      <t c="7">
        <n x="18"/>
        <n x="105"/>
        <n x="103"/>
        <n x="21"/>
        <n x="90"/>
        <n x="121"/>
        <n x="25"/>
      </t>
    </mdx>
    <mdx n="0" f="v">
      <t c="7">
        <n x="18"/>
        <n x="105"/>
        <n x="103"/>
        <n x="21"/>
        <n x="90"/>
        <n x="121"/>
        <n x="14"/>
      </t>
    </mdx>
    <mdx n="0" f="v">
      <t c="7">
        <n x="18"/>
        <n x="105"/>
        <n x="103"/>
        <n x="21"/>
        <n x="90"/>
        <n x="121"/>
        <n x="15"/>
      </t>
    </mdx>
    <mdx n="0" f="v">
      <t c="7">
        <n x="18"/>
        <n x="105"/>
        <n x="103"/>
        <n x="21"/>
        <n x="90"/>
        <n x="121"/>
        <n x="11"/>
      </t>
    </mdx>
    <mdx n="0" f="v">
      <t c="7">
        <n x="18"/>
        <n x="105"/>
        <n x="103"/>
        <n x="21"/>
        <n x="90"/>
        <n x="121"/>
        <n x="10"/>
      </t>
    </mdx>
    <mdx n="0" f="v">
      <t c="7">
        <n x="18"/>
        <n x="105"/>
        <n x="103"/>
        <n x="21"/>
        <n x="90"/>
        <n x="121"/>
        <n x="13"/>
      </t>
    </mdx>
    <mdx n="0" f="v">
      <t c="7">
        <n x="18"/>
        <n x="105"/>
        <n x="103"/>
        <n x="21"/>
        <n x="95"/>
        <n x="110"/>
        <n x="25"/>
      </t>
    </mdx>
    <mdx n="0" f="v">
      <t c="7">
        <n x="18"/>
        <n x="105"/>
        <n x="103"/>
        <n x="21"/>
        <n x="95"/>
        <n x="110"/>
        <n x="17"/>
      </t>
    </mdx>
    <mdx n="0" f="v">
      <t c="7">
        <n x="18"/>
        <n x="105"/>
        <n x="103"/>
        <n x="21"/>
        <n x="95"/>
        <n x="110"/>
        <n x="13"/>
      </t>
    </mdx>
    <mdx n="0" f="v">
      <t c="7">
        <n x="18"/>
        <n x="105"/>
        <n x="103"/>
        <n x="21"/>
        <n x="95"/>
        <n x="110"/>
        <n x="14"/>
      </t>
    </mdx>
    <mdx n="0" f="v">
      <t c="7">
        <n x="18"/>
        <n x="105"/>
        <n x="103"/>
        <n x="21"/>
        <n x="95"/>
        <n x="110"/>
        <n x="7"/>
      </t>
    </mdx>
    <mdx n="0" f="v">
      <t c="7">
        <n x="18"/>
        <n x="105"/>
        <n x="103"/>
        <n x="21"/>
        <n x="95"/>
        <n x="110"/>
        <n x="10"/>
      </t>
    </mdx>
    <mdx n="0" f="v">
      <t c="7">
        <n x="18"/>
        <n x="105"/>
        <n x="103"/>
        <n x="21"/>
        <n x="95"/>
        <n x="110"/>
        <n x="16"/>
      </t>
    </mdx>
    <mdx n="0" f="v">
      <t c="7">
        <n x="18"/>
        <n x="105"/>
        <n x="103"/>
        <n x="21"/>
        <n x="95"/>
        <n x="110"/>
        <n x="11"/>
      </t>
    </mdx>
    <mdx n="0" f="v">
      <t c="7">
        <n x="18"/>
        <n x="105"/>
        <n x="103"/>
        <n x="21"/>
        <n x="95"/>
        <n x="110"/>
        <n x="8"/>
      </t>
    </mdx>
    <mdx n="0" f="v">
      <t c="7">
        <n x="18"/>
        <n x="105"/>
        <n x="103"/>
        <n x="21"/>
        <n x="95"/>
        <n x="110"/>
        <n x="15"/>
      </t>
    </mdx>
    <mdx n="0" f="s">
      <ms ns="180" c="0"/>
    </mdx>
    <mdx n="0" f="m">
      <t c="1">
        <n x="181"/>
      </t>
    </mdx>
    <mdx n="0" f="v">
      <t c="3">
        <n x="98"/>
        <n x="149"/>
        <n x="181"/>
      </t>
    </mdx>
    <mdx n="0" f="v">
      <t c="3">
        <n x="98"/>
        <n x="148"/>
        <n x="181"/>
      </t>
    </mdx>
    <mdx n="0" f="v">
      <t c="3">
        <n x="98"/>
        <n x="150"/>
        <n x="181"/>
      </t>
    </mdx>
    <mdx n="0" f="v">
      <t c="3">
        <n x="98"/>
        <n x="154"/>
        <n x="181"/>
      </t>
    </mdx>
    <mdx n="0" f="v">
      <t c="3">
        <n x="98"/>
        <n x="151"/>
        <n x="181"/>
      </t>
    </mdx>
    <mdx n="0" f="v">
      <t c="3">
        <n x="98"/>
        <n x="146"/>
        <n x="181"/>
      </t>
    </mdx>
    <mdx n="0" f="v">
      <t c="3">
        <n x="98"/>
        <n x="152"/>
        <n x="181"/>
      </t>
    </mdx>
    <mdx n="0" f="v">
      <t c="3" si="143">
        <n x="98"/>
        <n x="141"/>
        <n x="181"/>
      </t>
    </mdx>
    <mdx n="0" f="v">
      <t c="3" si="143">
        <n x="98"/>
        <n x="144"/>
        <n x="181"/>
      </t>
    </mdx>
    <mdx n="0" f="m">
      <t c="1">
        <n x="182"/>
      </t>
    </mdx>
    <mdx n="0" f="v">
      <t c="3">
        <n x="98"/>
        <n x="150"/>
        <n x="182"/>
      </t>
    </mdx>
    <mdx n="0" f="v">
      <t c="3">
        <n x="98"/>
        <n x="149"/>
        <n x="182"/>
      </t>
    </mdx>
    <mdx n="0" f="v">
      <t c="3">
        <n x="98"/>
        <n x="151"/>
        <n x="182"/>
      </t>
    </mdx>
    <mdx n="0" f="v">
      <t c="3">
        <n x="98"/>
        <n x="154"/>
        <n x="182"/>
      </t>
    </mdx>
    <mdx n="0" f="v">
      <t c="3" si="143">
        <n x="98"/>
        <n x="148"/>
        <n x="182"/>
      </t>
    </mdx>
    <mdx n="0" f="v">
      <t c="3">
        <n x="98"/>
        <n x="146"/>
        <n x="182"/>
      </t>
    </mdx>
    <mdx n="0" f="v">
      <t c="3" si="143">
        <n x="98"/>
        <n x="141"/>
        <n x="182"/>
      </t>
    </mdx>
    <mdx n="0" f="v">
      <t c="3">
        <n x="98"/>
        <n x="152"/>
        <n x="182"/>
      </t>
    </mdx>
    <mdx n="0" f="v">
      <t c="3">
        <n x="98"/>
        <n x="144"/>
        <n x="182"/>
      </t>
    </mdx>
    <mdx n="0" f="m">
      <t c="1">
        <n x="183"/>
      </t>
    </mdx>
    <mdx n="0" f="m">
      <t c="1">
        <n x="184"/>
      </t>
    </mdx>
    <mdx n="0" f="m">
      <t c="1">
        <n x="185"/>
      </t>
    </mdx>
    <mdx n="0" f="m">
      <t c="1">
        <n x="186"/>
      </t>
    </mdx>
    <mdx n="0" f="m">
      <t c="1">
        <n x="187"/>
      </t>
    </mdx>
    <mdx n="0" f="m">
      <t c="1">
        <n x="188"/>
      </t>
    </mdx>
    <mdx n="0" f="m">
      <t c="1">
        <n x="189"/>
      </t>
    </mdx>
    <mdx n="0" f="v">
      <t c="3" si="143">
        <n x="98"/>
        <n x="150"/>
        <n x="187"/>
      </t>
    </mdx>
    <mdx n="0" f="v">
      <t c="3">
        <n x="98"/>
        <n x="148"/>
        <n x="188"/>
      </t>
    </mdx>
    <mdx n="0" f="v">
      <t c="3" si="143">
        <n x="98"/>
        <n x="148"/>
        <n x="183"/>
      </t>
    </mdx>
    <mdx n="0" f="v">
      <t c="3" si="143">
        <n x="98"/>
        <n x="154"/>
        <n x="183"/>
      </t>
    </mdx>
    <mdx n="0" f="v">
      <t c="3">
        <n x="98"/>
        <n x="154"/>
        <n x="189"/>
      </t>
    </mdx>
    <mdx n="0" f="v">
      <t c="3" si="143">
        <n x="98"/>
        <n x="149"/>
        <n x="183"/>
      </t>
    </mdx>
    <mdx n="0" f="v">
      <t c="3">
        <n x="98"/>
        <n x="149"/>
        <n x="189"/>
      </t>
    </mdx>
    <mdx n="0" f="v">
      <t c="3">
        <n x="98"/>
        <n x="150"/>
        <n x="184"/>
      </t>
    </mdx>
    <mdx n="0" f="v">
      <t c="3" si="143">
        <n x="98"/>
        <n x="149"/>
        <n x="186"/>
      </t>
    </mdx>
    <mdx n="0" f="v">
      <t c="3" si="143">
        <n x="98"/>
        <n x="149"/>
        <n x="185"/>
      </t>
    </mdx>
    <mdx n="0" f="v">
      <t c="3">
        <n x="98"/>
        <n x="150"/>
        <n x="188"/>
      </t>
    </mdx>
    <mdx n="0" f="v">
      <t c="3">
        <n x="98"/>
        <n x="146"/>
        <n x="186"/>
      </t>
    </mdx>
    <mdx n="0" f="v">
      <t c="3">
        <n x="98"/>
        <n x="151"/>
        <n x="189"/>
      </t>
    </mdx>
    <mdx n="0" f="v">
      <t c="3">
        <n x="98"/>
        <n x="149"/>
        <n x="184"/>
      </t>
    </mdx>
    <mdx n="0" f="v">
      <t c="3">
        <n x="98"/>
        <n x="148"/>
        <n x="184"/>
      </t>
    </mdx>
    <mdx n="0" f="v">
      <t c="3">
        <n x="98"/>
        <n x="148"/>
        <n x="187"/>
      </t>
    </mdx>
    <mdx n="0" f="v">
      <t c="3" si="143">
        <n x="98"/>
        <n x="148"/>
        <n x="185"/>
      </t>
    </mdx>
    <mdx n="0" f="v">
      <t c="3">
        <n x="98"/>
        <n x="154"/>
        <n x="184"/>
      </t>
    </mdx>
    <mdx n="0" f="v">
      <t c="3">
        <n x="98"/>
        <n x="150"/>
        <n x="183"/>
      </t>
    </mdx>
    <mdx n="0" f="v">
      <t c="3">
        <n x="98"/>
        <n x="151"/>
        <n x="188"/>
      </t>
    </mdx>
    <mdx n="0" f="v">
      <t c="3">
        <n x="98"/>
        <n x="154"/>
        <n x="185"/>
      </t>
    </mdx>
    <mdx n="0" f="v">
      <t c="3">
        <n x="98"/>
        <n x="148"/>
        <n x="186"/>
      </t>
    </mdx>
    <mdx n="0" f="v">
      <t c="3">
        <n x="98"/>
        <n x="146"/>
        <n x="185"/>
      </t>
    </mdx>
    <mdx n="0" f="v">
      <t c="3">
        <n x="98"/>
        <n x="151"/>
        <n x="185"/>
      </t>
    </mdx>
    <mdx n="0" f="v">
      <t c="3">
        <n x="98"/>
        <n x="150"/>
        <n x="189"/>
      </t>
    </mdx>
    <mdx n="0" f="v">
      <t c="3">
        <n x="98"/>
        <n x="154"/>
        <n x="186"/>
      </t>
    </mdx>
    <mdx n="0" f="v">
      <t c="3">
        <n x="98"/>
        <n x="154"/>
        <n x="187"/>
      </t>
    </mdx>
    <mdx n="0" f="v">
      <t c="3">
        <n x="98"/>
        <n x="151"/>
        <n x="183"/>
      </t>
    </mdx>
    <mdx n="0" f="v">
      <t c="3">
        <n x="98"/>
        <n x="146"/>
        <n x="184"/>
      </t>
    </mdx>
    <mdx n="0" f="v">
      <t c="3">
        <n x="98"/>
        <n x="150"/>
        <n x="185"/>
      </t>
    </mdx>
    <mdx n="0" f="v">
      <t c="3">
        <n x="98"/>
        <n x="151"/>
        <n x="184"/>
      </t>
    </mdx>
    <mdx n="0" f="v">
      <t c="3">
        <n x="98"/>
        <n x="149"/>
        <n x="188"/>
      </t>
    </mdx>
    <mdx n="0" f="v">
      <t c="3">
        <n x="98"/>
        <n x="154"/>
        <n x="188"/>
      </t>
    </mdx>
    <mdx n="0" f="v">
      <t c="3">
        <n x="98"/>
        <n x="149"/>
        <n x="187"/>
      </t>
    </mdx>
    <mdx n="0" f="v">
      <t c="3">
        <n x="98"/>
        <n x="151"/>
        <n x="186"/>
      </t>
    </mdx>
    <mdx n="0" f="v">
      <t c="3">
        <n x="98"/>
        <n x="148"/>
        <n x="189"/>
      </t>
    </mdx>
    <mdx n="0" f="v">
      <t c="3">
        <n x="98"/>
        <n x="151"/>
        <n x="187"/>
      </t>
    </mdx>
    <mdx n="0" f="v">
      <t c="3">
        <n x="98"/>
        <n x="150"/>
        <n x="186"/>
      </t>
    </mdx>
    <mdx n="0" f="v">
      <t c="3">
        <n x="98"/>
        <n x="146"/>
        <n x="183"/>
      </t>
    </mdx>
    <mdx n="0" f="v">
      <t c="3" si="143">
        <n x="98"/>
        <n x="146"/>
        <n x="188"/>
      </t>
    </mdx>
    <mdx n="0" f="v">
      <t c="3">
        <n x="98"/>
        <n x="146"/>
        <n x="187"/>
      </t>
    </mdx>
    <mdx n="0" f="v">
      <t c="3">
        <n x="98"/>
        <n x="146"/>
        <n x="189"/>
      </t>
    </mdx>
    <mdx n="0" f="v">
      <t c="3">
        <n x="98"/>
        <n x="144"/>
        <n x="184"/>
      </t>
    </mdx>
    <mdx n="0" f="v">
      <t c="3" si="143">
        <n x="98"/>
        <n x="141"/>
        <n x="184"/>
      </t>
    </mdx>
    <mdx n="0" f="v">
      <t c="3">
        <n x="98"/>
        <n x="141"/>
        <n x="189"/>
      </t>
    </mdx>
    <mdx n="0" f="v">
      <t c="3">
        <n x="98"/>
        <n x="144"/>
        <n x="189"/>
      </t>
    </mdx>
    <mdx n="0" f="v">
      <t c="3">
        <n x="98"/>
        <n x="152"/>
        <n x="189"/>
      </t>
    </mdx>
    <mdx n="0" f="v">
      <t c="3" si="143">
        <n x="98"/>
        <n x="141"/>
        <n x="188"/>
      </t>
    </mdx>
    <mdx n="0" f="v">
      <t c="3">
        <n x="98"/>
        <n x="152"/>
        <n x="188"/>
      </t>
    </mdx>
    <mdx n="0" f="v">
      <t c="3">
        <n x="98"/>
        <n x="144"/>
        <n x="188"/>
      </t>
    </mdx>
    <mdx n="0" f="v">
      <t c="3">
        <n x="98"/>
        <n x="152"/>
        <n x="187"/>
      </t>
    </mdx>
    <mdx n="0" f="v">
      <t c="3" si="143">
        <n x="98"/>
        <n x="141"/>
        <n x="187"/>
      </t>
    </mdx>
    <mdx n="0" f="v">
      <t c="3">
        <n x="98"/>
        <n x="144"/>
        <n x="187"/>
      </t>
    </mdx>
    <mdx n="0" f="v">
      <t c="3" si="143">
        <n x="98"/>
        <n x="141"/>
        <n x="185"/>
      </t>
    </mdx>
    <mdx n="0" f="v">
      <t c="3">
        <n x="98"/>
        <n x="152"/>
        <n x="185"/>
      </t>
    </mdx>
    <mdx n="0" f="v">
      <t c="3" si="143">
        <n x="98"/>
        <n x="144"/>
        <n x="183"/>
      </t>
    </mdx>
    <mdx n="0" f="v">
      <t c="3">
        <n x="98"/>
        <n x="152"/>
        <n x="183"/>
      </t>
    </mdx>
    <mdx n="0" f="v">
      <t c="3" si="143">
        <n x="98"/>
        <n x="141"/>
        <n x="183"/>
      </t>
    </mdx>
    <mdx n="0" f="v">
      <t c="3" si="143">
        <n x="98"/>
        <n x="141"/>
        <n x="186"/>
      </t>
    </mdx>
    <mdx n="0" f="v">
      <t c="3">
        <n x="98"/>
        <n x="152"/>
        <n x="186"/>
      </t>
    </mdx>
    <mdx n="0" f="v">
      <t c="3">
        <n x="98"/>
        <n x="144"/>
        <n x="186"/>
      </t>
    </mdx>
    <mdx n="0" f="v">
      <t c="3">
        <n x="100"/>
        <n x="145"/>
        <n x="172"/>
      </t>
    </mdx>
    <mdx n="0" f="v">
      <t c="3">
        <n x="100"/>
        <n x="142"/>
        <n x="173"/>
      </t>
    </mdx>
    <mdx n="0" f="v">
      <t c="3">
        <n x="100"/>
        <n x="153"/>
        <n x="171"/>
      </t>
    </mdx>
    <mdx n="0" f="v">
      <t c="3">
        <n x="100"/>
        <n x="153"/>
        <n x="175"/>
      </t>
    </mdx>
    <mdx n="0" f="v">
      <t c="3">
        <n x="100"/>
        <n x="153"/>
        <n x="168"/>
      </t>
    </mdx>
    <mdx n="0" f="v">
      <t c="3">
        <n x="100"/>
        <n x="153"/>
        <n x="172"/>
      </t>
    </mdx>
    <mdx n="0" f="v">
      <t c="3">
        <n x="100"/>
        <n x="153"/>
        <n x="176"/>
      </t>
    </mdx>
    <mdx n="0" f="v">
      <t c="3">
        <n x="100"/>
        <n x="153"/>
        <n x="174"/>
      </t>
    </mdx>
    <mdx n="0" f="v">
      <t c="3">
        <n x="100"/>
        <n x="153"/>
        <n x="169"/>
      </t>
    </mdx>
    <mdx n="0" f="v">
      <t c="3">
        <n x="100"/>
        <n x="153"/>
        <n x="173"/>
      </t>
    </mdx>
    <mdx n="0" f="v">
      <t c="3">
        <n x="100"/>
        <n x="153"/>
        <n x="177"/>
      </t>
    </mdx>
    <mdx n="0" f="v">
      <t c="3">
        <n x="100"/>
        <n x="145"/>
        <n x="171"/>
      </t>
    </mdx>
    <mdx n="0" f="v">
      <t c="3">
        <n x="100"/>
        <n x="142"/>
        <n x="172"/>
      </t>
    </mdx>
    <mdx n="0" f="v">
      <t c="3">
        <n x="100"/>
        <n x="153"/>
        <n x="170"/>
      </t>
    </mdx>
    <mdx n="0" f="m">
      <t c="1">
        <n x="190"/>
      </t>
    </mdx>
    <mdx n="0" f="v">
      <t c="3">
        <n x="98"/>
        <n x="190"/>
        <n x="187"/>
      </t>
    </mdx>
    <mdx n="0" f="v">
      <t c="3">
        <n x="98"/>
        <n x="190"/>
        <n x="189"/>
      </t>
    </mdx>
    <mdx n="0" f="v">
      <t c="3">
        <n x="98"/>
        <n x="190"/>
        <n x="186"/>
      </t>
    </mdx>
    <mdx n="0" f="v">
      <t c="3">
        <n x="98"/>
        <n x="190"/>
        <n x="182"/>
      </t>
    </mdx>
    <mdx n="0" f="v">
      <t c="3">
        <n x="98"/>
        <n x="190"/>
        <n x="185"/>
      </t>
    </mdx>
    <mdx n="0" f="v">
      <t c="3">
        <n x="98"/>
        <n x="190"/>
        <n x="147"/>
      </t>
    </mdx>
    <mdx n="0" f="v">
      <t c="3">
        <n x="98"/>
        <n x="190"/>
        <n x="188"/>
      </t>
    </mdx>
    <mdx n="0" f="v">
      <t c="3">
        <n x="98"/>
        <n x="190"/>
        <n x="183"/>
      </t>
    </mdx>
    <mdx n="0" f="v">
      <t c="3">
        <n x="98"/>
        <n x="190"/>
        <n x="184"/>
      </t>
    </mdx>
    <mdx n="0" f="m">
      <t c="1">
        <n x="191"/>
      </t>
    </mdx>
    <mdx n="0" f="v">
      <t c="3">
        <n x="98"/>
        <n x="191"/>
        <n x="182"/>
      </t>
    </mdx>
    <mdx n="0" f="v">
      <t c="3" si="143">
        <n x="98"/>
        <n x="191"/>
        <n x="181"/>
      </t>
    </mdx>
    <mdx n="0" f="v">
      <t c="3">
        <n x="98"/>
        <n x="191"/>
        <n x="184"/>
      </t>
    </mdx>
    <mdx n="0" f="v">
      <t c="3">
        <n x="98"/>
        <n x="191"/>
        <n x="187"/>
      </t>
    </mdx>
    <mdx n="0" f="v">
      <t c="3">
        <n x="98"/>
        <n x="191"/>
        <n x="186"/>
      </t>
    </mdx>
    <mdx n="0" f="v">
      <t c="3">
        <n x="98"/>
        <n x="191"/>
        <n x="183"/>
      </t>
    </mdx>
    <mdx n="0" f="v">
      <t c="3">
        <n x="98"/>
        <n x="191"/>
        <n x="147"/>
      </t>
    </mdx>
    <mdx n="0" f="v">
      <t c="3">
        <n x="98"/>
        <n x="191"/>
        <n x="189"/>
      </t>
    </mdx>
    <mdx n="0" f="v">
      <t c="3">
        <n x="98"/>
        <n x="191"/>
        <n x="188"/>
      </t>
    </mdx>
    <mdx n="0" f="v">
      <t c="3">
        <n x="98"/>
        <n x="191"/>
        <n x="185"/>
      </t>
    </mdx>
    <mdx n="0" f="m">
      <t c="1">
        <n x="192"/>
      </t>
    </mdx>
    <mdx n="0" f="v">
      <t c="3">
        <n x="98"/>
        <n x="192"/>
        <n x="184"/>
      </t>
    </mdx>
    <mdx n="0" f="v">
      <t c="3">
        <n x="98"/>
        <n x="192"/>
        <n x="183"/>
      </t>
    </mdx>
    <mdx n="0" f="v">
      <t c="3">
        <n x="98"/>
        <n x="192"/>
        <n x="182"/>
      </t>
    </mdx>
    <mdx n="0" f="v">
      <t c="3">
        <n x="98"/>
        <n x="192"/>
        <n x="187"/>
      </t>
    </mdx>
    <mdx n="0" f="v">
      <t c="3">
        <n x="98"/>
        <n x="192"/>
        <n x="147"/>
      </t>
    </mdx>
    <mdx n="0" f="v">
      <t c="3" si="143">
        <n x="98"/>
        <n x="192"/>
        <n x="181"/>
      </t>
    </mdx>
    <mdx n="0" f="v">
      <t c="3">
        <n x="98"/>
        <n x="192"/>
        <n x="189"/>
      </t>
    </mdx>
    <mdx n="0" f="v">
      <t c="3">
        <n x="98"/>
        <n x="192"/>
        <n x="186"/>
      </t>
    </mdx>
    <mdx n="0" f="v">
      <t c="3">
        <n x="98"/>
        <n x="192"/>
        <n x="185"/>
      </t>
    </mdx>
    <mdx n="0" f="v">
      <t c="3">
        <n x="98"/>
        <n x="192"/>
        <n x="188"/>
      </t>
    </mdx>
    <mdx n="0" f="m">
      <t c="1">
        <n x="193"/>
      </t>
    </mdx>
    <mdx n="0" f="v">
      <t c="3">
        <n x="98"/>
        <n x="193"/>
        <n x="188"/>
      </t>
    </mdx>
    <mdx n="0" f="v">
      <t c="3">
        <n x="98"/>
        <n x="193"/>
        <n x="182"/>
      </t>
    </mdx>
    <mdx n="0" f="v">
      <t c="3">
        <n x="98"/>
        <n x="193"/>
        <n x="183"/>
      </t>
    </mdx>
    <mdx n="0" f="v">
      <t c="3">
        <n x="98"/>
        <n x="193"/>
        <n x="186"/>
      </t>
    </mdx>
    <mdx n="0" f="v">
      <t c="3">
        <n x="98"/>
        <n x="193"/>
        <n x="184"/>
      </t>
    </mdx>
    <mdx n="0" f="v">
      <t c="3">
        <n x="98"/>
        <n x="193"/>
        <n x="147"/>
      </t>
    </mdx>
    <mdx n="0" f="v">
      <t c="3" si="143">
        <n x="98"/>
        <n x="193"/>
        <n x="185"/>
      </t>
    </mdx>
    <mdx n="0" f="v">
      <t c="3">
        <n x="98"/>
        <n x="193"/>
        <n x="181"/>
      </t>
    </mdx>
    <mdx n="0" f="v">
      <t c="3">
        <n x="98"/>
        <n x="193"/>
        <n x="187"/>
      </t>
    </mdx>
    <mdx n="0" f="v">
      <t c="3">
        <n x="98"/>
        <n x="193"/>
        <n x="189"/>
      </t>
    </mdx>
    <mdx n="0" f="m">
      <t c="1">
        <n x="194"/>
      </t>
    </mdx>
    <mdx n="0" f="v">
      <t c="3">
        <n x="98"/>
        <n x="194"/>
        <n x="187"/>
      </t>
    </mdx>
    <mdx n="0" f="v">
      <t c="3">
        <n x="98"/>
        <n x="194"/>
        <n x="186"/>
      </t>
    </mdx>
    <mdx n="0" f="v">
      <t c="3">
        <n x="98"/>
        <n x="194"/>
        <n x="181"/>
      </t>
    </mdx>
    <mdx n="0" f="v">
      <t c="3" si="143">
        <n x="98"/>
        <n x="194"/>
        <n x="184"/>
      </t>
    </mdx>
    <mdx n="0" f="v">
      <t c="3">
        <n x="98"/>
        <n x="194"/>
        <n x="188"/>
      </t>
    </mdx>
    <mdx n="0" f="v">
      <t c="3">
        <n x="98"/>
        <n x="194"/>
        <n x="183"/>
      </t>
    </mdx>
    <mdx n="0" f="v">
      <t c="3">
        <n x="98"/>
        <n x="194"/>
        <n x="147"/>
      </t>
    </mdx>
    <mdx n="0" f="v">
      <t c="3">
        <n x="98"/>
        <n x="194"/>
        <n x="189"/>
      </t>
    </mdx>
    <mdx n="0" f="v">
      <t c="3">
        <n x="98"/>
        <n x="194"/>
        <n x="182"/>
      </t>
    </mdx>
    <mdx n="0" f="v">
      <t c="3">
        <n x="98"/>
        <n x="194"/>
        <n x="185"/>
      </t>
    </mdx>
    <mdx n="0" f="m">
      <t c="1">
        <n x="195"/>
      </t>
    </mdx>
    <mdx n="0" f="v">
      <t c="3">
        <n x="98"/>
        <n x="195"/>
        <n x="186"/>
      </t>
    </mdx>
    <mdx n="0" f="v">
      <t c="3">
        <n x="98"/>
        <n x="195"/>
        <n x="181"/>
      </t>
    </mdx>
    <mdx n="0" f="v">
      <t c="3">
        <n x="98"/>
        <n x="195"/>
        <n x="187"/>
      </t>
    </mdx>
    <mdx n="0" f="v">
      <t c="3">
        <n x="98"/>
        <n x="195"/>
        <n x="185"/>
      </t>
    </mdx>
    <mdx n="0" f="v">
      <t c="3">
        <n x="98"/>
        <n x="195"/>
        <n x="147"/>
      </t>
    </mdx>
    <mdx n="0" f="v">
      <t c="3">
        <n x="98"/>
        <n x="195"/>
        <n x="184"/>
      </t>
    </mdx>
    <mdx n="0" f="v">
      <t c="3" si="143">
        <n x="98"/>
        <n x="195"/>
        <n x="182"/>
      </t>
    </mdx>
    <mdx n="0" f="v">
      <t c="3">
        <n x="98"/>
        <n x="195"/>
        <n x="189"/>
      </t>
    </mdx>
    <mdx n="0" f="v">
      <t c="3">
        <n x="98"/>
        <n x="195"/>
        <n x="188"/>
      </t>
    </mdx>
    <mdx n="0" f="v">
      <t c="3">
        <n x="98"/>
        <n x="195"/>
        <n x="183"/>
      </t>
    </mdx>
    <mdx n="0" f="m">
      <t c="1">
        <n x="196"/>
      </t>
    </mdx>
    <mdx n="0" f="v">
      <t c="3">
        <n x="98"/>
        <n x="196"/>
        <n x="188"/>
      </t>
    </mdx>
    <mdx n="0" f="v">
      <t c="3">
        <n x="98"/>
        <n x="196"/>
        <n x="182"/>
      </t>
    </mdx>
    <mdx n="0" f="v">
      <t c="3">
        <n x="98"/>
        <n x="196"/>
        <n x="183"/>
      </t>
    </mdx>
    <mdx n="0" f="v">
      <t c="3">
        <n x="98"/>
        <n x="196"/>
        <n x="186"/>
      </t>
    </mdx>
    <mdx n="0" f="v">
      <t c="3">
        <n x="98"/>
        <n x="196"/>
        <n x="184"/>
      </t>
    </mdx>
    <mdx n="0" f="v">
      <t c="3">
        <n x="98"/>
        <n x="196"/>
        <n x="147"/>
      </t>
    </mdx>
    <mdx n="0" f="v">
      <t c="3">
        <n x="98"/>
        <n x="196"/>
        <n x="185"/>
      </t>
    </mdx>
    <mdx n="0" f="v">
      <t c="3">
        <n x="98"/>
        <n x="196"/>
        <n x="187"/>
      </t>
    </mdx>
    <mdx n="0" f="v">
      <t c="3">
        <n x="98"/>
        <n x="196"/>
        <n x="189"/>
      </t>
    </mdx>
    <mdx n="0" f="m">
      <t c="1">
        <n x="197"/>
      </t>
    </mdx>
    <mdx n="0" f="v">
      <t c="3">
        <n x="98"/>
        <n x="197"/>
        <n x="184"/>
      </t>
    </mdx>
    <mdx n="0" f="v">
      <t c="3">
        <n x="98"/>
        <n x="197"/>
        <n x="187"/>
      </t>
    </mdx>
    <mdx n="0" f="v">
      <t c="3">
        <n x="98"/>
        <n x="197"/>
        <n x="182"/>
      </t>
    </mdx>
    <mdx n="0" f="v">
      <t c="3">
        <n x="98"/>
        <n x="197"/>
        <n x="147"/>
      </t>
    </mdx>
    <mdx n="0" f="v">
      <t c="3" si="143">
        <n x="98"/>
        <n x="197"/>
        <n x="183"/>
      </t>
    </mdx>
    <mdx n="0" f="v">
      <t c="3">
        <n x="98"/>
        <n x="197"/>
        <n x="181"/>
      </t>
    </mdx>
    <mdx n="0" f="v">
      <t c="3">
        <n x="98"/>
        <n x="197"/>
        <n x="189"/>
      </t>
    </mdx>
    <mdx n="0" f="v">
      <t c="3">
        <n x="98"/>
        <n x="197"/>
        <n x="186"/>
      </t>
    </mdx>
    <mdx n="0" f="v">
      <t c="3">
        <n x="98"/>
        <n x="197"/>
        <n x="185"/>
      </t>
    </mdx>
    <mdx n="0" f="v">
      <t c="3">
        <n x="98"/>
        <n x="197"/>
        <n x="188"/>
      </t>
    </mdx>
    <mdx n="0" f="m">
      <t c="1">
        <n x="198"/>
      </t>
    </mdx>
    <mdx n="0" f="v">
      <t c="3">
        <n x="98"/>
        <n x="198"/>
        <n x="185"/>
      </t>
    </mdx>
    <mdx n="0" f="v">
      <t c="3">
        <n x="98"/>
        <n x="198"/>
        <n x="183"/>
      </t>
    </mdx>
    <mdx n="0" f="v">
      <t c="3">
        <n x="98"/>
        <n x="198"/>
        <n x="186"/>
      </t>
    </mdx>
    <mdx n="0" f="v">
      <t c="3" si="143">
        <n x="98"/>
        <n x="198"/>
        <n x="189"/>
      </t>
    </mdx>
    <mdx n="0" f="v">
      <t c="3">
        <n x="98"/>
        <n x="198"/>
        <n x="187"/>
      </t>
    </mdx>
    <mdx n="0" f="v">
      <t c="3">
        <n x="98"/>
        <n x="198"/>
        <n x="184"/>
      </t>
    </mdx>
    <mdx n="0" f="v">
      <t c="3">
        <n x="98"/>
        <n x="198"/>
        <n x="182"/>
      </t>
    </mdx>
    <mdx n="0" f="v">
      <t c="3">
        <n x="98"/>
        <n x="198"/>
        <n x="181"/>
      </t>
    </mdx>
    <mdx n="0" f="v">
      <t c="3">
        <n x="98"/>
        <n x="198"/>
        <n x="188"/>
      </t>
    </mdx>
    <mdx n="0" f="v">
      <t c="3">
        <n x="98"/>
        <n x="198"/>
        <n x="147"/>
      </t>
    </mdx>
    <mdx n="0" f="m">
      <t c="1">
        <n x="199"/>
      </t>
    </mdx>
    <mdx n="0" f="m">
      <t c="1">
        <n x="200"/>
      </t>
    </mdx>
    <mdx n="0" f="v">
      <t c="3" si="143">
        <n x="98"/>
        <n x="200"/>
        <n x="186"/>
      </t>
    </mdx>
    <mdx n="0" f="v">
      <t c="3">
        <n x="98"/>
        <n x="200"/>
        <n x="147"/>
      </t>
    </mdx>
    <mdx n="0" f="v">
      <t c="3">
        <n x="98"/>
        <n x="200"/>
        <n x="185"/>
      </t>
    </mdx>
    <mdx n="0" f="v">
      <t c="3">
        <n x="98"/>
        <n x="200"/>
        <n x="187"/>
      </t>
    </mdx>
    <mdx n="0" f="v">
      <t c="3">
        <n x="98"/>
        <n x="200"/>
        <n x="189"/>
      </t>
    </mdx>
    <mdx n="0" f="v">
      <t c="3">
        <n x="98"/>
        <n x="200"/>
        <n x="181"/>
      </t>
    </mdx>
    <mdx n="0" f="v">
      <t c="3">
        <n x="98"/>
        <n x="200"/>
        <n x="182"/>
      </t>
    </mdx>
    <mdx n="0" f="v">
      <t c="3">
        <n x="98"/>
        <n x="200"/>
        <n x="183"/>
      </t>
    </mdx>
    <mdx n="0" f="v">
      <t c="3">
        <n x="98"/>
        <n x="200"/>
        <n x="184"/>
      </t>
    </mdx>
    <mdx n="0" f="v">
      <t c="3">
        <n x="98"/>
        <n x="200"/>
        <n x="188"/>
      </t>
    </mdx>
    <mdx n="0" f="m">
      <t c="1">
        <n x="201"/>
      </t>
    </mdx>
    <mdx n="0" f="m">
      <t c="1">
        <n x="202"/>
      </t>
    </mdx>
    <mdx n="0" f="m">
      <t c="1">
        <n x="203"/>
      </t>
    </mdx>
    <mdx n="0" f="m">
      <t c="1">
        <n x="204"/>
      </t>
    </mdx>
    <mdx n="0" f="m">
      <t c="1">
        <n x="205"/>
      </t>
    </mdx>
    <mdx n="0" f="v">
      <t c="3">
        <n x="98"/>
        <n x="204"/>
        <n x="187"/>
      </t>
    </mdx>
    <mdx n="0" f="v">
      <t c="3">
        <n x="98"/>
        <n x="204"/>
        <n x="189"/>
      </t>
    </mdx>
    <mdx n="0" f="v">
      <t c="3">
        <n x="98"/>
        <n x="205"/>
        <n x="188"/>
      </t>
    </mdx>
    <mdx n="0" f="v">
      <t c="3">
        <n x="98"/>
        <n x="205"/>
        <n x="182"/>
      </t>
    </mdx>
    <mdx n="0" f="v">
      <t c="3">
        <n x="98"/>
        <n x="205"/>
        <n x="189"/>
      </t>
    </mdx>
    <mdx n="0" f="v">
      <t c="3">
        <n x="98"/>
        <n x="204"/>
        <n x="185"/>
      </t>
    </mdx>
    <mdx n="0" f="v">
      <t c="3" si="143">
        <n x="98"/>
        <n x="204"/>
        <n x="183"/>
      </t>
    </mdx>
    <mdx n="0" f="v">
      <t c="3">
        <n x="98"/>
        <n x="201"/>
        <n x="182"/>
      </t>
    </mdx>
    <mdx n="0" f="v">
      <t c="3">
        <n x="98"/>
        <n x="205"/>
        <n x="185"/>
      </t>
    </mdx>
    <mdx n="0" f="v">
      <t c="3">
        <n x="98"/>
        <n x="204"/>
        <n x="184"/>
      </t>
    </mdx>
    <mdx n="0" f="v">
      <t c="3">
        <n x="98"/>
        <n x="205"/>
        <n x="181"/>
      </t>
    </mdx>
    <mdx n="0" f="v">
      <t c="3">
        <n x="98"/>
        <n x="204"/>
        <n x="181"/>
      </t>
    </mdx>
    <mdx n="0" f="v">
      <t c="3">
        <n x="98"/>
        <n x="201"/>
        <n x="185"/>
      </t>
    </mdx>
    <mdx n="0" f="v">
      <t c="3">
        <n x="98"/>
        <n x="201"/>
        <n x="147"/>
      </t>
    </mdx>
    <mdx n="0" f="v">
      <t c="3">
        <n x="98"/>
        <n x="201"/>
        <n x="184"/>
      </t>
    </mdx>
    <mdx n="0" f="v">
      <t c="3">
        <n x="98"/>
        <n x="205"/>
        <n x="186"/>
      </t>
    </mdx>
    <mdx n="0" f="v">
      <t c="3" si="143">
        <n x="98"/>
        <n x="152"/>
        <n x="184"/>
      </t>
    </mdx>
    <mdx n="0" f="v">
      <t c="3">
        <n x="98"/>
        <n x="201"/>
        <n x="188"/>
      </t>
    </mdx>
    <mdx n="0" f="v">
      <t c="3">
        <n x="98"/>
        <n x="144"/>
        <n x="185"/>
      </t>
    </mdx>
    <mdx n="0" f="v">
      <t c="3" si="143">
        <n x="98"/>
        <n x="201"/>
        <n x="181"/>
      </t>
    </mdx>
    <mdx n="0" f="v">
      <t c="3">
        <n x="98"/>
        <n x="204"/>
        <n x="182"/>
      </t>
    </mdx>
    <mdx n="0" f="v">
      <t c="3">
        <n x="98"/>
        <n x="201"/>
        <n x="183"/>
      </t>
    </mdx>
    <mdx n="0" f="v">
      <t c="3">
        <n x="98"/>
        <n x="204"/>
        <n x="147"/>
      </t>
    </mdx>
    <mdx n="0" f="v">
      <t c="3">
        <n x="98"/>
        <n x="201"/>
        <n x="189"/>
      </t>
    </mdx>
    <mdx n="0" f="v">
      <t c="3">
        <n x="98"/>
        <n x="205"/>
        <n x="184"/>
      </t>
    </mdx>
    <mdx n="0" f="v">
      <t c="3">
        <n x="98"/>
        <n x="205"/>
        <n x="147"/>
      </t>
    </mdx>
    <mdx n="0" f="v">
      <t c="3">
        <n x="98"/>
        <n x="201"/>
        <n x="187"/>
      </t>
    </mdx>
    <mdx n="0" f="v">
      <t c="3" si="143">
        <n x="98"/>
        <n x="205"/>
        <n x="187"/>
      </t>
    </mdx>
    <mdx n="0" f="v">
      <t c="3">
        <n x="98"/>
        <n x="204"/>
        <n x="186"/>
      </t>
    </mdx>
    <mdx n="0" f="v">
      <t c="3">
        <n x="98"/>
        <n x="201"/>
        <n x="186"/>
      </t>
    </mdx>
    <mdx n="0" f="v">
      <t c="3">
        <n x="98"/>
        <n x="204"/>
        <n x="188"/>
      </t>
    </mdx>
    <mdx n="0" f="v">
      <t c="3">
        <n x="98"/>
        <n x="205"/>
        <n x="183"/>
      </t>
    </mdx>
    <mdx n="0" f="v">
      <t c="3" si="143">
        <n x="98"/>
        <n x="196"/>
        <n x="181"/>
      </t>
    </mdx>
    <mdx n="0" f="v">
      <t c="3">
        <n x="98"/>
        <n x="199"/>
        <n x="181"/>
      </t>
    </mdx>
    <mdx n="0" f="v">
      <t c="3" si="143">
        <n x="98"/>
        <n x="199"/>
        <n x="185"/>
      </t>
    </mdx>
    <mdx n="0" f="v">
      <t c="3">
        <n x="98"/>
        <n x="203"/>
        <n x="147"/>
      </t>
    </mdx>
    <mdx n="0" f="v">
      <t c="3">
        <n x="98"/>
        <n x="203"/>
        <n x="182"/>
      </t>
    </mdx>
    <mdx n="0" f="v">
      <t c="3">
        <n x="98"/>
        <n x="203"/>
        <n x="189"/>
      </t>
    </mdx>
    <mdx n="0" f="v">
      <t c="3">
        <n x="98"/>
        <n x="203"/>
        <n x="188"/>
      </t>
    </mdx>
    <mdx n="0" f="v">
      <t c="3">
        <n x="98"/>
        <n x="202"/>
        <n x="187"/>
      </t>
    </mdx>
    <mdx n="0" f="v">
      <t c="3">
        <n x="98"/>
        <n x="202"/>
        <n x="186"/>
      </t>
    </mdx>
    <mdx n="0" f="v">
      <t c="3">
        <n x="98"/>
        <n x="199"/>
        <n x="189"/>
      </t>
    </mdx>
    <mdx n="0" f="v">
      <t c="3">
        <n x="98"/>
        <n x="202"/>
        <n x="184"/>
      </t>
    </mdx>
    <mdx n="0" f="v">
      <t c="3">
        <n x="98"/>
        <n x="199"/>
        <n x="187"/>
      </t>
    </mdx>
    <mdx n="0" f="v">
      <t c="3">
        <n x="98"/>
        <n x="199"/>
        <n x="186"/>
      </t>
    </mdx>
    <mdx n="0" f="v">
      <t c="3" si="143">
        <n x="98"/>
        <n x="203"/>
        <n x="184"/>
      </t>
    </mdx>
    <mdx n="0" f="v">
      <t c="3">
        <n x="98"/>
        <n x="203"/>
        <n x="183"/>
      </t>
    </mdx>
    <mdx n="0" f="v">
      <t c="3">
        <n x="98"/>
        <n x="202"/>
        <n x="181"/>
      </t>
    </mdx>
    <mdx n="0" f="v">
      <t c="3" si="143">
        <n x="98"/>
        <n x="202"/>
        <n x="185"/>
      </t>
    </mdx>
    <mdx n="0" f="v">
      <t c="3">
        <n x="98"/>
        <n x="199"/>
        <n x="184"/>
      </t>
    </mdx>
    <mdx n="0" f="v">
      <t c="3">
        <n x="98"/>
        <n x="199"/>
        <n x="183"/>
      </t>
    </mdx>
    <mdx n="0" f="v">
      <t c="3">
        <n x="98"/>
        <n x="203"/>
        <n x="181"/>
      </t>
    </mdx>
    <mdx n="0" f="v">
      <t c="3">
        <n x="98"/>
        <n x="203"/>
        <n x="185"/>
      </t>
    </mdx>
    <mdx n="0" f="v">
      <t c="3">
        <n x="98"/>
        <n x="202"/>
        <n x="147"/>
      </t>
    </mdx>
    <mdx n="0" f="v">
      <t c="3">
        <n x="98"/>
        <n x="202"/>
        <n x="182"/>
      </t>
    </mdx>
    <mdx n="0" f="v">
      <t c="3">
        <n x="98"/>
        <n x="202"/>
        <n x="189"/>
      </t>
    </mdx>
    <mdx n="0" f="v">
      <t c="3">
        <n x="98"/>
        <n x="202"/>
        <n x="188"/>
      </t>
    </mdx>
    <mdx n="0" f="v">
      <t c="3">
        <n x="98"/>
        <n x="199"/>
        <n x="147"/>
      </t>
    </mdx>
    <mdx n="0" f="v">
      <t c="3">
        <n x="98"/>
        <n x="199"/>
        <n x="182"/>
      </t>
    </mdx>
    <mdx n="0" f="v">
      <t c="3">
        <n x="98"/>
        <n x="199"/>
        <n x="188"/>
      </t>
    </mdx>
    <mdx n="0" f="v">
      <t c="3">
        <n x="98"/>
        <n x="203"/>
        <n x="187"/>
      </t>
    </mdx>
    <mdx n="0" f="v">
      <t c="3">
        <n x="98"/>
        <n x="203"/>
        <n x="186"/>
      </t>
    </mdx>
    <mdx n="0" f="v">
      <t c="3">
        <n x="98"/>
        <n x="202"/>
        <n x="183"/>
      </t>
    </mdx>
    <mdx n="0" f="v">
      <t c="3" si="143">
        <n x="98"/>
        <n x="102"/>
        <n x="184"/>
      </t>
    </mdx>
    <mdx n="0" f="v">
      <t c="3" si="143">
        <n x="98"/>
        <n x="102"/>
        <n x="183"/>
      </t>
    </mdx>
    <mdx n="0" f="v">
      <t c="3" si="143">
        <n x="98"/>
        <n x="102"/>
        <n x="181"/>
      </t>
    </mdx>
    <mdx n="0" f="v">
      <t c="3" si="143">
        <n x="98"/>
        <n x="102"/>
        <n x="185"/>
      </t>
    </mdx>
    <mdx n="0" f="v">
      <t c="3" si="143">
        <n x="98"/>
        <n x="102"/>
        <n x="182"/>
      </t>
    </mdx>
    <mdx n="0" f="v">
      <t c="3" si="143">
        <n x="98"/>
        <n x="102"/>
        <n x="189"/>
      </t>
    </mdx>
    <mdx n="0" f="v">
      <t c="3" si="143">
        <n x="98"/>
        <n x="102"/>
        <n x="188"/>
      </t>
    </mdx>
    <mdx n="0" f="v">
      <t c="3" si="143">
        <n x="98"/>
        <n x="102"/>
        <n x="187"/>
      </t>
    </mdx>
    <mdx n="0" f="v">
      <t c="3" si="143">
        <n x="98"/>
        <n x="102"/>
        <n x="186"/>
      </t>
    </mdx>
    <mdx n="0" f="v">
      <t c="3" si="143">
        <n x="98"/>
        <n x="190"/>
        <n x="181"/>
      </t>
    </mdx>
    <mdx n="0" f="m">
      <t c="1">
        <n x="206"/>
      </t>
    </mdx>
    <mdx n="0" f="v">
      <t c="3">
        <n x="98"/>
        <n x="206"/>
        <n x="147"/>
      </t>
    </mdx>
    <mdx n="0" f="v">
      <t c="3" si="143">
        <n x="98"/>
        <n x="206"/>
        <n x="186"/>
      </t>
    </mdx>
    <mdx n="0" f="v">
      <t c="3">
        <n x="98"/>
        <n x="206"/>
        <n x="187"/>
      </t>
    </mdx>
    <mdx n="0" f="v">
      <t c="3">
        <n x="98"/>
        <n x="206"/>
        <n x="188"/>
      </t>
    </mdx>
    <mdx n="0" f="v">
      <t c="3">
        <n x="98"/>
        <n x="206"/>
        <n x="189"/>
      </t>
    </mdx>
    <mdx n="0" f="v">
      <t c="3" si="143">
        <n x="98"/>
        <n x="206"/>
        <n x="182"/>
      </t>
    </mdx>
    <mdx n="0" f="v">
      <t c="3" si="143">
        <n x="98"/>
        <n x="206"/>
        <n x="185"/>
      </t>
    </mdx>
    <mdx n="0" f="v">
      <t c="3" si="143">
        <n x="98"/>
        <n x="206"/>
        <n x="181"/>
      </t>
    </mdx>
    <mdx n="0" f="v">
      <t c="3">
        <n x="98"/>
        <n x="206"/>
        <n x="183"/>
      </t>
    </mdx>
    <mdx n="0" f="v">
      <t c="3">
        <n x="98"/>
        <n x="206"/>
        <n x="184"/>
      </t>
    </mdx>
    <mdx n="0" f="m">
      <t c="1">
        <n x="207"/>
      </t>
    </mdx>
    <mdx n="0" f="v">
      <t c="3">
        <n x="98"/>
        <n x="207"/>
        <n x="147"/>
      </t>
    </mdx>
    <mdx n="0" f="v">
      <t c="3">
        <n x="98"/>
        <n x="207"/>
        <n x="186"/>
      </t>
    </mdx>
    <mdx n="0" f="v">
      <t c="3">
        <n x="98"/>
        <n x="207"/>
        <n x="187"/>
      </t>
    </mdx>
    <mdx n="0" f="v">
      <t c="3">
        <n x="98"/>
        <n x="207"/>
        <n x="188"/>
      </t>
    </mdx>
    <mdx n="0" f="v">
      <t c="3" si="143">
        <n x="98"/>
        <n x="207"/>
        <n x="189"/>
      </t>
    </mdx>
    <mdx n="0" f="v">
      <t c="3">
        <n x="98"/>
        <n x="207"/>
        <n x="182"/>
      </t>
    </mdx>
    <mdx n="0" f="v">
      <t c="3">
        <n x="98"/>
        <n x="207"/>
        <n x="185"/>
      </t>
    </mdx>
    <mdx n="0" f="v">
      <t c="3">
        <n x="98"/>
        <n x="207"/>
        <n x="181"/>
      </t>
    </mdx>
    <mdx n="0" f="v">
      <t c="3">
        <n x="98"/>
        <n x="207"/>
        <n x="183"/>
      </t>
    </mdx>
    <mdx n="0" f="v">
      <t c="3">
        <n x="98"/>
        <n x="207"/>
        <n x="184"/>
      </t>
    </mdx>
    <mdx n="0" f="m">
      <t c="1">
        <n x="208"/>
      </t>
    </mdx>
    <mdx n="0" f="v">
      <t c="3">
        <n x="98"/>
        <n x="208"/>
        <n x="147"/>
      </t>
    </mdx>
    <mdx n="0" f="v">
      <t c="3">
        <n x="98"/>
        <n x="208"/>
        <n x="182"/>
      </t>
    </mdx>
    <mdx n="0" f="v">
      <t c="3">
        <n x="98"/>
        <n x="208"/>
        <n x="189"/>
      </t>
    </mdx>
    <mdx n="0" f="v">
      <t c="3">
        <n x="98"/>
        <n x="208"/>
        <n x="188"/>
      </t>
    </mdx>
    <mdx n="0" f="v">
      <t c="3">
        <n x="98"/>
        <n x="208"/>
        <n x="181"/>
      </t>
    </mdx>
    <mdx n="0" f="v">
      <t c="3">
        <n x="98"/>
        <n x="208"/>
        <n x="187"/>
      </t>
    </mdx>
    <mdx n="0" f="v">
      <t c="3">
        <n x="98"/>
        <n x="208"/>
        <n x="186"/>
      </t>
    </mdx>
    <mdx n="0" f="v">
      <t c="3" si="143">
        <n x="98"/>
        <n x="208"/>
        <n x="185"/>
      </t>
    </mdx>
    <mdx n="0" f="v">
      <t c="3">
        <n x="98"/>
        <n x="208"/>
        <n x="184"/>
      </t>
    </mdx>
    <mdx n="0" f="v">
      <t c="3">
        <n x="98"/>
        <n x="208"/>
        <n x="183"/>
      </t>
    </mdx>
    <mdx n="0" f="m">
      <t c="1">
        <n x="209"/>
      </t>
    </mdx>
    <mdx n="0" f="v">
      <t c="3">
        <n x="98"/>
        <n x="206"/>
        <n x="209"/>
      </t>
    </mdx>
    <mdx n="0" f="v">
      <t c="3">
        <n x="98"/>
        <n x="141"/>
        <n x="209"/>
      </t>
    </mdx>
    <mdx n="0" f="v">
      <t c="3">
        <n x="98"/>
        <n x="207"/>
        <n x="209"/>
      </t>
    </mdx>
    <mdx n="0" f="v">
      <t c="3">
        <n x="98"/>
        <n x="152"/>
        <n x="209"/>
      </t>
    </mdx>
    <mdx n="0" f="v">
      <t c="3" si="143">
        <n x="98"/>
        <n x="144"/>
        <n x="209"/>
      </t>
    </mdx>
    <mdx n="0" f="v">
      <t c="3">
        <n x="98"/>
        <n x="208"/>
        <n x="209"/>
      </t>
    </mdx>
    <mdx n="0" f="m">
      <t c="1">
        <n x="210"/>
      </t>
    </mdx>
    <mdx n="0" f="v">
      <t c="3" si="143">
        <n x="98"/>
        <n x="206"/>
        <n x="210"/>
      </t>
    </mdx>
    <mdx n="0" f="v">
      <t c="3">
        <n x="98"/>
        <n x="208"/>
        <n x="210"/>
      </t>
    </mdx>
    <mdx n="0" f="v">
      <t c="3">
        <n x="98"/>
        <n x="152"/>
        <n x="210"/>
      </t>
    </mdx>
    <mdx n="0" f="v">
      <t c="3">
        <n x="98"/>
        <n x="207"/>
        <n x="210"/>
      </t>
    </mdx>
    <mdx n="0" f="v">
      <t c="3">
        <n x="98"/>
        <n x="144"/>
        <n x="210"/>
      </t>
    </mdx>
    <mdx n="0" f="v">
      <t c="3">
        <n x="98"/>
        <n x="141"/>
        <n x="210"/>
      </t>
    </mdx>
    <mdx n="0" f="m">
      <t c="1">
        <n x="211"/>
      </t>
    </mdx>
    <mdx n="0" f="v">
      <t c="3" si="143">
        <n x="98"/>
        <n x="206"/>
        <n x="211"/>
      </t>
    </mdx>
    <mdx n="0" f="v">
      <t c="3" si="143">
        <n x="98"/>
        <n x="141"/>
        <n x="211"/>
      </t>
    </mdx>
    <mdx n="0" f="v">
      <t c="3" si="143">
        <n x="98"/>
        <n x="208"/>
        <n x="211"/>
      </t>
    </mdx>
    <mdx n="0" f="v">
      <t c="3">
        <n x="98"/>
        <n x="152"/>
        <n x="211"/>
      </t>
    </mdx>
    <mdx n="0" f="v">
      <t c="3" si="143">
        <n x="98"/>
        <n x="144"/>
        <n x="211"/>
      </t>
    </mdx>
    <mdx n="0" f="v">
      <t c="3">
        <n x="98"/>
        <n x="207"/>
        <n x="211"/>
      </t>
    </mdx>
    <mdx n="0" f="m">
      <t c="1">
        <n x="212"/>
      </t>
    </mdx>
    <mdx n="0" f="v">
      <t c="3">
        <n x="98"/>
        <n x="206"/>
        <n x="212"/>
      </t>
    </mdx>
    <mdx n="0" f="v">
      <t c="3" si="143">
        <n x="98"/>
        <n x="207"/>
        <n x="212"/>
      </t>
    </mdx>
    <mdx n="0" f="v">
      <t c="3">
        <n x="98"/>
        <n x="141"/>
        <n x="212"/>
      </t>
    </mdx>
    <mdx n="0" f="v">
      <t c="3">
        <n x="98"/>
        <n x="208"/>
        <n x="212"/>
      </t>
    </mdx>
    <mdx n="0" f="v">
      <t c="3">
        <n x="98"/>
        <n x="152"/>
        <n x="212"/>
      </t>
    </mdx>
    <mdx n="0" f="v">
      <t c="3">
        <n x="98"/>
        <n x="144"/>
        <n x="212"/>
      </t>
    </mdx>
    <mdx n="0" f="m">
      <t c="1">
        <n x="213"/>
      </t>
    </mdx>
    <mdx n="0" f="v">
      <t c="3">
        <n x="98"/>
        <n x="206"/>
        <n x="213"/>
      </t>
    </mdx>
    <mdx n="0" f="v">
      <t c="3">
        <n x="98"/>
        <n x="208"/>
        <n x="213"/>
      </t>
    </mdx>
    <mdx n="0" f="v">
      <t c="3" si="143">
        <n x="98"/>
        <n x="144"/>
        <n x="213"/>
      </t>
    </mdx>
    <mdx n="0" f="v">
      <t c="3">
        <n x="98"/>
        <n x="207"/>
        <n x="213"/>
      </t>
    </mdx>
    <mdx n="0" f="v">
      <t c="3">
        <n x="98"/>
        <n x="152"/>
        <n x="213"/>
      </t>
    </mdx>
    <mdx n="0" f="v">
      <t c="3">
        <n x="98"/>
        <n x="141"/>
        <n x="213"/>
      </t>
    </mdx>
    <mdx n="0" f="m">
      <t c="1">
        <n x="214"/>
      </t>
    </mdx>
    <mdx n="0" f="v">
      <t c="3">
        <n x="98"/>
        <n x="206"/>
        <n x="214"/>
      </t>
    </mdx>
    <mdx n="0" f="v">
      <t c="3">
        <n x="98"/>
        <n x="208"/>
        <n x="214"/>
      </t>
    </mdx>
    <mdx n="0" f="v">
      <t c="3">
        <n x="98"/>
        <n x="207"/>
        <n x="214"/>
      </t>
    </mdx>
    <mdx n="0" f="v">
      <t c="3">
        <n x="98"/>
        <n x="144"/>
        <n x="214"/>
      </t>
    </mdx>
    <mdx n="0" f="v">
      <t c="3" si="143">
        <n x="98"/>
        <n x="141"/>
        <n x="214"/>
      </t>
    </mdx>
    <mdx n="0" f="v">
      <t c="3">
        <n x="98"/>
        <n x="152"/>
        <n x="214"/>
      </t>
    </mdx>
    <mdx n="0" f="m">
      <t c="1">
        <n x="215"/>
      </t>
    </mdx>
    <mdx n="0" f="v">
      <t c="3">
        <n x="98"/>
        <n x="206"/>
        <n x="215"/>
      </t>
    </mdx>
    <mdx n="0" f="v">
      <t c="3">
        <n x="98"/>
        <n x="207"/>
        <n x="215"/>
      </t>
    </mdx>
    <mdx n="0" f="v">
      <t c="3">
        <n x="98"/>
        <n x="208"/>
        <n x="215"/>
      </t>
    </mdx>
    <mdx n="0" f="v">
      <t c="3">
        <n x="98"/>
        <n x="144"/>
        <n x="215"/>
      </t>
    </mdx>
    <mdx n="0" f="v">
      <t c="3">
        <n x="98"/>
        <n x="152"/>
        <n x="215"/>
      </t>
    </mdx>
    <mdx n="0" f="v">
      <t c="3" si="143">
        <n x="98"/>
        <n x="141"/>
        <n x="215"/>
      </t>
    </mdx>
    <mdx n="0" f="m">
      <t c="1">
        <n x="216"/>
      </t>
    </mdx>
    <mdx n="0" f="v">
      <t c="3">
        <n x="98"/>
        <n x="206"/>
        <n x="216"/>
      </t>
    </mdx>
    <mdx n="0" f="v">
      <t c="3">
        <n x="98"/>
        <n x="141"/>
        <n x="216"/>
      </t>
    </mdx>
    <mdx n="0" f="v">
      <t c="3">
        <n x="98"/>
        <n x="207"/>
        <n x="216"/>
      </t>
    </mdx>
    <mdx n="0" f="v">
      <t c="3">
        <n x="98"/>
        <n x="144"/>
        <n x="216"/>
      </t>
    </mdx>
    <mdx n="0" f="v">
      <t c="3" si="143">
        <n x="98"/>
        <n x="152"/>
        <n x="216"/>
      </t>
    </mdx>
    <mdx n="0" f="v">
      <t c="3">
        <n x="98"/>
        <n x="208"/>
        <n x="216"/>
      </t>
    </mdx>
    <mdx n="0" f="v">
      <t c="3">
        <n x="100"/>
        <n x="140"/>
        <n x="173"/>
      </t>
    </mdx>
    <mdx n="0" f="m">
      <t c="1">
        <n x="217"/>
      </t>
    </mdx>
    <mdx n="0" f="v">
      <t c="6">
        <n x="81" s="1"/>
        <n x="24" s="1"/>
        <n x="21"/>
        <n x="61"/>
        <n x="17"/>
        <n x="217"/>
      </t>
    </mdx>
    <mdx n="0" f="v">
      <t c="7">
        <n x="81" s="1"/>
        <n x="24" s="1"/>
        <n x="21"/>
        <n x="26"/>
        <n x="44"/>
        <n x="11"/>
        <n x="217"/>
      </t>
    </mdx>
    <mdx n="0" f="v">
      <t c="7">
        <n x="81" s="1"/>
        <n x="24" s="1"/>
        <n x="21"/>
        <n x="26"/>
        <n x="56"/>
        <n x="12"/>
        <n x="217"/>
      </t>
    </mdx>
    <mdx n="0" f="v">
      <t c="6">
        <n x="81" s="1"/>
        <n x="24" s="1"/>
        <n x="21"/>
        <n x="32"/>
        <n x="7"/>
        <n x="217"/>
      </t>
    </mdx>
    <mdx n="0" f="v">
      <t c="7">
        <n x="81" s="1"/>
        <n x="24" s="1"/>
        <n x="21"/>
        <n x="29"/>
        <n x="30"/>
        <n x="9"/>
        <n x="217"/>
      </t>
    </mdx>
    <mdx n="0" f="v">
      <t c="7">
        <n x="81" s="1"/>
        <n x="24" s="1"/>
        <n x="21"/>
        <n x="29"/>
        <n x="59"/>
        <n x="7"/>
        <n x="217"/>
      </t>
    </mdx>
    <mdx n="0" f="v">
      <t c="7">
        <n x="81" s="1"/>
        <n x="24" s="1"/>
        <n x="21"/>
        <n x="62"/>
        <n x="73"/>
        <n x="7"/>
        <n x="217"/>
      </t>
    </mdx>
    <mdx n="0" f="v">
      <t c="7">
        <n x="81" s="1"/>
        <n x="24" s="1"/>
        <n x="21"/>
        <n x="29"/>
        <n x="59"/>
        <n x="10"/>
        <n x="217"/>
      </t>
    </mdx>
    <mdx n="0" f="v">
      <t c="7">
        <n x="81" s="1"/>
        <n x="24" s="1"/>
        <n x="21"/>
        <n x="28"/>
        <n x="55"/>
        <n x="11"/>
        <n x="217"/>
      </t>
    </mdx>
    <mdx n="0" f="v">
      <t c="7">
        <n x="81" s="1"/>
        <n x="24" s="1"/>
        <n x="21"/>
        <n x="29"/>
        <n x="50"/>
        <n x="17"/>
        <n x="217"/>
      </t>
    </mdx>
    <mdx n="0" f="v">
      <t c="7">
        <n x="81" s="1"/>
        <n x="24" s="1"/>
        <n x="21"/>
        <n x="36"/>
        <n x="37"/>
        <n x="10"/>
        <n x="217"/>
      </t>
    </mdx>
    <mdx n="0" f="v">
      <t c="7">
        <n x="81" s="1"/>
        <n x="24" s="1"/>
        <n x="21"/>
        <n x="32"/>
        <n x="66"/>
        <n x="17"/>
        <n x="217"/>
      </t>
    </mdx>
    <mdx n="0" f="v">
      <t c="6">
        <n x="81" s="1"/>
        <n x="24" s="1"/>
        <n x="21"/>
        <n x="48"/>
        <n x="11"/>
        <n x="217"/>
      </t>
    </mdx>
    <mdx n="0" f="v">
      <t c="7">
        <n x="81" s="1"/>
        <n x="24" s="1"/>
        <n x="21"/>
        <n x="26"/>
        <n x="60"/>
        <n x="8"/>
        <n x="217"/>
      </t>
    </mdx>
    <mdx n="0" f="v">
      <t c="7">
        <n x="81" s="1"/>
        <n x="24" s="1"/>
        <n x="21"/>
        <n x="26"/>
        <n x="38"/>
        <n x="12"/>
        <n x="217"/>
      </t>
    </mdx>
    <mdx n="0" f="v">
      <t c="7">
        <n x="81" s="1"/>
        <n x="24" s="1"/>
        <n x="21"/>
        <n x="36"/>
        <n x="37"/>
        <n x="8"/>
        <n x="217"/>
      </t>
    </mdx>
    <mdx n="0" f="v">
      <t c="7">
        <n x="81" s="1"/>
        <n x="24" s="1"/>
        <n x="21"/>
        <n x="29"/>
        <n x="45"/>
        <n x="11"/>
        <n x="217"/>
      </t>
    </mdx>
    <mdx n="0" f="v">
      <t c="7">
        <n x="81" s="1"/>
        <n x="24" s="1"/>
        <n x="21"/>
        <n x="28"/>
        <n x="55"/>
        <n x="6"/>
        <n x="217"/>
      </t>
    </mdx>
    <mdx n="0" f="v">
      <t c="7">
        <n x="81" s="1"/>
        <n x="24" s="1"/>
        <n x="21"/>
        <n x="32"/>
        <n x="70"/>
        <n x="10"/>
        <n x="217"/>
      </t>
    </mdx>
    <mdx n="0" f="v">
      <t c="7">
        <n x="81" s="1"/>
        <n x="24" s="1"/>
        <n x="21"/>
        <n x="29"/>
        <n x="35"/>
        <n x="7"/>
        <n x="217"/>
      </t>
    </mdx>
    <mdx n="0" f="v">
      <t c="6">
        <n x="81" s="1"/>
        <n x="24" s="1"/>
        <n x="21"/>
        <n x="36"/>
        <n x="16"/>
        <n x="217"/>
      </t>
    </mdx>
    <mdx n="0" f="v">
      <t c="7">
        <n x="81" s="1"/>
        <n x="24" s="1"/>
        <n x="21"/>
        <n x="29"/>
        <n x="40"/>
        <n x="6"/>
        <n x="217"/>
      </t>
    </mdx>
    <mdx n="0" f="v">
      <t c="6">
        <n x="81" s="1"/>
        <n x="24" s="1"/>
        <n x="21"/>
        <n x="26"/>
        <n x="10"/>
        <n x="217"/>
      </t>
    </mdx>
    <mdx n="0" f="v">
      <t c="7">
        <n x="81" s="1"/>
        <n x="24" s="1"/>
        <n x="21"/>
        <n x="62"/>
        <n x="74"/>
        <n x="16"/>
        <n x="217"/>
      </t>
    </mdx>
    <mdx n="0" f="v">
      <t c="7">
        <n x="81" s="1"/>
        <n x="24" s="1"/>
        <n x="21"/>
        <n x="26"/>
        <n x="46"/>
        <n x="17"/>
        <n x="217"/>
      </t>
    </mdx>
    <mdx n="0" f="v">
      <t c="7">
        <n x="81" s="1"/>
        <n x="24" s="1"/>
        <n x="21"/>
        <n x="29"/>
        <n x="40"/>
        <n x="8"/>
        <n x="217"/>
      </t>
    </mdx>
    <mdx n="0" f="v">
      <t c="7">
        <n x="81" s="1"/>
        <n x="24" s="1"/>
        <n x="21"/>
        <n x="32"/>
        <n x="68"/>
        <n x="14"/>
        <n x="217"/>
      </t>
    </mdx>
    <mdx n="0" f="v">
      <t c="6">
        <n x="81" s="1"/>
        <n x="24" s="1"/>
        <n x="21"/>
        <n x="48"/>
        <n x="16"/>
        <n x="217"/>
      </t>
    </mdx>
    <mdx n="0" f="v">
      <t c="7">
        <n x="81" s="1"/>
        <n x="24" s="1"/>
        <n x="21"/>
        <n x="32"/>
        <n x="70"/>
        <n x="11"/>
        <n x="217"/>
      </t>
    </mdx>
    <mdx n="0" f="v">
      <t c="7">
        <n x="81" s="1"/>
        <n x="24" s="1"/>
        <n x="21"/>
        <n x="26"/>
        <n x="46"/>
        <n x="14"/>
        <n x="217"/>
      </t>
    </mdx>
    <mdx n="0" f="v">
      <t c="6">
        <n x="81" s="1"/>
        <n x="24" s="1"/>
        <n x="21"/>
        <n x="26"/>
        <n x="6"/>
        <n x="217"/>
      </t>
    </mdx>
    <mdx n="0" f="v">
      <t c="7">
        <n x="81" s="1"/>
        <n x="24" s="1"/>
        <n x="21"/>
        <n x="29"/>
        <n x="43"/>
        <n x="17"/>
        <n x="217"/>
      </t>
    </mdx>
    <mdx n="0" f="v">
      <t c="7">
        <n x="81" s="1"/>
        <n x="24" s="1"/>
        <n x="21"/>
        <n x="28"/>
        <n x="53"/>
        <n x="16"/>
        <n x="217"/>
      </t>
    </mdx>
    <mdx n="0" f="v">
      <t c="7">
        <n x="81" s="1"/>
        <n x="24" s="1"/>
        <n x="21"/>
        <n x="26"/>
        <n x="38"/>
        <n x="10"/>
        <n x="217"/>
      </t>
    </mdx>
    <mdx n="0" f="v">
      <t c="7">
        <n x="81" s="1"/>
        <n x="24" s="1"/>
        <n x="21"/>
        <n x="32"/>
        <n x="68"/>
        <n x="17"/>
        <n x="217"/>
      </t>
    </mdx>
    <mdx n="0" f="v">
      <t c="7">
        <n x="81" s="1"/>
        <n x="24" s="1"/>
        <n x="21"/>
        <n x="32"/>
        <n x="66"/>
        <n x="7"/>
        <n x="217"/>
      </t>
    </mdx>
    <mdx n="0" f="v">
      <t c="6">
        <n x="81" s="1"/>
        <n x="24" s="1"/>
        <n x="21"/>
        <n x="26"/>
        <n x="9"/>
        <n x="217"/>
      </t>
    </mdx>
    <mdx n="0" f="v">
      <t c="7">
        <n x="81" s="1"/>
        <n x="24" s="1"/>
        <n x="21"/>
        <n x="29"/>
        <n x="40"/>
        <n x="12"/>
        <n x="217"/>
      </t>
    </mdx>
    <mdx n="0" f="v">
      <t c="7">
        <n x="81" s="1"/>
        <n x="24" s="1"/>
        <n x="21"/>
        <n x="26"/>
        <n x="31"/>
        <n x="11"/>
        <n x="217"/>
      </t>
    </mdx>
    <mdx n="0" f="v">
      <t c="7">
        <n x="81" s="1"/>
        <n x="24" s="1"/>
        <n x="21"/>
        <n x="62"/>
        <n x="73"/>
        <n x="25"/>
        <n x="217"/>
      </t>
    </mdx>
    <mdx n="0" f="v">
      <t c="7">
        <n x="81" s="1"/>
        <n x="24" s="1"/>
        <n x="21"/>
        <n x="29"/>
        <n x="51"/>
        <n x="15"/>
        <n x="217"/>
      </t>
    </mdx>
    <mdx n="0" f="v">
      <t c="7">
        <n x="81" s="1"/>
        <n x="24" s="1"/>
        <n x="21"/>
        <n x="26"/>
        <n x="44"/>
        <n x="14"/>
        <n x="217"/>
      </t>
    </mdx>
    <mdx n="0" f="v">
      <t c="7">
        <n x="81" s="1"/>
        <n x="24" s="1"/>
        <n x="21"/>
        <n x="29"/>
        <n x="40"/>
        <n x="17"/>
        <n x="217"/>
      </t>
    </mdx>
    <mdx n="0" f="v">
      <t c="7">
        <n x="81" s="1"/>
        <n x="24" s="1"/>
        <n x="21"/>
        <n x="29"/>
        <n x="54"/>
        <n x="12"/>
        <n x="217"/>
      </t>
    </mdx>
    <mdx n="0" f="v">
      <t c="7">
        <n x="81" s="1"/>
        <n x="24" s="1"/>
        <n x="21"/>
        <n x="29"/>
        <n x="47"/>
        <n x="7"/>
        <n x="217"/>
      </t>
    </mdx>
    <mdx n="0" f="v">
      <t c="7">
        <n x="81" s="1"/>
        <n x="24" s="1"/>
        <n x="21"/>
        <n x="29"/>
        <n x="54"/>
        <n x="6"/>
        <n x="217"/>
      </t>
    </mdx>
    <mdx n="0" f="v">
      <t c="7">
        <n x="81" s="1"/>
        <n x="24" s="1"/>
        <n x="21"/>
        <n x="29"/>
        <n x="40"/>
        <n x="16"/>
        <n x="217"/>
      </t>
    </mdx>
    <mdx n="0" f="v">
      <t c="7">
        <n x="81" s="1"/>
        <n x="24" s="1"/>
        <n x="21"/>
        <n x="26"/>
        <n x="69"/>
        <n x="11"/>
        <n x="217"/>
      </t>
    </mdx>
    <mdx n="0" f="v">
      <t c="6">
        <n x="81" s="1"/>
        <n x="24" s="1"/>
        <n x="21"/>
        <n x="28"/>
        <n x="17"/>
        <n x="217"/>
      </t>
    </mdx>
    <mdx n="0" f="v">
      <t c="7">
        <n x="81" s="1"/>
        <n x="24" s="1"/>
        <n x="21"/>
        <n x="26"/>
        <n x="34"/>
        <n x="13"/>
        <n x="217"/>
      </t>
    </mdx>
    <mdx n="0" f="v">
      <t c="7">
        <n x="81" s="1"/>
        <n x="24" s="1"/>
        <n x="21"/>
        <n x="26"/>
        <n x="52"/>
        <n x="12"/>
        <n x="217"/>
      </t>
    </mdx>
    <mdx n="0" f="v">
      <t c="7">
        <n x="81" s="1"/>
        <n x="24" s="1"/>
        <n x="21"/>
        <n x="36"/>
        <n x="37"/>
        <n x="11"/>
        <n x="217"/>
      </t>
    </mdx>
    <mdx n="0" f="v">
      <t c="7">
        <n x="81" s="1"/>
        <n x="24" s="1"/>
        <n x="21"/>
        <n x="28"/>
        <n x="55"/>
        <n x="9"/>
        <n x="217"/>
      </t>
    </mdx>
    <mdx n="0" f="v">
      <t c="7">
        <n x="81" s="1"/>
        <n x="24" s="1"/>
        <n x="21"/>
        <n x="26"/>
        <n x="31"/>
        <n x="7"/>
        <n x="217"/>
      </t>
    </mdx>
    <mdx n="0" f="v">
      <t c="7">
        <n x="81" s="1"/>
        <n x="24" s="1"/>
        <n x="21"/>
        <n x="32"/>
        <n x="33"/>
        <n x="13"/>
        <n x="217"/>
      </t>
    </mdx>
    <mdx n="0" f="v">
      <t c="7">
        <n x="81" s="1"/>
        <n x="24" s="1"/>
        <n x="21"/>
        <n x="29"/>
        <n x="43"/>
        <n x="13"/>
        <n x="217"/>
      </t>
    </mdx>
    <mdx n="0" f="v">
      <t c="7">
        <n x="81" s="1"/>
        <n x="24" s="1"/>
        <n x="21"/>
        <n x="29"/>
        <n x="40"/>
        <n x="9"/>
        <n x="217"/>
      </t>
    </mdx>
    <mdx n="0" f="v">
      <t c="7">
        <n x="81" s="1"/>
        <n x="24" s="1"/>
        <n x="21"/>
        <n x="62"/>
        <n x="74"/>
        <n x="15"/>
        <n x="217"/>
      </t>
    </mdx>
    <mdx n="0" f="v">
      <t c="7">
        <n x="81" s="1"/>
        <n x="24" s="1"/>
        <n x="21"/>
        <n x="32"/>
        <n x="63"/>
        <n x="9"/>
        <n x="217"/>
      </t>
    </mdx>
    <mdx n="0" f="v">
      <t c="7">
        <n x="81" s="1"/>
        <n x="24" s="1"/>
        <n x="21"/>
        <n x="29"/>
        <n x="50"/>
        <n x="15"/>
        <n x="217"/>
      </t>
    </mdx>
    <mdx n="0" f="v">
      <t c="7">
        <n x="81" s="1"/>
        <n x="24" s="1"/>
        <n x="21"/>
        <n x="28"/>
        <n x="58"/>
        <n x="17"/>
        <n x="217"/>
      </t>
    </mdx>
    <mdx n="0" f="v">
      <t c="7">
        <n x="81" s="1"/>
        <n x="24" s="1"/>
        <n x="21"/>
        <n x="26"/>
        <n x="67"/>
        <n x="11"/>
        <n x="217"/>
      </t>
    </mdx>
    <mdx n="0" f="v">
      <t c="7">
        <n x="81" s="1"/>
        <n x="24" s="1"/>
        <n x="21"/>
        <n x="26"/>
        <n x="34"/>
        <n x="14"/>
        <n x="217"/>
      </t>
    </mdx>
    <mdx n="0" f="v">
      <t c="6">
        <n x="81" s="1"/>
        <n x="24" s="1"/>
        <n x="21"/>
        <n x="26"/>
        <n x="16"/>
        <n x="217"/>
      </t>
    </mdx>
    <mdx n="0" f="v">
      <t c="7">
        <n x="81" s="1"/>
        <n x="24" s="1"/>
        <n x="21"/>
        <n x="29"/>
        <n x="51"/>
        <n x="25"/>
        <n x="217"/>
      </t>
    </mdx>
    <mdx n="0" f="v">
      <t c="7">
        <n x="81" s="1"/>
        <n x="24" s="1"/>
        <n x="21"/>
        <n x="26"/>
        <n x="27"/>
        <n x="17"/>
        <n x="217"/>
      </t>
    </mdx>
    <mdx n="0" f="v">
      <t c="7">
        <n x="81" s="1"/>
        <n x="24" s="1"/>
        <n x="21"/>
        <n x="29"/>
        <n x="35"/>
        <n x="14"/>
        <n x="217"/>
      </t>
    </mdx>
    <mdx n="0" f="v">
      <t c="6">
        <n x="81" s="1"/>
        <n x="24" s="1"/>
        <n x="21"/>
        <n x="65"/>
        <n x="11"/>
        <n x="217"/>
      </t>
    </mdx>
    <mdx n="0" f="v">
      <t c="7">
        <n x="81" s="1"/>
        <n x="24" s="1"/>
        <n x="21"/>
        <n x="29"/>
        <n x="50"/>
        <n x="8"/>
        <n x="217"/>
      </t>
    </mdx>
    <mdx n="0" f="v">
      <t c="7">
        <n x="81" s="1"/>
        <n x="24" s="1"/>
        <n x="21"/>
        <n x="26"/>
        <n x="46"/>
        <n x="15"/>
        <n x="217"/>
      </t>
    </mdx>
    <mdx n="0" f="v">
      <t c="7">
        <n x="81" s="1"/>
        <n x="24" s="1"/>
        <n x="21"/>
        <n x="29"/>
        <n x="51"/>
        <n x="17"/>
        <n x="217"/>
      </t>
    </mdx>
    <mdx n="0" f="v">
      <t c="7">
        <n x="81" s="1"/>
        <n x="24" s="1"/>
        <n x="21"/>
        <n x="36"/>
        <n x="37"/>
        <n x="9"/>
        <n x="217"/>
      </t>
    </mdx>
    <mdx n="0" f="v">
      <t c="7">
        <n x="81" s="1"/>
        <n x="24" s="1"/>
        <n x="21"/>
        <n x="29"/>
        <n x="54"/>
        <n x="17"/>
        <n x="217"/>
      </t>
    </mdx>
    <mdx n="0" f="v">
      <t c="7">
        <n x="81" s="1"/>
        <n x="24" s="1"/>
        <n x="21"/>
        <n x="62"/>
        <n x="74"/>
        <n x="17"/>
        <n x="217"/>
      </t>
    </mdx>
    <mdx n="0" f="v">
      <t c="7">
        <n x="81" s="1"/>
        <n x="24" s="1"/>
        <n x="21"/>
        <n x="32"/>
        <n x="70"/>
        <n x="9"/>
        <n x="217"/>
      </t>
    </mdx>
    <mdx n="0" f="v">
      <t c="7">
        <n x="81" s="1"/>
        <n x="24" s="1"/>
        <n x="21"/>
        <n x="26"/>
        <n x="38"/>
        <n x="14"/>
        <n x="217"/>
      </t>
    </mdx>
    <mdx n="0" f="v">
      <t c="6">
        <n x="81" s="1"/>
        <n x="24" s="1"/>
        <n x="21"/>
        <n x="32"/>
        <n x="11"/>
        <n x="217"/>
      </t>
    </mdx>
    <mdx n="0" f="v">
      <t c="7">
        <n x="81" s="1"/>
        <n x="24" s="1"/>
        <n x="21"/>
        <n x="26"/>
        <n x="46"/>
        <n x="13"/>
        <n x="217"/>
      </t>
    </mdx>
    <mdx n="0" f="v">
      <t c="7">
        <n x="81" s="1"/>
        <n x="24" s="1"/>
        <n x="21"/>
        <n x="26"/>
        <n x="60"/>
        <n x="25"/>
        <n x="217"/>
      </t>
    </mdx>
    <mdx n="0" f="v">
      <t c="7">
        <n x="81" s="1"/>
        <n x="24" s="1"/>
        <n x="21"/>
        <n x="26"/>
        <n x="41"/>
        <n x="9"/>
        <n x="217"/>
      </t>
    </mdx>
    <mdx n="0" f="v">
      <t c="6">
        <n x="81" s="1"/>
        <n x="24" s="1"/>
        <n x="21"/>
        <n x="29"/>
        <n x="25"/>
        <n x="217"/>
      </t>
    </mdx>
    <mdx n="0" f="v">
      <t c="7">
        <n x="81" s="1"/>
        <n x="24" s="1"/>
        <n x="21"/>
        <n x="29"/>
        <n x="59"/>
        <n x="14"/>
        <n x="217"/>
      </t>
    </mdx>
    <mdx n="0" f="v">
      <t c="7">
        <n x="81" s="1"/>
        <n x="24" s="1"/>
        <n x="21"/>
        <n x="26"/>
        <n x="38"/>
        <n x="11"/>
        <n x="217"/>
      </t>
    </mdx>
    <mdx n="0" f="v">
      <t c="7">
        <n x="81" s="1"/>
        <n x="24" s="1"/>
        <n x="21"/>
        <n x="26"/>
        <n x="31"/>
        <n x="8"/>
        <n x="217"/>
      </t>
    </mdx>
    <mdx n="0" f="v">
      <t c="7">
        <n x="81" s="1"/>
        <n x="24" s="1"/>
        <n x="21"/>
        <n x="26"/>
        <n x="67"/>
        <n x="12"/>
        <n x="217"/>
      </t>
    </mdx>
    <mdx n="0" f="v">
      <t c="7">
        <n x="81" s="1"/>
        <n x="24" s="1"/>
        <n x="21"/>
        <n x="26"/>
        <n x="38"/>
        <n x="15"/>
        <n x="217"/>
      </t>
    </mdx>
    <mdx n="0" f="v">
      <t c="6">
        <n x="81" s="1"/>
        <n x="24" s="1"/>
        <n x="21"/>
        <n x="29"/>
        <n x="9"/>
        <n x="217"/>
      </t>
    </mdx>
    <mdx n="0" f="v">
      <t c="7">
        <n x="81" s="1"/>
        <n x="24" s="1"/>
        <n x="21"/>
        <n x="28"/>
        <n x="55"/>
        <n x="14"/>
        <n x="217"/>
      </t>
    </mdx>
    <mdx n="0" f="v">
      <t c="7">
        <n x="81" s="1"/>
        <n x="24" s="1"/>
        <n x="21"/>
        <n x="36"/>
        <n x="37"/>
        <n x="13"/>
        <n x="217"/>
      </t>
    </mdx>
    <mdx n="0" f="v">
      <t c="7">
        <n x="81" s="1"/>
        <n x="24" s="1"/>
        <n x="21"/>
        <n x="28"/>
        <n x="42"/>
        <n x="13"/>
        <n x="217"/>
      </t>
    </mdx>
    <mdx n="0" f="v">
      <t c="7">
        <n x="81" s="1"/>
        <n x="24" s="1"/>
        <n x="21"/>
        <n x="28"/>
        <n x="53"/>
        <n x="12"/>
        <n x="217"/>
      </t>
    </mdx>
    <mdx n="0" f="v">
      <t c="7">
        <n x="81" s="1"/>
        <n x="24" s="1"/>
        <n x="21"/>
        <n x="62"/>
        <n x="72"/>
        <n x="7"/>
        <n x="217"/>
      </t>
    </mdx>
    <mdx n="0" f="v">
      <t c="7">
        <n x="81" s="1"/>
        <n x="24" s="1"/>
        <n x="21"/>
        <n x="32"/>
        <n x="68"/>
        <n x="8"/>
        <n x="217"/>
      </t>
    </mdx>
    <mdx n="0" f="v">
      <t c="7">
        <n x="81" s="1"/>
        <n x="24" s="1"/>
        <n x="21"/>
        <n x="26"/>
        <n x="56"/>
        <n x="15"/>
        <n x="217"/>
      </t>
    </mdx>
    <mdx n="0" f="v">
      <t c="7">
        <n x="81" s="1"/>
        <n x="24" s="1"/>
        <n x="21"/>
        <n x="48"/>
        <n x="49"/>
        <n x="25"/>
        <n x="217"/>
      </t>
    </mdx>
    <mdx n="0" f="v">
      <t c="7">
        <n x="81" s="1"/>
        <n x="24" s="1"/>
        <n x="21"/>
        <n x="26"/>
        <n x="38"/>
        <n x="13"/>
        <n x="217"/>
      </t>
    </mdx>
    <mdx n="0" f="v">
      <t c="7">
        <n x="81" s="1"/>
        <n x="24" s="1"/>
        <n x="21"/>
        <n x="28"/>
        <n x="58"/>
        <n x="25"/>
        <n x="217"/>
      </t>
    </mdx>
    <mdx n="0" f="v">
      <t c="7">
        <n x="81" s="1"/>
        <n x="24" s="1"/>
        <n x="21"/>
        <n x="29"/>
        <n x="71"/>
        <n x="10"/>
        <n x="217"/>
      </t>
    </mdx>
    <mdx n="0" f="v">
      <t c="7">
        <n x="81" s="1"/>
        <n x="24" s="1"/>
        <n x="21"/>
        <n x="29"/>
        <n x="35"/>
        <n x="10"/>
        <n x="217"/>
      </t>
    </mdx>
    <mdx n="0" f="v">
      <t c="7">
        <n x="81" s="1"/>
        <n x="24" s="1"/>
        <n x="21"/>
        <n x="28"/>
        <n x="42"/>
        <n x="7"/>
        <n x="217"/>
      </t>
    </mdx>
    <mdx n="0" f="v">
      <t c="7">
        <n x="81" s="1"/>
        <n x="24" s="1"/>
        <n x="21"/>
        <n x="26"/>
        <n x="69"/>
        <n x="9"/>
        <n x="217"/>
      </t>
    </mdx>
    <mdx n="0" f="v">
      <t c="6">
        <n x="81" s="1"/>
        <n x="24" s="1"/>
        <n x="21"/>
        <n x="32"/>
        <n x="12"/>
        <n x="217"/>
      </t>
    </mdx>
    <mdx n="0" f="v">
      <t c="7">
        <n x="81" s="1"/>
        <n x="24" s="1"/>
        <n x="21"/>
        <n x="28"/>
        <n x="55"/>
        <n x="12"/>
        <n x="217"/>
      </t>
    </mdx>
    <mdx n="0" f="v">
      <t c="7">
        <n x="81" s="1"/>
        <n x="24" s="1"/>
        <n x="21"/>
        <n x="32"/>
        <n x="63"/>
        <n x="15"/>
        <n x="217"/>
      </t>
    </mdx>
    <mdx n="0" f="v">
      <t c="7">
        <n x="81" s="1"/>
        <n x="24" s="1"/>
        <n x="21"/>
        <n x="29"/>
        <n x="54"/>
        <n x="8"/>
        <n x="217"/>
      </t>
    </mdx>
    <mdx n="0" f="v">
      <t c="7">
        <n x="81" s="1"/>
        <n x="24" s="1"/>
        <n x="21"/>
        <n x="28"/>
        <n x="58"/>
        <n x="6"/>
        <n x="217"/>
      </t>
    </mdx>
    <mdx n="0" f="v">
      <t c="7">
        <n x="81" s="1"/>
        <n x="24" s="1"/>
        <n x="21"/>
        <n x="32"/>
        <n x="70"/>
        <n x="12"/>
        <n x="217"/>
      </t>
    </mdx>
    <mdx n="0" f="v">
      <t c="7">
        <n x="81" s="1"/>
        <n x="24" s="1"/>
        <n x="21"/>
        <n x="32"/>
        <n x="68"/>
        <n x="16"/>
        <n x="217"/>
      </t>
    </mdx>
    <mdx n="0" f="v">
      <t c="7">
        <n x="81" s="1"/>
        <n x="24" s="1"/>
        <n x="21"/>
        <n x="28"/>
        <n x="55"/>
        <n x="10"/>
        <n x="217"/>
      </t>
    </mdx>
    <mdx n="0" f="v">
      <t c="7">
        <n x="81" s="1"/>
        <n x="24" s="1"/>
        <n x="21"/>
        <n x="48"/>
        <n x="64"/>
        <n x="16"/>
        <n x="217"/>
      </t>
    </mdx>
    <mdx n="0" f="v">
      <t c="7">
        <n x="81" s="1"/>
        <n x="24" s="1"/>
        <n x="21"/>
        <n x="26"/>
        <n x="67"/>
        <n x="14"/>
        <n x="217"/>
      </t>
    </mdx>
    <mdx n="0" f="v">
      <t c="7">
        <n x="81" s="1"/>
        <n x="24" s="1"/>
        <n x="21"/>
        <n x="32"/>
        <n x="66"/>
        <n x="8"/>
        <n x="217"/>
      </t>
    </mdx>
    <mdx n="0" f="v">
      <t c="7">
        <n x="81" s="1"/>
        <n x="24" s="1"/>
        <n x="21"/>
        <n x="26"/>
        <n x="69"/>
        <n x="17"/>
        <n x="217"/>
      </t>
    </mdx>
    <mdx n="0" f="v">
      <t c="7">
        <n x="81" s="1"/>
        <n x="24" s="1"/>
        <n x="21"/>
        <n x="48"/>
        <n x="49"/>
        <n x="14"/>
        <n x="217"/>
      </t>
    </mdx>
    <mdx n="0" f="v">
      <t c="7">
        <n x="81" s="1"/>
        <n x="24" s="1"/>
        <n x="21"/>
        <n x="29"/>
        <n x="59"/>
        <n x="11"/>
        <n x="217"/>
      </t>
    </mdx>
    <mdx n="0" f="v">
      <t c="7">
        <n x="81" s="1"/>
        <n x="24" s="1"/>
        <n x="21"/>
        <n x="29"/>
        <n x="45"/>
        <n x="15"/>
        <n x="217"/>
      </t>
    </mdx>
    <mdx n="0" f="v">
      <t c="6">
        <n x="81" s="1"/>
        <n x="24" s="1"/>
        <n x="21"/>
        <n x="28"/>
        <n x="14"/>
        <n x="217"/>
      </t>
    </mdx>
    <mdx n="0" f="v">
      <t c="6">
        <n x="81" s="1"/>
        <n x="24" s="1"/>
        <n x="21"/>
        <n x="36"/>
        <n x="6"/>
        <n x="217"/>
      </t>
    </mdx>
    <mdx n="0" f="v">
      <t c="7">
        <n x="81" s="1"/>
        <n x="24" s="1"/>
        <n x="21"/>
        <n x="29"/>
        <n x="47"/>
        <n x="11"/>
        <n x="217"/>
      </t>
    </mdx>
    <mdx n="0" f="v">
      <t c="7">
        <n x="81" s="1"/>
        <n x="24" s="1"/>
        <n x="21"/>
        <n x="29"/>
        <n x="47"/>
        <n x="6"/>
        <n x="217"/>
      </t>
    </mdx>
    <mdx n="0" f="v">
      <t c="7">
        <n x="81" s="1"/>
        <n x="24" s="1"/>
        <n x="21"/>
        <n x="48"/>
        <n x="64"/>
        <n x="7"/>
        <n x="217"/>
      </t>
    </mdx>
    <mdx n="0" f="v">
      <t c="7">
        <n x="81" s="1"/>
        <n x="24" s="1"/>
        <n x="21"/>
        <n x="28"/>
        <n x="42"/>
        <n x="17"/>
        <n x="217"/>
      </t>
    </mdx>
    <mdx n="0" f="v">
      <t c="6">
        <n x="81" s="1"/>
        <n x="24" s="1"/>
        <n x="21"/>
        <n x="29"/>
        <n x="12"/>
        <n x="217"/>
      </t>
    </mdx>
    <mdx n="0" f="v">
      <t c="7">
        <n x="81" s="1"/>
        <n x="24" s="1"/>
        <n x="21"/>
        <n x="29"/>
        <n x="40"/>
        <n x="10"/>
        <n x="217"/>
      </t>
    </mdx>
    <mdx n="0" f="v">
      <t c="7">
        <n x="81" s="1"/>
        <n x="24" s="1"/>
        <n x="21"/>
        <n x="62"/>
        <n x="72"/>
        <n x="25"/>
        <n x="217"/>
      </t>
    </mdx>
    <mdx n="0" f="v">
      <t c="7">
        <n x="81" s="1"/>
        <n x="24" s="1"/>
        <n x="21"/>
        <n x="26"/>
        <n x="41"/>
        <n x="14"/>
        <n x="217"/>
      </t>
    </mdx>
    <mdx n="0" f="v">
      <t c="7">
        <n x="81" s="1"/>
        <n x="24" s="1"/>
        <n x="21"/>
        <n x="26"/>
        <n x="56"/>
        <n x="14"/>
        <n x="217"/>
      </t>
    </mdx>
    <mdx n="0" f="v">
      <t c="7">
        <n x="81" s="1"/>
        <n x="24" s="1"/>
        <n x="21"/>
        <n x="62"/>
        <n x="72"/>
        <n x="12"/>
        <n x="217"/>
      </t>
    </mdx>
    <mdx n="0" f="v">
      <t c="7">
        <n x="81" s="1"/>
        <n x="24" s="1"/>
        <n x="21"/>
        <n x="32"/>
        <n x="68"/>
        <n x="15"/>
        <n x="217"/>
      </t>
    </mdx>
    <mdx n="0" f="v">
      <t c="7">
        <n x="81" s="1"/>
        <n x="24" s="1"/>
        <n x="21"/>
        <n x="26"/>
        <n x="52"/>
        <n x="13"/>
        <n x="217"/>
      </t>
    </mdx>
    <mdx n="0" f="v">
      <t c="7">
        <n x="81" s="1"/>
        <n x="24" s="1"/>
        <n x="21"/>
        <n x="26"/>
        <n x="69"/>
        <n x="7"/>
        <n x="217"/>
      </t>
    </mdx>
    <mdx n="0" f="v">
      <t c="7">
        <n x="81" s="1"/>
        <n x="24" s="1"/>
        <n x="21"/>
        <n x="26"/>
        <n x="56"/>
        <n x="13"/>
        <n x="217"/>
      </t>
    </mdx>
    <mdx n="0" f="v">
      <t c="7">
        <n x="81" s="1"/>
        <n x="24" s="1"/>
        <n x="21"/>
        <n x="29"/>
        <n x="50"/>
        <n x="25"/>
        <n x="217"/>
      </t>
    </mdx>
    <mdx n="0" f="v">
      <t c="7">
        <n x="81" s="1"/>
        <n x="24" s="1"/>
        <n x="21"/>
        <n x="29"/>
        <n x="30"/>
        <n x="25"/>
        <n x="217"/>
      </t>
    </mdx>
    <mdx n="0" f="v">
      <t c="6">
        <n x="81" s="1"/>
        <n x="24" s="1"/>
        <n x="21"/>
        <n x="26"/>
        <n x="17"/>
        <n x="217"/>
      </t>
    </mdx>
    <mdx n="0" f="v">
      <t c="7">
        <n x="81" s="1"/>
        <n x="24" s="1"/>
        <n x="21"/>
        <n x="32"/>
        <n x="63"/>
        <n x="8"/>
        <n x="217"/>
      </t>
    </mdx>
    <mdx n="0" f="v">
      <t c="7">
        <n x="81" s="1"/>
        <n x="24" s="1"/>
        <n x="21"/>
        <n x="29"/>
        <n x="40"/>
        <n x="7"/>
        <n x="217"/>
      </t>
    </mdx>
    <mdx n="0" f="v">
      <t c="7">
        <n x="81" s="1"/>
        <n x="24" s="1"/>
        <n x="21"/>
        <n x="28"/>
        <n x="58"/>
        <n x="8"/>
        <n x="217"/>
      </t>
    </mdx>
    <mdx n="0" f="v">
      <t c="7">
        <n x="81" s="1"/>
        <n x="24" s="1"/>
        <n x="21"/>
        <n x="29"/>
        <n x="54"/>
        <n x="15"/>
        <n x="217"/>
      </t>
    </mdx>
    <mdx n="0" f="v">
      <t c="6">
        <n x="81" s="1"/>
        <n x="24" s="1"/>
        <n x="21"/>
        <n x="65"/>
        <n x="16"/>
        <n x="217"/>
      </t>
    </mdx>
    <mdx n="0" f="v">
      <t c="6">
        <n x="81" s="1"/>
        <n x="24" s="1"/>
        <n x="21"/>
        <n x="28"/>
        <n x="8"/>
        <n x="217"/>
      </t>
    </mdx>
    <mdx n="0" f="v">
      <t c="7">
        <n x="81" s="1"/>
        <n x="24" s="1"/>
        <n x="21"/>
        <n x="26"/>
        <n x="44"/>
        <n x="16"/>
        <n x="217"/>
      </t>
    </mdx>
    <mdx n="0" f="v">
      <t c="7">
        <n x="81" s="1"/>
        <n x="24" s="1"/>
        <n x="21"/>
        <n x="26"/>
        <n x="60"/>
        <n x="12"/>
        <n x="217"/>
      </t>
    </mdx>
    <mdx n="0" f="v">
      <t c="7">
        <n x="81" s="1"/>
        <n x="24" s="1"/>
        <n x="21"/>
        <n x="62"/>
        <n x="73"/>
        <n x="6"/>
        <n x="217"/>
      </t>
    </mdx>
    <mdx n="0" f="v">
      <t c="7">
        <n x="81" s="1"/>
        <n x="24" s="1"/>
        <n x="21"/>
        <n x="48"/>
        <n x="49"/>
        <n x="17"/>
        <n x="217"/>
      </t>
    </mdx>
    <mdx n="0" f="v">
      <t c="7">
        <n x="81" s="1"/>
        <n x="24" s="1"/>
        <n x="21"/>
        <n x="32"/>
        <n x="70"/>
        <n x="6"/>
        <n x="217"/>
      </t>
    </mdx>
    <mdx n="0" f="v">
      <t c="7">
        <n x="81" s="1"/>
        <n x="24" s="1"/>
        <n x="21"/>
        <n x="28"/>
        <n x="42"/>
        <n x="9"/>
        <n x="217"/>
      </t>
    </mdx>
    <mdx n="0" f="v">
      <t c="6">
        <n x="81" s="1"/>
        <n x="24" s="1"/>
        <n x="21"/>
        <n x="28"/>
        <n x="16"/>
        <n x="217"/>
      </t>
    </mdx>
    <mdx n="0" f="v">
      <t c="7">
        <n x="81" s="1"/>
        <n x="24" s="1"/>
        <n x="21"/>
        <n x="26"/>
        <n x="44"/>
        <n x="6"/>
        <n x="217"/>
      </t>
    </mdx>
    <mdx n="0" f="v">
      <t c="7">
        <n x="81" s="1"/>
        <n x="24" s="1"/>
        <n x="21"/>
        <n x="28"/>
        <n x="55"/>
        <n x="16"/>
        <n x="217"/>
      </t>
    </mdx>
    <mdx n="0" f="v">
      <t c="7">
        <n x="81" s="1"/>
        <n x="24" s="1"/>
        <n x="21"/>
        <n x="26"/>
        <n x="31"/>
        <n x="10"/>
        <n x="217"/>
      </t>
    </mdx>
    <mdx n="0" f="v">
      <t c="7">
        <n x="81" s="1"/>
        <n x="24" s="1"/>
        <n x="21"/>
        <n x="62"/>
        <n x="72"/>
        <n x="10"/>
        <n x="217"/>
      </t>
    </mdx>
    <mdx n="0" f="v">
      <t c="7">
        <n x="81" s="1"/>
        <n x="24" s="1"/>
        <n x="21"/>
        <n x="29"/>
        <n x="40"/>
        <n x="13"/>
        <n x="217"/>
      </t>
    </mdx>
    <mdx n="0" f="v">
      <t c="6">
        <n x="81" s="1"/>
        <n x="24" s="1"/>
        <n x="21"/>
        <n x="65"/>
        <n x="12"/>
        <n x="217"/>
      </t>
    </mdx>
    <mdx n="0" f="v">
      <t c="7">
        <n x="81" s="1"/>
        <n x="24" s="1"/>
        <n x="21"/>
        <n x="29"/>
        <n x="45"/>
        <n x="6"/>
        <n x="217"/>
      </t>
    </mdx>
    <mdx n="0" f="v">
      <t c="7">
        <n x="81" s="1"/>
        <n x="24" s="1"/>
        <n x="21"/>
        <n x="29"/>
        <n x="59"/>
        <n x="12"/>
        <n x="217"/>
      </t>
    </mdx>
    <mdx n="0" f="v">
      <t c="7">
        <n x="81" s="1"/>
        <n x="24" s="1"/>
        <n x="21"/>
        <n x="29"/>
        <n x="50"/>
        <n x="12"/>
        <n x="217"/>
      </t>
    </mdx>
    <mdx n="0" f="v">
      <t c="7">
        <n x="81" s="1"/>
        <n x="24" s="1"/>
        <n x="21"/>
        <n x="29"/>
        <n x="47"/>
        <n x="10"/>
        <n x="217"/>
      </t>
    </mdx>
    <mdx n="0" f="v">
      <t c="7">
        <n x="81" s="1"/>
        <n x="24" s="1"/>
        <n x="21"/>
        <n x="29"/>
        <n x="45"/>
        <n x="9"/>
        <n x="217"/>
      </t>
    </mdx>
    <mdx n="0" f="v">
      <t c="7">
        <n x="81" s="1"/>
        <n x="24" s="1"/>
        <n x="21"/>
        <n x="32"/>
        <n x="33"/>
        <n x="15"/>
        <n x="217"/>
      </t>
    </mdx>
    <mdx n="0" f="v">
      <t c="7">
        <n x="81" s="1"/>
        <n x="24" s="1"/>
        <n x="21"/>
        <n x="29"/>
        <n x="40"/>
        <n x="14"/>
        <n x="217"/>
      </t>
    </mdx>
    <mdx n="0" f="v">
      <t c="6">
        <n x="81" s="1"/>
        <n x="24" s="1"/>
        <n x="21"/>
        <n x="28"/>
        <n x="10"/>
        <n x="217"/>
      </t>
    </mdx>
    <mdx n="0" f="v">
      <t c="7">
        <n x="81" s="1"/>
        <n x="24" s="1"/>
        <n x="21"/>
        <n x="28"/>
        <n x="42"/>
        <n x="14"/>
        <n x="217"/>
      </t>
    </mdx>
    <mdx n="0" f="v">
      <t c="6">
        <n x="81" s="1"/>
        <n x="24" s="1"/>
        <n x="21"/>
        <n x="65"/>
        <n x="14"/>
        <n x="217"/>
      </t>
    </mdx>
    <mdx n="0" f="v">
      <t c="7">
        <n x="81" s="1"/>
        <n x="24" s="1"/>
        <n x="21"/>
        <n x="48"/>
        <n x="49"/>
        <n x="8"/>
        <n x="217"/>
      </t>
    </mdx>
    <mdx n="0" f="v">
      <t c="6">
        <n x="81" s="1"/>
        <n x="24" s="1"/>
        <n x="21"/>
        <n x="61"/>
        <n x="8"/>
        <n x="217"/>
      </t>
    </mdx>
    <mdx n="0" f="v">
      <t c="7">
        <n x="81" s="1"/>
        <n x="24" s="1"/>
        <n x="21"/>
        <n x="29"/>
        <n x="54"/>
        <n x="10"/>
        <n x="217"/>
      </t>
    </mdx>
    <mdx n="0" f="v">
      <t c="7">
        <n x="81" s="1"/>
        <n x="24" s="1"/>
        <n x="21"/>
        <n x="26"/>
        <n x="31"/>
        <n x="12"/>
        <n x="217"/>
      </t>
    </mdx>
    <mdx n="0" f="v">
      <t c="7">
        <n x="81" s="1"/>
        <n x="24" s="1"/>
        <n x="21"/>
        <n x="26"/>
        <n x="56"/>
        <n x="25"/>
        <n x="217"/>
      </t>
    </mdx>
    <mdx n="0" f="v">
      <t c="7">
        <n x="81" s="1"/>
        <n x="24" s="1"/>
        <n x="21"/>
        <n x="62"/>
        <n x="73"/>
        <n x="10"/>
        <n x="217"/>
      </t>
    </mdx>
    <mdx n="0" f="v">
      <t c="6">
        <n x="81" s="1"/>
        <n x="24" s="1"/>
        <n x="21"/>
        <n x="65"/>
        <n x="25"/>
        <n x="217"/>
      </t>
    </mdx>
    <mdx n="0" f="v">
      <t c="7">
        <n x="81" s="1"/>
        <n x="24" s="1"/>
        <n x="21"/>
        <n x="26"/>
        <n x="41"/>
        <n x="12"/>
        <n x="217"/>
      </t>
    </mdx>
    <mdx n="0" f="v">
      <t c="7">
        <n x="81" s="1"/>
        <n x="24" s="1"/>
        <n x="21"/>
        <n x="26"/>
        <n x="34"/>
        <n x="11"/>
        <n x="217"/>
      </t>
    </mdx>
    <mdx n="0" f="v">
      <t c="7">
        <n x="81" s="1"/>
        <n x="24" s="1"/>
        <n x="21"/>
        <n x="32"/>
        <n x="33"/>
        <n x="16"/>
        <n x="217"/>
      </t>
    </mdx>
    <mdx n="0" f="v">
      <t c="7">
        <n x="81" s="1"/>
        <n x="24" s="1"/>
        <n x="21"/>
        <n x="26"/>
        <n x="27"/>
        <n x="11"/>
        <n x="217"/>
      </t>
    </mdx>
    <mdx n="0" f="v">
      <t c="7">
        <n x="81" s="1"/>
        <n x="24" s="1"/>
        <n x="21"/>
        <n x="26"/>
        <n x="38"/>
        <n x="8"/>
        <n x="217"/>
      </t>
    </mdx>
    <mdx n="0" f="v">
      <t c="7">
        <n x="81" s="1"/>
        <n x="24" s="1"/>
        <n x="21"/>
        <n x="29"/>
        <n x="51"/>
        <n x="11"/>
        <n x="217"/>
      </t>
    </mdx>
    <mdx n="0" f="v">
      <t c="6">
        <n x="81" s="1"/>
        <n x="24" s="1"/>
        <n x="21"/>
        <n x="26"/>
        <n x="15"/>
        <n x="217"/>
      </t>
    </mdx>
    <mdx n="0" f="v">
      <t c="7">
        <n x="81" s="1"/>
        <n x="24" s="1"/>
        <n x="21"/>
        <n x="29"/>
        <n x="51"/>
        <n x="9"/>
        <n x="217"/>
      </t>
    </mdx>
    <mdx n="0" f="v">
      <t c="7">
        <n x="81" s="1"/>
        <n x="24" s="1"/>
        <n x="21"/>
        <n x="26"/>
        <n x="69"/>
        <n x="25"/>
        <n x="217"/>
      </t>
    </mdx>
    <mdx n="0" f="v">
      <t c="6">
        <n x="81" s="1"/>
        <n x="24" s="1"/>
        <n x="21"/>
        <n x="26"/>
        <n x="25"/>
        <n x="217"/>
      </t>
    </mdx>
    <mdx n="0" f="v">
      <t c="7">
        <n x="81" s="1"/>
        <n x="24" s="1"/>
        <n x="21"/>
        <n x="26"/>
        <n x="38"/>
        <n x="6"/>
        <n x="217"/>
      </t>
    </mdx>
    <mdx n="0" f="v">
      <t c="7">
        <n x="81" s="1"/>
        <n x="24" s="1"/>
        <n x="21"/>
        <n x="62"/>
        <n x="74"/>
        <n x="6"/>
        <n x="217"/>
      </t>
    </mdx>
    <mdx n="0" f="v">
      <t c="7">
        <n x="81" s="1"/>
        <n x="24" s="1"/>
        <n x="21"/>
        <n x="32"/>
        <n x="66"/>
        <n x="12"/>
        <n x="217"/>
      </t>
    </mdx>
    <mdx n="0" f="v">
      <t c="7">
        <n x="81" s="1"/>
        <n x="24" s="1"/>
        <n x="21"/>
        <n x="29"/>
        <n x="35"/>
        <n x="6"/>
        <n x="217"/>
      </t>
    </mdx>
    <mdx n="0" f="v">
      <t c="7">
        <n x="81" s="1"/>
        <n x="24" s="1"/>
        <n x="21"/>
        <n x="62"/>
        <n x="72"/>
        <n x="11"/>
        <n x="217"/>
      </t>
    </mdx>
    <mdx n="0" f="v">
      <t c="7">
        <n x="81" s="1"/>
        <n x="24" s="1"/>
        <n x="21"/>
        <n x="26"/>
        <n x="57"/>
        <n x="7"/>
        <n x="217"/>
      </t>
    </mdx>
    <mdx n="0" f="v">
      <t c="7">
        <n x="81" s="1"/>
        <n x="24" s="1"/>
        <n x="21"/>
        <n x="28"/>
        <n x="53"/>
        <n x="7"/>
        <n x="217"/>
      </t>
    </mdx>
    <mdx n="0" f="v">
      <t c="7">
        <n x="81" s="1"/>
        <n x="24" s="1"/>
        <n x="21"/>
        <n x="26"/>
        <n x="56"/>
        <n x="9"/>
        <n x="217"/>
      </t>
    </mdx>
    <mdx n="0" f="v">
      <t c="6">
        <n x="81" s="1"/>
        <n x="24" s="1"/>
        <n x="21"/>
        <n x="36"/>
        <n x="17"/>
        <n x="217"/>
      </t>
    </mdx>
    <mdx n="0" f="v">
      <t c="6">
        <n x="81" s="1"/>
        <n x="24" s="1"/>
        <n x="21"/>
        <n x="28"/>
        <n x="9"/>
        <n x="217"/>
      </t>
    </mdx>
    <mdx n="0" f="v">
      <t c="7">
        <n x="81" s="1"/>
        <n x="24" s="1"/>
        <n x="21"/>
        <n x="26"/>
        <n x="44"/>
        <n x="25"/>
        <n x="217"/>
      </t>
    </mdx>
    <mdx n="0" f="v">
      <t c="6">
        <n x="81" s="1"/>
        <n x="24" s="1"/>
        <n x="21"/>
        <n x="26"/>
        <n x="14"/>
        <n x="217"/>
      </t>
    </mdx>
    <mdx n="0" f="v">
      <t c="6">
        <n x="81" s="1"/>
        <n x="24" s="1"/>
        <n x="21"/>
        <n x="48"/>
        <n x="13"/>
        <n x="217"/>
      </t>
    </mdx>
    <mdx n="0" f="v">
      <t c="7">
        <n x="81" s="1"/>
        <n x="24" s="1"/>
        <n x="21"/>
        <n x="26"/>
        <n x="34"/>
        <n x="10"/>
        <n x="217"/>
      </t>
    </mdx>
    <mdx n="0" f="v">
      <t c="7">
        <n x="81" s="1"/>
        <n x="24" s="1"/>
        <n x="21"/>
        <n x="29"/>
        <n x="51"/>
        <n x="7"/>
        <n x="217"/>
      </t>
    </mdx>
    <mdx n="0" f="v">
      <t c="7">
        <n x="81" s="1"/>
        <n x="24" s="1"/>
        <n x="21"/>
        <n x="28"/>
        <n x="42"/>
        <n x="25"/>
        <n x="217"/>
      </t>
    </mdx>
    <mdx n="0" f="v">
      <t c="7">
        <n x="81" s="1"/>
        <n x="24" s="1"/>
        <n x="21"/>
        <n x="29"/>
        <n x="71"/>
        <n x="9"/>
        <n x="217"/>
      </t>
    </mdx>
    <mdx n="0" f="v">
      <t c="6">
        <n x="81" s="1"/>
        <n x="24" s="1"/>
        <n x="21"/>
        <n x="32"/>
        <n x="8"/>
        <n x="217"/>
      </t>
    </mdx>
    <mdx n="0" f="v">
      <t c="7">
        <n x="81" s="1"/>
        <n x="24" s="1"/>
        <n x="21"/>
        <n x="29"/>
        <n x="43"/>
        <n x="15"/>
        <n x="217"/>
      </t>
    </mdx>
    <mdx n="0" f="v">
      <t c="7">
        <n x="81" s="1"/>
        <n x="24" s="1"/>
        <n x="21"/>
        <n x="26"/>
        <n x="41"/>
        <n x="10"/>
        <n x="217"/>
      </t>
    </mdx>
    <mdx n="0" f="v">
      <t c="7">
        <n x="81" s="1"/>
        <n x="24" s="1"/>
        <n x="21"/>
        <n x="48"/>
        <n x="49"/>
        <n x="9"/>
        <n x="217"/>
      </t>
    </mdx>
    <mdx n="0" f="v">
      <t c="7">
        <n x="81" s="1"/>
        <n x="24" s="1"/>
        <n x="21"/>
        <n x="29"/>
        <n x="30"/>
        <n x="14"/>
        <n x="217"/>
      </t>
    </mdx>
    <mdx n="0" f="v">
      <t c="7">
        <n x="81" s="1"/>
        <n x="24" s="1"/>
        <n x="21"/>
        <n x="26"/>
        <n x="31"/>
        <n x="14"/>
        <n x="217"/>
      </t>
    </mdx>
    <mdx n="0" f="v">
      <t c="6">
        <n x="81" s="1"/>
        <n x="24" s="1"/>
        <n x="21"/>
        <n x="61"/>
        <n x="16"/>
        <n x="217"/>
      </t>
    </mdx>
    <mdx n="0" f="v">
      <t c="7">
        <n x="81" s="1"/>
        <n x="24" s="1"/>
        <n x="21"/>
        <n x="62"/>
        <n x="73"/>
        <n x="15"/>
        <n x="217"/>
      </t>
    </mdx>
    <mdx n="0" f="v">
      <t c="7">
        <n x="81" s="1"/>
        <n x="24" s="1"/>
        <n x="21"/>
        <n x="29"/>
        <n x="40"/>
        <n x="25"/>
        <n x="217"/>
      </t>
    </mdx>
    <mdx n="0" f="v">
      <t c="7">
        <n x="81" s="1"/>
        <n x="24" s="1"/>
        <n x="21"/>
        <n x="29"/>
        <n x="40"/>
        <n x="15"/>
        <n x="217"/>
      </t>
    </mdx>
    <mdx n="0" f="v">
      <t c="6">
        <n x="81" s="1"/>
        <n x="24" s="1"/>
        <n x="21"/>
        <n x="61"/>
        <n x="10"/>
        <n x="217"/>
      </t>
    </mdx>
    <mdx n="0" f="v">
      <t c="7">
        <n x="81" s="1"/>
        <n x="24" s="1"/>
        <n x="21"/>
        <n x="48"/>
        <n x="49"/>
        <n x="10"/>
        <n x="217"/>
      </t>
    </mdx>
    <mdx n="0" f="v">
      <t c="6">
        <n x="81" s="1"/>
        <n x="24" s="1"/>
        <n x="21"/>
        <n x="28"/>
        <n x="12"/>
        <n x="217"/>
      </t>
    </mdx>
    <mdx n="0" f="v">
      <t c="7">
        <n x="81" s="1"/>
        <n x="24" s="1"/>
        <n x="21"/>
        <n x="26"/>
        <n x="44"/>
        <n x="13"/>
        <n x="217"/>
      </t>
    </mdx>
    <mdx n="0" f="v">
      <t c="7">
        <n x="81" s="1"/>
        <n x="24" s="1"/>
        <n x="21"/>
        <n x="26"/>
        <n x="31"/>
        <n x="25"/>
        <n x="217"/>
      </t>
    </mdx>
    <mdx n="0" f="v">
      <t c="6">
        <n x="81" s="1"/>
        <n x="24" s="1"/>
        <n x="21"/>
        <n x="36"/>
        <n x="10"/>
        <n x="217"/>
      </t>
    </mdx>
    <mdx n="0" f="v">
      <t c="6">
        <n x="81" s="1"/>
        <n x="24" s="1"/>
        <n x="21"/>
        <n x="65"/>
        <n x="7"/>
        <n x="217"/>
      </t>
    </mdx>
    <mdx n="0" f="v">
      <t c="7">
        <n x="81" s="1"/>
        <n x="24" s="1"/>
        <n x="21"/>
        <n x="32"/>
        <n x="66"/>
        <n x="9"/>
        <n x="217"/>
      </t>
    </mdx>
    <mdx n="0" f="v">
      <t c="7">
        <n x="81" s="1"/>
        <n x="24" s="1"/>
        <n x="21"/>
        <n x="26"/>
        <n x="27"/>
        <n x="6"/>
        <n x="217"/>
      </t>
    </mdx>
    <mdx n="0" f="v">
      <t c="7">
        <n x="81" s="1"/>
        <n x="24" s="1"/>
        <n x="21"/>
        <n x="26"/>
        <n x="27"/>
        <n x="16"/>
        <n x="217"/>
      </t>
    </mdx>
    <mdx n="0" f="v">
      <t c="6">
        <n x="81" s="1"/>
        <n x="24" s="1"/>
        <n x="21"/>
        <n x="61"/>
        <n x="14"/>
        <n x="217"/>
      </t>
    </mdx>
    <mdx n="0" f="v">
      <t c="6">
        <n x="81" s="1"/>
        <n x="24" s="1"/>
        <n x="21"/>
        <n x="61"/>
        <n x="13"/>
        <n x="217"/>
      </t>
    </mdx>
    <mdx n="0" f="v">
      <t c="7">
        <n x="81" s="1"/>
        <n x="24" s="1"/>
        <n x="21"/>
        <n x="29"/>
        <n x="51"/>
        <n x="14"/>
        <n x="217"/>
      </t>
    </mdx>
    <mdx n="0" f="v">
      <t c="7">
        <n x="81" s="1"/>
        <n x="24" s="1"/>
        <n x="21"/>
        <n x="48"/>
        <n x="49"/>
        <n x="16"/>
        <n x="217"/>
      </t>
    </mdx>
    <mdx n="0" f="v">
      <t c="6">
        <n x="81" s="1"/>
        <n x="24" s="1"/>
        <n x="21"/>
        <n x="48"/>
        <n x="9"/>
        <n x="217"/>
      </t>
    </mdx>
    <mdx n="0" f="v">
      <t c="7">
        <n x="81" s="1"/>
        <n x="24" s="1"/>
        <n x="21"/>
        <n x="26"/>
        <n x="67"/>
        <n x="9"/>
        <n x="217"/>
      </t>
    </mdx>
    <mdx n="0" f="v">
      <t c="7">
        <n x="81" s="1"/>
        <n x="24" s="1"/>
        <n x="21"/>
        <n x="28"/>
        <n x="55"/>
        <n x="8"/>
        <n x="217"/>
      </t>
    </mdx>
    <mdx n="0" f="v">
      <t c="7">
        <n x="81" s="1"/>
        <n x="24" s="1"/>
        <n x="21"/>
        <n x="26"/>
        <n x="31"/>
        <n x="16"/>
        <n x="217"/>
      </t>
    </mdx>
    <mdx n="0" f="v">
      <t c="7">
        <n x="81" s="1"/>
        <n x="24" s="1"/>
        <n x="21"/>
        <n x="29"/>
        <n x="50"/>
        <n x="14"/>
        <n x="217"/>
      </t>
    </mdx>
    <mdx n="0" f="v">
      <t c="6">
        <n x="81" s="1"/>
        <n x="24" s="1"/>
        <n x="21"/>
        <n x="65"/>
        <n x="10"/>
        <n x="217"/>
      </t>
    </mdx>
    <mdx n="0" f="v">
      <t c="7">
        <n x="81" s="1"/>
        <n x="24" s="1"/>
        <n x="21"/>
        <n x="48"/>
        <n x="49"/>
        <n x="11"/>
        <n x="217"/>
      </t>
    </mdx>
    <mdx n="0" f="v">
      <t c="7">
        <n x="81" s="1"/>
        <n x="24" s="1"/>
        <n x="21"/>
        <n x="32"/>
        <n x="70"/>
        <n x="25"/>
        <n x="217"/>
      </t>
    </mdx>
    <mdx n="0" f="v">
      <t c="7">
        <n x="81" s="1"/>
        <n x="24" s="1"/>
        <n x="21"/>
        <n x="28"/>
        <n x="53"/>
        <n x="13"/>
        <n x="217"/>
      </t>
    </mdx>
    <mdx n="0" f="v">
      <t c="6">
        <n x="81" s="1"/>
        <n x="24" s="1"/>
        <n x="21"/>
        <n x="32"/>
        <n x="17"/>
        <n x="217"/>
      </t>
    </mdx>
    <mdx n="0" f="v">
      <t c="7">
        <n x="81" s="1"/>
        <n x="24" s="1"/>
        <n x="21"/>
        <n x="26"/>
        <n x="57"/>
        <n x="13"/>
        <n x="217"/>
      </t>
    </mdx>
    <mdx n="0" f="v">
      <t c="7">
        <n x="81" s="1"/>
        <n x="24" s="1"/>
        <n x="21"/>
        <n x="28"/>
        <n x="58"/>
        <n x="10"/>
        <n x="217"/>
      </t>
    </mdx>
    <mdx n="0" f="v">
      <t c="7">
        <n x="81" s="1"/>
        <n x="24" s="1"/>
        <n x="21"/>
        <n x="29"/>
        <n x="51"/>
        <n x="6"/>
        <n x="217"/>
      </t>
    </mdx>
    <mdx n="0" f="v">
      <t c="7">
        <n x="81" s="1"/>
        <n x="24" s="1"/>
        <n x="21"/>
        <n x="32"/>
        <n x="70"/>
        <n x="7"/>
        <n x="217"/>
      </t>
    </mdx>
    <mdx n="0" f="v">
      <t c="7">
        <n x="81" s="1"/>
        <n x="24" s="1"/>
        <n x="21"/>
        <n x="26"/>
        <n x="52"/>
        <n x="16"/>
        <n x="217"/>
      </t>
    </mdx>
    <mdx n="0" f="v">
      <t c="7">
        <n x="81" s="1"/>
        <n x="24" s="1"/>
        <n x="21"/>
        <n x="29"/>
        <n x="59"/>
        <n x="16"/>
        <n x="217"/>
      </t>
    </mdx>
    <mdx n="0" f="v">
      <t c="7">
        <n x="81" s="1"/>
        <n x="24" s="1"/>
        <n x="21"/>
        <n x="29"/>
        <n x="47"/>
        <n x="13"/>
        <n x="217"/>
      </t>
    </mdx>
    <mdx n="0" f="v">
      <t c="7">
        <n x="81" s="1"/>
        <n x="24" s="1"/>
        <n x="21"/>
        <n x="26"/>
        <n x="69"/>
        <n x="8"/>
        <n x="217"/>
      </t>
    </mdx>
    <mdx n="0" f="v">
      <t c="7">
        <n x="81" s="1"/>
        <n x="24" s="1"/>
        <n x="21"/>
        <n x="28"/>
        <n x="53"/>
        <n x="8"/>
        <n x="217"/>
      </t>
    </mdx>
    <mdx n="0" f="v">
      <t c="7">
        <n x="81" s="1"/>
        <n x="24" s="1"/>
        <n x="21"/>
        <n x="29"/>
        <n x="50"/>
        <n x="9"/>
        <n x="217"/>
      </t>
    </mdx>
    <mdx n="0" f="v">
      <t c="7">
        <n x="81" s="1"/>
        <n x="24" s="1"/>
        <n x="21"/>
        <n x="29"/>
        <n x="43"/>
        <n x="7"/>
        <n x="217"/>
      </t>
    </mdx>
    <mdx n="0" f="v">
      <t c="7">
        <n x="81" s="1"/>
        <n x="24" s="1"/>
        <n x="21"/>
        <n x="48"/>
        <n x="64"/>
        <n x="12"/>
        <n x="217"/>
      </t>
    </mdx>
    <mdx n="0" f="v">
      <t c="7">
        <n x="81" s="1"/>
        <n x="24" s="1"/>
        <n x="21"/>
        <n x="26"/>
        <n x="69"/>
        <n x="12"/>
        <n x="217"/>
      </t>
    </mdx>
    <mdx n="0" f="v">
      <t c="7">
        <n x="81" s="1"/>
        <n x="24" s="1"/>
        <n x="21"/>
        <n x="48"/>
        <n x="64"/>
        <n x="17"/>
        <n x="217"/>
      </t>
    </mdx>
    <mdx n="0" f="v">
      <t c="7">
        <n x="81" s="1"/>
        <n x="24" s="1"/>
        <n x="21"/>
        <n x="29"/>
        <n x="30"/>
        <n x="7"/>
        <n x="217"/>
      </t>
    </mdx>
    <mdx n="0" f="v">
      <t c="7">
        <n x="81" s="1"/>
        <n x="24" s="1"/>
        <n x="21"/>
        <n x="36"/>
        <n x="37"/>
        <n x="7"/>
        <n x="217"/>
      </t>
    </mdx>
    <mdx n="0" f="v">
      <t c="7">
        <n x="81" s="1"/>
        <n x="24" s="1"/>
        <n x="21"/>
        <n x="28"/>
        <n x="53"/>
        <n x="17"/>
        <n x="217"/>
      </t>
    </mdx>
    <mdx n="0" f="v">
      <t c="7">
        <n x="81" s="1"/>
        <n x="24" s="1"/>
        <n x="21"/>
        <n x="26"/>
        <n x="60"/>
        <n x="9"/>
        <n x="217"/>
      </t>
    </mdx>
    <mdx n="0" f="v">
      <t c="7">
        <n x="81" s="1"/>
        <n x="24" s="1"/>
        <n x="21"/>
        <n x="29"/>
        <n x="30"/>
        <n x="17"/>
        <n x="217"/>
      </t>
    </mdx>
    <mdx n="0" f="v">
      <t c="7">
        <n x="81" s="1"/>
        <n x="24" s="1"/>
        <n x="21"/>
        <n x="26"/>
        <n x="44"/>
        <n x="10"/>
        <n x="217"/>
      </t>
    </mdx>
    <mdx n="0" f="v">
      <t c="7">
        <n x="81" s="1"/>
        <n x="24" s="1"/>
        <n x="21"/>
        <n x="29"/>
        <n x="59"/>
        <n x="13"/>
        <n x="217"/>
      </t>
    </mdx>
    <mdx n="0" f="v">
      <t c="7">
        <n x="81" s="1"/>
        <n x="24" s="1"/>
        <n x="21"/>
        <n x="29"/>
        <n x="43"/>
        <n x="8"/>
        <n x="217"/>
      </t>
    </mdx>
    <mdx n="0" f="v">
      <t c="7">
        <n x="81" s="1"/>
        <n x="24" s="1"/>
        <n x="21"/>
        <n x="26"/>
        <n x="44"/>
        <n x="8"/>
        <n x="217"/>
      </t>
    </mdx>
    <mdx n="0" f="v">
      <t c="6">
        <n x="81" s="1"/>
        <n x="24" s="1"/>
        <n x="21"/>
        <n x="29"/>
        <n x="15"/>
        <n x="217"/>
      </t>
    </mdx>
    <mdx n="0" f="v">
      <t c="7">
        <n x="81" s="1"/>
        <n x="24" s="1"/>
        <n x="21"/>
        <n x="62"/>
        <n x="74"/>
        <n x="14"/>
        <n x="217"/>
      </t>
    </mdx>
    <mdx n="0" f="v">
      <t c="7">
        <n x="81" s="1"/>
        <n x="24" s="1"/>
        <n x="21"/>
        <n x="48"/>
        <n x="49"/>
        <n x="6"/>
        <n x="217"/>
      </t>
    </mdx>
    <mdx n="0" f="v">
      <t c="7">
        <n x="81" s="1"/>
        <n x="24" s="1"/>
        <n x="21"/>
        <n x="26"/>
        <n x="69"/>
        <n x="13"/>
        <n x="217"/>
      </t>
    </mdx>
    <mdx n="0" f="v">
      <t c="7">
        <n x="81" s="1"/>
        <n x="24" s="1"/>
        <n x="21"/>
        <n x="26"/>
        <n x="67"/>
        <n x="25"/>
        <n x="217"/>
      </t>
    </mdx>
    <mdx n="0" f="v">
      <t c="6">
        <n x="81" s="1"/>
        <n x="24" s="1"/>
        <n x="21"/>
        <n x="36"/>
        <n x="14"/>
        <n x="217"/>
      </t>
    </mdx>
    <mdx n="0" f="v">
      <t c="7">
        <n x="81" s="1"/>
        <n x="24" s="1"/>
        <n x="21"/>
        <n x="29"/>
        <n x="54"/>
        <n x="14"/>
        <n x="217"/>
      </t>
    </mdx>
    <mdx n="0" f="v">
      <t c="6">
        <n x="81" s="1"/>
        <n x="24" s="1"/>
        <n x="21"/>
        <n x="32"/>
        <n x="14"/>
        <n x="217"/>
      </t>
    </mdx>
    <mdx n="0" f="v">
      <t c="7">
        <n x="81" s="1"/>
        <n x="24" s="1"/>
        <n x="21"/>
        <n x="32"/>
        <n x="68"/>
        <n x="25"/>
        <n x="217"/>
      </t>
    </mdx>
    <mdx n="0" f="v">
      <t c="6">
        <n x="81" s="1"/>
        <n x="24" s="1"/>
        <n x="21"/>
        <n x="65"/>
        <n x="13"/>
        <n x="217"/>
      </t>
    </mdx>
    <mdx n="0" f="v">
      <t c="7">
        <n x="81" s="1"/>
        <n x="24" s="1"/>
        <n x="21"/>
        <n x="26"/>
        <n x="57"/>
        <n x="14"/>
        <n x="217"/>
      </t>
    </mdx>
    <mdx n="0" f="v">
      <t c="7">
        <n x="81" s="1"/>
        <n x="24" s="1"/>
        <n x="21"/>
        <n x="26"/>
        <n x="52"/>
        <n x="6"/>
        <n x="217"/>
      </t>
    </mdx>
    <mdx n="0" f="v">
      <t c="7">
        <n x="81" s="1"/>
        <n x="24" s="1"/>
        <n x="21"/>
        <n x="26"/>
        <n x="60"/>
        <n x="11"/>
        <n x="217"/>
      </t>
    </mdx>
    <mdx n="0" f="v">
      <t c="7">
        <n x="81" s="1"/>
        <n x="24" s="1"/>
        <n x="21"/>
        <n x="26"/>
        <n x="67"/>
        <n x="10"/>
        <n x="217"/>
      </t>
    </mdx>
    <mdx n="0" f="v">
      <t c="7">
        <n x="81" s="1"/>
        <n x="24" s="1"/>
        <n x="21"/>
        <n x="29"/>
        <n x="47"/>
        <n x="17"/>
        <n x="217"/>
      </t>
    </mdx>
    <mdx n="0" f="v">
      <t c="7">
        <n x="81" s="1"/>
        <n x="24" s="1"/>
        <n x="21"/>
        <n x="29"/>
        <n x="45"/>
        <n x="13"/>
        <n x="217"/>
      </t>
    </mdx>
    <mdx n="0" f="v">
      <t c="7">
        <n x="81" s="1"/>
        <n x="24" s="1"/>
        <n x="21"/>
        <n x="32"/>
        <n x="33"/>
        <n x="9"/>
        <n x="217"/>
      </t>
    </mdx>
    <mdx n="0" f="v">
      <t c="7">
        <n x="81" s="1"/>
        <n x="24" s="1"/>
        <n x="21"/>
        <n x="29"/>
        <n x="47"/>
        <n x="12"/>
        <n x="217"/>
      </t>
    </mdx>
    <mdx n="0" f="v">
      <t c="7">
        <n x="81" s="1"/>
        <n x="24" s="1"/>
        <n x="21"/>
        <n x="32"/>
        <n x="63"/>
        <n x="11"/>
        <n x="217"/>
      </t>
    </mdx>
    <mdx n="0" f="v">
      <t c="7">
        <n x="81" s="1"/>
        <n x="24" s="1"/>
        <n x="21"/>
        <n x="26"/>
        <n x="57"/>
        <n x="25"/>
        <n x="217"/>
      </t>
    </mdx>
    <mdx n="0" f="v">
      <t c="7">
        <n x="81" s="1"/>
        <n x="24" s="1"/>
        <n x="21"/>
        <n x="26"/>
        <n x="27"/>
        <n x="10"/>
        <n x="217"/>
      </t>
    </mdx>
    <mdx n="0" f="v">
      <t c="6">
        <n x="81" s="1"/>
        <n x="24" s="1"/>
        <n x="21"/>
        <n x="65"/>
        <n x="15"/>
        <n x="217"/>
      </t>
    </mdx>
    <mdx n="0" f="v">
      <t c="7">
        <n x="81" s="1"/>
        <n x="24" s="1"/>
        <n x="21"/>
        <n x="48"/>
        <n x="49"/>
        <n x="15"/>
        <n x="217"/>
      </t>
    </mdx>
    <mdx n="0" f="v">
      <t c="6">
        <n x="81" s="1"/>
        <n x="24" s="1"/>
        <n x="21"/>
        <n x="61"/>
        <n x="9"/>
        <n x="217"/>
      </t>
    </mdx>
    <mdx n="0" f="v">
      <t c="7">
        <n x="81" s="1"/>
        <n x="24" s="1"/>
        <n x="21"/>
        <n x="26"/>
        <n x="60"/>
        <n x="10"/>
        <n x="217"/>
      </t>
    </mdx>
    <mdx n="0" f="v">
      <t c="6">
        <n x="81" s="1"/>
        <n x="24" s="1"/>
        <n x="21"/>
        <n x="65"/>
        <n x="6"/>
        <n x="217"/>
      </t>
    </mdx>
    <mdx n="0" f="v">
      <t c="7">
        <n x="81" s="1"/>
        <n x="24" s="1"/>
        <n x="21"/>
        <n x="26"/>
        <n x="60"/>
        <n x="16"/>
        <n x="217"/>
      </t>
    </mdx>
    <mdx n="0" f="v">
      <t c="7">
        <n x="81" s="1"/>
        <n x="24" s="1"/>
        <n x="21"/>
        <n x="26"/>
        <n x="57"/>
        <n x="17"/>
        <n x="217"/>
      </t>
    </mdx>
    <mdx n="0" f="v">
      <t c="6">
        <n x="81" s="1"/>
        <n x="24" s="1"/>
        <n x="21"/>
        <n x="61"/>
        <n x="25"/>
        <n x="217"/>
      </t>
    </mdx>
    <mdx n="0" f="v">
      <t c="7">
        <n x="81" s="1"/>
        <n x="24" s="1"/>
        <n x="21"/>
        <n x="28"/>
        <n x="55"/>
        <n x="25"/>
        <n x="217"/>
      </t>
    </mdx>
    <mdx n="0" f="v">
      <t c="6">
        <n x="81" s="1"/>
        <n x="24" s="1"/>
        <n x="21"/>
        <n x="36"/>
        <n x="15"/>
        <n x="217"/>
      </t>
    </mdx>
    <mdx n="0" f="v">
      <t c="6">
        <n x="81" s="1"/>
        <n x="24" s="1"/>
        <n x="21"/>
        <n x="48"/>
        <n x="7"/>
        <n x="217"/>
      </t>
    </mdx>
    <mdx n="0" f="v">
      <t c="7">
        <n x="81" s="1"/>
        <n x="24" s="1"/>
        <n x="21"/>
        <n x="26"/>
        <n x="46"/>
        <n x="10"/>
        <n x="217"/>
      </t>
    </mdx>
    <mdx n="0" f="v">
      <t c="7">
        <n x="81" s="1"/>
        <n x="24" s="1"/>
        <n x="21"/>
        <n x="62"/>
        <n x="73"/>
        <n x="13"/>
        <n x="217"/>
      </t>
    </mdx>
    <mdx n="0" f="v">
      <t c="6">
        <n x="81" s="1"/>
        <n x="24" s="1"/>
        <n x="21"/>
        <n x="65"/>
        <n x="17"/>
        <n x="217"/>
      </t>
    </mdx>
    <mdx n="0" f="v">
      <t c="7">
        <n x="81" s="1"/>
        <n x="24" s="1"/>
        <n x="21"/>
        <n x="29"/>
        <n x="30"/>
        <n x="12"/>
        <n x="217"/>
      </t>
    </mdx>
    <mdx n="0" f="v">
      <t c="7">
        <n x="81" s="1"/>
        <n x="24" s="1"/>
        <n x="21"/>
        <n x="26"/>
        <n x="27"/>
        <n x="15"/>
        <n x="217"/>
      </t>
    </mdx>
    <mdx n="0" f="v">
      <t c="7">
        <n x="81" s="1"/>
        <n x="24" s="1"/>
        <n x="21"/>
        <n x="26"/>
        <n x="60"/>
        <n x="7"/>
        <n x="217"/>
      </t>
    </mdx>
    <mdx n="0" f="v">
      <t c="7">
        <n x="81" s="1"/>
        <n x="24" s="1"/>
        <n x="21"/>
        <n x="28"/>
        <n x="58"/>
        <n x="11"/>
        <n x="217"/>
      </t>
    </mdx>
    <mdx n="0" f="v">
      <t c="7">
        <n x="81" s="1"/>
        <n x="24" s="1"/>
        <n x="21"/>
        <n x="32"/>
        <n x="66"/>
        <n x="11"/>
        <n x="217"/>
      </t>
    </mdx>
    <mdx n="0" f="v">
      <t c="7">
        <n x="81" s="1"/>
        <n x="24" s="1"/>
        <n x="21"/>
        <n x="26"/>
        <n x="44"/>
        <n x="9"/>
        <n x="217"/>
      </t>
    </mdx>
    <mdx n="0" f="v">
      <t c="7">
        <n x="81" s="1"/>
        <n x="24" s="1"/>
        <n x="21"/>
        <n x="26"/>
        <n x="44"/>
        <n x="12"/>
        <n x="217"/>
      </t>
    </mdx>
    <mdx n="0" f="v">
      <t c="7">
        <n x="81" s="1"/>
        <n x="24" s="1"/>
        <n x="21"/>
        <n x="26"/>
        <n x="41"/>
        <n x="16"/>
        <n x="217"/>
      </t>
    </mdx>
    <mdx n="0" f="v">
      <t c="7">
        <n x="81" s="1"/>
        <n x="24" s="1"/>
        <n x="21"/>
        <n x="26"/>
        <n x="34"/>
        <n x="16"/>
        <n x="217"/>
      </t>
    </mdx>
    <mdx n="0" f="v">
      <t c="7">
        <n x="81" s="1"/>
        <n x="24" s="1"/>
        <n x="21"/>
        <n x="26"/>
        <n x="38"/>
        <n x="16"/>
        <n x="217"/>
      </t>
    </mdx>
    <mdx n="0" f="v">
      <t c="6">
        <n x="81" s="1"/>
        <n x="24" s="1"/>
        <n x="21"/>
        <n x="29"/>
        <n x="17"/>
        <n x="217"/>
      </t>
    </mdx>
    <mdx n="0" f="v">
      <t c="7">
        <n x="81" s="1"/>
        <n x="24" s="1"/>
        <n x="21"/>
        <n x="32"/>
        <n x="66"/>
        <n x="6"/>
        <n x="217"/>
      </t>
    </mdx>
    <mdx n="0" f="v">
      <t c="7">
        <n x="81" s="1"/>
        <n x="24" s="1"/>
        <n x="21"/>
        <n x="32"/>
        <n x="33"/>
        <n x="6"/>
        <n x="217"/>
      </t>
    </mdx>
    <mdx n="0" f="v">
      <t c="7">
        <n x="81" s="1"/>
        <n x="24" s="1"/>
        <n x="21"/>
        <n x="26"/>
        <n x="69"/>
        <n x="15"/>
        <n x="217"/>
      </t>
    </mdx>
    <mdx n="0" f="v">
      <t c="7">
        <n x="81" s="1"/>
        <n x="24" s="1"/>
        <n x="21"/>
        <n x="26"/>
        <n x="57"/>
        <n x="9"/>
        <n x="217"/>
      </t>
    </mdx>
    <mdx n="0" f="v">
      <t c="7">
        <n x="81" s="1"/>
        <n x="24" s="1"/>
        <n x="21"/>
        <n x="29"/>
        <n x="35"/>
        <n x="11"/>
        <n x="217"/>
      </t>
    </mdx>
    <mdx n="0" f="v">
      <t c="6">
        <n x="81" s="1"/>
        <n x="24" s="1"/>
        <n x="21"/>
        <n x="26"/>
        <n x="12"/>
        <n x="217"/>
      </t>
    </mdx>
    <mdx n="0" f="v">
      <t c="7">
        <n x="81" s="1"/>
        <n x="24" s="1"/>
        <n x="21"/>
        <n x="26"/>
        <n x="52"/>
        <n x="25"/>
        <n x="217"/>
      </t>
    </mdx>
    <mdx n="0" f="v">
      <t c="7">
        <n x="81" s="1"/>
        <n x="24" s="1"/>
        <n x="21"/>
        <n x="48"/>
        <n x="64"/>
        <n x="15"/>
        <n x="217"/>
      </t>
    </mdx>
    <mdx n="0" f="v">
      <t c="7">
        <n x="81" s="1"/>
        <n x="24" s="1"/>
        <n x="21"/>
        <n x="29"/>
        <n x="51"/>
        <n x="12"/>
        <n x="217"/>
      </t>
    </mdx>
    <mdx n="0" f="v">
      <t c="7">
        <n x="81" s="1"/>
        <n x="24" s="1"/>
        <n x="21"/>
        <n x="26"/>
        <n x="52"/>
        <n x="17"/>
        <n x="217"/>
      </t>
    </mdx>
    <mdx n="0" f="v">
      <t c="7">
        <n x="81" s="1"/>
        <n x="24" s="1"/>
        <n x="21"/>
        <n x="62"/>
        <n x="73"/>
        <n x="9"/>
        <n x="217"/>
      </t>
    </mdx>
    <mdx n="0" f="v">
      <t c="7">
        <n x="81" s="1"/>
        <n x="24" s="1"/>
        <n x="21"/>
        <n x="29"/>
        <n x="35"/>
        <n x="15"/>
        <n x="217"/>
      </t>
    </mdx>
    <mdx n="0" f="v">
      <t c="7">
        <n x="81" s="1"/>
        <n x="24" s="1"/>
        <n x="21"/>
        <n x="29"/>
        <n x="51"/>
        <n x="13"/>
        <n x="217"/>
      </t>
    </mdx>
    <mdx n="0" f="v">
      <t c="7">
        <n x="81" s="1"/>
        <n x="24" s="1"/>
        <n x="21"/>
        <n x="26"/>
        <n x="27"/>
        <n x="25"/>
        <n x="217"/>
      </t>
    </mdx>
    <mdx n="0" f="v">
      <t c="7">
        <n x="81" s="1"/>
        <n x="24" s="1"/>
        <n x="21"/>
        <n x="29"/>
        <n x="35"/>
        <n x="8"/>
        <n x="217"/>
      </t>
    </mdx>
    <mdx n="0" f="v">
      <t c="7">
        <n x="81" s="1"/>
        <n x="24" s="1"/>
        <n x="21"/>
        <n x="48"/>
        <n x="64"/>
        <n x="25"/>
        <n x="217"/>
      </t>
    </mdx>
    <mdx n="0" f="v">
      <t c="6">
        <n x="81" s="1"/>
        <n x="24" s="1"/>
        <n x="21"/>
        <n x="48"/>
        <n x="25"/>
        <n x="217"/>
      </t>
    </mdx>
    <mdx n="0" f="v">
      <t c="7">
        <n x="81" s="1"/>
        <n x="24" s="1"/>
        <n x="21"/>
        <n x="32"/>
        <n x="63"/>
        <n x="17"/>
        <n x="217"/>
      </t>
    </mdx>
    <mdx n="0" f="v">
      <t c="7">
        <n x="81" s="1"/>
        <n x="24" s="1"/>
        <n x="21"/>
        <n x="32"/>
        <n x="70"/>
        <n x="16"/>
        <n x="217"/>
      </t>
    </mdx>
    <mdx n="0" f="v">
      <t c="6">
        <n x="81" s="1"/>
        <n x="24" s="1"/>
        <n x="21"/>
        <n x="32"/>
        <n x="6"/>
        <n x="217"/>
      </t>
    </mdx>
    <mdx n="0" f="v">
      <t c="7">
        <n x="81" s="1"/>
        <n x="24" s="1"/>
        <n x="21"/>
        <n x="26"/>
        <n x="44"/>
        <n x="17"/>
        <n x="217"/>
      </t>
    </mdx>
    <mdx n="0" f="v">
      <t c="7">
        <n x="81" s="1"/>
        <n x="24" s="1"/>
        <n x="21"/>
        <n x="29"/>
        <n x="71"/>
        <n x="16"/>
        <n x="217"/>
      </t>
    </mdx>
    <mdx n="0" f="v">
      <t c="7">
        <n x="81" s="1"/>
        <n x="24" s="1"/>
        <n x="21"/>
        <n x="48"/>
        <n x="64"/>
        <n x="6"/>
        <n x="217"/>
      </t>
    </mdx>
    <mdx n="0" f="v">
      <t c="7">
        <n x="81" s="1"/>
        <n x="24" s="1"/>
        <n x="21"/>
        <n x="26"/>
        <n x="56"/>
        <n x="11"/>
        <n x="217"/>
      </t>
    </mdx>
    <mdx n="0" f="v">
      <t c="7">
        <n x="81" s="1"/>
        <n x="24" s="1"/>
        <n x="21"/>
        <n x="26"/>
        <n x="57"/>
        <n x="15"/>
        <n x="217"/>
      </t>
    </mdx>
    <mdx n="0" f="v">
      <t c="7">
        <n x="81" s="1"/>
        <n x="24" s="1"/>
        <n x="21"/>
        <n x="29"/>
        <n x="71"/>
        <n x="15"/>
        <n x="217"/>
      </t>
    </mdx>
    <mdx n="0" f="v">
      <t c="7">
        <n x="81" s="1"/>
        <n x="24" s="1"/>
        <n x="21"/>
        <n x="36"/>
        <n x="37"/>
        <n x="17"/>
        <n x="217"/>
      </t>
    </mdx>
    <mdx n="0" f="v">
      <t c="7">
        <n x="81" s="1"/>
        <n x="24" s="1"/>
        <n x="21"/>
        <n x="29"/>
        <n x="45"/>
        <n x="16"/>
        <n x="217"/>
      </t>
    </mdx>
    <mdx n="0" f="v">
      <t c="7">
        <n x="81" s="1"/>
        <n x="24" s="1"/>
        <n x="21"/>
        <n x="32"/>
        <n x="63"/>
        <n x="16"/>
        <n x="217"/>
      </t>
    </mdx>
    <mdx n="0" f="v">
      <t c="7">
        <n x="81" s="1"/>
        <n x="24" s="1"/>
        <n x="21"/>
        <n x="28"/>
        <n x="55"/>
        <n x="17"/>
        <n x="217"/>
      </t>
    </mdx>
    <mdx n="0" f="v">
      <t c="6">
        <n x="81" s="1"/>
        <n x="24" s="1"/>
        <n x="21"/>
        <n x="29"/>
        <n x="13"/>
        <n x="217"/>
      </t>
    </mdx>
    <mdx n="0" f="v">
      <t c="7">
        <n x="81" s="1"/>
        <n x="24" s="1"/>
        <n x="21"/>
        <n x="29"/>
        <n x="50"/>
        <n x="13"/>
        <n x="217"/>
      </t>
    </mdx>
    <mdx n="0" f="v">
      <t c="7">
        <n x="81" s="1"/>
        <n x="24" s="1"/>
        <n x="21"/>
        <n x="29"/>
        <n x="71"/>
        <n x="13"/>
        <n x="217"/>
      </t>
    </mdx>
    <mdx n="0" f="v">
      <t c="7">
        <n x="81" s="1"/>
        <n x="24" s="1"/>
        <n x="21"/>
        <n x="29"/>
        <n x="71"/>
        <n x="17"/>
        <n x="217"/>
      </t>
    </mdx>
    <mdx n="0" f="v">
      <t c="6">
        <n x="81" s="1"/>
        <n x="24" s="1"/>
        <n x="21"/>
        <n x="48"/>
        <n x="14"/>
        <n x="217"/>
      </t>
    </mdx>
    <mdx n="0" f="v">
      <t c="7">
        <n x="81" s="1"/>
        <n x="24" s="1"/>
        <n x="21"/>
        <n x="62"/>
        <n x="73"/>
        <n x="8"/>
        <n x="217"/>
      </t>
    </mdx>
    <mdx n="0" f="v">
      <t c="7">
        <n x="81" s="1"/>
        <n x="24" s="1"/>
        <n x="21"/>
        <n x="28"/>
        <n x="55"/>
        <n x="7"/>
        <n x="217"/>
      </t>
    </mdx>
    <mdx n="0" f="v">
      <t c="6">
        <n x="81" s="1"/>
        <n x="24" s="1"/>
        <n x="21"/>
        <n x="29"/>
        <n x="7"/>
        <n x="217"/>
      </t>
    </mdx>
    <mdx n="0" f="v">
      <t c="7">
        <n x="81" s="1"/>
        <n x="24" s="1"/>
        <n x="21"/>
        <n x="32"/>
        <n x="33"/>
        <n x="25"/>
        <n x="217"/>
      </t>
    </mdx>
    <mdx n="0" f="v">
      <t c="7">
        <n x="81" s="1"/>
        <n x="24" s="1"/>
        <n x="21"/>
        <n x="26"/>
        <n x="27"/>
        <n x="12"/>
        <n x="217"/>
      </t>
    </mdx>
    <mdx n="0" f="v">
      <t c="7">
        <n x="81" s="1"/>
        <n x="24" s="1"/>
        <n x="21"/>
        <n x="29"/>
        <n x="47"/>
        <n x="14"/>
        <n x="217"/>
      </t>
    </mdx>
    <mdx n="0" f="v">
      <t c="7">
        <n x="81" s="1"/>
        <n x="24" s="1"/>
        <n x="21"/>
        <n x="29"/>
        <n x="59"/>
        <n x="25"/>
        <n x="217"/>
      </t>
    </mdx>
    <mdx n="0" f="v">
      <t c="7">
        <n x="81" s="1"/>
        <n x="24" s="1"/>
        <n x="21"/>
        <n x="26"/>
        <n x="38"/>
        <n x="7"/>
        <n x="217"/>
      </t>
    </mdx>
    <mdx n="0" f="v">
      <t c="7">
        <n x="81" s="1"/>
        <n x="24" s="1"/>
        <n x="21"/>
        <n x="29"/>
        <n x="50"/>
        <n x="7"/>
        <n x="217"/>
      </t>
    </mdx>
    <mdx n="0" f="v">
      <t c="7">
        <n x="81" s="1"/>
        <n x="24" s="1"/>
        <n x="21"/>
        <n x="26"/>
        <n x="27"/>
        <n x="8"/>
        <n x="217"/>
      </t>
    </mdx>
    <mdx n="0" f="v">
      <t c="7">
        <n x="81" s="1"/>
        <n x="24" s="1"/>
        <n x="21"/>
        <n x="32"/>
        <n x="63"/>
        <n x="12"/>
        <n x="217"/>
      </t>
    </mdx>
    <mdx n="0" f="v">
      <t c="7">
        <n x="81" s="1"/>
        <n x="24" s="1"/>
        <n x="21"/>
        <n x="26"/>
        <n x="31"/>
        <n x="13"/>
        <n x="217"/>
      </t>
    </mdx>
    <mdx n="0" f="v">
      <t c="7">
        <n x="81" s="1"/>
        <n x="24" s="1"/>
        <n x="21"/>
        <n x="26"/>
        <n x="38"/>
        <n x="17"/>
        <n x="217"/>
      </t>
    </mdx>
    <mdx n="0" f="v">
      <t c="7">
        <n x="81" s="1"/>
        <n x="24" s="1"/>
        <n x="21"/>
        <n x="29"/>
        <n x="35"/>
        <n x="12"/>
        <n x="217"/>
      </t>
    </mdx>
    <mdx n="0" f="v">
      <t c="7">
        <n x="81" s="1"/>
        <n x="24" s="1"/>
        <n x="21"/>
        <n x="26"/>
        <n x="67"/>
        <n x="8"/>
        <n x="217"/>
      </t>
    </mdx>
    <mdx n="0" f="v">
      <t c="6">
        <n x="81" s="1"/>
        <n x="24" s="1"/>
        <n x="21"/>
        <n x="29"/>
        <n x="6"/>
        <n x="217"/>
      </t>
    </mdx>
    <mdx n="0" f="v">
      <t c="7">
        <n x="81" s="1"/>
        <n x="24" s="1"/>
        <n x="21"/>
        <n x="29"/>
        <n x="43"/>
        <n x="14"/>
        <n x="217"/>
      </t>
    </mdx>
    <mdx n="0" f="v">
      <t c="7">
        <n x="81" s="1"/>
        <n x="24" s="1"/>
        <n x="21"/>
        <n x="32"/>
        <n x="66"/>
        <n x="16"/>
        <n x="217"/>
      </t>
    </mdx>
    <mdx n="0" f="v">
      <t c="7">
        <n x="81" s="1"/>
        <n x="24" s="1"/>
        <n x="21"/>
        <n x="29"/>
        <n x="43"/>
        <n x="10"/>
        <n x="217"/>
      </t>
    </mdx>
    <mdx n="0" f="v">
      <t c="7">
        <n x="81" s="1"/>
        <n x="24" s="1"/>
        <n x="21"/>
        <n x="29"/>
        <n x="54"/>
        <n x="9"/>
        <n x="217"/>
      </t>
    </mdx>
    <mdx n="0" f="v">
      <t c="7">
        <n x="81" s="1"/>
        <n x="24" s="1"/>
        <n x="21"/>
        <n x="29"/>
        <n x="43"/>
        <n x="12"/>
        <n x="217"/>
      </t>
    </mdx>
    <mdx n="0" f="v">
      <t c="7">
        <n x="81" s="1"/>
        <n x="24" s="1"/>
        <n x="21"/>
        <n x="26"/>
        <n x="31"/>
        <n x="17"/>
        <n x="217"/>
      </t>
    </mdx>
    <mdx n="0" f="v">
      <t c="7">
        <n x="81" s="1"/>
        <n x="24" s="1"/>
        <n x="21"/>
        <n x="29"/>
        <n x="54"/>
        <n x="11"/>
        <n x="217"/>
      </t>
    </mdx>
    <mdx n="0" f="v">
      <t c="6">
        <n x="81" s="1"/>
        <n x="24" s="1"/>
        <n x="21"/>
        <n x="29"/>
        <n x="10"/>
        <n x="217"/>
      </t>
    </mdx>
    <mdx n="0" f="v">
      <t c="7">
        <n x="81" s="1"/>
        <n x="24" s="1"/>
        <n x="21"/>
        <n x="26"/>
        <n x="56"/>
        <n x="8"/>
        <n x="217"/>
      </t>
    </mdx>
    <mdx n="0" f="v">
      <t c="7">
        <n x="81" s="1"/>
        <n x="24" s="1"/>
        <n x="21"/>
        <n x="28"/>
        <n x="42"/>
        <n x="15"/>
        <n x="217"/>
      </t>
    </mdx>
    <mdx n="0" f="v">
      <t c="7">
        <n x="81" s="1"/>
        <n x="24" s="1"/>
        <n x="21"/>
        <n x="32"/>
        <n x="33"/>
        <n x="17"/>
        <n x="217"/>
      </t>
    </mdx>
    <mdx n="0" f="v">
      <t c="7">
        <n x="81" s="1"/>
        <n x="24" s="1"/>
        <n x="21"/>
        <n x="29"/>
        <n x="59"/>
        <n x="15"/>
        <n x="217"/>
      </t>
    </mdx>
    <mdx n="0" f="v">
      <t c="7">
        <n x="81" s="1"/>
        <n x="24" s="1"/>
        <n x="21"/>
        <n x="29"/>
        <n x="54"/>
        <n x="16"/>
        <n x="217"/>
      </t>
    </mdx>
    <mdx n="0" f="v">
      <t c="7">
        <n x="81" s="1"/>
        <n x="24" s="1"/>
        <n x="21"/>
        <n x="29"/>
        <n x="47"/>
        <n x="8"/>
        <n x="217"/>
      </t>
    </mdx>
    <mdx n="0" f="v">
      <t c="7">
        <n x="81" s="1"/>
        <n x="24" s="1"/>
        <n x="21"/>
        <n x="29"/>
        <n x="50"/>
        <n x="11"/>
        <n x="217"/>
      </t>
    </mdx>
    <mdx n="0" f="v">
      <t c="7">
        <n x="81" s="1"/>
        <n x="24" s="1"/>
        <n x="21"/>
        <n x="26"/>
        <n x="41"/>
        <n x="15"/>
        <n x="217"/>
      </t>
    </mdx>
    <mdx n="0" f="v">
      <t c="6">
        <n x="81" s="1"/>
        <n x="24" s="1"/>
        <n x="21"/>
        <n x="28"/>
        <n x="7"/>
        <n x="217"/>
      </t>
    </mdx>
    <mdx n="0" f="v">
      <t c="7">
        <n x="81" s="1"/>
        <n x="24" s="1"/>
        <n x="21"/>
        <n x="62"/>
        <n x="74"/>
        <n x="7"/>
        <n x="217"/>
      </t>
    </mdx>
    <mdx n="0" f="v">
      <t c="7">
        <n x="81" s="1"/>
        <n x="24" s="1"/>
        <n x="21"/>
        <n x="32"/>
        <n x="33"/>
        <n x="8"/>
        <n x="217"/>
      </t>
    </mdx>
    <mdx n="0" f="v">
      <t c="7">
        <n x="81" s="1"/>
        <n x="24" s="1"/>
        <n x="21"/>
        <n x="26"/>
        <n x="46"/>
        <n x="9"/>
        <n x="217"/>
      </t>
    </mdx>
    <mdx n="0" f="v">
      <t c="7">
        <n x="81" s="1"/>
        <n x="24" s="1"/>
        <n x="21"/>
        <n x="32"/>
        <n x="33"/>
        <n x="12"/>
        <n x="217"/>
      </t>
    </mdx>
    <mdx n="0" f="v">
      <t c="7">
        <n x="81" s="1"/>
        <n x="24" s="1"/>
        <n x="21"/>
        <n x="29"/>
        <n x="51"/>
        <n x="10"/>
        <n x="217"/>
      </t>
    </mdx>
    <mdx n="0" f="v">
      <t c="7">
        <n x="81" s="1"/>
        <n x="24" s="1"/>
        <n x="21"/>
        <n x="26"/>
        <n x="38"/>
        <n x="9"/>
        <n x="217"/>
      </t>
    </mdx>
    <mdx n="0" f="v">
      <t c="7">
        <n x="81" s="1"/>
        <n x="24" s="1"/>
        <n x="21"/>
        <n x="26"/>
        <n x="60"/>
        <n x="17"/>
        <n x="217"/>
      </t>
    </mdx>
    <mdx n="0" f="v">
      <t c="7">
        <n x="81" s="1"/>
        <n x="24" s="1"/>
        <n x="21"/>
        <n x="29"/>
        <n x="30"/>
        <n x="11"/>
        <n x="217"/>
      </t>
    </mdx>
    <mdx n="0" f="v">
      <t c="7">
        <n x="81" s="1"/>
        <n x="24" s="1"/>
        <n x="21"/>
        <n x="29"/>
        <n x="45"/>
        <n x="25"/>
        <n x="217"/>
      </t>
    </mdx>
    <mdx n="0" f="v">
      <t c="7">
        <n x="81" s="1"/>
        <n x="24" s="1"/>
        <n x="21"/>
        <n x="26"/>
        <n x="41"/>
        <n x="6"/>
        <n x="217"/>
      </t>
    </mdx>
    <mdx n="0" f="v">
      <t c="7">
        <n x="81" s="1"/>
        <n x="24" s="1"/>
        <n x="21"/>
        <n x="48"/>
        <n x="64"/>
        <n x="8"/>
        <n x="217"/>
      </t>
    </mdx>
    <mdx n="0" f="v">
      <t c="7">
        <n x="81" s="1"/>
        <n x="24" s="1"/>
        <n x="21"/>
        <n x="29"/>
        <n x="43"/>
        <n x="25"/>
        <n x="217"/>
      </t>
    </mdx>
    <mdx n="0" f="v">
      <t c="7">
        <n x="81" s="1"/>
        <n x="24" s="1"/>
        <n x="21"/>
        <n x="26"/>
        <n x="31"/>
        <n x="15"/>
        <n x="217"/>
      </t>
    </mdx>
    <mdx n="0" f="v">
      <t c="7">
        <n x="81" s="1"/>
        <n x="24" s="1"/>
        <n x="21"/>
        <n x="29"/>
        <n x="43"/>
        <n x="11"/>
        <n x="217"/>
      </t>
    </mdx>
    <mdx n="0" f="v">
      <t c="6">
        <n x="81" s="1"/>
        <n x="24" s="1"/>
        <n x="21"/>
        <n x="36"/>
        <n x="11"/>
        <n x="217"/>
      </t>
    </mdx>
    <mdx n="0" f="v">
      <t c="6">
        <n x="81" s="1"/>
        <n x="24" s="1"/>
        <n x="21"/>
        <n x="65"/>
        <n x="8"/>
        <n x="217"/>
      </t>
    </mdx>
    <mdx n="0" f="v">
      <t c="7">
        <n x="81" s="1"/>
        <n x="24" s="1"/>
        <n x="21"/>
        <n x="26"/>
        <n x="69"/>
        <n x="14"/>
        <n x="217"/>
      </t>
    </mdx>
    <mdx n="0" f="v">
      <t c="7">
        <n x="81" s="1"/>
        <n x="24" s="1"/>
        <n x="21"/>
        <n x="29"/>
        <n x="35"/>
        <n x="16"/>
        <n x="217"/>
      </t>
    </mdx>
    <mdx n="0" f="v">
      <t c="6">
        <n x="81" s="1"/>
        <n x="24" s="1"/>
        <n x="21"/>
        <n x="65"/>
        <n x="9"/>
        <n x="217"/>
      </t>
    </mdx>
    <mdx n="0" f="v">
      <t c="7">
        <n x="81" s="1"/>
        <n x="24" s="1"/>
        <n x="21"/>
        <n x="48"/>
        <n x="49"/>
        <n x="7"/>
        <n x="217"/>
      </t>
    </mdx>
    <mdx n="0" f="v">
      <t c="6">
        <n x="81" s="1"/>
        <n x="24" s="1"/>
        <n x="21"/>
        <n x="29"/>
        <n x="14"/>
        <n x="217"/>
      </t>
    </mdx>
    <mdx n="0" f="v">
      <t c="7">
        <n x="81" s="1"/>
        <n x="24" s="1"/>
        <n x="21"/>
        <n x="28"/>
        <n x="55"/>
        <n x="13"/>
        <n x="217"/>
      </t>
    </mdx>
    <mdx n="0" f="v">
      <t c="7">
        <n x="81" s="1"/>
        <n x="24" s="1"/>
        <n x="21"/>
        <n x="32"/>
        <n x="33"/>
        <n x="14"/>
        <n x="217"/>
      </t>
    </mdx>
    <mdx n="0" f="v">
      <t c="7">
        <n x="81" s="1"/>
        <n x="24" s="1"/>
        <n x="21"/>
        <n x="48"/>
        <n x="64"/>
        <n x="10"/>
        <n x="217"/>
      </t>
    </mdx>
    <mdx n="0" f="v">
      <t c="7">
        <n x="81" s="1"/>
        <n x="24" s="1"/>
        <n x="21"/>
        <n x="26"/>
        <n x="57"/>
        <n x="11"/>
        <n x="217"/>
      </t>
    </mdx>
    <mdx n="0" f="v">
      <t c="7">
        <n x="81" s="1"/>
        <n x="24" s="1"/>
        <n x="21"/>
        <n x="29"/>
        <n x="59"/>
        <n x="17"/>
        <n x="217"/>
      </t>
    </mdx>
    <mdx n="0" f="v">
      <t c="7">
        <n x="81" s="1"/>
        <n x="24" s="1"/>
        <n x="21"/>
        <n x="26"/>
        <n x="34"/>
        <n x="8"/>
        <n x="217"/>
      </t>
    </mdx>
    <mdx n="0" f="v">
      <t c="7">
        <n x="81" s="1"/>
        <n x="24" s="1"/>
        <n x="21"/>
        <n x="29"/>
        <n x="35"/>
        <n x="17"/>
        <n x="217"/>
      </t>
    </mdx>
    <mdx n="0" f="v">
      <t c="7">
        <n x="81" s="1"/>
        <n x="24" s="1"/>
        <n x="21"/>
        <n x="29"/>
        <n x="45"/>
        <n x="17"/>
        <n x="217"/>
      </t>
    </mdx>
    <mdx n="0" f="v">
      <t c="7">
        <n x="81" s="1"/>
        <n x="24" s="1"/>
        <n x="21"/>
        <n x="32"/>
        <n x="68"/>
        <n x="12"/>
        <n x="217"/>
      </t>
    </mdx>
    <mdx n="0" f="v">
      <t c="6">
        <n x="81" s="1"/>
        <n x="24" s="1"/>
        <n x="21"/>
        <n x="28"/>
        <n x="6"/>
        <n x="217"/>
      </t>
    </mdx>
    <mdx n="0" f="v">
      <t c="7">
        <n x="81" s="1"/>
        <n x="24" s="1"/>
        <n x="21"/>
        <n x="29"/>
        <n x="45"/>
        <n x="10"/>
        <n x="217"/>
      </t>
    </mdx>
    <mdx n="0" f="v">
      <t c="7">
        <n x="81" s="1"/>
        <n x="24" s="1"/>
        <n x="21"/>
        <n x="36"/>
        <n x="37"/>
        <n x="14"/>
        <n x="217"/>
      </t>
    </mdx>
    <mdx n="0" f="v">
      <t c="7">
        <n x="81" s="1"/>
        <n x="24" s="1"/>
        <n x="21"/>
        <n x="29"/>
        <n x="30"/>
        <n x="13"/>
        <n x="217"/>
      </t>
    </mdx>
    <mdx n="0" f="v">
      <t c="7">
        <n x="81" s="1"/>
        <n x="24" s="1"/>
        <n x="21"/>
        <n x="32"/>
        <n x="68"/>
        <n x="13"/>
        <n x="217"/>
      </t>
    </mdx>
    <mdx n="0" f="v">
      <t c="7">
        <n x="81" s="1"/>
        <n x="24" s="1"/>
        <n x="21"/>
        <n x="26"/>
        <n x="27"/>
        <n x="9"/>
        <n x="217"/>
      </t>
    </mdx>
    <mdx n="0" f="v">
      <t c="7">
        <n x="81" s="1"/>
        <n x="24" s="1"/>
        <n x="21"/>
        <n x="62"/>
        <n x="72"/>
        <n x="8"/>
        <n x="217"/>
      </t>
    </mdx>
    <mdx n="0" f="v">
      <t c="7">
        <n x="81" s="1"/>
        <n x="24" s="1"/>
        <n x="21"/>
        <n x="29"/>
        <n x="35"/>
        <n x="13"/>
        <n x="217"/>
      </t>
    </mdx>
    <mdx n="0" f="v">
      <t c="7">
        <n x="81" s="1"/>
        <n x="24" s="1"/>
        <n x="21"/>
        <n x="26"/>
        <n x="52"/>
        <n x="15"/>
        <n x="217"/>
      </t>
    </mdx>
    <mdx n="0" f="v">
      <t c="6">
        <n x="81" s="1"/>
        <n x="24" s="1"/>
        <n x="21"/>
        <n x="26"/>
        <n x="8"/>
        <n x="217"/>
      </t>
    </mdx>
    <mdx n="0" f="v">
      <t c="6">
        <n x="81" s="1"/>
        <n x="24" s="1"/>
        <n x="21"/>
        <n x="28"/>
        <n x="25"/>
        <n x="217"/>
      </t>
    </mdx>
    <mdx n="0" f="v">
      <t c="7">
        <n x="81" s="1"/>
        <n x="24" s="1"/>
        <n x="21"/>
        <n x="48"/>
        <n x="64"/>
        <n x="14"/>
        <n x="217"/>
      </t>
    </mdx>
    <mdx n="0" f="v">
      <t c="7">
        <n x="81" s="1"/>
        <n x="24" s="1"/>
        <n x="21"/>
        <n x="32"/>
        <n x="66"/>
        <n x="13"/>
        <n x="217"/>
      </t>
    </mdx>
    <mdx n="0" f="v">
      <t c="6">
        <n x="81" s="1"/>
        <n x="24" s="1"/>
        <n x="21"/>
        <n x="61"/>
        <n x="7"/>
        <n x="217"/>
      </t>
    </mdx>
    <mdx n="0" f="v">
      <t c="7">
        <n x="81" s="1"/>
        <n x="24" s="1"/>
        <n x="21"/>
        <n x="32"/>
        <n x="70"/>
        <n x="13"/>
        <n x="217"/>
      </t>
    </mdx>
    <mdx n="0" f="v">
      <t c="7">
        <n x="81" s="1"/>
        <n x="24" s="1"/>
        <n x="21"/>
        <n x="26"/>
        <n x="44"/>
        <n x="7"/>
        <n x="217"/>
      </t>
    </mdx>
    <mdx n="0" f="v">
      <t c="7">
        <n x="81" s="1"/>
        <n x="24" s="1"/>
        <n x="21"/>
        <n x="26"/>
        <n x="60"/>
        <n x="15"/>
        <n x="217"/>
      </t>
    </mdx>
    <mdx n="0" f="v">
      <t c="7">
        <n x="81" s="1"/>
        <n x="24" s="1"/>
        <n x="21"/>
        <n x="29"/>
        <n x="71"/>
        <n x="25"/>
        <n x="217"/>
      </t>
    </mdx>
    <mdx n="0" f="v">
      <t c="7">
        <n x="81" s="1"/>
        <n x="24" s="1"/>
        <n x="21"/>
        <n x="62"/>
        <n x="72"/>
        <n x="9"/>
        <n x="217"/>
      </t>
    </mdx>
    <mdx n="0" f="v">
      <t c="6">
        <n x="81" s="1"/>
        <n x="24" s="1"/>
        <n x="21"/>
        <n x="29"/>
        <n x="16"/>
        <n x="217"/>
      </t>
    </mdx>
    <mdx n="0" f="v">
      <t c="7">
        <n x="81" s="1"/>
        <n x="24" s="1"/>
        <n x="21"/>
        <n x="32"/>
        <n x="68"/>
        <n x="10"/>
        <n x="217"/>
      </t>
    </mdx>
    <mdx n="0" f="v">
      <t c="6">
        <n x="81" s="1"/>
        <n x="24" s="1"/>
        <n x="21"/>
        <n x="32"/>
        <n x="16"/>
        <n x="217"/>
      </t>
    </mdx>
    <mdx n="0" f="v">
      <t c="7">
        <n x="81" s="1"/>
        <n x="24" s="1"/>
        <n x="21"/>
        <n x="26"/>
        <n x="41"/>
        <n x="25"/>
        <n x="217"/>
      </t>
    </mdx>
    <mdx n="0" f="v">
      <t c="7">
        <n x="81" s="1"/>
        <n x="24" s="1"/>
        <n x="21"/>
        <n x="26"/>
        <n x="38"/>
        <n x="25"/>
        <n x="217"/>
      </t>
    </mdx>
    <mdx n="0" f="v">
      <t c="7">
        <n x="81" s="1"/>
        <n x="24" s="1"/>
        <n x="21"/>
        <n x="32"/>
        <n x="33"/>
        <n x="10"/>
        <n x="217"/>
      </t>
    </mdx>
    <mdx n="0" f="v">
      <t c="7">
        <n x="81" s="1"/>
        <n x="24" s="1"/>
        <n x="21"/>
        <n x="29"/>
        <n x="71"/>
        <n x="11"/>
        <n x="217"/>
      </t>
    </mdx>
    <mdx n="0" f="v">
      <t c="7">
        <n x="81" s="1"/>
        <n x="24" s="1"/>
        <n x="21"/>
        <n x="26"/>
        <n x="34"/>
        <n x="9"/>
        <n x="217"/>
      </t>
    </mdx>
    <mdx n="0" f="v">
      <t c="7">
        <n x="81" s="1"/>
        <n x="24" s="1"/>
        <n x="21"/>
        <n x="29"/>
        <n x="45"/>
        <n x="12"/>
        <n x="217"/>
      </t>
    </mdx>
    <mdx n="0" f="v">
      <t c="7">
        <n x="81" s="1"/>
        <n x="24" s="1"/>
        <n x="21"/>
        <n x="29"/>
        <n x="71"/>
        <n x="6"/>
        <n x="217"/>
      </t>
    </mdx>
    <mdx n="0" f="v">
      <t c="7">
        <n x="81" s="1"/>
        <n x="24" s="1"/>
        <n x="21"/>
        <n x="62"/>
        <n x="73"/>
        <n x="17"/>
        <n x="217"/>
      </t>
    </mdx>
    <mdx n="0" f="v">
      <t c="7">
        <n x="81" s="1"/>
        <n x="24" s="1"/>
        <n x="21"/>
        <n x="26"/>
        <n x="46"/>
        <n x="12"/>
        <n x="217"/>
      </t>
    </mdx>
    <mdx n="0" f="v">
      <t c="7">
        <n x="81" s="1"/>
        <n x="24" s="1"/>
        <n x="21"/>
        <n x="28"/>
        <n x="53"/>
        <n x="6"/>
        <n x="217"/>
      </t>
    </mdx>
    <mdx n="0" f="v">
      <t c="7">
        <n x="81" s="1"/>
        <n x="24" s="1"/>
        <n x="21"/>
        <n x="32"/>
        <n x="70"/>
        <n x="15"/>
        <n x="217"/>
      </t>
    </mdx>
    <mdx n="0" f="v">
      <t c="7">
        <n x="81" s="1"/>
        <n x="24" s="1"/>
        <n x="21"/>
        <n x="36"/>
        <n x="37"/>
        <n x="25"/>
        <n x="217"/>
      </t>
    </mdx>
    <mdx n="0" f="v">
      <t c="6">
        <n x="81" s="1"/>
        <n x="24" s="1"/>
        <n x="21"/>
        <n x="61"/>
        <n x="15"/>
        <n x="217"/>
      </t>
    </mdx>
    <mdx n="0" f="v">
      <t c="6">
        <n x="81" s="1"/>
        <n x="24" s="1"/>
        <n x="21"/>
        <n x="32"/>
        <n x="9"/>
        <n x="217"/>
      </t>
    </mdx>
    <mdx n="0" f="v">
      <t c="7">
        <n x="81" s="1"/>
        <n x="24" s="1"/>
        <n x="21"/>
        <n x="29"/>
        <n x="47"/>
        <n x="9"/>
        <n x="217"/>
      </t>
    </mdx>
    <mdx n="0" f="v">
      <t c="7">
        <n x="81" s="1"/>
        <n x="24" s="1"/>
        <n x="21"/>
        <n x="26"/>
        <n x="67"/>
        <n x="17"/>
        <n x="217"/>
      </t>
    </mdx>
    <mdx n="0" f="v">
      <t c="7">
        <n x="81" s="1"/>
        <n x="24" s="1"/>
        <n x="21"/>
        <n x="26"/>
        <n x="67"/>
        <n x="7"/>
        <n x="217"/>
      </t>
    </mdx>
    <mdx n="0" f="v">
      <t c="7">
        <n x="81" s="1"/>
        <n x="24" s="1"/>
        <n x="21"/>
        <n x="28"/>
        <n x="58"/>
        <n x="16"/>
        <n x="217"/>
      </t>
    </mdx>
    <mdx n="0" f="v">
      <t c="7">
        <n x="81" s="1"/>
        <n x="24" s="1"/>
        <n x="21"/>
        <n x="29"/>
        <n x="51"/>
        <n x="16"/>
        <n x="217"/>
      </t>
    </mdx>
    <mdx n="0" f="v">
      <t c="7">
        <n x="81" s="1"/>
        <n x="24" s="1"/>
        <n x="21"/>
        <n x="26"/>
        <n x="57"/>
        <n x="10"/>
        <n x="217"/>
      </t>
    </mdx>
    <mdx n="0" f="v">
      <t c="6">
        <n x="81" s="1"/>
        <n x="24" s="1"/>
        <n x="21"/>
        <n x="32"/>
        <n x="25"/>
        <n x="217"/>
      </t>
    </mdx>
    <mdx n="0" f="v">
      <t c="7">
        <n x="81" s="1"/>
        <n x="24" s="1"/>
        <n x="21"/>
        <n x="29"/>
        <n x="43"/>
        <n x="16"/>
        <n x="217"/>
      </t>
    </mdx>
    <mdx n="0" f="v">
      <t c="7">
        <n x="81" s="1"/>
        <n x="24" s="1"/>
        <n x="21"/>
        <n x="36"/>
        <n x="37"/>
        <n x="6"/>
        <n x="217"/>
      </t>
    </mdx>
    <mdx n="0" f="v">
      <t c="6">
        <n x="81" s="1"/>
        <n x="24" s="1"/>
        <n x="21"/>
        <n x="48"/>
        <n x="15"/>
        <n x="217"/>
      </t>
    </mdx>
    <mdx n="0" f="v">
      <t c="7">
        <n x="81" s="1"/>
        <n x="24" s="1"/>
        <n x="21"/>
        <n x="26"/>
        <n x="56"/>
        <n x="16"/>
        <n x="217"/>
      </t>
    </mdx>
    <mdx n="0" f="v">
      <t c="7">
        <n x="81" s="1"/>
        <n x="24" s="1"/>
        <n x="21"/>
        <n x="32"/>
        <n x="68"/>
        <n x="6"/>
        <n x="217"/>
      </t>
    </mdx>
    <mdx n="0" f="v">
      <t c="7">
        <n x="81" s="1"/>
        <n x="24" s="1"/>
        <n x="21"/>
        <n x="29"/>
        <n x="43"/>
        <n x="9"/>
        <n x="217"/>
      </t>
    </mdx>
    <mdx n="0" f="v">
      <t c="7">
        <n x="81" s="1"/>
        <n x="24" s="1"/>
        <n x="21"/>
        <n x="62"/>
        <n x="74"/>
        <n x="12"/>
        <n x="217"/>
      </t>
    </mdx>
    <mdx n="0" f="v">
      <t c="7">
        <n x="81" s="1"/>
        <n x="24" s="1"/>
        <n x="21"/>
        <n x="32"/>
        <n x="63"/>
        <n x="6"/>
        <n x="217"/>
      </t>
    </mdx>
    <mdx n="0" f="v">
      <t c="7">
        <n x="81" s="1"/>
        <n x="24" s="1"/>
        <n x="21"/>
        <n x="26"/>
        <n x="60"/>
        <n x="13"/>
        <n x="217"/>
      </t>
    </mdx>
    <mdx n="0" f="v">
      <t c="6">
        <n x="81" s="1"/>
        <n x="24" s="1"/>
        <n x="21"/>
        <n x="32"/>
        <n x="13"/>
        <n x="217"/>
      </t>
    </mdx>
    <mdx n="0" f="v">
      <t c="7">
        <n x="81" s="1"/>
        <n x="24" s="1"/>
        <n x="21"/>
        <n x="62"/>
        <n x="72"/>
        <n x="14"/>
        <n x="217"/>
      </t>
    </mdx>
    <mdx n="0" f="v">
      <t c="7">
        <n x="81" s="1"/>
        <n x="24" s="1"/>
        <n x="21"/>
        <n x="26"/>
        <n x="34"/>
        <n x="7"/>
        <n x="217"/>
      </t>
    </mdx>
    <mdx n="0" f="v">
      <t c="7">
        <n x="81" s="1"/>
        <n x="24" s="1"/>
        <n x="21"/>
        <n x="29"/>
        <n x="43"/>
        <n x="6"/>
        <n x="217"/>
      </t>
    </mdx>
    <mdx n="0" f="v">
      <t c="7">
        <n x="81" s="1"/>
        <n x="24" s="1"/>
        <n x="21"/>
        <n x="26"/>
        <n x="41"/>
        <n x="8"/>
        <n x="217"/>
      </t>
    </mdx>
    <mdx n="0" f="v">
      <t c="6">
        <n x="81" s="1"/>
        <n x="24" s="1"/>
        <n x="21"/>
        <n x="36"/>
        <n x="8"/>
        <n x="217"/>
      </t>
    </mdx>
    <mdx n="0" f="v">
      <t c="7">
        <n x="81" s="1"/>
        <n x="24" s="1"/>
        <n x="21"/>
        <n x="32"/>
        <n x="66"/>
        <n x="15"/>
        <n x="217"/>
      </t>
    </mdx>
    <mdx n="0" f="v">
      <t c="6">
        <n x="81" s="1"/>
        <n x="24" s="1"/>
        <n x="21"/>
        <n x="29"/>
        <n x="8"/>
        <n x="217"/>
      </t>
    </mdx>
    <mdx n="0" f="v">
      <t c="6">
        <n x="81" s="1"/>
        <n x="24" s="1"/>
        <n x="21"/>
        <n x="48"/>
        <n x="8"/>
        <n x="217"/>
      </t>
    </mdx>
    <mdx n="0" f="v">
      <t c="7">
        <n x="81" s="1"/>
        <n x="24" s="1"/>
        <n x="21"/>
        <n x="62"/>
        <n x="73"/>
        <n x="12"/>
        <n x="217"/>
      </t>
    </mdx>
    <mdx n="0" f="v">
      <t c="7">
        <n x="81" s="1"/>
        <n x="24" s="1"/>
        <n x="21"/>
        <n x="36"/>
        <n x="37"/>
        <n x="15"/>
        <n x="217"/>
      </t>
    </mdx>
    <mdx n="0" f="v">
      <t c="7">
        <n x="81" s="1"/>
        <n x="24" s="1"/>
        <n x="21"/>
        <n x="26"/>
        <n x="69"/>
        <n x="16"/>
        <n x="217"/>
      </t>
    </mdx>
    <mdx n="0" f="v">
      <t c="7">
        <n x="81" s="1"/>
        <n x="24" s="1"/>
        <n x="21"/>
        <n x="26"/>
        <n x="46"/>
        <n x="6"/>
        <n x="217"/>
      </t>
    </mdx>
    <mdx n="0" f="v">
      <t c="7">
        <n x="81" s="1"/>
        <n x="24" s="1"/>
        <n x="21"/>
        <n x="32"/>
        <n x="68"/>
        <n x="7"/>
        <n x="217"/>
      </t>
    </mdx>
    <mdx n="0" f="v">
      <t c="6">
        <n x="81" s="1"/>
        <n x="24" s="1"/>
        <n x="21"/>
        <n x="29"/>
        <n x="11"/>
        <n x="217"/>
      </t>
    </mdx>
    <mdx n="0" f="v">
      <t c="7">
        <n x="81" s="1"/>
        <n x="24" s="1"/>
        <n x="21"/>
        <n x="28"/>
        <n x="42"/>
        <n x="10"/>
        <n x="217"/>
      </t>
    </mdx>
    <mdx n="0" f="v">
      <t c="7">
        <n x="81" s="1"/>
        <n x="24" s="1"/>
        <n x="21"/>
        <n x="26"/>
        <n x="57"/>
        <n x="6"/>
        <n x="217"/>
      </t>
    </mdx>
    <mdx n="0" f="v">
      <t c="7">
        <n x="81" s="1"/>
        <n x="24" s="1"/>
        <n x="21"/>
        <n x="29"/>
        <n x="40"/>
        <n x="11"/>
        <n x="217"/>
      </t>
    </mdx>
    <mdx n="0" f="v">
      <t c="7">
        <n x="81" s="1"/>
        <n x="24" s="1"/>
        <n x="21"/>
        <n x="32"/>
        <n x="63"/>
        <n x="13"/>
        <n x="217"/>
      </t>
    </mdx>
    <mdx n="0" f="v">
      <t c="7">
        <n x="81" s="1"/>
        <n x="24" s="1"/>
        <n x="21"/>
        <n x="26"/>
        <n x="60"/>
        <n x="14"/>
        <n x="217"/>
      </t>
    </mdx>
    <mdx n="0" f="v">
      <t c="7">
        <n x="81" s="1"/>
        <n x="24" s="1"/>
        <n x="21"/>
        <n x="32"/>
        <n x="66"/>
        <n x="14"/>
        <n x="217"/>
      </t>
    </mdx>
    <mdx n="0" f="v">
      <t c="7">
        <n x="81" s="1"/>
        <n x="24" s="1"/>
        <n x="21"/>
        <n x="29"/>
        <n x="39"/>
        <n x="17"/>
        <n x="217"/>
      </t>
    </mdx>
    <mdx n="0" f="v">
      <t c="7">
        <n x="81" s="1"/>
        <n x="24" s="1"/>
        <n x="21"/>
        <n x="28"/>
        <n x="53"/>
        <n x="25"/>
        <n x="217"/>
      </t>
    </mdx>
    <mdx n="0" f="v">
      <t c="7">
        <n x="81" s="1"/>
        <n x="24" s="1"/>
        <n x="21"/>
        <n x="48"/>
        <n x="64"/>
        <n x="9"/>
        <n x="217"/>
      </t>
    </mdx>
    <mdx n="0" f="v">
      <t c="7">
        <n x="81" s="1"/>
        <n x="24" s="1"/>
        <n x="21"/>
        <n x="26"/>
        <n x="27"/>
        <n x="13"/>
        <n x="217"/>
      </t>
    </mdx>
    <mdx n="0" f="v">
      <t c="7">
        <n x="81" s="1"/>
        <n x="24" s="1"/>
        <n x="21"/>
        <n x="28"/>
        <n x="58"/>
        <n x="7"/>
        <n x="217"/>
      </t>
    </mdx>
    <mdx n="0" f="v">
      <t c="7">
        <n x="81" s="1"/>
        <n x="24" s="1"/>
        <n x="21"/>
        <n x="32"/>
        <n x="63"/>
        <n x="10"/>
        <n x="217"/>
      </t>
    </mdx>
    <mdx n="0" f="v">
      <t c="7">
        <n x="81" s="1"/>
        <n x="24" s="1"/>
        <n x="21"/>
        <n x="36"/>
        <n x="37"/>
        <n x="12"/>
        <n x="217"/>
      </t>
    </mdx>
    <mdx n="0" f="v">
      <t c="7">
        <n x="81" s="1"/>
        <n x="24" s="1"/>
        <n x="21"/>
        <n x="32"/>
        <n x="70"/>
        <n x="17"/>
        <n x="217"/>
      </t>
    </mdx>
    <mdx n="0" f="v">
      <t c="7">
        <n x="81" s="1"/>
        <n x="24" s="1"/>
        <n x="21"/>
        <n x="29"/>
        <n x="50"/>
        <n x="6"/>
        <n x="217"/>
      </t>
    </mdx>
    <mdx n="0" f="v">
      <t c="6">
        <n x="81" s="1"/>
        <n x="24" s="1"/>
        <n x="21"/>
        <n x="28"/>
        <n x="13"/>
        <n x="217"/>
      </t>
    </mdx>
    <mdx n="0" f="v">
      <t c="7">
        <n x="81" s="1"/>
        <n x="24" s="1"/>
        <n x="21"/>
        <n x="29"/>
        <n x="45"/>
        <n x="8"/>
        <n x="217"/>
      </t>
    </mdx>
    <mdx n="0" f="v">
      <t c="7">
        <n x="81" s="1"/>
        <n x="24" s="1"/>
        <n x="21"/>
        <n x="32"/>
        <n x="63"/>
        <n x="25"/>
        <n x="217"/>
      </t>
    </mdx>
    <mdx n="0" f="v">
      <t c="7">
        <n x="81" s="1"/>
        <n x="24" s="1"/>
        <n x="21"/>
        <n x="62"/>
        <n x="72"/>
        <n x="13"/>
        <n x="217"/>
      </t>
    </mdx>
    <mdx n="0" f="v">
      <t c="6">
        <n x="81" s="1"/>
        <n x="24" s="1"/>
        <n x="21"/>
        <n x="26"/>
        <n x="13"/>
        <n x="217"/>
      </t>
    </mdx>
    <mdx n="0" f="v">
      <t c="7">
        <n x="81" s="1"/>
        <n x="24" s="1"/>
        <n x="21"/>
        <n x="28"/>
        <n x="58"/>
        <n x="13"/>
        <n x="217"/>
      </t>
    </mdx>
    <mdx n="0" f="v">
      <t c="7">
        <n x="81" s="1"/>
        <n x="24" s="1"/>
        <n x="21"/>
        <n x="26"/>
        <n x="52"/>
        <n x="8"/>
        <n x="217"/>
      </t>
    </mdx>
    <mdx n="0" f="v">
      <t c="7">
        <n x="81" s="1"/>
        <n x="24" s="1"/>
        <n x="21"/>
        <n x="62"/>
        <n x="72"/>
        <n x="6"/>
        <n x="217"/>
      </t>
    </mdx>
    <mdx n="0" f="v">
      <t c="7">
        <n x="81" s="1"/>
        <n x="24" s="1"/>
        <n x="21"/>
        <n x="26"/>
        <n x="34"/>
        <n x="15"/>
        <n x="217"/>
      </t>
    </mdx>
    <mdx n="0" f="v">
      <t c="7">
        <n x="81" s="1"/>
        <n x="24" s="1"/>
        <n x="21"/>
        <n x="32"/>
        <n x="70"/>
        <n x="8"/>
        <n x="217"/>
      </t>
    </mdx>
    <mdx n="0" f="v">
      <t c="7">
        <n x="81" s="1"/>
        <n x="24" s="1"/>
        <n x="21"/>
        <n x="26"/>
        <n x="52"/>
        <n x="14"/>
        <n x="217"/>
      </t>
    </mdx>
    <mdx n="0" f="v">
      <t c="7">
        <n x="81" s="1"/>
        <n x="24" s="1"/>
        <n x="21"/>
        <n x="62"/>
        <n x="74"/>
        <n x="9"/>
        <n x="217"/>
      </t>
    </mdx>
    <mdx n="0" f="v">
      <t c="7">
        <n x="81" s="1"/>
        <n x="24" s="1"/>
        <n x="21"/>
        <n x="26"/>
        <n x="52"/>
        <n x="11"/>
        <n x="217"/>
      </t>
    </mdx>
    <mdx n="0" f="v">
      <t c="7">
        <n x="81" s="1"/>
        <n x="24" s="1"/>
        <n x="21"/>
        <n x="62"/>
        <n x="73"/>
        <n x="16"/>
        <n x="217"/>
      </t>
    </mdx>
    <mdx n="0" f="v">
      <t c="7">
        <n x="81" s="1"/>
        <n x="24" s="1"/>
        <n x="21"/>
        <n x="26"/>
        <n x="52"/>
        <n x="10"/>
        <n x="217"/>
      </t>
    </mdx>
    <mdx n="0" f="v">
      <t c="7">
        <n x="81" s="1"/>
        <n x="24" s="1"/>
        <n x="21"/>
        <n x="26"/>
        <n x="57"/>
        <n x="8"/>
        <n x="217"/>
      </t>
    </mdx>
    <mdx n="0" f="v">
      <t c="7">
        <n x="81" s="1"/>
        <n x="24" s="1"/>
        <n x="21"/>
        <n x="26"/>
        <n x="44"/>
        <n x="15"/>
        <n x="217"/>
      </t>
    </mdx>
    <mdx n="0" f="v">
      <t c="7">
        <n x="81" s="1"/>
        <n x="24" s="1"/>
        <n x="21"/>
        <n x="26"/>
        <n x="46"/>
        <n x="25"/>
        <n x="217"/>
      </t>
    </mdx>
    <mdx n="0" f="v">
      <t c="6">
        <n x="81" s="1"/>
        <n x="24" s="1"/>
        <n x="21"/>
        <n x="48"/>
        <n x="12"/>
        <n x="217"/>
      </t>
    </mdx>
    <mdx n="0" f="v">
      <t c="7">
        <n x="81" s="1"/>
        <n x="24" s="1"/>
        <n x="21"/>
        <n x="28"/>
        <n x="53"/>
        <n x="15"/>
        <n x="217"/>
      </t>
    </mdx>
    <mdx n="0" f="v">
      <t c="7">
        <n x="81" s="1"/>
        <n x="24" s="1"/>
        <n x="21"/>
        <n x="28"/>
        <n x="53"/>
        <n x="14"/>
        <n x="217"/>
      </t>
    </mdx>
    <mdx n="0" f="v">
      <t c="7">
        <n x="81" s="1"/>
        <n x="24" s="1"/>
        <n x="21"/>
        <n x="26"/>
        <n x="31"/>
        <n x="9"/>
        <n x="217"/>
      </t>
    </mdx>
    <mdx n="0" f="v">
      <t c="7">
        <n x="81" s="1"/>
        <n x="24" s="1"/>
        <n x="21"/>
        <n x="28"/>
        <n x="58"/>
        <n x="15"/>
        <n x="217"/>
      </t>
    </mdx>
    <mdx n="0" f="v">
      <t c="6">
        <n x="81" s="1"/>
        <n x="24" s="1"/>
        <n x="21"/>
        <n x="32"/>
        <n x="15"/>
        <n x="217"/>
      </t>
    </mdx>
    <mdx n="0" f="v">
      <t c="7">
        <n x="81" s="1"/>
        <n x="24" s="1"/>
        <n x="21"/>
        <n x="26"/>
        <n x="56"/>
        <n x="17"/>
        <n x="217"/>
      </t>
    </mdx>
    <mdx n="0" f="v">
      <t c="7">
        <n x="81" s="1"/>
        <n x="24" s="1"/>
        <n x="21"/>
        <n x="32"/>
        <n x="33"/>
        <n x="7"/>
        <n x="217"/>
      </t>
    </mdx>
    <mdx n="0" f="v">
      <t c="6">
        <n x="81" s="1"/>
        <n x="24" s="1"/>
        <n x="21"/>
        <n x="48"/>
        <n x="17"/>
        <n x="217"/>
      </t>
    </mdx>
    <mdx n="0" f="v">
      <t c="7">
        <n x="81" s="1"/>
        <n x="24" s="1"/>
        <n x="21"/>
        <n x="29"/>
        <n x="59"/>
        <n x="9"/>
        <n x="217"/>
      </t>
    </mdx>
    <mdx n="0" f="v">
      <t c="7">
        <n x="81" s="1"/>
        <n x="24" s="1"/>
        <n x="21"/>
        <n x="62"/>
        <n x="72"/>
        <n x="16"/>
        <n x="217"/>
      </t>
    </mdx>
    <mdx n="0" f="v">
      <t c="7">
        <n x="81" s="1"/>
        <n x="24" s="1"/>
        <n x="21"/>
        <n x="29"/>
        <n x="54"/>
        <n x="25"/>
        <n x="217"/>
      </t>
    </mdx>
    <mdx n="0" f="v">
      <t c="7">
        <n x="81" s="1"/>
        <n x="24" s="1"/>
        <n x="21"/>
        <n x="26"/>
        <n x="34"/>
        <n x="6"/>
        <n x="217"/>
      </t>
    </mdx>
    <mdx n="0" f="v">
      <t c="7">
        <n x="81" s="1"/>
        <n x="24" s="1"/>
        <n x="21"/>
        <n x="26"/>
        <n x="57"/>
        <n x="16"/>
        <n x="217"/>
      </t>
    </mdx>
    <mdx n="0" f="v">
      <t c="6">
        <n x="81" s="1"/>
        <n x="24" s="1"/>
        <n x="21"/>
        <n x="36"/>
        <n x="25"/>
        <n x="217"/>
      </t>
    </mdx>
    <mdx n="0" f="v">
      <t c="7">
        <n x="81" s="1"/>
        <n x="24" s="1"/>
        <n x="21"/>
        <n x="62"/>
        <n x="73"/>
        <n x="11"/>
        <n x="217"/>
      </t>
    </mdx>
    <mdx n="0" f="v">
      <t c="7">
        <n x="81" s="1"/>
        <n x="24" s="1"/>
        <n x="21"/>
        <n x="26"/>
        <n x="34"/>
        <n x="12"/>
        <n x="217"/>
      </t>
    </mdx>
    <mdx n="0" f="v">
      <t c="7">
        <n x="81" s="1"/>
        <n x="24" s="1"/>
        <n x="21"/>
        <n x="29"/>
        <n x="71"/>
        <n x="8"/>
        <n x="217"/>
      </t>
    </mdx>
    <mdx n="0" f="v">
      <t c="7">
        <n x="81" s="1"/>
        <n x="24" s="1"/>
        <n x="21"/>
        <n x="26"/>
        <n x="46"/>
        <n x="16"/>
        <n x="217"/>
      </t>
    </mdx>
    <mdx n="0" f="v">
      <t c="6">
        <n x="81" s="1"/>
        <n x="24" s="1"/>
        <n x="21"/>
        <n x="61"/>
        <n x="12"/>
        <n x="217"/>
      </t>
    </mdx>
    <mdx n="0" f="v">
      <t c="6">
        <n x="81" s="1"/>
        <n x="24" s="1"/>
        <n x="21"/>
        <n x="28"/>
        <n x="15"/>
        <n x="217"/>
      </t>
    </mdx>
    <mdx n="0" f="v">
      <t c="7">
        <n x="81" s="1"/>
        <n x="24" s="1"/>
        <n x="21"/>
        <n x="26"/>
        <n x="57"/>
        <n x="12"/>
        <n x="217"/>
      </t>
    </mdx>
    <mdx n="0" f="v">
      <t c="7">
        <n x="81" s="1"/>
        <n x="24" s="1"/>
        <n x="21"/>
        <n x="28"/>
        <n x="42"/>
        <n x="11"/>
        <n x="217"/>
      </t>
    </mdx>
    <mdx n="0" f="v">
      <t c="6">
        <n x="81" s="1"/>
        <n x="24" s="1"/>
        <n x="21"/>
        <n x="48"/>
        <n x="6"/>
        <n x="217"/>
      </t>
    </mdx>
    <mdx n="0" f="v">
      <t c="7">
        <n x="81" s="1"/>
        <n x="24" s="1"/>
        <n x="21"/>
        <n x="29"/>
        <n x="30"/>
        <n x="8"/>
        <n x="217"/>
      </t>
    </mdx>
    <mdx n="0" f="v">
      <t c="7">
        <n x="81" s="1"/>
        <n x="24" s="1"/>
        <n x="21"/>
        <n x="29"/>
        <n x="30"/>
        <n x="16"/>
        <n x="217"/>
      </t>
    </mdx>
    <mdx n="0" f="v">
      <t c="7">
        <n x="81" s="1"/>
        <n x="24" s="1"/>
        <n x="21"/>
        <n x="26"/>
        <n x="52"/>
        <n x="7"/>
        <n x="217"/>
      </t>
    </mdx>
    <mdx n="0" f="v">
      <t c="7">
        <n x="81" s="1"/>
        <n x="24" s="1"/>
        <n x="21"/>
        <n x="29"/>
        <n x="71"/>
        <n x="7"/>
        <n x="217"/>
      </t>
    </mdx>
    <mdx n="0" f="v">
      <t c="7">
        <n x="81" s="1"/>
        <n x="24" s="1"/>
        <n x="21"/>
        <n x="29"/>
        <n x="39"/>
        <n x="14"/>
        <n x="217"/>
      </t>
    </mdx>
    <mdx n="0" f="v">
      <t c="7">
        <n x="81" s="1"/>
        <n x="24" s="1"/>
        <n x="21"/>
        <n x="29"/>
        <n x="39"/>
        <n x="10"/>
        <n x="217"/>
      </t>
    </mdx>
    <mdx n="0" f="v">
      <t c="7">
        <n x="81" s="1"/>
        <n x="24" s="1"/>
        <n x="21"/>
        <n x="29"/>
        <n x="39"/>
        <n x="13"/>
        <n x="217"/>
      </t>
    </mdx>
    <mdx n="0" f="v">
      <t c="7">
        <n x="81" s="1"/>
        <n x="24" s="1"/>
        <n x="21"/>
        <n x="48"/>
        <n x="49"/>
        <n x="12"/>
        <n x="217"/>
      </t>
    </mdx>
    <mdx n="0" f="v">
      <t c="7">
        <n x="81" s="1"/>
        <n x="24" s="1"/>
        <n x="21"/>
        <n x="62"/>
        <n x="74"/>
        <n x="25"/>
        <n x="217"/>
      </t>
    </mdx>
    <mdx n="0" f="v">
      <t c="7">
        <n x="81" s="1"/>
        <n x="24" s="1"/>
        <n x="21"/>
        <n x="29"/>
        <n x="47"/>
        <n x="16"/>
        <n x="217"/>
      </t>
    </mdx>
    <mdx n="0" f="v">
      <t c="7">
        <n x="81" s="1"/>
        <n x="24" s="1"/>
        <n x="21"/>
        <n x="29"/>
        <n x="45"/>
        <n x="14"/>
        <n x="217"/>
      </t>
    </mdx>
    <mdx n="0" f="v">
      <t c="7">
        <n x="81" s="1"/>
        <n x="24" s="1"/>
        <n x="21"/>
        <n x="29"/>
        <n x="50"/>
        <n x="10"/>
        <n x="217"/>
      </t>
    </mdx>
    <mdx n="0" f="v">
      <t c="7">
        <n x="81" s="1"/>
        <n x="24" s="1"/>
        <n x="21"/>
        <n x="26"/>
        <n x="69"/>
        <n x="10"/>
        <n x="217"/>
      </t>
    </mdx>
    <mdx n="0" f="v">
      <t c="7">
        <n x="81" s="1"/>
        <n x="24" s="1"/>
        <n x="21"/>
        <n x="26"/>
        <n x="67"/>
        <n x="13"/>
        <n x="217"/>
      </t>
    </mdx>
    <mdx n="0" f="v">
      <t c="7">
        <n x="81" s="1"/>
        <n x="24" s="1"/>
        <n x="21"/>
        <n x="32"/>
        <n x="63"/>
        <n x="14"/>
        <n x="217"/>
      </t>
    </mdx>
    <mdx n="0" f="v">
      <t c="7">
        <n x="81" s="1"/>
        <n x="24" s="1"/>
        <n x="21"/>
        <n x="29"/>
        <n x="71"/>
        <n x="12"/>
        <n x="217"/>
      </t>
    </mdx>
    <mdx n="0" f="v">
      <t c="7">
        <n x="81" s="1"/>
        <n x="24" s="1"/>
        <n x="21"/>
        <n x="26"/>
        <n x="67"/>
        <n x="16"/>
        <n x="217"/>
      </t>
    </mdx>
    <mdx n="0" f="v">
      <t c="7">
        <n x="81" s="1"/>
        <n x="24" s="1"/>
        <n x="21"/>
        <n x="28"/>
        <n x="55"/>
        <n x="15"/>
        <n x="217"/>
      </t>
    </mdx>
    <mdx n="0" f="v">
      <t c="7">
        <n x="81" s="1"/>
        <n x="24" s="1"/>
        <n x="21"/>
        <n x="26"/>
        <n x="41"/>
        <n x="13"/>
        <n x="217"/>
      </t>
    </mdx>
    <mdx n="0" f="v">
      <t c="7">
        <n x="81" s="1"/>
        <n x="24" s="1"/>
        <n x="21"/>
        <n x="62"/>
        <n x="74"/>
        <n x="8"/>
        <n x="217"/>
      </t>
    </mdx>
    <mdx n="0" f="v">
      <t c="7">
        <n x="81" s="1"/>
        <n x="24" s="1"/>
        <n x="21"/>
        <n x="32"/>
        <n x="66"/>
        <n x="25"/>
        <n x="217"/>
      </t>
    </mdx>
    <mdx n="0" f="v">
      <t c="7">
        <n x="81" s="1"/>
        <n x="24" s="1"/>
        <n x="21"/>
        <n x="62"/>
        <n x="74"/>
        <n x="11"/>
        <n x="217"/>
      </t>
    </mdx>
    <mdx n="0" f="v">
      <t c="7">
        <n x="81" s="1"/>
        <n x="24" s="1"/>
        <n x="21"/>
        <n x="26"/>
        <n x="52"/>
        <n x="9"/>
        <n x="217"/>
      </t>
    </mdx>
    <mdx n="0" f="v">
      <t c="7">
        <n x="81" s="1"/>
        <n x="24" s="1"/>
        <n x="21"/>
        <n x="26"/>
        <n x="41"/>
        <n x="17"/>
        <n x="217"/>
      </t>
    </mdx>
    <mdx n="0" f="v">
      <t c="7">
        <n x="81" s="1"/>
        <n x="24" s="1"/>
        <n x="21"/>
        <n x="28"/>
        <n x="58"/>
        <n x="14"/>
        <n x="217"/>
      </t>
    </mdx>
    <mdx n="0" f="v">
      <t c="7">
        <n x="81" s="1"/>
        <n x="24" s="1"/>
        <n x="21"/>
        <n x="26"/>
        <n x="69"/>
        <n x="6"/>
        <n x="217"/>
      </t>
    </mdx>
    <mdx n="0" f="v">
      <t c="7">
        <n x="81" s="1"/>
        <n x="24" s="1"/>
        <n x="21"/>
        <n x="28"/>
        <n x="53"/>
        <n x="9"/>
        <n x="217"/>
      </t>
    </mdx>
    <mdx n="0" f="v">
      <t c="7">
        <n x="81" s="1"/>
        <n x="24" s="1"/>
        <n x="21"/>
        <n x="28"/>
        <n x="53"/>
        <n x="11"/>
        <n x="217"/>
      </t>
    </mdx>
    <mdx n="0" f="v">
      <t c="7">
        <n x="81" s="1"/>
        <n x="24" s="1"/>
        <n x="21"/>
        <n x="32"/>
        <n x="33"/>
        <n x="11"/>
        <n x="217"/>
      </t>
    </mdx>
    <mdx n="0" f="v">
      <t c="7">
        <n x="81" s="1"/>
        <n x="24" s="1"/>
        <n x="21"/>
        <n x="29"/>
        <n x="30"/>
        <n x="6"/>
        <n x="217"/>
      </t>
    </mdx>
    <mdx n="0" f="v">
      <t c="7">
        <n x="81" s="1"/>
        <n x="24" s="1"/>
        <n x="21"/>
        <n x="48"/>
        <n x="64"/>
        <n x="11"/>
        <n x="217"/>
      </t>
    </mdx>
    <mdx n="0" f="v">
      <t c="7">
        <n x="81" s="1"/>
        <n x="24" s="1"/>
        <n x="21"/>
        <n x="29"/>
        <n x="47"/>
        <n x="15"/>
        <n x="217"/>
      </t>
    </mdx>
    <mdx n="0" f="v">
      <t c="6">
        <n x="81" s="1"/>
        <n x="24" s="1"/>
        <n x="21"/>
        <n x="36"/>
        <n x="12"/>
        <n x="217"/>
      </t>
    </mdx>
    <mdx n="0" f="v">
      <t c="7">
        <n x="81" s="1"/>
        <n x="24" s="1"/>
        <n x="21"/>
        <n x="26"/>
        <n x="46"/>
        <n x="8"/>
        <n x="217"/>
      </t>
    </mdx>
    <mdx n="0" f="v">
      <t c="7">
        <n x="81" s="1"/>
        <n x="24" s="1"/>
        <n x="21"/>
        <n x="29"/>
        <n x="39"/>
        <n x="6"/>
        <n x="217"/>
      </t>
    </mdx>
    <mdx n="0" f="v">
      <t c="7">
        <n x="81" s="1"/>
        <n x="24" s="1"/>
        <n x="21"/>
        <n x="29"/>
        <n x="30"/>
        <n x="15"/>
        <n x="217"/>
      </t>
    </mdx>
    <mdx n="0" f="v">
      <t c="7">
        <n x="81" s="1"/>
        <n x="24" s="1"/>
        <n x="21"/>
        <n x="26"/>
        <n x="46"/>
        <n x="7"/>
        <n x="217"/>
      </t>
    </mdx>
    <mdx n="0" f="v">
      <t c="7">
        <n x="81" s="1"/>
        <n x="24" s="1"/>
        <n x="21"/>
        <n x="32"/>
        <n x="70"/>
        <n x="14"/>
        <n x="217"/>
      </t>
    </mdx>
    <mdx n="0" f="v">
      <t c="7">
        <n x="81" s="1"/>
        <n x="24" s="1"/>
        <n x="21"/>
        <n x="26"/>
        <n x="34"/>
        <n x="17"/>
        <n x="217"/>
      </t>
    </mdx>
    <mdx n="0" f="v">
      <t c="7">
        <n x="81" s="1"/>
        <n x="24" s="1"/>
        <n x="21"/>
        <n x="62"/>
        <n x="74"/>
        <n x="13"/>
        <n x="217"/>
      </t>
    </mdx>
    <mdx n="0" f="v">
      <t c="7">
        <n x="81" s="1"/>
        <n x="24" s="1"/>
        <n x="21"/>
        <n x="36"/>
        <n x="37"/>
        <n x="16"/>
        <n x="217"/>
      </t>
    </mdx>
    <mdx n="0" f="v">
      <t c="7">
        <n x="81" s="1"/>
        <n x="24" s="1"/>
        <n x="21"/>
        <n x="28"/>
        <n x="42"/>
        <n x="6"/>
        <n x="217"/>
      </t>
    </mdx>
    <mdx n="0" f="v">
      <t c="7">
        <n x="81" s="1"/>
        <n x="24" s="1"/>
        <n x="21"/>
        <n x="26"/>
        <n x="27"/>
        <n x="14"/>
        <n x="217"/>
      </t>
    </mdx>
    <mdx n="0" f="v">
      <t c="6">
        <n x="81" s="1"/>
        <n x="24" s="1"/>
        <n x="21"/>
        <n x="26"/>
        <n x="11"/>
        <n x="217"/>
      </t>
    </mdx>
    <mdx n="0" f="v">
      <t c="7">
        <n x="81" s="1"/>
        <n x="24" s="1"/>
        <n x="21"/>
        <n x="28"/>
        <n x="58"/>
        <n x="12"/>
        <n x="217"/>
      </t>
    </mdx>
    <mdx n="0" f="v">
      <t c="7">
        <n x="81" s="1"/>
        <n x="24" s="1"/>
        <n x="21"/>
        <n x="29"/>
        <n x="47"/>
        <n x="25"/>
        <n x="217"/>
      </t>
    </mdx>
    <mdx n="0" f="v">
      <t c="6">
        <n x="81" s="1"/>
        <n x="24" s="1"/>
        <n x="21"/>
        <n x="36"/>
        <n x="13"/>
        <n x="217"/>
      </t>
    </mdx>
    <mdx n="0" f="v">
      <t c="7">
        <n x="81" s="1"/>
        <n x="24" s="1"/>
        <n x="21"/>
        <n x="29"/>
        <n x="54"/>
        <n x="13"/>
        <n x="217"/>
      </t>
    </mdx>
    <mdx n="0" f="v">
      <t c="7">
        <n x="81" s="1"/>
        <n x="24" s="1"/>
        <n x="21"/>
        <n x="26"/>
        <n x="56"/>
        <n x="10"/>
        <n x="217"/>
      </t>
    </mdx>
    <mdx n="0" f="v">
      <t c="7">
        <n x="81" s="1"/>
        <n x="24" s="1"/>
        <n x="21"/>
        <n x="29"/>
        <n x="30"/>
        <n x="10"/>
        <n x="217"/>
      </t>
    </mdx>
    <mdx n="0" f="v">
      <t c="7">
        <n x="81" s="1"/>
        <n x="24" s="1"/>
        <n x="21"/>
        <n x="48"/>
        <n x="64"/>
        <n x="13"/>
        <n x="217"/>
      </t>
    </mdx>
    <mdx n="0" f="v">
      <t c="7">
        <n x="81" s="1"/>
        <n x="24" s="1"/>
        <n x="21"/>
        <n x="32"/>
        <n x="68"/>
        <n x="9"/>
        <n x="217"/>
      </t>
    </mdx>
    <mdx n="0" f="v">
      <t c="6">
        <n x="81" s="1"/>
        <n x="24" s="1"/>
        <n x="21"/>
        <n x="26"/>
        <n x="7"/>
        <n x="217"/>
      </t>
    </mdx>
    <mdx n="0" f="v">
      <t c="6">
        <n x="81" s="1"/>
        <n x="24" s="1"/>
        <n x="21"/>
        <n x="61"/>
        <n x="11"/>
        <n x="217"/>
      </t>
    </mdx>
    <mdx n="0" f="v">
      <t c="6">
        <n x="81" s="1"/>
        <n x="24" s="1"/>
        <n x="21"/>
        <n x="48"/>
        <n x="10"/>
        <n x="217"/>
      </t>
    </mdx>
    <mdx n="0" f="v">
      <t c="7">
        <n x="81" s="1"/>
        <n x="24" s="1"/>
        <n x="21"/>
        <n x="29"/>
        <n x="51"/>
        <n x="8"/>
        <n x="217"/>
      </t>
    </mdx>
    <mdx n="0" f="v">
      <t c="7">
        <n x="81" s="1"/>
        <n x="24" s="1"/>
        <n x="21"/>
        <n x="29"/>
        <n x="71"/>
        <n x="14"/>
        <n x="217"/>
      </t>
    </mdx>
    <mdx n="0" f="v">
      <t c="7">
        <n x="81" s="1"/>
        <n x="24" s="1"/>
        <n x="21"/>
        <n x="26"/>
        <n x="31"/>
        <n x="6"/>
        <n x="217"/>
      </t>
    </mdx>
    <mdx n="0" f="v">
      <t c="7">
        <n x="81" s="1"/>
        <n x="24" s="1"/>
        <n x="21"/>
        <n x="26"/>
        <n x="34"/>
        <n x="25"/>
        <n x="217"/>
      </t>
    </mdx>
    <mdx n="0" f="v">
      <t c="7">
        <n x="81" s="1"/>
        <n x="24" s="1"/>
        <n x="21"/>
        <n x="29"/>
        <n x="59"/>
        <n x="6"/>
        <n x="217"/>
      </t>
    </mdx>
    <mdx n="0" f="v">
      <t c="7">
        <n x="81" s="1"/>
        <n x="24" s="1"/>
        <n x="21"/>
        <n x="28"/>
        <n x="53"/>
        <n x="10"/>
        <n x="217"/>
      </t>
    </mdx>
    <mdx n="0" f="v">
      <t c="7">
        <n x="81" s="1"/>
        <n x="24" s="1"/>
        <n x="21"/>
        <n x="62"/>
        <n x="72"/>
        <n x="17"/>
        <n x="217"/>
      </t>
    </mdx>
    <mdx n="0" f="v">
      <t c="7">
        <n x="81" s="1"/>
        <n x="24" s="1"/>
        <n x="21"/>
        <n x="29"/>
        <n x="54"/>
        <n x="7"/>
        <n x="217"/>
      </t>
    </mdx>
    <mdx n="0" f="v">
      <t c="7">
        <n x="81" s="1"/>
        <n x="24" s="1"/>
        <n x="21"/>
        <n x="32"/>
        <n x="68"/>
        <n x="11"/>
        <n x="217"/>
      </t>
    </mdx>
    <mdx n="0" f="v">
      <t c="7">
        <n x="81" s="1"/>
        <n x="24" s="1"/>
        <n x="21"/>
        <n x="26"/>
        <n x="56"/>
        <n x="6"/>
        <n x="217"/>
      </t>
    </mdx>
    <mdx n="0" f="v">
      <t c="6">
        <n x="81" s="1"/>
        <n x="24" s="1"/>
        <n x="21"/>
        <n x="36"/>
        <n x="7"/>
        <n x="217"/>
      </t>
    </mdx>
    <mdx n="0" f="v">
      <t c="7">
        <n x="81" s="1"/>
        <n x="24" s="1"/>
        <n x="21"/>
        <n x="32"/>
        <n x="63"/>
        <n x="7"/>
        <n x="217"/>
      </t>
    </mdx>
    <mdx n="0" f="v">
      <t c="7">
        <n x="81" s="1"/>
        <n x="24" s="1"/>
        <n x="21"/>
        <n x="26"/>
        <n x="41"/>
        <n x="7"/>
        <n x="217"/>
      </t>
    </mdx>
    <mdx n="0" f="v">
      <t c="7">
        <n x="81" s="1"/>
        <n x="24" s="1"/>
        <n x="21"/>
        <n x="62"/>
        <n x="74"/>
        <n x="10"/>
        <n x="217"/>
      </t>
    </mdx>
    <mdx n="0" f="v">
      <t c="7">
        <n x="81" s="1"/>
        <n x="24" s="1"/>
        <n x="21"/>
        <n x="28"/>
        <n x="42"/>
        <n x="12"/>
        <n x="217"/>
      </t>
    </mdx>
    <mdx n="0" f="v">
      <t c="7">
        <n x="81" s="1"/>
        <n x="24" s="1"/>
        <n x="21"/>
        <n x="26"/>
        <n x="27"/>
        <n x="7"/>
        <n x="217"/>
      </t>
    </mdx>
    <mdx n="0" f="v">
      <t c="7">
        <n x="81" s="1"/>
        <n x="24" s="1"/>
        <n x="21"/>
        <n x="29"/>
        <n x="50"/>
        <n x="16"/>
        <n x="217"/>
      </t>
    </mdx>
    <mdx n="0" f="v">
      <t c="7">
        <n x="81" s="1"/>
        <n x="24" s="1"/>
        <n x="21"/>
        <n x="29"/>
        <n x="45"/>
        <n x="7"/>
        <n x="217"/>
      </t>
    </mdx>
    <mdx n="0" f="v">
      <t c="7">
        <n x="81" s="1"/>
        <n x="24" s="1"/>
        <n x="21"/>
        <n x="26"/>
        <n x="41"/>
        <n x="11"/>
        <n x="217"/>
      </t>
    </mdx>
    <mdx n="0" f="v">
      <t c="7">
        <n x="81" s="1"/>
        <n x="24" s="1"/>
        <n x="21"/>
        <n x="26"/>
        <n x="60"/>
        <n x="6"/>
        <n x="217"/>
      </t>
    </mdx>
    <mdx n="0" f="v">
      <t c="7">
        <n x="81" s="1"/>
        <n x="24" s="1"/>
        <n x="21"/>
        <n x="32"/>
        <n x="66"/>
        <n x="10"/>
        <n x="217"/>
      </t>
    </mdx>
    <mdx n="0" f="v">
      <t c="7">
        <n x="81" s="1"/>
        <n x="24" s="1"/>
        <n x="21"/>
        <n x="62"/>
        <n x="72"/>
        <n x="15"/>
        <n x="217"/>
      </t>
    </mdx>
    <mdx n="0" f="v">
      <t c="7">
        <n x="81" s="1"/>
        <n x="24" s="1"/>
        <n x="21"/>
        <n x="29"/>
        <n x="59"/>
        <n x="8"/>
        <n x="217"/>
      </t>
    </mdx>
    <mdx n="0" f="v">
      <t c="7">
        <n x="81" s="1"/>
        <n x="24" s="1"/>
        <n x="21"/>
        <n x="62"/>
        <n x="73"/>
        <n x="14"/>
        <n x="217"/>
      </t>
    </mdx>
    <mdx n="0" f="v">
      <t c="6">
        <n x="81" s="1"/>
        <n x="24" s="1"/>
        <n x="21"/>
        <n x="28"/>
        <n x="11"/>
        <n x="217"/>
      </t>
    </mdx>
    <mdx n="0" f="v">
      <t c="7">
        <n x="81" s="1"/>
        <n x="24" s="1"/>
        <n x="21"/>
        <n x="29"/>
        <n x="35"/>
        <n x="25"/>
        <n x="217"/>
      </t>
    </mdx>
    <mdx n="0" f="v">
      <t c="6">
        <n x="81" s="1"/>
        <n x="24" s="1"/>
        <n x="21"/>
        <n x="61"/>
        <n x="6"/>
        <n x="217"/>
      </t>
    </mdx>
    <mdx n="0" f="v">
      <t c="7">
        <n x="81" s="1"/>
        <n x="24" s="1"/>
        <n x="21"/>
        <n x="26"/>
        <n x="46"/>
        <n x="11"/>
        <n x="217"/>
      </t>
    </mdx>
    <mdx n="0" f="v">
      <t c="7">
        <n x="81" s="1"/>
        <n x="24" s="1"/>
        <n x="21"/>
        <n x="26"/>
        <n x="67"/>
        <n x="6"/>
        <n x="217"/>
      </t>
    </mdx>
    <mdx n="0" f="v">
      <t c="7">
        <n x="81" s="1"/>
        <n x="24" s="1"/>
        <n x="21"/>
        <n x="28"/>
        <n x="42"/>
        <n x="8"/>
        <n x="217"/>
      </t>
    </mdx>
    <mdx n="0" f="v">
      <t c="6">
        <n x="81" s="1"/>
        <n x="24" s="1"/>
        <n x="21"/>
        <n x="32"/>
        <n x="10"/>
        <n x="217"/>
      </t>
    </mdx>
    <mdx n="0" f="v">
      <t c="7">
        <n x="81" s="1"/>
        <n x="24" s="1"/>
        <n x="21"/>
        <n x="26"/>
        <n x="67"/>
        <n x="15"/>
        <n x="217"/>
      </t>
    </mdx>
    <mdx n="0" f="v">
      <t c="7">
        <n x="81" s="1"/>
        <n x="24" s="1"/>
        <n x="21"/>
        <n x="29"/>
        <n x="35"/>
        <n x="9"/>
        <n x="217"/>
      </t>
    </mdx>
    <mdx n="0" f="v">
      <t c="6">
        <n x="81" s="1"/>
        <n x="24" s="1"/>
        <n x="21"/>
        <n x="36"/>
        <n x="9"/>
        <n x="217"/>
      </t>
    </mdx>
    <mdx n="0" f="v">
      <t c="7">
        <n x="81" s="1"/>
        <n x="24" s="1"/>
        <n x="21"/>
        <n x="26"/>
        <n x="56"/>
        <n x="7"/>
        <n x="217"/>
      </t>
    </mdx>
    <mdx n="0" f="v">
      <t c="7">
        <n x="81" s="1"/>
        <n x="24" s="1"/>
        <n x="21"/>
        <n x="28"/>
        <n x="42"/>
        <n x="16"/>
        <n x="217"/>
      </t>
    </mdx>
    <mdx n="0" f="v">
      <t c="7">
        <n x="81" s="1"/>
        <n x="24" s="1"/>
        <n x="21"/>
        <n x="28"/>
        <n x="58"/>
        <n x="9"/>
        <n x="217"/>
      </t>
    </mdx>
    <mdx n="0" f="v">
      <t c="7">
        <n x="81" s="1"/>
        <n x="24" s="1"/>
        <n x="21"/>
        <n x="48"/>
        <n x="49"/>
        <n x="13"/>
        <n x="217"/>
      </t>
    </mdx>
    <mdx n="0" f="v">
      <t c="7">
        <n x="81" s="1"/>
        <n x="24" s="1"/>
        <n x="21"/>
        <n x="29"/>
        <n x="39"/>
        <n x="7"/>
        <n x="217"/>
      </t>
    </mdx>
    <mdx n="0" f="v">
      <t c="7">
        <n x="81" s="1"/>
        <n x="24" s="1"/>
        <n x="21"/>
        <n x="29"/>
        <n x="39"/>
        <n x="15"/>
        <n x="217"/>
      </t>
    </mdx>
    <mdx n="0" f="v">
      <t c="7">
        <n x="81" s="1"/>
        <n x="24" s="1"/>
        <n x="21"/>
        <n x="29"/>
        <n x="39"/>
        <n x="16"/>
        <n x="217"/>
      </t>
    </mdx>
    <mdx n="0" f="v">
      <t c="7">
        <n x="81" s="1"/>
        <n x="24" s="1"/>
        <n x="21"/>
        <n x="29"/>
        <n x="39"/>
        <n x="12"/>
        <n x="217"/>
      </t>
    </mdx>
    <mdx n="0" f="v">
      <t c="7">
        <n x="81" s="1"/>
        <n x="24" s="1"/>
        <n x="21"/>
        <n x="29"/>
        <n x="39"/>
        <n x="25"/>
        <n x="217"/>
      </t>
    </mdx>
    <mdx n="0" f="v">
      <t c="7">
        <n x="81" s="1"/>
        <n x="24" s="1"/>
        <n x="21"/>
        <n x="29"/>
        <n x="39"/>
        <n x="8"/>
        <n x="217"/>
      </t>
    </mdx>
    <mdx n="0" f="v">
      <t c="7">
        <n x="81" s="1"/>
        <n x="24" s="1"/>
        <n x="21"/>
        <n x="29"/>
        <n x="39"/>
        <n x="11"/>
        <n x="217"/>
      </t>
    </mdx>
    <mdx n="0" f="v">
      <t c="7">
        <n x="81" s="1"/>
        <n x="24" s="1"/>
        <n x="21"/>
        <n x="29"/>
        <n x="39"/>
        <n x="9"/>
        <n x="217"/>
      </t>
    </mdx>
    <mdx n="0" f="s">
      <ms ns="218" c="0"/>
    </mdx>
    <mdx n="0" f="s">
      <ms ns="219" c="0"/>
    </mdx>
  </mdxMetadata>
  <valueMetadata count="31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valueMetadata>
</metadata>
</file>

<file path=xl/sharedStrings.xml><?xml version="1.0" encoding="utf-8"?>
<sst xmlns="http://schemas.openxmlformats.org/spreadsheetml/2006/main" count="27333" uniqueCount="1207">
  <si>
    <t>Регион</t>
  </si>
  <si>
    <t>Продажно место</t>
  </si>
  <si>
    <t>Поштенски код</t>
  </si>
  <si>
    <t>Регистар име</t>
  </si>
  <si>
    <t>Услуга име</t>
  </si>
  <si>
    <t>Период</t>
  </si>
  <si>
    <t>Трансакции</t>
  </si>
  <si>
    <t>On-line</t>
  </si>
  <si>
    <t>Заложен регистар</t>
  </si>
  <si>
    <t>Други неспомнати услуги</t>
  </si>
  <si>
    <t>Издавање на потврда за издадена информација</t>
  </si>
  <si>
    <t>Конечен упис на пријавата до 30 заложени средства</t>
  </si>
  <si>
    <t>Конечен упис на пријавата над 30 заложени средства</t>
  </si>
  <si>
    <t>Отпечаток од скенирани записи</t>
  </si>
  <si>
    <t>Привремен упис на пријавата до 30 заложени средства</t>
  </si>
  <si>
    <t>Привремен упис на пријавата над 30 заложени средства</t>
  </si>
  <si>
    <t>Упис на бришење на залог – престанок на заложно право</t>
  </si>
  <si>
    <t>Упис на промени за останати промени (заложен доверител, вредност на обезбеденото побарување, рокот на пристигнатост на побарувањето и др)</t>
  </si>
  <si>
    <t>Упис на промени на заложени средства (до 30) и/или заложен должник</t>
  </si>
  <si>
    <t>Упис на промени на заложени средства (над 30) и/или заложен должник</t>
  </si>
  <si>
    <t>ПКД</t>
  </si>
  <si>
    <t>Изработени предмети</t>
  </si>
  <si>
    <t>Потврда дека не е впишана главна парична казна</t>
  </si>
  <si>
    <t>Потврда дека не е впишана споредна казна забрана за добивање дозвола, лиценца, концесија, овластување или друго право утврдено со посебен закон</t>
  </si>
  <si>
    <t>Потврда дека не е впишана споредна казна забрана за користење на субвенции и други поволни кредити</t>
  </si>
  <si>
    <t>Потврда дека не е впишана споредна казна забрана за основање на нови правни лица</t>
  </si>
  <si>
    <t>Потврда дека не е впишана споредна казна забрана за учество во постапки за јавен повик, доделување на договори за јавна набавка и договори за јавно - приватно партнерство</t>
  </si>
  <si>
    <t>Потврда дека не е впишана споредна казна одземање на дозвола, лиценца, концесија, овластување или друго право утврдено со посебен закон</t>
  </si>
  <si>
    <t>Потврда дека не е впишана споредна казна престанок на правното лице</t>
  </si>
  <si>
    <t>Потврда дека не е впишана споредна казна привремена забрана за вршење на одделна дејност</t>
  </si>
  <si>
    <t>Потврда дека не е впишана споредна казна трајна забрана за вршење на одделна дејност</t>
  </si>
  <si>
    <t>Потврда дека не е изречена прекршочна санкција забрана за вршење професија,дејност или должност</t>
  </si>
  <si>
    <t>Потврда дека не е изречена прекршочна санкција привремена забрана за вршење одделна дејност</t>
  </si>
  <si>
    <t>Регистар за задолжница</t>
  </si>
  <si>
    <t>Издавање на информација</t>
  </si>
  <si>
    <t>Регистар на вложувања во недвижности на нерезиденти во РМ</t>
  </si>
  <si>
    <t>Бришење од регистарот итна постапка</t>
  </si>
  <si>
    <t>Бришење од регистарот редовна постапка</t>
  </si>
  <si>
    <t>Други неспомнати услуги - пребарување низ базата на АКН</t>
  </si>
  <si>
    <t>Издадени информации</t>
  </si>
  <si>
    <t>Регистрација на вложување итна постапка</t>
  </si>
  <si>
    <t>Регистрација на вложување редовна постапка</t>
  </si>
  <si>
    <t>Регистрација на промена итна постапка</t>
  </si>
  <si>
    <t>Регистрација на промена редовна постапка</t>
  </si>
  <si>
    <t>Регистар на вложувања во недвижности на резиденти во странство</t>
  </si>
  <si>
    <t>Регистар на годишни сметки</t>
  </si>
  <si>
    <t>Анализа на 
паричен 
тек и промени на капиталот 489 ден.</t>
  </si>
  <si>
    <t>Други неспомнати дејствија
505,00 ден.</t>
  </si>
  <si>
    <t>Извештај за БС и податоци од БУ 1.750,00 ден.</t>
  </si>
  <si>
    <t>Информација за економско финансиска состојба 1.750,00 ден.</t>
  </si>
  <si>
    <t>Информација за структура на приходи по дејности (СПД) 509,00 ден.</t>
  </si>
  <si>
    <t>Листинг од обработена 
годишна сметка 
и гот.текови 
и оценка 
769,00 ден.</t>
  </si>
  <si>
    <t>Листинг од обработена годишна сметка и 
оценка 595,00 ден.</t>
  </si>
  <si>
    <t>Листинг од обработена годишна сметка со податоци од БС и БУ 699,00 ден.</t>
  </si>
  <si>
    <t>Листинг од обработена годишна сметка со податоци од БС, БУ и гот. 
Текови (англиски) 1.049,00 ден.</t>
  </si>
  <si>
    <t>Листинг од обработена годишна сметка со податоци од БС, БУ и гот. текови 875,00 ден.</t>
  </si>
  <si>
    <t>Оценка на ликвидност со мислење 
349,00 ден.</t>
  </si>
  <si>
    <t>Писма-Информација за новоосновани субјекти кои започнале со 
работа во тековната година 
255,00 ден.</t>
  </si>
  <si>
    <t>Поединечен податок
70,00 ден.</t>
  </si>
  <si>
    <t>Скратен исказ од ГС со оценка на работењето
350,00 ден.</t>
  </si>
  <si>
    <t>Скратен исказ од ГС
254,00 ден.</t>
  </si>
  <si>
    <t>Фотокопија од годишна сметка 505,00 ден.</t>
  </si>
  <si>
    <t>Регистар на директни инвестиции</t>
  </si>
  <si>
    <t>Актуелна состојба на инветицијата</t>
  </si>
  <si>
    <t>Бришење од регистарот</t>
  </si>
  <si>
    <t>Издадено фотокопие и отпечаток од скенирани записи</t>
  </si>
  <si>
    <t>Информација за збирен податок</t>
  </si>
  <si>
    <t>Информација за поединечен податок</t>
  </si>
  <si>
    <t>Историјат на инвестицијата</t>
  </si>
  <si>
    <t>Регистрација на вложување</t>
  </si>
  <si>
    <t>Регистрација на промена</t>
  </si>
  <si>
    <t>Увид во досие</t>
  </si>
  <si>
    <t>Регистар на лизинг</t>
  </si>
  <si>
    <t>Бришење на регистриран лизинг</t>
  </si>
  <si>
    <t>Промена на регистрација на лизинг</t>
  </si>
  <si>
    <t>Регистрација на лизинг</t>
  </si>
  <si>
    <t>Регистар на права врз недвижности</t>
  </si>
  <si>
    <t>Издавање на информации</t>
  </si>
  <si>
    <t>Трговски регистар и регистар на други правни субјекти</t>
  </si>
  <si>
    <t>Други не спомнати дејствија
505,00 ден.</t>
  </si>
  <si>
    <t>Заверка на фотокопија од Решение со прилози 25,00 ден. од страна</t>
  </si>
  <si>
    <t>Информација за стечај или ликвидација
257,00 ден.</t>
  </si>
  <si>
    <t>Историјат од 01.01.2006 год.
1.245,00 ден.</t>
  </si>
  <si>
    <t>Корекција</t>
  </si>
  <si>
    <t>Објава за ликвидација</t>
  </si>
  <si>
    <t>Останато</t>
  </si>
  <si>
    <t>Отпечаток од скенирани записи (200,00 ден. до 10 стр. + 5 ден. од страна)</t>
  </si>
  <si>
    <t>Поединечен податок
101,00 ден.</t>
  </si>
  <si>
    <t>Регистрирана дејност
248,00 ден.</t>
  </si>
  <si>
    <t>Тековна состојба
256,00 ден</t>
  </si>
  <si>
    <t>Увид во регистарска влошка 752,00 ден.</t>
  </si>
  <si>
    <t>Упис на бришење</t>
  </si>
  <si>
    <t>Упис на ликвидација</t>
  </si>
  <si>
    <t>Упис на основање</t>
  </si>
  <si>
    <t>Упис на промена</t>
  </si>
  <si>
    <t>Упис на работно време</t>
  </si>
  <si>
    <t>Упис на статусна промена</t>
  </si>
  <si>
    <t>Упис на стечај</t>
  </si>
  <si>
    <t>Фотокопија од Решение со прилози (200,00 ден. до 10 стр. + 5 ден. од страна)</t>
  </si>
  <si>
    <t>РРК Битола</t>
  </si>
  <si>
    <t>Битола</t>
  </si>
  <si>
    <t>Кичево</t>
  </si>
  <si>
    <t>Ресен</t>
  </si>
  <si>
    <t>РРК Велес</t>
  </si>
  <si>
    <t>Велес</t>
  </si>
  <si>
    <t>Гевгелија</t>
  </si>
  <si>
    <t>Кавадарци</t>
  </si>
  <si>
    <t>Неготино</t>
  </si>
  <si>
    <t>РРК Кочани</t>
  </si>
  <si>
    <t>Берово</t>
  </si>
  <si>
    <t>Виница</t>
  </si>
  <si>
    <t>Делчево</t>
  </si>
  <si>
    <t>Кочани</t>
  </si>
  <si>
    <t>РРК Куманово</t>
  </si>
  <si>
    <t>Крива Паланка</t>
  </si>
  <si>
    <t>Куманово</t>
  </si>
  <si>
    <t>РРК Охрид</t>
  </si>
  <si>
    <t>Дебар</t>
  </si>
  <si>
    <t>Охрид</t>
  </si>
  <si>
    <t>Струга</t>
  </si>
  <si>
    <t>РРК Прилеп</t>
  </si>
  <si>
    <t>Македонски Брод</t>
  </si>
  <si>
    <t>Прилеп</t>
  </si>
  <si>
    <t>РРК Струмица</t>
  </si>
  <si>
    <t>Валандово</t>
  </si>
  <si>
    <t>Радовиш</t>
  </si>
  <si>
    <t>Струмица</t>
  </si>
  <si>
    <t>РРК Тетово</t>
  </si>
  <si>
    <t>Гостивар</t>
  </si>
  <si>
    <t>Тетово</t>
  </si>
  <si>
    <t>РРК Штип</t>
  </si>
  <si>
    <t>Пробиштип</t>
  </si>
  <si>
    <t>Св.Николе</t>
  </si>
  <si>
    <t>Штип</t>
  </si>
  <si>
    <t>РРК Скопје</t>
  </si>
  <si>
    <t>Скопје</t>
  </si>
  <si>
    <t>Sum of Износ</t>
  </si>
  <si>
    <t>Column Labels</t>
  </si>
  <si>
    <t>Grand Total</t>
  </si>
  <si>
    <t>Месец</t>
  </si>
  <si>
    <t>Jan</t>
  </si>
  <si>
    <t>Feb</t>
  </si>
  <si>
    <t>Mar</t>
  </si>
  <si>
    <t>Apr</t>
  </si>
  <si>
    <t>May</t>
  </si>
  <si>
    <t>Jun</t>
  </si>
  <si>
    <t>Jul</t>
  </si>
  <si>
    <t>Aug</t>
  </si>
  <si>
    <t>Sep</t>
  </si>
  <si>
    <t>Oct</t>
  </si>
  <si>
    <t>Nov</t>
  </si>
  <si>
    <t>Година</t>
  </si>
  <si>
    <t>ReportType</t>
  </si>
  <si>
    <t>Вкупно</t>
  </si>
  <si>
    <t>Тип на издаток</t>
  </si>
  <si>
    <t>CAPEX (капитални инвестиции)</t>
  </si>
  <si>
    <t>OPEX (оперативни трошоци (без амортизација)</t>
  </si>
  <si>
    <t>Вкупно расходи без амортизација</t>
  </si>
  <si>
    <t>Оперативна добивка (EBITDA)</t>
  </si>
  <si>
    <t>Нето добивка</t>
  </si>
  <si>
    <t>Оперативна добивка - маржа, %</t>
  </si>
  <si>
    <t>Нето добивка - маржа, %</t>
  </si>
  <si>
    <t>Dec</t>
  </si>
  <si>
    <t>2019</t>
  </si>
  <si>
    <t>2.31. Вкупно оперативни приходи (29+30)</t>
  </si>
  <si>
    <t>2.38. Вкупно оперативни расходи (32+33+34+35+36+37)</t>
  </si>
  <si>
    <t>2.42. Добивка пред оданочување (39+40-41)</t>
  </si>
  <si>
    <t>2.39. Добивка од оперативно работење (31-38)</t>
  </si>
  <si>
    <t>Вкупни оперативни приходи</t>
  </si>
  <si>
    <t>Вкупно останати приходи</t>
  </si>
  <si>
    <t>Вкупно приходи</t>
  </si>
  <si>
    <t>Вкупно оперативни расходи</t>
  </si>
  <si>
    <t>4.2. Останати расходи</t>
  </si>
  <si>
    <t>Вкупно расходи</t>
  </si>
  <si>
    <t>3. СПЕЦИФИРАНИ ПРИХОДИ по квартали</t>
  </si>
  <si>
    <t>4. СПЕЦИФИРАНИ РАСХОДИ по квартали</t>
  </si>
  <si>
    <t>Вкупно останати расходи</t>
  </si>
  <si>
    <t>АКТИВА</t>
  </si>
  <si>
    <t>1.6. Тековна актива (1 + 2 + 3 + 4 + 5)</t>
  </si>
  <si>
    <t>1.12. Вкупна актива (6 + 7 + 8 + 9 + 10 + 11 )</t>
  </si>
  <si>
    <t>ПАСИВА (Обврски и Акционерски капитал)</t>
  </si>
  <si>
    <t>1.16 Тековни обврски (14+15)</t>
  </si>
  <si>
    <t>1.19. Нетековни обврски (14+15)</t>
  </si>
  <si>
    <t>1.20. Обврски (16+19)</t>
  </si>
  <si>
    <t>1.26. Вкупен капитал (21+22+23+24+25)</t>
  </si>
  <si>
    <t>1.27. Вкупно Обврски и капитал (20+26)</t>
  </si>
  <si>
    <t>(Multiple Items)</t>
  </si>
  <si>
    <t>Pomosen bilans na sostojba, ne pipaj!!!</t>
  </si>
  <si>
    <t>Структурна Анализа Тековна година (%)</t>
  </si>
  <si>
    <t>Нераспределена добивка на почетокот на периодот</t>
  </si>
  <si>
    <t>Нето добивка/загуба за деловната година</t>
  </si>
  <si>
    <t>Резерви</t>
  </si>
  <si>
    <t>Ревалоризациони резерви</t>
  </si>
  <si>
    <t>Дивиденда</t>
  </si>
  <si>
    <t>Усогласувања на задржаната добивка</t>
  </si>
  <si>
    <t>7. ИЗВЕШТАЈ ЗА ПРОМЕНИТЕ ВО КАПИТАЛОТ по квартали</t>
  </si>
  <si>
    <t>Амортизација на материјални средства</t>
  </si>
  <si>
    <t>Вредносно усогласување на тековни средства</t>
  </si>
  <si>
    <t>Побарувања од купувачите</t>
  </si>
  <si>
    <t>Залихи</t>
  </si>
  <si>
    <t>Обврски кон добавувачи</t>
  </si>
  <si>
    <t>АВР</t>
  </si>
  <si>
    <t>ПВР</t>
  </si>
  <si>
    <t>Парични средства од оперативни активности</t>
  </si>
  <si>
    <t>Парични средства од инвестиции</t>
  </si>
  <si>
    <t>Парични средства од финансиски активности</t>
  </si>
  <si>
    <t>Краткорочни обврски</t>
  </si>
  <si>
    <t>Долгорочни обврски</t>
  </si>
  <si>
    <t>Капитал</t>
  </si>
  <si>
    <t>Исплатена дивиденда</t>
  </si>
  <si>
    <t>Нето зголемување / намалување на паричните текови</t>
  </si>
  <si>
    <t>Парични средства на почетокот на периодот</t>
  </si>
  <si>
    <t>Парични средства на крајот на периодот</t>
  </si>
  <si>
    <t>8. ИЗВЕШТАЈ ЗА ПАРИЧНИТЕ ТЕКОВИ по месеци</t>
  </si>
  <si>
    <t>претходни салда</t>
  </si>
  <si>
    <t>разлика</t>
  </si>
  <si>
    <t xml:space="preserve">9. ПРЕГЛЕД НА КВАРТАЛНИ ПОДАТОЦИ </t>
  </si>
  <si>
    <t>Тековна актива</t>
  </si>
  <si>
    <t>Тековни обрвски</t>
  </si>
  <si>
    <t>Вкупно приходи од дејноста</t>
  </si>
  <si>
    <t>Вкупно расходи од дејноста</t>
  </si>
  <si>
    <t>Трошоци за плата</t>
  </si>
  <si>
    <t>Просечен број на вработени</t>
  </si>
  <si>
    <t>Вкупно трошоци за кредити</t>
  </si>
  <si>
    <t xml:space="preserve">Капитал </t>
  </si>
  <si>
    <t>Добивка / Загуба</t>
  </si>
  <si>
    <t>Вкупно материјални средства</t>
  </si>
  <si>
    <t>Вкупно нематеријални с-ва</t>
  </si>
  <si>
    <t xml:space="preserve">Вкупно средства </t>
  </si>
  <si>
    <t>Нето добивка / загуба пред оданочување</t>
  </si>
  <si>
    <t>проверка</t>
  </si>
  <si>
    <t>Вкупен капитал на крај на периодот</t>
  </si>
  <si>
    <t>Конто</t>
  </si>
  <si>
    <t>Приходи од донации (сразмерно на амортизација)</t>
  </si>
  <si>
    <t>ова не може да се направи без реални податоци за амртизација</t>
  </si>
  <si>
    <t>Показател на моментална ликвидност</t>
  </si>
  <si>
    <t>=</t>
  </si>
  <si>
    <t>43030</t>
  </si>
  <si>
    <t>Year</t>
  </si>
  <si>
    <t>План</t>
  </si>
  <si>
    <t>Month</t>
  </si>
  <si>
    <t>4.1. Расходи од дејноста</t>
  </si>
  <si>
    <t>Row Labels</t>
  </si>
  <si>
    <t>2.34. Амортизација на материјални средства</t>
  </si>
  <si>
    <t>ObrazecIme</t>
  </si>
  <si>
    <t>Finansiski plan_Bilans na uspeh</t>
  </si>
  <si>
    <t>Споредбена анализа
оств. тек. Година / оств. претх. год (%)</t>
  </si>
  <si>
    <t>Споредбена анализа
план. идна година / оств. тек. год (%)</t>
  </si>
  <si>
    <t>Предвидување</t>
  </si>
  <si>
    <t>Споредбена анализа
оств. тек. година / оств. претх. год (%)</t>
  </si>
  <si>
    <t>2020 Total</t>
  </si>
  <si>
    <t>2019-001</t>
  </si>
  <si>
    <t>2019-002</t>
  </si>
  <si>
    <t>2019-003</t>
  </si>
  <si>
    <t>2019-004</t>
  </si>
  <si>
    <t>2019-005</t>
  </si>
  <si>
    <t>2019-006</t>
  </si>
  <si>
    <t>2019-007</t>
  </si>
  <si>
    <t>2019-008</t>
  </si>
  <si>
    <t>2019-009</t>
  </si>
  <si>
    <t>2019-011</t>
  </si>
  <si>
    <t>2019-013</t>
  </si>
  <si>
    <t>2019-014</t>
  </si>
  <si>
    <t>2019-015</t>
  </si>
  <si>
    <t>2019-016</t>
  </si>
  <si>
    <t>2020-002</t>
  </si>
  <si>
    <t>2020-003</t>
  </si>
  <si>
    <t>2020-004</t>
  </si>
  <si>
    <t>2020-006</t>
  </si>
  <si>
    <t>Sum of Проценета вредност на набавка со ДДВ (денари)</t>
  </si>
  <si>
    <t>Број на јавна набавка (план)</t>
  </si>
  <si>
    <t>Предмет на договорот за јавна набавка</t>
  </si>
  <si>
    <t>2019 Total</t>
  </si>
  <si>
    <t>2019-010</t>
  </si>
  <si>
    <t>Finansiski plan_Bilans na sostojba</t>
  </si>
  <si>
    <t>Amortizacija okt-dek 2019</t>
  </si>
  <si>
    <t>promena 10-12</t>
  </si>
  <si>
    <t>Saldo 31.12.2019</t>
  </si>
  <si>
    <t>DateColumn</t>
  </si>
  <si>
    <t>Dec Total</t>
  </si>
  <si>
    <t>43030 Total</t>
  </si>
  <si>
    <t>treba da se podelat po sredstva</t>
  </si>
  <si>
    <t>2020-001</t>
  </si>
  <si>
    <t>2020-007</t>
  </si>
  <si>
    <t>2020-008</t>
  </si>
  <si>
    <t>2019-017</t>
  </si>
  <si>
    <t>2019-018</t>
  </si>
  <si>
    <t>2020-005</t>
  </si>
  <si>
    <t>2019-012</t>
  </si>
  <si>
    <t>2020-009</t>
  </si>
  <si>
    <t>Очекуван датум на плаќање</t>
  </si>
  <si>
    <t>Конто Средства</t>
  </si>
  <si>
    <t>0030</t>
  </si>
  <si>
    <t>01341</t>
  </si>
  <si>
    <t>01363</t>
  </si>
  <si>
    <t>Очекуван датум за ставање во употреба (месец)</t>
  </si>
  <si>
    <t>Материјални</t>
  </si>
  <si>
    <t>Нематеријални</t>
  </si>
  <si>
    <t>43134</t>
  </si>
  <si>
    <t>43134 Total</t>
  </si>
  <si>
    <t>Вкупна амортизација за во БС</t>
  </si>
  <si>
    <t>0191001</t>
  </si>
  <si>
    <t>0031</t>
  </si>
  <si>
    <t>Остварено</t>
  </si>
  <si>
    <t>ТРОШОЦИ ЗА ПЛАТИ И ПРИДОНЕСИ</t>
  </si>
  <si>
    <t>ПРОСЕЧЕН БРОЈ НА ВРАБОТЕНИ</t>
  </si>
  <si>
    <t>n.a.</t>
  </si>
  <si>
    <t xml:space="preserve">Вкупно расходи </t>
  </si>
  <si>
    <t>4.1.11 - Надомест на трошоци на вработените, подароци и помошти</t>
  </si>
  <si>
    <t>4.1.1 - Потрошени суровини и материјали</t>
  </si>
  <si>
    <t>4.1.10 - Амортизација по минимални стапки</t>
  </si>
  <si>
    <t>4.1.12 - Дневници за службени патувања и патни трошоци</t>
  </si>
  <si>
    <t>4.1.13 - Трошоци за промоција,пропаганда, реклама, репрезентација и спонзорство</t>
  </si>
  <si>
    <t>4.1.14 - Премии за осигурување</t>
  </si>
  <si>
    <t>4.1.15 - Даноци,чланарини и други давачки кои не зависат од резултатот</t>
  </si>
  <si>
    <t>4.1.16 - Банкарски услуги и трошоци за платен промет</t>
  </si>
  <si>
    <t>4.1.17 - Лиценци за разни софтвери (едногодишни, обновливи)</t>
  </si>
  <si>
    <t>4.1.19 - Останати нематеријални трошоци</t>
  </si>
  <si>
    <t>4.1.2 - Потрoшена енергија и гориво за возила</t>
  </si>
  <si>
    <t>4.1.3 - Потрошени резервни делови</t>
  </si>
  <si>
    <t>4.1.4 - Потрошок на ситен инвентар и автогуми</t>
  </si>
  <si>
    <t>4.1.5 - Транспортни услуги</t>
  </si>
  <si>
    <t>4.1.6 - Надворешни услуги</t>
  </si>
  <si>
    <t>4.1.7 - Услуги за одржување и заштита</t>
  </si>
  <si>
    <t>4.1.8 - Наемнини и лизинг</t>
  </si>
  <si>
    <t>4.1.9 - Останати услуги</t>
  </si>
  <si>
    <t>Предвидување Total</t>
  </si>
  <si>
    <t>во денари</t>
  </si>
  <si>
    <t>43136</t>
  </si>
  <si>
    <t>43136 Total</t>
  </si>
  <si>
    <t>Договор на дело</t>
  </si>
  <si>
    <t>Обуки</t>
  </si>
  <si>
    <t>Систематски прегледи</t>
  </si>
  <si>
    <t>Агенција за привремени вработувања</t>
  </si>
  <si>
    <t>Преглед</t>
  </si>
  <si>
    <t>на реализирани и планирани средства за бруто плати и средства за ангажирање лица</t>
  </si>
  <si>
    <t>Назив на институција Централен регистар на Република Северна Македонија</t>
  </si>
  <si>
    <t>реализирани средства за бруто плати</t>
  </si>
  <si>
    <t>реализирани средства</t>
  </si>
  <si>
    <t>планирани средства за бруто плати (тековна година)*</t>
  </si>
  <si>
    <t>планирани средства</t>
  </si>
  <si>
    <t>(претходна година)*</t>
  </si>
  <si>
    <t>за ангажирање</t>
  </si>
  <si>
    <t>неопределено</t>
  </si>
  <si>
    <t>определено</t>
  </si>
  <si>
    <t>лица/Закон за</t>
  </si>
  <si>
    <t>неопределено работно време</t>
  </si>
  <si>
    <t>определено време/АПВ</t>
  </si>
  <si>
    <t>трансформација во</t>
  </si>
  <si>
    <t>работно време</t>
  </si>
  <si>
    <t>време/АПВ</t>
  </si>
  <si>
    <t>редовен работен однос</t>
  </si>
  <si>
    <t>(претходна година)</t>
  </si>
  <si>
    <t>износ (во</t>
  </si>
  <si>
    <t>број на</t>
  </si>
  <si>
    <t>денари)</t>
  </si>
  <si>
    <t>лица</t>
  </si>
  <si>
    <t>јануари</t>
  </si>
  <si>
    <t>февруари</t>
  </si>
  <si>
    <t>март</t>
  </si>
  <si>
    <t>април</t>
  </si>
  <si>
    <t>мај</t>
  </si>
  <si>
    <t>јуни</t>
  </si>
  <si>
    <t>јули</t>
  </si>
  <si>
    <t>август</t>
  </si>
  <si>
    <t>септември</t>
  </si>
  <si>
    <t>октомври</t>
  </si>
  <si>
    <t>ноември</t>
  </si>
  <si>
    <t>декември</t>
  </si>
  <si>
    <t>вкупно</t>
  </si>
  <si>
    <t>*Тековна година е годината за која се однесува Финансискиот план.</t>
  </si>
  <si>
    <t>**Претходна година е годината која претходи на годината за која се однесува Финансискиот план.</t>
  </si>
  <si>
    <t>Бруто плата</t>
  </si>
  <si>
    <t>Награди-интерни</t>
  </si>
  <si>
    <t>Помош за болест и смрт-бруто</t>
  </si>
  <si>
    <t>Предмет на јавна набавка</t>
  </si>
  <si>
    <t>Предвиден датум на набавка</t>
  </si>
  <si>
    <t>Проценета вредност на набавка со ДДВ (денари)</t>
  </si>
  <si>
    <t>Надоместоци за членови на УО</t>
  </si>
  <si>
    <t>Надоместоци за членови на комисија за жалби</t>
  </si>
  <si>
    <t>Дневници за службени патувања во странство</t>
  </si>
  <si>
    <t>Отпремнина за пензија</t>
  </si>
  <si>
    <t>2.29. Приходи од продажба</t>
  </si>
  <si>
    <t>2.30. Останати оперативни приходи</t>
  </si>
  <si>
    <t>2.32. Потрошени суровини и материјали</t>
  </si>
  <si>
    <t>40103</t>
  </si>
  <si>
    <t>40105</t>
  </si>
  <si>
    <t>4030</t>
  </si>
  <si>
    <t>40304</t>
  </si>
  <si>
    <t>4051</t>
  </si>
  <si>
    <t>4080</t>
  </si>
  <si>
    <t>4081</t>
  </si>
  <si>
    <t>2.33. Трошоци за вработените</t>
  </si>
  <si>
    <t>4200</t>
  </si>
  <si>
    <t>4220</t>
  </si>
  <si>
    <t>42222</t>
  </si>
  <si>
    <t>4224</t>
  </si>
  <si>
    <t>43031</t>
  </si>
  <si>
    <t>43132</t>
  </si>
  <si>
    <t>43133</t>
  </si>
  <si>
    <t>43139</t>
  </si>
  <si>
    <t>43155</t>
  </si>
  <si>
    <t>2.37. Останати оперативни расходи</t>
  </si>
  <si>
    <t>4104</t>
  </si>
  <si>
    <t>41101</t>
  </si>
  <si>
    <t>41102</t>
  </si>
  <si>
    <t>41103</t>
  </si>
  <si>
    <t>4111</t>
  </si>
  <si>
    <t>4131</t>
  </si>
  <si>
    <t>4132</t>
  </si>
  <si>
    <t>4133</t>
  </si>
  <si>
    <t>4134</t>
  </si>
  <si>
    <t>4143</t>
  </si>
  <si>
    <t>41500</t>
  </si>
  <si>
    <t>41501</t>
  </si>
  <si>
    <t>41502</t>
  </si>
  <si>
    <t>41503</t>
  </si>
  <si>
    <t>4170</t>
  </si>
  <si>
    <t>41700</t>
  </si>
  <si>
    <t>41701</t>
  </si>
  <si>
    <t>41733</t>
  </si>
  <si>
    <t>41921</t>
  </si>
  <si>
    <t>41925</t>
  </si>
  <si>
    <t>41931</t>
  </si>
  <si>
    <t>41934</t>
  </si>
  <si>
    <t>44001</t>
  </si>
  <si>
    <t>4401</t>
  </si>
  <si>
    <t>44011</t>
  </si>
  <si>
    <t>4403</t>
  </si>
  <si>
    <t>44032</t>
  </si>
  <si>
    <t>44091</t>
  </si>
  <si>
    <t>4422</t>
  </si>
  <si>
    <t>44220</t>
  </si>
  <si>
    <t>4440</t>
  </si>
  <si>
    <t>44500</t>
  </si>
  <si>
    <t>44501</t>
  </si>
  <si>
    <t>44502</t>
  </si>
  <si>
    <t>44510</t>
  </si>
  <si>
    <t>4459</t>
  </si>
  <si>
    <t>4460</t>
  </si>
  <si>
    <t>4476</t>
  </si>
  <si>
    <t>44902</t>
  </si>
  <si>
    <t>44903</t>
  </si>
  <si>
    <t>44904</t>
  </si>
  <si>
    <t>44907</t>
  </si>
  <si>
    <t>449071</t>
  </si>
  <si>
    <t>44908</t>
  </si>
  <si>
    <t>449083</t>
  </si>
  <si>
    <t>4494</t>
  </si>
  <si>
    <t>4496</t>
  </si>
  <si>
    <t>4497</t>
  </si>
  <si>
    <t>44970</t>
  </si>
  <si>
    <t>44972</t>
  </si>
  <si>
    <t>44973</t>
  </si>
  <si>
    <t>4499</t>
  </si>
  <si>
    <t>44990</t>
  </si>
  <si>
    <t>2.40. Приходи од финансирање</t>
  </si>
  <si>
    <t>40107</t>
  </si>
  <si>
    <t>403102</t>
  </si>
  <si>
    <t>403103</t>
  </si>
  <si>
    <t>403104</t>
  </si>
  <si>
    <t>403105</t>
  </si>
  <si>
    <t>4031601</t>
  </si>
  <si>
    <t>4031602</t>
  </si>
  <si>
    <t>4031603</t>
  </si>
  <si>
    <t>4031604</t>
  </si>
  <si>
    <t>4031605</t>
  </si>
  <si>
    <t>4031606</t>
  </si>
  <si>
    <t>4031607</t>
  </si>
  <si>
    <t>4031608</t>
  </si>
  <si>
    <t>4031609</t>
  </si>
  <si>
    <t>4031610</t>
  </si>
  <si>
    <t>4031611</t>
  </si>
  <si>
    <t>4106</t>
  </si>
  <si>
    <t>4113</t>
  </si>
  <si>
    <t>41330</t>
  </si>
  <si>
    <t>4139</t>
  </si>
  <si>
    <t>44980</t>
  </si>
  <si>
    <t>2.41. Расходи од финансирање</t>
  </si>
  <si>
    <t>4660</t>
  </si>
  <si>
    <t>4750</t>
  </si>
  <si>
    <t>TRO[.ZA REKLAMI,PROPAG.I PROMOC.</t>
  </si>
  <si>
    <t>USL.ZA TEKOV.ODR@.NA GRADE@NI OBJEKTI</t>
  </si>
  <si>
    <t>USL.ZA TEKOV.ODR@.NA OPREMA</t>
  </si>
  <si>
    <t>USL.ZA TEKOV.ODR@UV.NA OPREMA ZA AOP</t>
  </si>
  <si>
    <t>USL.ZA ODR@UV.NA HIGIENA VO PROSTORII</t>
  </si>
  <si>
    <t>OSTANATI USL.ZA ODR@UVAWE</t>
  </si>
  <si>
    <t>INTELEKTUALNI USLUGI</t>
  </si>
  <si>
    <t>PRAVNI,ADVOKATSKI I NOTARSKI USLUGI</t>
  </si>
  <si>
    <t>USLUGI ZA REVIZIJA I PROCENKA</t>
  </si>
  <si>
    <t>USLUGI ZA PREPISI I PREVODI</t>
  </si>
  <si>
    <t>DRUGI DOGOVORNI USLUGI</t>
  </si>
  <si>
    <t>ZAEDN.TRO[OCI SO NBR</t>
  </si>
  <si>
    <t>KOPIRAWE,PE^ATEWE,POVRZUV.I IZDAVAWE</t>
  </si>
  <si>
    <t>TRO[.ZA REGISTR.NA VOZILO</t>
  </si>
  <si>
    <t>SERVISIRAWE I POPRAVKA NA VOZILO</t>
  </si>
  <si>
    <t>DR.TRO[OCI NA VOZILO</t>
  </si>
  <si>
    <t>TRO[OCI ZA PATARINA</t>
  </si>
  <si>
    <t>TAKSI PREVOZ</t>
  </si>
  <si>
    <t>DR.TRANSPORTNI USLUGI</t>
  </si>
  <si>
    <t>TRO[.ZA TELEKOMUNIKACII</t>
  </si>
  <si>
    <t>TRO[.ZA INTERNET</t>
  </si>
  <si>
    <t>TRO[.ZA MOBILNA TELEFONIJA</t>
  </si>
  <si>
    <t>PO[TENSKI USLUGI</t>
  </si>
  <si>
    <t>OSTANATI NESPOM.TRO[OCI</t>
  </si>
  <si>
    <t>TRO[.ZA REPREZENTACIA</t>
  </si>
  <si>
    <t>DR.PREMIJI ZA OSIGURUVAWE</t>
  </si>
  <si>
    <t>TRO[.ZA PRETPL.NA VESNICI I STRU^NI SPISANIA</t>
  </si>
  <si>
    <t>SUDSKI TRO[OCI</t>
  </si>
  <si>
    <t>DR.NESPOMNATI NEMATERIJALNI TRO[OCI</t>
  </si>
  <si>
    <t>DADENA PARI^NA POMO[ NA FIZI^KI LICA</t>
  </si>
  <si>
    <t>POTRO[.KANCELARISKI MATERIJAL</t>
  </si>
  <si>
    <t>POTRO[.MATER.ZA HIGIENA</t>
  </si>
  <si>
    <t>POTR.SRED.ZA ZA[TITA PRI RAB.-RAB.(OBLEKA I OBUVKI</t>
  </si>
  <si>
    <t>AMORTIZACIJA NA SOFTVER 0030</t>
  </si>
  <si>
    <t>AMORTIZACIJA NA SOFTVER 0031</t>
  </si>
  <si>
    <t>BANKARSKI USLUGI I TRO[OCI ZA PLATEN PROMET</t>
  </si>
  <si>
    <t>^LANARINA</t>
  </si>
  <si>
    <t>PATNI TRO[OCI VO ZEMJA</t>
  </si>
  <si>
    <t>PATNI TRO[OCI ZA SLU@BENI PATUVAWA VO STRANSTVO</t>
  </si>
  <si>
    <t>NADOMEST ZA NO]EVAWE VO ZEMJA</t>
  </si>
  <si>
    <t>NADOMEST ZA NO]EVAWE VO STRANSTVO</t>
  </si>
  <si>
    <t>USL.ZA TEKOV.ODR@U.NA NEMATERIJALNI VLO@.(LICENCI)</t>
  </si>
  <si>
    <t>OSTANATI NADVORE[.USLUGI</t>
  </si>
  <si>
    <t>TRO[OCI ZA VODA</t>
  </si>
  <si>
    <t>TRO[OCI ZA SMET</t>
  </si>
  <si>
    <t>TRO[.ZA ODR@UV.NA ZELENILO</t>
  </si>
  <si>
    <t>TRO[.ZA GARA@IRAWE I PARKING</t>
  </si>
  <si>
    <t>OSTANATI TRO[OCI ZA SNIMAWE, FOTO, IKEBANI</t>
  </si>
  <si>
    <t>OGLASI VO PE^ATENI MEDIUMI</t>
  </si>
  <si>
    <t>NAEMNINA ZA NEDVI@NOSTI - ZAKUP OD PRAVNO LICE</t>
  </si>
  <si>
    <t>PREMIJA ZA OSIGUR.NA GRADE@NI OBJEKTI</t>
  </si>
  <si>
    <t>PREMIJA ZA OSIGUR.NA TRANSPORTNI SRED.</t>
  </si>
  <si>
    <t>PREMIJA ZA OSIGUR.NA KOMPJUTERSKA OPREMA</t>
  </si>
  <si>
    <t>PREMIJA ZA OSIGUR.OD PROF.ODG.ZA [TETI PR.TRETI LICA</t>
  </si>
  <si>
    <t>RASHOD OD PORANE[NI GODINI</t>
  </si>
  <si>
    <t>KURSNA RAZLIKA</t>
  </si>
  <si>
    <t>OTPIS NA SITEN INVENTAR VO UPOTREBA</t>
  </si>
  <si>
    <t>OTPIS NA AVTOGUMI VO UPOTREBA</t>
  </si>
  <si>
    <t>POTR.REZERVNI DELOVI ZA TEKOVNO ODR@UV.</t>
  </si>
  <si>
    <t>POTR.ELEKT.ENERGIJA</t>
  </si>
  <si>
    <t>POTRO[.NAFTA</t>
  </si>
  <si>
    <t>POTRO[ENO GORVO SK 2082 AI</t>
  </si>
  <si>
    <t>POTRO[ENO GORIVO SK 2083 AI</t>
  </si>
  <si>
    <t>POTRO[ENO GORIVO SK 2084 AI</t>
  </si>
  <si>
    <t>POTRO[ENO GORIVO SK 2085 AI</t>
  </si>
  <si>
    <t>POTRO[ENO GORIVO SK 0601 АС</t>
  </si>
  <si>
    <t>POTRO[ENO GORIVO SK 0602 АС</t>
  </si>
  <si>
    <t>POTRO[ENO GORIVO SK 0603 АС</t>
  </si>
  <si>
    <t>POTRO[ENO GORIVO SK 0604 АС</t>
  </si>
  <si>
    <t>POTRO[ENO GORIVO SK 0605 АС</t>
  </si>
  <si>
    <t>POTRO[ENO GORIVO SK 0606 АС</t>
  </si>
  <si>
    <t>POTRO[ENO GORIVO SK 0607 АС</t>
  </si>
  <si>
    <t>POTRO[ENO GORIVO SK 0608 АС</t>
  </si>
  <si>
    <t>POTRO[ENO GORIVO SK 0609 АС</t>
  </si>
  <si>
    <t>POTRO[ENO GORIVO SK 0610 АС</t>
  </si>
  <si>
    <t>POTRO[ENO GORIVO SK 0611 АС</t>
  </si>
  <si>
    <t>431001</t>
  </si>
  <si>
    <t>DEPRECIJACIJA NA GRAD. OBJEKTI SOPSTVENI</t>
  </si>
  <si>
    <t>431002</t>
  </si>
  <si>
    <t>Банкарски услуги и трошоци за платен промет</t>
  </si>
  <si>
    <t>Даноци,чланарини и други давачки кои не зависат од резултатот</t>
  </si>
  <si>
    <t>Дневници за службени патувања и патни трошоци</t>
  </si>
  <si>
    <t>Надворешни услуги</t>
  </si>
  <si>
    <t>Наемнини и лизинг</t>
  </si>
  <si>
    <t>Останати нематеријални трошоци</t>
  </si>
  <si>
    <t>Останати услуги</t>
  </si>
  <si>
    <t>Премии за осигурување</t>
  </si>
  <si>
    <t>Транспортни услуги</t>
  </si>
  <si>
    <t>Трошоци за промоција,пропаганда, реклама, репрезентација и спонзорство</t>
  </si>
  <si>
    <t>Услуги за одржување и заштита</t>
  </si>
  <si>
    <t>Надомест на трошоци на вработените, подароци и помошти</t>
  </si>
  <si>
    <t>Обнова на лиценци за виртуелизација</t>
  </si>
  <si>
    <t>Работни столици</t>
  </si>
  <si>
    <t>.</t>
  </si>
  <si>
    <t>2021-010</t>
  </si>
  <si>
    <t>Софтверско решение за активација на банкарската сметка преку ЕШС</t>
  </si>
  <si>
    <t>2021-010 Софтверско решение за активација на банкарската сметка преку ЕШС</t>
  </si>
  <si>
    <t>Амортизација по минимални стапки</t>
  </si>
  <si>
    <t>2021</t>
  </si>
  <si>
    <t>2022</t>
  </si>
  <si>
    <t>Очекуван датум на плаќање (Year)</t>
  </si>
  <si>
    <t>Values</t>
  </si>
  <si>
    <t>Total Sum of Проценета вредност на набавка со ДДВ (денари)</t>
  </si>
  <si>
    <t>Total Sum of Износ донација</t>
  </si>
  <si>
    <t>Sum of Износ донација</t>
  </si>
  <si>
    <t>Проект</t>
  </si>
  <si>
    <t>Број на проект</t>
  </si>
  <si>
    <t>AMORTIZACIJA NA VLO@UVAWE VO TU\I NEDVI@NOSTI</t>
  </si>
  <si>
    <t>AMORTIZACIJA NA TRANSPORTNI SREDSTVA</t>
  </si>
  <si>
    <t>AMORTIZACIJA NA TELEKOMUNIKACISKI UREDI</t>
  </si>
  <si>
    <t>AMORTIZACIJA NA MED.UREDI - DEFIBR. 01391</t>
  </si>
  <si>
    <t>AMORTIZACIJA NA KOMPJUTERSKA OPREMA 01341</t>
  </si>
  <si>
    <t>AMORTIZACIJA NA KANCELARISKI MEBEL 01363</t>
  </si>
  <si>
    <t>DEPRECIJACIJA NA GRAD. OBJEKTI SO PRAVO NA KORISTE</t>
  </si>
  <si>
    <t>AMORTIZACIJA NA PATENTI I LICENCI 0020</t>
  </si>
  <si>
    <t>43020</t>
  </si>
  <si>
    <t>Потрoшена енергија и гориво за возила</t>
  </si>
  <si>
    <t>Потрошени резервни делови</t>
  </si>
  <si>
    <t>Потрошени суровини и материјали</t>
  </si>
  <si>
    <t>Потрошок на ситен инвентар и автогуми</t>
  </si>
  <si>
    <t>Други неспомнати приходи</t>
  </si>
  <si>
    <t>Приходи од донации</t>
  </si>
  <si>
    <t>2021-011</t>
  </si>
  <si>
    <t>2021-012</t>
  </si>
  <si>
    <t>PO[TENSKI USLUGI PRATKI DO 50 GRAMA</t>
  </si>
  <si>
    <t>41111</t>
  </si>
  <si>
    <t>БИЛАНС НА СОСТОЈБА 2021</t>
  </si>
  <si>
    <t>2021-013</t>
  </si>
  <si>
    <t>2021-014</t>
  </si>
  <si>
    <t>Такси превоз</t>
  </si>
  <si>
    <t>Економски оператор за карго услуги - други транспортни услуги</t>
  </si>
  <si>
    <t>Фиксна телефонија и IPVPN по договор</t>
  </si>
  <si>
    <t>Етернет</t>
  </si>
  <si>
    <t>Интернет</t>
  </si>
  <si>
    <t>Претплата за тв</t>
  </si>
  <si>
    <t>Мобилна телефонија</t>
  </si>
  <si>
    <t>Поштенски услуги</t>
  </si>
  <si>
    <t>Поштенски услуги до 50 грама</t>
  </si>
  <si>
    <t>месеци</t>
  </si>
  <si>
    <t>литри</t>
  </si>
  <si>
    <t>превоз</t>
  </si>
  <si>
    <t>парче</t>
  </si>
  <si>
    <t>Осигурување</t>
  </si>
  <si>
    <t>Останати трошоци</t>
  </si>
  <si>
    <t>Безалкохолни пијалоци</t>
  </si>
  <si>
    <t>Вода за канистри во Централа, РРК и СИТ</t>
  </si>
  <si>
    <t>Нескафе</t>
  </si>
  <si>
    <t>Турско кафе</t>
  </si>
  <si>
    <t>Угостителски услуги - новогодишна прослава</t>
  </si>
  <si>
    <t>Угостителски услуги - репрезентација</t>
  </si>
  <si>
    <t>Економски оператор за поправка на објекти и мебел, санации, занатски услуги, сервисирање,  реконструкции</t>
  </si>
  <si>
    <t>Климатизација - износ по договор</t>
  </si>
  <si>
    <t>Одржување на системи за напојување - износ по договор</t>
  </si>
  <si>
    <t>ПП системи одржување - годишен износ по договор</t>
  </si>
  <si>
    <t>Набавка на услуги за одржување, поправка и поддршка на информатичка инфраструктура (на 24 месеци), даден е годишниот износ на трошок</t>
  </si>
  <si>
    <t>Набавка на софтверски лиценци (продолжување на постоечки лиценци за софтвер за анкети, за валидација на емаил адреси (се користи во сите софтверски решенија, сертификати за системите, софтвер за автоматско испраќање на емаил пораки, софтвер за далечински пристап)</t>
  </si>
  <si>
    <t>Обновување на услуги за поддршка - управување со компјутерска безбедност</t>
  </si>
  <si>
    <t>Тековно одржување на хигиена во деловниот простор на Централен регистар</t>
  </si>
  <si>
    <t>Одржување на систем за фср - износ по договор</t>
  </si>
  <si>
    <t>Годишен просечен трошок за вода</t>
  </si>
  <si>
    <t>Годишен просечен трошок за смет</t>
  </si>
  <si>
    <t>Трошоци за одржување на зеленило</t>
  </si>
  <si>
    <t>Трошоци за возила за гаражирање и паркинг</t>
  </si>
  <si>
    <t>Маркетинг агенција за промоција на услуги по задолжување од Влада за подобрување на бизнис климата</t>
  </si>
  <si>
    <t>Рекламен материјал - календари</t>
  </si>
  <si>
    <t>Рекламен материјал - пенкала</t>
  </si>
  <si>
    <t>Рекламен материјал - тефтери</t>
  </si>
  <si>
    <t>Рекламен материјал - чадори</t>
  </si>
  <si>
    <t>Икебани и цвекиња за погреби</t>
  </si>
  <si>
    <t>Фотографирање и снимање (делење на пакетчиња и промотивен настан)</t>
  </si>
  <si>
    <t>Просечен годишен трошок за објава на огласи</t>
  </si>
  <si>
    <t>Просечен годишен трошок за објава на отворен повик</t>
  </si>
  <si>
    <t>Регистарција на домеин</t>
  </si>
  <si>
    <t>Советување и семинар</t>
  </si>
  <si>
    <t>Авторска агенција за посредување при давање на мислење од домен на Закон за заштита на личните податоци</t>
  </si>
  <si>
    <t>Авторска агенција за посредување при давање на мислење од физички лица од домен на ЗЕШС/ЗЦР и преостанаат домен на регистри</t>
  </si>
  <si>
    <t>Безбедносно тестирање на информацискиот систем</t>
  </si>
  <si>
    <t>ИСО сертификација 4 стандарди</t>
  </si>
  <si>
    <t>Консултантски услуги од домен на регистри, транспонирање на ЕУ директиви</t>
  </si>
  <si>
    <t>Обележување на безбедносни зони во ЦР</t>
  </si>
  <si>
    <t>Процена на вредност на расходувани средства од попис 2020</t>
  </si>
  <si>
    <t>Процена на вредност на раходувани стари средства со употребна вредност</t>
  </si>
  <si>
    <t>Процена на средства на вработени кои заминуваат во пензија</t>
  </si>
  <si>
    <t>Редовен трошок за банкарски услуги и трошоци за платен промет</t>
  </si>
  <si>
    <t>Чланарина за ЕБРА</t>
  </si>
  <si>
    <t>Чланарина за ИАСА</t>
  </si>
  <si>
    <t>Чланарина за ЦРФ</t>
  </si>
  <si>
    <t>Патни трошоци во земјата</t>
  </si>
  <si>
    <t>Авионски билети повратни - Африка</t>
  </si>
  <si>
    <t>Авионски билети повратни - ЕУ</t>
  </si>
  <si>
    <t>Авионски билети повратни - САД</t>
  </si>
  <si>
    <t>Хотелско сместување во земјата на пописната комисија за попис на средства</t>
  </si>
  <si>
    <t>Хотелско сместување во странство за CRF Уганда за двајца вработени</t>
  </si>
  <si>
    <t>Хотелско сместување во странство за EBRA Холандија за двајца вработени</t>
  </si>
  <si>
    <t>Хотелско сместување во странство за IACA USA за двајца вработени</t>
  </si>
  <si>
    <t>Хотелско сместување за работилница за нов регистар за вистински сопственици во ЕУ за еден вработен</t>
  </si>
  <si>
    <t>Хотелско сместување за работна група за Company Law за еден вработен</t>
  </si>
  <si>
    <t>Останати надворешни услуги - адмнистративни услуги, имотни листови</t>
  </si>
  <si>
    <t>Договор за дигит сертификати</t>
  </si>
  <si>
    <t>Договор со КИБС за банкарски сметки</t>
  </si>
  <si>
    <t>Клипинг сервиси</t>
  </si>
  <si>
    <t>Услуга за издавање на временски печат (100000 транскации)</t>
  </si>
  <si>
    <t>Осигурување на градежни објекти</t>
  </si>
  <si>
    <t>Автоодговорност и каско осигурување</t>
  </si>
  <si>
    <t>Премија за осигурување на транспортни средства</t>
  </si>
  <si>
    <t>Премија за осигурување на компјутерска опрема</t>
  </si>
  <si>
    <t>Премија за осигурување од професионална одговорност за штети према трети лица</t>
  </si>
  <si>
    <t>Други премии за осигурување -Патничко осигурување</t>
  </si>
  <si>
    <t>Весници</t>
  </si>
  <si>
    <t>Останата литература</t>
  </si>
  <si>
    <t>Портал за законски прописи - договор со оператор за портал со законски прописи</t>
  </si>
  <si>
    <t>Службен весник- хартија</t>
  </si>
  <si>
    <t>Просечен годишен трошок за судски трошоци</t>
  </si>
  <si>
    <t>Други неспомнати нематеријални трошоци : погрешно уплатени средства и непредвидени трошоци</t>
  </si>
  <si>
    <t>Давање на парична помош на физички лица</t>
  </si>
  <si>
    <t>Правни, адвокатски и нотарски услуги</t>
  </si>
  <si>
    <t>Услуги за ревизија и проценка на завршна годишна сметка, давање на мислење</t>
  </si>
  <si>
    <t>Услуги за преписи и преводи исполнување на законските обврски од Закон за јазиците</t>
  </si>
  <si>
    <t>Заеднички трошоци со НБРМ по договор за одржување на објекти</t>
  </si>
  <si>
    <t>Печатење на билтен со статистички податоци</t>
  </si>
  <si>
    <t>Надомест за јавни патишта</t>
  </si>
  <si>
    <t>Трошоци за возила за 
технички преглед</t>
  </si>
  <si>
    <t>Трошоци за возила за зелен картон</t>
  </si>
  <si>
    <t>Трошоци за возила за таксена марка</t>
  </si>
  <si>
    <t>Трошоци за возила за трошоци за регистрација</t>
  </si>
  <si>
    <t>Трошоци за возила за сервисирање на возила</t>
  </si>
  <si>
    <t>Вулканизерски услуги</t>
  </si>
  <si>
    <t>Други трошоци за возила</t>
  </si>
  <si>
    <t>Меѓународна возачка дозвола</t>
  </si>
  <si>
    <t>Перење на возила</t>
  </si>
  <si>
    <t>Сијалички</t>
  </si>
  <si>
    <t>Течност за стакло</t>
  </si>
  <si>
    <t>Трошоци за патарина</t>
  </si>
  <si>
    <t>Материјал</t>
  </si>
  <si>
    <t>услуга</t>
  </si>
  <si>
    <t>настан</t>
  </si>
  <si>
    <t>час</t>
  </si>
  <si>
    <t>настани</t>
  </si>
  <si>
    <t>вработени</t>
  </si>
  <si>
    <t>годишен трошок</t>
  </si>
  <si>
    <t>Комуналии</t>
  </si>
  <si>
    <t>Консултантски услуги</t>
  </si>
  <si>
    <t>Маркетинг и промоција</t>
  </si>
  <si>
    <t>Репрезентација</t>
  </si>
  <si>
    <t>Тековно и останато одржување</t>
  </si>
  <si>
    <t>Трошоци за возила</t>
  </si>
  <si>
    <t>Трошоци поврзани со патувања</t>
  </si>
  <si>
    <t/>
  </si>
  <si>
    <t>Категорија Артикл</t>
  </si>
  <si>
    <t>Ставка</t>
  </si>
  <si>
    <t>Единечна мерка</t>
  </si>
  <si>
    <t>Комуналии Total</t>
  </si>
  <si>
    <t>Останати трошоци Total</t>
  </si>
  <si>
    <t>Тековно и останато одржување Total</t>
  </si>
  <si>
    <t>Трошоци за возила Total</t>
  </si>
  <si>
    <t>Едногодишни лиценци на софтверски решенија Total</t>
  </si>
  <si>
    <t>Консултантски услуги Total</t>
  </si>
  <si>
    <t>Маркетинг и промоција Total</t>
  </si>
  <si>
    <t>Осигурување Total</t>
  </si>
  <si>
    <t>Репрезентација Total</t>
  </si>
  <si>
    <t>Трошоци поврзани со патувања Total</t>
  </si>
  <si>
    <t>2.37. Останати оперативни расходи Total</t>
  </si>
  <si>
    <t>Конференции, семинари и настани</t>
  </si>
  <si>
    <t>Конференции, семинари и настани Total</t>
  </si>
  <si>
    <t>Наемнини</t>
  </si>
  <si>
    <t>Наемнини Total</t>
  </si>
  <si>
    <t>Печатење, поврзување и огласи</t>
  </si>
  <si>
    <t>Печатење, поврзување и огласи Total</t>
  </si>
  <si>
    <t>Претплата за весници и списанија</t>
  </si>
  <si>
    <t>Претплата за весници и списанија Total</t>
  </si>
  <si>
    <t>Транспортни услуги Total</t>
  </si>
  <si>
    <t>Услуги од областа на правото, облигационите односи и други договорни обврски</t>
  </si>
  <si>
    <t>Службено лице за здравје и безбедност при работа аг</t>
  </si>
  <si>
    <t>Услуги од областа на правото, облигационите односи и други договорни обврски Total</t>
  </si>
  <si>
    <t>Чланарини</t>
  </si>
  <si>
    <t>Чланарини Total</t>
  </si>
  <si>
    <t>Трошоци за спорт и рекреација на вработени</t>
  </si>
  <si>
    <t>(blank)</t>
  </si>
  <si>
    <t>Количина</t>
  </si>
  <si>
    <t>Единечна цена</t>
  </si>
  <si>
    <t>Вкупно трошок</t>
  </si>
  <si>
    <t>ДДВ %</t>
  </si>
  <si>
    <t>Износ</t>
  </si>
  <si>
    <t>Опис на трошок</t>
  </si>
  <si>
    <t>Трошоци поврзани со човечките ресурси</t>
  </si>
  <si>
    <t>Трошоци поврзани со човечките ресурси Total</t>
  </si>
  <si>
    <t>Артикл</t>
  </si>
  <si>
    <t xml:space="preserve"> </t>
  </si>
  <si>
    <t>ком</t>
  </si>
  <si>
    <t>пакување</t>
  </si>
  <si>
    <t>211 - Услуги со карактер на материјални трошоци</t>
  </si>
  <si>
    <t>212 - Останати трошоци од работењето</t>
  </si>
  <si>
    <t>214 - 0</t>
  </si>
  <si>
    <t>217 - Останати трошоци за вработените</t>
  </si>
  <si>
    <t>Остварено / предвидување</t>
  </si>
  <si>
    <t>Интернет конекција за промотивен настан</t>
  </si>
  <si>
    <t>Преведувач за странци за промотивен настан</t>
  </si>
  <si>
    <t>Озвучување и останати реквизити за настан, бина и банери за прмотивен настан</t>
  </si>
  <si>
    <t>Презентер за прмотивен настан</t>
  </si>
  <si>
    <t>Закуп на сали од правно лице (промотивен настан и работилница во организација на ЦР)</t>
  </si>
  <si>
    <t>Приходи од годишни сметки</t>
  </si>
  <si>
    <t>Приходи од заложен регистар</t>
  </si>
  <si>
    <t>Приходи од интернет дистрибутивен систем</t>
  </si>
  <si>
    <t>Приходи од регистар на директни странски инвестиции</t>
  </si>
  <si>
    <t>Приходи од Регистар на лизинг</t>
  </si>
  <si>
    <t>Приходи од регистар на недвижности</t>
  </si>
  <si>
    <t>Приходи од Регистар на резиденти и нерезиденти</t>
  </si>
  <si>
    <t>Приходи од регистрите за кривични санкции, пресуди и др.</t>
  </si>
  <si>
    <t>Приходи од странство</t>
  </si>
  <si>
    <t>Приходи од трговски регистар</t>
  </si>
  <si>
    <t>Приходи од камати</t>
  </si>
  <si>
    <t>Приходи од курсни разлики</t>
  </si>
  <si>
    <t>Курсни разлики</t>
  </si>
  <si>
    <t>Останати расходи</t>
  </si>
  <si>
    <t>БИЛАНС НА СОСТОЈБА 2022 по квартали</t>
  </si>
  <si>
    <t>БИЛАНС НА СОСТОЈБА 2022 споредбен</t>
  </si>
  <si>
    <t>Структурна анализа План 2022</t>
  </si>
  <si>
    <t>БИЛАНС НА УСПЕХ 2022 по квартали</t>
  </si>
  <si>
    <t>БИЛАНС НА УСПЕХ 2022 споредбен</t>
  </si>
  <si>
    <t>Вкупно 2022 План</t>
  </si>
  <si>
    <t>All</t>
  </si>
  <si>
    <t>Услуги за советувања и семинари</t>
  </si>
  <si>
    <t>Услуги за стручно усовршување и обуки</t>
  </si>
  <si>
    <t>(blank) Total</t>
  </si>
  <si>
    <t>74001</t>
  </si>
  <si>
    <t>74002</t>
  </si>
  <si>
    <t>74003</t>
  </si>
  <si>
    <t>74004</t>
  </si>
  <si>
    <t>74011</t>
  </si>
  <si>
    <t>74021</t>
  </si>
  <si>
    <t>74023</t>
  </si>
  <si>
    <t>74024</t>
  </si>
  <si>
    <t>74025</t>
  </si>
  <si>
    <t>74031</t>
  </si>
  <si>
    <t>74032</t>
  </si>
  <si>
    <t>74033</t>
  </si>
  <si>
    <t>74034</t>
  </si>
  <si>
    <t>74035</t>
  </si>
  <si>
    <t>74036</t>
  </si>
  <si>
    <t>74037</t>
  </si>
  <si>
    <t>74038</t>
  </si>
  <si>
    <t>74041</t>
  </si>
  <si>
    <t>74042</t>
  </si>
  <si>
    <t>74043</t>
  </si>
  <si>
    <t>74044</t>
  </si>
  <si>
    <t>74051</t>
  </si>
  <si>
    <t>74052</t>
  </si>
  <si>
    <t>74053</t>
  </si>
  <si>
    <t>7406</t>
  </si>
  <si>
    <t>740641</t>
  </si>
  <si>
    <t>740642</t>
  </si>
  <si>
    <t>740643</t>
  </si>
  <si>
    <t>74071</t>
  </si>
  <si>
    <t>74072</t>
  </si>
  <si>
    <t>7409</t>
  </si>
  <si>
    <t>7420</t>
  </si>
  <si>
    <t>7672</t>
  </si>
  <si>
    <t>76721</t>
  </si>
  <si>
    <t>7690</t>
  </si>
  <si>
    <t>7799</t>
  </si>
  <si>
    <t>7709</t>
  </si>
  <si>
    <t>7710</t>
  </si>
  <si>
    <t>7743</t>
  </si>
  <si>
    <t>7751</t>
  </si>
  <si>
    <t>4223</t>
  </si>
  <si>
    <t>44909</t>
  </si>
  <si>
    <t>4691</t>
  </si>
  <si>
    <t>2.35. Вредносно усогласување на тековни средства</t>
  </si>
  <si>
    <t>0020</t>
  </si>
  <si>
    <t>006</t>
  </si>
  <si>
    <t>00920</t>
  </si>
  <si>
    <t>00930</t>
  </si>
  <si>
    <t>00931</t>
  </si>
  <si>
    <t>01100</t>
  </si>
  <si>
    <t>011001</t>
  </si>
  <si>
    <t>011002</t>
  </si>
  <si>
    <t>01212</t>
  </si>
  <si>
    <t>01213</t>
  </si>
  <si>
    <t>01218</t>
  </si>
  <si>
    <t>0132</t>
  </si>
  <si>
    <t>0133</t>
  </si>
  <si>
    <t>01349</t>
  </si>
  <si>
    <t>0135</t>
  </si>
  <si>
    <t>01391</t>
  </si>
  <si>
    <t>01399</t>
  </si>
  <si>
    <t>0150</t>
  </si>
  <si>
    <t>0155</t>
  </si>
  <si>
    <t>01590</t>
  </si>
  <si>
    <t>0161</t>
  </si>
  <si>
    <t>01690</t>
  </si>
  <si>
    <t>0171</t>
  </si>
  <si>
    <t>0172</t>
  </si>
  <si>
    <t>019100</t>
  </si>
  <si>
    <t>0191002</t>
  </si>
  <si>
    <t>01932</t>
  </si>
  <si>
    <t>01933</t>
  </si>
  <si>
    <t>019341</t>
  </si>
  <si>
    <t>019363</t>
  </si>
  <si>
    <t>019391</t>
  </si>
  <si>
    <t>01955</t>
  </si>
  <si>
    <t>0270</t>
  </si>
  <si>
    <t>100001</t>
  </si>
  <si>
    <t>100002</t>
  </si>
  <si>
    <t>100003</t>
  </si>
  <si>
    <t>100004</t>
  </si>
  <si>
    <t>100005</t>
  </si>
  <si>
    <t>100007</t>
  </si>
  <si>
    <t>100009</t>
  </si>
  <si>
    <t>100010</t>
  </si>
  <si>
    <t>1009</t>
  </si>
  <si>
    <t>1020</t>
  </si>
  <si>
    <t>103001</t>
  </si>
  <si>
    <t>103002</t>
  </si>
  <si>
    <t>103003</t>
  </si>
  <si>
    <t>120447</t>
  </si>
  <si>
    <t>120448</t>
  </si>
  <si>
    <t>1221</t>
  </si>
  <si>
    <t>1222</t>
  </si>
  <si>
    <t>1330</t>
  </si>
  <si>
    <t>1340</t>
  </si>
  <si>
    <t>1350</t>
  </si>
  <si>
    <t>1351</t>
  </si>
  <si>
    <t>1352</t>
  </si>
  <si>
    <t>1353</t>
  </si>
  <si>
    <t>1430</t>
  </si>
  <si>
    <t>1450</t>
  </si>
  <si>
    <t>14510</t>
  </si>
  <si>
    <t>14513</t>
  </si>
  <si>
    <t>14516</t>
  </si>
  <si>
    <t>14517</t>
  </si>
  <si>
    <t>14571</t>
  </si>
  <si>
    <t>1622</t>
  </si>
  <si>
    <t>1625</t>
  </si>
  <si>
    <t>1627</t>
  </si>
  <si>
    <t>2201</t>
  </si>
  <si>
    <t>222001</t>
  </si>
  <si>
    <t>222002</t>
  </si>
  <si>
    <t>222003</t>
  </si>
  <si>
    <t>222004</t>
  </si>
  <si>
    <t>222005</t>
  </si>
  <si>
    <t>222006</t>
  </si>
  <si>
    <t>222007</t>
  </si>
  <si>
    <t>222008</t>
  </si>
  <si>
    <t>222009</t>
  </si>
  <si>
    <t>222010</t>
  </si>
  <si>
    <t>23310</t>
  </si>
  <si>
    <t>2340</t>
  </si>
  <si>
    <t>2343</t>
  </si>
  <si>
    <t>23440</t>
  </si>
  <si>
    <t>23441</t>
  </si>
  <si>
    <t>2345</t>
  </si>
  <si>
    <t>23501</t>
  </si>
  <si>
    <t>23502</t>
  </si>
  <si>
    <t>23503</t>
  </si>
  <si>
    <t>23505</t>
  </si>
  <si>
    <t>23590</t>
  </si>
  <si>
    <t>23591</t>
  </si>
  <si>
    <t>2400</t>
  </si>
  <si>
    <t>2411</t>
  </si>
  <si>
    <t>2420</t>
  </si>
  <si>
    <t>2422</t>
  </si>
  <si>
    <t>2551</t>
  </si>
  <si>
    <t>2552</t>
  </si>
  <si>
    <t>2553</t>
  </si>
  <si>
    <t>2631</t>
  </si>
  <si>
    <t>2860</t>
  </si>
  <si>
    <t>2940</t>
  </si>
  <si>
    <t>3000</t>
  </si>
  <si>
    <t>3103</t>
  </si>
  <si>
    <t>3109</t>
  </si>
  <si>
    <t>3500</t>
  </si>
  <si>
    <t>3510</t>
  </si>
  <si>
    <t>3550</t>
  </si>
  <si>
    <t>3551</t>
  </si>
  <si>
    <t>3580</t>
  </si>
  <si>
    <t>3590</t>
  </si>
  <si>
    <t>40104</t>
  </si>
  <si>
    <t>40108</t>
  </si>
  <si>
    <t>4031</t>
  </si>
  <si>
    <t>403101</t>
  </si>
  <si>
    <t>403106</t>
  </si>
  <si>
    <t>403107</t>
  </si>
  <si>
    <t>40510</t>
  </si>
  <si>
    <t>41211</t>
  </si>
  <si>
    <t>4123</t>
  </si>
  <si>
    <t>4125</t>
  </si>
  <si>
    <t>4129</t>
  </si>
  <si>
    <t>4136</t>
  </si>
  <si>
    <t>4147</t>
  </si>
  <si>
    <t>41504</t>
  </si>
  <si>
    <t>4171</t>
  </si>
  <si>
    <t>4210</t>
  </si>
  <si>
    <t>42291</t>
  </si>
  <si>
    <t>43211</t>
  </si>
  <si>
    <t>44031</t>
  </si>
  <si>
    <t>4409</t>
  </si>
  <si>
    <t>44102</t>
  </si>
  <si>
    <t>44221</t>
  </si>
  <si>
    <t>4490</t>
  </si>
  <si>
    <t>44906</t>
  </si>
  <si>
    <t>44983</t>
  </si>
  <si>
    <t>4512</t>
  </si>
  <si>
    <t>4560</t>
  </si>
  <si>
    <t>4562</t>
  </si>
  <si>
    <t>4600</t>
  </si>
  <si>
    <t>4640</t>
  </si>
  <si>
    <t>4741</t>
  </si>
  <si>
    <t>740611</t>
  </si>
  <si>
    <t>740615</t>
  </si>
  <si>
    <t>740616</t>
  </si>
  <si>
    <t>740644</t>
  </si>
  <si>
    <t>74082</t>
  </si>
  <si>
    <t>9001</t>
  </si>
  <si>
    <t>9010</t>
  </si>
  <si>
    <t>9400</t>
  </si>
  <si>
    <t>9420</t>
  </si>
  <si>
    <t>94201</t>
  </si>
  <si>
    <t>94202</t>
  </si>
  <si>
    <t>94203</t>
  </si>
  <si>
    <t>9500</t>
  </si>
  <si>
    <t>9510</t>
  </si>
  <si>
    <t>9930</t>
  </si>
  <si>
    <t>9980</t>
  </si>
  <si>
    <t>1.1. Парични средства</t>
  </si>
  <si>
    <t>1.13. Вонбилансна актива</t>
  </si>
  <si>
    <t>1.14. Краткорочни обврски</t>
  </si>
  <si>
    <t>1.15. Одложено плаќање на трошоци и приходи (ПВР)</t>
  </si>
  <si>
    <t>1.17. Долгорочни обврски</t>
  </si>
  <si>
    <t>1.2. Побарувања</t>
  </si>
  <si>
    <t>1.21. Капитал</t>
  </si>
  <si>
    <t>1.22. Акумулирана добивка</t>
  </si>
  <si>
    <t>1.23. Резерви</t>
  </si>
  <si>
    <t>1.25. Добивка / Загуба за деловната година</t>
  </si>
  <si>
    <t>1.28. Вонбилансна пасива</t>
  </si>
  <si>
    <t>1.3. Залихи</t>
  </si>
  <si>
    <t>1.7. Материјални средства и вложувања во недвижности</t>
  </si>
  <si>
    <t>1.9. Нематеријални средства</t>
  </si>
  <si>
    <t>Приходи од прекршочна постапка</t>
  </si>
  <si>
    <t>Приходи од регионален портал и регистар на вистински сопственици</t>
  </si>
  <si>
    <t>Приходи од регистар на задолжница</t>
  </si>
  <si>
    <t>Вонредни невообичаени приходи</t>
  </si>
  <si>
    <t>Капитална добивка од продажба на материјални и неметеријални средства</t>
  </si>
  <si>
    <t>Приходи од закуп</t>
  </si>
  <si>
    <t>Приходи од продажба на подвижен имот</t>
  </si>
  <si>
    <t>Казни, пенали и надомест на штети затезни камати</t>
  </si>
  <si>
    <t>Лиценци за разни софтвери (едногодишни, обновливи)</t>
  </si>
  <si>
    <t>Загуби и кусоци</t>
  </si>
  <si>
    <t>Остварено Total</t>
  </si>
  <si>
    <t>План Total</t>
  </si>
  <si>
    <t>3.1. Приходи од дејноста</t>
  </si>
  <si>
    <t>3.1.1 - Приходи од заложен регистар</t>
  </si>
  <si>
    <t>3.1.10 - Приходи од регионален портал и регистар на вистински сопственици</t>
  </si>
  <si>
    <t>3.1.11 - Приходи од прекршочна постапка</t>
  </si>
  <si>
    <t>3.1.12 - Приходи од интернет дистрибутивен систем</t>
  </si>
  <si>
    <t>3.1.13 - Приходи од странство</t>
  </si>
  <si>
    <t>3.1.14 - Приходи од регистар на задолжница</t>
  </si>
  <si>
    <t>3.1.2 - Приходи од годишни сметки</t>
  </si>
  <si>
    <t>3.1.4 - Приходи од Регистар на резиденти и нерезиденти</t>
  </si>
  <si>
    <t>3.1.5 - Приходи од Регистар на лизинг</t>
  </si>
  <si>
    <t>3.1.6 - Приходи од регистар на недвижности</t>
  </si>
  <si>
    <t>3.1.7 - Приходи од трговски регистар</t>
  </si>
  <si>
    <t>3.1.8 - Приходи од регистар на директни странски инвестиции</t>
  </si>
  <si>
    <t>3.1.9 - Приходи од регистрите за кривични санкции, пресуди и др.</t>
  </si>
  <si>
    <t>3.2. Останати приходи</t>
  </si>
  <si>
    <t>3.2.1 - Приходи од камати</t>
  </si>
  <si>
    <t>3.2.2 - Приходи од курсни разлики</t>
  </si>
  <si>
    <t>3.2.3 - Други неспомнати приходи</t>
  </si>
  <si>
    <t>3.2.4 - Капитална добивка од продажба на материјални и неметеријални средства</t>
  </si>
  <si>
    <t>3.2.5 - Приходи од донации</t>
  </si>
  <si>
    <t>3.2.6 - Приходи од продажба на подвижен имот</t>
  </si>
  <si>
    <t>3.2.7 - Приходи од закуп</t>
  </si>
  <si>
    <t>3.2.8 - Вонредни невообичаени приходи</t>
  </si>
  <si>
    <t xml:space="preserve">43010 - </t>
  </si>
  <si>
    <t xml:space="preserve">43011 - </t>
  </si>
  <si>
    <t xml:space="preserve">43020 - </t>
  </si>
  <si>
    <t xml:space="preserve">43030 - </t>
  </si>
  <si>
    <t xml:space="preserve">43031 - </t>
  </si>
  <si>
    <t xml:space="preserve">431001 - </t>
  </si>
  <si>
    <t xml:space="preserve">431002 - </t>
  </si>
  <si>
    <t xml:space="preserve">43132 - </t>
  </si>
  <si>
    <t xml:space="preserve">43133 - </t>
  </si>
  <si>
    <t xml:space="preserve">43134 - </t>
  </si>
  <si>
    <t xml:space="preserve">43136 - </t>
  </si>
  <si>
    <t xml:space="preserve">43139 - </t>
  </si>
  <si>
    <t xml:space="preserve">43155 - </t>
  </si>
  <si>
    <t xml:space="preserve">43211 - </t>
  </si>
  <si>
    <t>4.2.2 - Казни, пенали и надомест на штети затезни камати</t>
  </si>
  <si>
    <t>4.2.3 - Вредносно усогласување на тековни и нетековни средства</t>
  </si>
  <si>
    <t>4.2.5 - Курсни разлики</t>
  </si>
  <si>
    <t>4.2.6 - Загуби и кусоци</t>
  </si>
  <si>
    <t>4.2.7 - Останати расходи</t>
  </si>
  <si>
    <t xml:space="preserve">41733 - </t>
  </si>
  <si>
    <t xml:space="preserve">4409 - </t>
  </si>
  <si>
    <t xml:space="preserve">44091 - </t>
  </si>
  <si>
    <t xml:space="preserve">4422 - </t>
  </si>
  <si>
    <t xml:space="preserve">44220 - </t>
  </si>
  <si>
    <t xml:space="preserve">44221 - </t>
  </si>
  <si>
    <t xml:space="preserve">44312 - </t>
  </si>
  <si>
    <t xml:space="preserve">4440 - </t>
  </si>
  <si>
    <t xml:space="preserve">4494 - </t>
  </si>
  <si>
    <t xml:space="preserve">4497 - </t>
  </si>
  <si>
    <t xml:space="preserve">4499 - </t>
  </si>
  <si>
    <t xml:space="preserve">44990 - </t>
  </si>
  <si>
    <t xml:space="preserve">4104 - </t>
  </si>
  <si>
    <t xml:space="preserve">4106 - </t>
  </si>
  <si>
    <t xml:space="preserve">41101 - </t>
  </si>
  <si>
    <t xml:space="preserve">41102 - </t>
  </si>
  <si>
    <t xml:space="preserve">41103 - </t>
  </si>
  <si>
    <t xml:space="preserve">4111 - </t>
  </si>
  <si>
    <t xml:space="preserve">41111 - </t>
  </si>
  <si>
    <t>2023</t>
  </si>
  <si>
    <t>Систем за сметководствена евиденција- напредно електронско решение</t>
  </si>
  <si>
    <t>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t>
  </si>
  <si>
    <t>Софтверско решение за водење на порамнувања во регистар на годишни сметки за неподнесена завршна сметка - II фаза техничка спецификација</t>
  </si>
  <si>
    <t>Софтверско решение за водење на порамнувања во регистар на годишни сметки за неподнесена завршна сметка - III фаза испорака на софтверско решение</t>
  </si>
  <si>
    <t>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остаток од исплата по финално завршен проект</t>
  </si>
  <si>
    <t>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продукциска околина</t>
  </si>
  <si>
    <t>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t>
  </si>
  <si>
    <t>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тест околина</t>
  </si>
  <si>
    <t>Градежно занатски работи во деловниот простор (СИТ) - во тек, ќе се плаќа во 2022</t>
  </si>
  <si>
    <t>Периферна компјутерска опрема проект од 2021</t>
  </si>
  <si>
    <t>2022 - 005</t>
  </si>
  <si>
    <t>Надградба на софтверско решение за водење на Регистарот на вистински сопственици</t>
  </si>
  <si>
    <t>2022 - 011</t>
  </si>
  <si>
    <t>2022 - 012</t>
  </si>
  <si>
    <t>2022-001</t>
  </si>
  <si>
    <t>Уреди за непрекинато напојување (УПС)</t>
  </si>
  <si>
    <t>2022-002</t>
  </si>
  <si>
    <t>Мрежно каблирање</t>
  </si>
  <si>
    <t>2022-003</t>
  </si>
  <si>
    <t>Надградба на Софтверско решение за управување со IT процеси</t>
  </si>
  <si>
    <t>2022-006</t>
  </si>
  <si>
    <t>Софтверско решение за генерирање извештаи</t>
  </si>
  <si>
    <t>2022-007</t>
  </si>
  <si>
    <t>Систем за складирање на податоци</t>
  </si>
  <si>
    <t>2022-008</t>
  </si>
  <si>
    <t>Обновување на услуги за поддршка - управување со компјутерска безбедност  - Q-radar</t>
  </si>
  <si>
    <t>2022-013</t>
  </si>
  <si>
    <t>2022-014</t>
  </si>
  <si>
    <t>2022-015</t>
  </si>
  <si>
    <t>2021-011 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t>
  </si>
  <si>
    <t>2021-011 Софтверско решение за водење на порамнувања во регистар на годишни сметки за неподнесена завршна сметка - II фаза техничка спецификација</t>
  </si>
  <si>
    <t>2021-011 Софтверско решение за водење на порамнувања во регистар на годишни сметки за неподнесена завршна сметка - III фаза испорака на софтверско решение</t>
  </si>
  <si>
    <t>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t>
  </si>
  <si>
    <t>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тест околина</t>
  </si>
  <si>
    <t>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продукциска околина</t>
  </si>
  <si>
    <t>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остаток од исплата по финално завршен проект</t>
  </si>
  <si>
    <t xml:space="preserve">2019-006 Систем за сметководствена евиденција- напредно електронско решение </t>
  </si>
  <si>
    <t>2021-013 Градежно занатски работи во деловниот простор (СИТ) - во тек, ќе се плаќа во 2022</t>
  </si>
  <si>
    <t>2021-014 Периферна компјутерска опрема проект од 2021</t>
  </si>
  <si>
    <t>2022-001 Уреди за непрекинато напојување (УПС)</t>
  </si>
  <si>
    <t xml:space="preserve">2022-002 Мрежно каблирање </t>
  </si>
  <si>
    <t>2022-003 Надградба на Софтверско решение за управување со IT процеси</t>
  </si>
  <si>
    <t>2022-006 Софтверско решение за генерирање извештаи</t>
  </si>
  <si>
    <t xml:space="preserve">2022-007 Систем за складирање на податоци </t>
  </si>
  <si>
    <t>2022-008 Обновување на услуги за поддршка - управување со компјутерска безбедност  - Q-radar</t>
  </si>
  <si>
    <t>2022-015 Работни столици</t>
  </si>
  <si>
    <t>Приходи од регистар на вистински сопственици</t>
  </si>
  <si>
    <t>Promena 11-12-2021</t>
  </si>
  <si>
    <t>Амортизација која продолжува од 2021</t>
  </si>
  <si>
    <t>2021-015</t>
  </si>
  <si>
    <t>Надградба на информатичка инфраструктура</t>
  </si>
  <si>
    <t>2022-016</t>
  </si>
  <si>
    <t>Надградба и интеграција на Системот за централизирано управување на корисници (ЦМК) со Националниот систем за единствена најава (ССО)</t>
  </si>
  <si>
    <t>2021-015 Надградба на информатичка инфраструктура</t>
  </si>
  <si>
    <t>2022-016 Надградба и интеграција на Системот за централизирано управување на корисници (ЦМК) со Националниот систем за единствена најава (ССО)</t>
  </si>
  <si>
    <t>Saldo 12/2021</t>
  </si>
  <si>
    <t>Amortizacija 11-12-2021</t>
  </si>
  <si>
    <t>вкупна актива</t>
  </si>
  <si>
    <t>вкупна пасива</t>
  </si>
  <si>
    <t>Сопственичка главнина</t>
  </si>
  <si>
    <t>prihodi</t>
  </si>
  <si>
    <t>rashodi</t>
  </si>
  <si>
    <t>dobivka ostvarena 2021</t>
  </si>
  <si>
    <t>разлика (dobivka/zaguba)</t>
  </si>
  <si>
    <t>2022-004</t>
  </si>
  <si>
    <t>2022-017</t>
  </si>
  <si>
    <t>2022-018</t>
  </si>
  <si>
    <t>2022-005</t>
  </si>
  <si>
    <t>2022-012</t>
  </si>
  <si>
    <t>Клими</t>
  </si>
  <si>
    <t>2022-004 Обнова на лиценци за виртуелизација</t>
  </si>
  <si>
    <t>2022-005 Надградба на софтверско решение за водење на Регистарот на вистински сопственици</t>
  </si>
  <si>
    <t>2022-018 Клими</t>
  </si>
  <si>
    <t>proverka capex</t>
  </si>
  <si>
    <t>treba da bide 0</t>
  </si>
  <si>
    <t>se vnesuva istiot iznos od amorizacija na proekti od donacii</t>
  </si>
  <si>
    <t>se minusira istiot iznos od pvr</t>
  </si>
  <si>
    <t>Регрес за годишен одмор</t>
  </si>
  <si>
    <t>Софтерско решение за заштита од малициозни софтверски програми и спам пораки со 3 години поддршка и лиценци за постоен систем за управување со краjни корисници</t>
  </si>
  <si>
    <t>Возобновување на регистар за залог и лизинг и други побарувања што се евидентираат во ЦР во Регистар на обезбедени трансакции</t>
  </si>
  <si>
    <t>Тековна состојба со додадена вредност - дополнително поле за издедена валидна дозвола за работа или лиценца</t>
  </si>
  <si>
    <t>Градежни работи на објектите низ регионланилите канцеларии</t>
  </si>
  <si>
    <t>2022-012 Возобновување на регистар за залог и лизинг и други побарувања што се евидентираат во ЦР во Регистар на обезбедени трансакции</t>
  </si>
  <si>
    <t>2022-013 Тековна состојба со додадена вредност - дополнително поле за издедена валидна дозвола за работа или лиценца</t>
  </si>
  <si>
    <t>2022-017 Градежни работи на објектите низ регионланилите канцеларии</t>
  </si>
  <si>
    <t>Microsoft лиценци(од 2019 година план, 3 годишна, досега се платени 2 рати)</t>
  </si>
  <si>
    <t>2021-016</t>
  </si>
  <si>
    <t>2021-017</t>
  </si>
  <si>
    <t>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t>
  </si>
  <si>
    <t>2019-007 Microsoft лиценци(од 2019 година план, 3 годишна, досега се платени 2 рати)</t>
  </si>
  <si>
    <t>2021-016 Софтерско решение за заштита од малициозни софтверски програми и спам пораки со 3 години поддршка и лиценци за постоен систем за управување со краjни корисници</t>
  </si>
  <si>
    <t>2021-017 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t>
  </si>
  <si>
    <t>Буџет планиран за 2022</t>
  </si>
  <si>
    <t>3. СПЕЦИФИРАНИ ПРИХОДИ - споредбено</t>
  </si>
  <si>
    <t>3. СПЕЦИФИРАНИ РАСХОДИ споредбен</t>
  </si>
  <si>
    <t>3.1.7 - Приходи од регистар на вистински сопственици</t>
  </si>
  <si>
    <t xml:space="preserve"> ВРАБОТЕНИ                                                                                                                                                                                                            ВРЗ ОСНОВА НА НАЦИОНАЛНАТА СТРУКТУРА</t>
  </si>
  <si>
    <t>Табела: Вработени, врз основа на националната структура, со состојба до _____ декември 2021 година</t>
  </si>
  <si>
    <t>дирекција/подружница</t>
  </si>
  <si>
    <t>Македонци</t>
  </si>
  <si>
    <t>Албанци</t>
  </si>
  <si>
    <t xml:space="preserve">Срби </t>
  </si>
  <si>
    <t>Турци</t>
  </si>
  <si>
    <t>Роми</t>
  </si>
  <si>
    <t>Власи</t>
  </si>
  <si>
    <t>Други националности</t>
  </si>
  <si>
    <t>Вкупно:</t>
  </si>
  <si>
    <t>Централа</t>
  </si>
  <si>
    <t>/</t>
  </si>
  <si>
    <t>%</t>
  </si>
  <si>
    <t xml:space="preserve">РРК Тетово </t>
  </si>
  <si>
    <t xml:space="preserve">РРК Кочани </t>
  </si>
  <si>
    <t>РРК Кумано</t>
  </si>
  <si>
    <t>РРК Гостивар</t>
  </si>
  <si>
    <t>РРК Гевгелија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</si>
</sst>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_(* \(#,##0\);_(* &quot;-&quot;_);_(@_)"/>
    <numFmt numFmtId="43" formatCode="_(* #,##0.00_);_(* \(#,##0.00\);_(* &quot;-&quot;??_);_(@_)"/>
    <numFmt numFmtId="164" formatCode="_-* #,##0.00\ _д_е_н_._-;\-* #,##0.00\ _д_е_н_._-;_-* &quot;-&quot;??\ _д_е_н_._-;_-@_-"/>
    <numFmt numFmtId="165" formatCode="0.0%"/>
    <numFmt numFmtId="166" formatCode="_(* #,##0_);_(* \(#,##0\);_(* &quot;-&quot;??_);_(@_)"/>
    <numFmt numFmtId="167" formatCode="_(* #,##0.00_);_(* \(#,##0.00\);_(* &quot;-&quot;_);_(@_)"/>
    <numFmt numFmtId="168" formatCode="#,##0.0"/>
  </numFmts>
  <fonts count="3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4" tint="0.79998168889431442"/>
      <name val="Calibri"/>
      <family val="2"/>
      <scheme val="minor"/>
    </font>
    <font>
      <b/>
      <sz val="11"/>
      <color theme="1"/>
      <name val="Calibri"/>
      <family val="2"/>
      <charset val="204"/>
      <scheme val="minor"/>
    </font>
    <font>
      <sz val="9"/>
      <color indexed="81"/>
      <name val="Tahoma"/>
      <family val="2"/>
      <charset val="204"/>
    </font>
    <font>
      <b/>
      <sz val="9"/>
      <color indexed="81"/>
      <name val="Tahoma"/>
      <family val="2"/>
      <charset val="204"/>
    </font>
    <font>
      <sz val="11"/>
      <color rgb="FFFF0000"/>
      <name val="Calibri"/>
      <family val="2"/>
      <scheme val="minor"/>
    </font>
    <font>
      <sz val="11"/>
      <color theme="1"/>
      <name val="Calibri"/>
      <family val="2"/>
      <charset val="204"/>
      <scheme val="minor"/>
    </font>
    <font>
      <u/>
      <sz val="11"/>
      <color theme="1"/>
      <name val="Calibri"/>
      <family val="2"/>
      <scheme val="minor"/>
    </font>
    <font>
      <u/>
      <sz val="11"/>
      <color theme="1"/>
      <name val="Calibri"/>
      <family val="2"/>
      <charset val="204"/>
      <scheme val="minor"/>
    </font>
    <font>
      <b/>
      <u/>
      <sz val="11"/>
      <color theme="1"/>
      <name val="Calibri"/>
      <family val="2"/>
      <charset val="204"/>
      <scheme val="minor"/>
    </font>
    <font>
      <sz val="11"/>
      <name val="Calibri"/>
      <family val="2"/>
      <scheme val="minor"/>
    </font>
    <font>
      <i/>
      <sz val="11"/>
      <color theme="1"/>
      <name val="Calibri"/>
      <family val="2"/>
      <charset val="204"/>
      <scheme val="minor"/>
    </font>
    <font>
      <sz val="11"/>
      <name val="Calibri"/>
      <family val="2"/>
      <charset val="204"/>
      <scheme val="minor"/>
    </font>
    <font>
      <sz val="10"/>
      <name val="Arial"/>
      <family val="2"/>
      <charset val="204"/>
    </font>
    <font>
      <b/>
      <sz val="10"/>
      <name val="Arial"/>
      <family val="2"/>
      <charset val="204"/>
    </font>
    <font>
      <b/>
      <sz val="11"/>
      <color theme="1"/>
      <name val="Calibri"/>
      <family val="2"/>
      <scheme val="minor"/>
    </font>
    <font>
      <sz val="8"/>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color rgb="FF000000"/>
      <name val="Calibri"/>
      <family val="2"/>
      <charset val="1"/>
    </font>
    <font>
      <b/>
      <sz val="11"/>
      <color rgb="FF000000"/>
      <name val="Calibri"/>
      <family val="2"/>
      <charset val="1"/>
    </font>
    <font>
      <sz val="10"/>
      <name val="Arial"/>
      <family val="2"/>
    </font>
    <font>
      <b/>
      <sz val="10"/>
      <color theme="0"/>
      <name val="Arial"/>
      <family val="2"/>
    </font>
    <font>
      <b/>
      <sz val="10"/>
      <name val="Arial"/>
      <family val="2"/>
    </font>
    <font>
      <i/>
      <sz val="10"/>
      <name val="Arial"/>
      <family val="2"/>
    </font>
    <font>
      <i/>
      <sz val="10"/>
      <color theme="1"/>
      <name val="Arial"/>
      <family val="2"/>
    </font>
    <font>
      <sz val="10"/>
      <color indexed="8"/>
      <name val="Arial"/>
      <family val="2"/>
    </font>
    <font>
      <b/>
      <sz val="10"/>
      <color theme="1"/>
      <name val="Arial"/>
      <family val="2"/>
    </font>
    <font>
      <sz val="10"/>
      <color theme="0"/>
      <name val="Arial"/>
      <family val="2"/>
    </font>
    <font>
      <sz val="10"/>
      <color theme="1"/>
      <name val="Arial"/>
      <family val="2"/>
    </font>
    <font>
      <b/>
      <sz val="10"/>
      <color indexed="10"/>
      <name val="Arial"/>
      <family val="2"/>
    </font>
    <font>
      <sz val="11"/>
      <color rgb="FFFFFFFF"/>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4"/>
        <bgColor indexed="64"/>
      </patternFill>
    </fill>
    <fill>
      <patternFill patternType="solid">
        <fgColor theme="0"/>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theme="7" tint="0.59999389629810485"/>
        <bgColor indexed="64"/>
      </patternFill>
    </fill>
  </fills>
  <borders count="1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dotted">
        <color auto="1"/>
      </left>
      <right style="thin">
        <color auto="1"/>
      </right>
      <top style="thin">
        <color auto="1"/>
      </top>
      <bottom style="dotted">
        <color auto="1"/>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thin">
        <color auto="1"/>
      </right>
      <top style="dotted">
        <color auto="1"/>
      </top>
      <bottom style="dotted">
        <color auto="1"/>
      </bottom>
      <diagonal/>
    </border>
    <border>
      <left style="thin">
        <color auto="1"/>
      </left>
      <right style="dotted">
        <color auto="1"/>
      </right>
      <top style="dotted">
        <color auto="1"/>
      </top>
      <bottom style="thin">
        <color auto="1"/>
      </bottom>
      <diagonal/>
    </border>
    <border>
      <left style="dotted">
        <color auto="1"/>
      </left>
      <right style="dotted">
        <color auto="1"/>
      </right>
      <top style="dotted">
        <color auto="1"/>
      </top>
      <bottom style="thin">
        <color auto="1"/>
      </bottom>
      <diagonal/>
    </border>
    <border>
      <left style="dotted">
        <color auto="1"/>
      </left>
      <right style="thin">
        <color auto="1"/>
      </right>
      <top style="dotted">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hair">
        <color auto="1"/>
      </right>
      <top style="hair">
        <color auto="1"/>
      </top>
      <bottom style="hair">
        <color auto="1"/>
      </bottom>
      <diagonal/>
    </border>
    <border>
      <left/>
      <right/>
      <top style="thin">
        <color theme="4" tint="0.39997558519241921"/>
      </top>
      <bottom style="thin">
        <color theme="4" tint="0.39997558519241921"/>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style="thin">
        <color auto="1"/>
      </left>
      <right style="dotted">
        <color auto="1"/>
      </right>
      <top style="thin">
        <color auto="1"/>
      </top>
      <bottom/>
      <diagonal/>
    </border>
    <border>
      <left style="hair">
        <color auto="1"/>
      </left>
      <right style="hair">
        <color auto="1"/>
      </right>
      <top/>
      <bottom style="dotted">
        <color auto="1"/>
      </bottom>
      <diagonal/>
    </border>
    <border>
      <left/>
      <right/>
      <top/>
      <bottom style="dotted">
        <color auto="1"/>
      </bottom>
      <diagonal/>
    </border>
    <border>
      <left style="hair">
        <color auto="1"/>
      </left>
      <right style="thin">
        <color auto="1"/>
      </right>
      <top/>
      <bottom style="dotted">
        <color auto="1"/>
      </bottom>
      <diagonal/>
    </border>
    <border>
      <left style="dotted">
        <color auto="1"/>
      </left>
      <right style="dotted">
        <color auto="1"/>
      </right>
      <top style="thin">
        <color auto="1"/>
      </top>
      <bottom/>
      <diagonal/>
    </border>
    <border>
      <left style="thin">
        <color rgb="FF999999"/>
      </left>
      <right style="thin">
        <color rgb="FF999999"/>
      </right>
      <top style="thin">
        <color rgb="FF999999"/>
      </top>
      <bottom style="thin">
        <color rgb="FF999999"/>
      </bottom>
      <diagonal/>
    </border>
    <border>
      <left style="dotted">
        <color auto="1"/>
      </left>
      <right style="dotted">
        <color auto="1"/>
      </right>
      <top/>
      <bottom style="thin">
        <color auto="1"/>
      </bottom>
      <diagonal/>
    </border>
    <border>
      <left style="hair">
        <color auto="1"/>
      </left>
      <right style="hair">
        <color auto="1"/>
      </right>
      <top/>
      <bottom style="thin">
        <color auto="1"/>
      </bottom>
      <diagonal/>
    </border>
    <border>
      <left/>
      <right style="hair">
        <color auto="1"/>
      </right>
      <top style="thin">
        <color auto="1"/>
      </top>
      <bottom style="hair">
        <color auto="1"/>
      </bottom>
      <diagonal/>
    </border>
    <border>
      <left style="thick">
        <color indexed="64"/>
      </left>
      <right/>
      <top style="thick">
        <color indexed="64"/>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thick">
        <color indexed="64"/>
      </left>
      <right/>
      <top/>
      <bottom/>
      <diagonal/>
    </border>
    <border>
      <left style="medium">
        <color indexed="64"/>
      </left>
      <right/>
      <top/>
      <bottom/>
      <diagonal/>
    </border>
    <border>
      <left/>
      <right style="medium">
        <color indexed="64"/>
      </right>
      <top/>
      <bottom/>
      <diagonal/>
    </border>
    <border>
      <left/>
      <right style="thick">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hair">
        <color indexed="64"/>
      </left>
      <right style="medium">
        <color indexed="64"/>
      </right>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right style="thick">
        <color indexed="64"/>
      </right>
      <top style="medium">
        <color indexed="64"/>
      </top>
      <bottom/>
      <diagonal/>
    </border>
    <border>
      <left style="thick">
        <color indexed="64"/>
      </left>
      <right/>
      <top/>
      <bottom style="double">
        <color indexed="64"/>
      </bottom>
      <diagonal/>
    </border>
    <border>
      <left style="medium">
        <color indexed="64"/>
      </left>
      <right/>
      <top/>
      <bottom style="double">
        <color indexed="64"/>
      </bottom>
      <diagonal/>
    </border>
    <border>
      <left style="hair">
        <color indexed="64"/>
      </left>
      <right style="medium">
        <color indexed="64"/>
      </right>
      <top/>
      <bottom style="double">
        <color indexed="64"/>
      </bottom>
      <diagonal/>
    </border>
    <border>
      <left style="hair">
        <color indexed="64"/>
      </left>
      <right/>
      <top/>
      <bottom style="medium">
        <color indexed="64"/>
      </bottom>
      <diagonal/>
    </border>
    <border>
      <left style="medium">
        <color indexed="64"/>
      </left>
      <right style="hair">
        <color indexed="64"/>
      </right>
      <top/>
      <bottom style="double">
        <color indexed="64"/>
      </bottom>
      <diagonal/>
    </border>
    <border>
      <left/>
      <right style="medium">
        <color indexed="64"/>
      </right>
      <top/>
      <bottom style="double">
        <color indexed="64"/>
      </bottom>
      <diagonal/>
    </border>
    <border>
      <left/>
      <right style="thick">
        <color indexed="64"/>
      </right>
      <top/>
      <bottom style="double">
        <color indexed="64"/>
      </bottom>
      <diagonal/>
    </border>
    <border>
      <left style="thick">
        <color indexed="64"/>
      </left>
      <right/>
      <top style="double">
        <color indexed="64"/>
      </top>
      <bottom style="hair">
        <color indexed="64"/>
      </bottom>
      <diagonal/>
    </border>
    <border>
      <left style="medium">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medium">
        <color indexed="64"/>
      </left>
      <right style="hair">
        <color indexed="64"/>
      </right>
      <top/>
      <bottom style="hair">
        <color indexed="64"/>
      </bottom>
      <diagonal/>
    </border>
    <border>
      <left/>
      <right style="hair">
        <color indexed="64"/>
      </right>
      <top style="double">
        <color indexed="64"/>
      </top>
      <bottom style="hair">
        <color indexed="64"/>
      </bottom>
      <diagonal/>
    </border>
    <border>
      <left style="hair">
        <color indexed="64"/>
      </left>
      <right style="thick">
        <color indexed="64"/>
      </right>
      <top style="double">
        <color indexed="64"/>
      </top>
      <bottom style="hair">
        <color indexed="64"/>
      </bottom>
      <diagonal/>
    </border>
    <border>
      <left style="thick">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double">
        <color indexed="64"/>
      </top>
      <bottom/>
      <diagonal/>
    </border>
    <border>
      <left style="medium">
        <color indexed="64"/>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style="thin">
        <color auto="1"/>
      </left>
      <right/>
      <top/>
      <bottom/>
      <diagonal/>
    </border>
    <border>
      <left style="dotted">
        <color auto="1"/>
      </left>
      <right style="dotted">
        <color auto="1"/>
      </right>
      <top/>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thick">
        <color indexed="64"/>
      </right>
      <top style="hair">
        <color indexed="64"/>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thick">
        <color indexed="64"/>
      </bottom>
      <diagonal/>
    </border>
    <border>
      <left style="hair">
        <color indexed="64"/>
      </left>
      <right style="medium">
        <color indexed="64"/>
      </right>
      <top/>
      <bottom style="thick">
        <color indexed="64"/>
      </bottom>
      <diagonal/>
    </border>
    <border>
      <left/>
      <right style="hair">
        <color indexed="64"/>
      </right>
      <top/>
      <bottom style="thick">
        <color indexed="64"/>
      </bottom>
      <diagonal/>
    </border>
    <border>
      <left style="hair">
        <color indexed="64"/>
      </left>
      <right style="thick">
        <color indexed="64"/>
      </right>
      <top/>
      <bottom style="thick">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12">
    <xf numFmtId="0" fontId="0"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24" fillId="0" borderId="0"/>
    <xf numFmtId="0" fontId="24" fillId="0" borderId="0" applyBorder="0" applyProtection="0">
      <alignment horizontal="left"/>
    </xf>
    <xf numFmtId="0" fontId="24" fillId="0" borderId="0" applyBorder="0" applyProtection="0"/>
    <xf numFmtId="0" fontId="24" fillId="0" borderId="0" applyBorder="0" applyProtection="0"/>
    <xf numFmtId="0" fontId="25" fillId="0" borderId="0" applyBorder="0" applyProtection="0"/>
    <xf numFmtId="0" fontId="25" fillId="0" borderId="0" applyBorder="0" applyProtection="0">
      <alignment horizontal="left"/>
    </xf>
    <xf numFmtId="0" fontId="24" fillId="0" borderId="0" applyBorder="0" applyProtection="0"/>
    <xf numFmtId="0" fontId="17" fillId="0" borderId="0"/>
  </cellStyleXfs>
  <cellXfs count="431">
    <xf numFmtId="0" fontId="0" fillId="0" borderId="0" xfId="0"/>
    <xf numFmtId="3" fontId="0" fillId="0" borderId="0" xfId="0" applyNumberFormat="1"/>
    <xf numFmtId="0" fontId="0" fillId="0" borderId="0" xfId="0" applyAlignment="1">
      <alignment wrapText="1"/>
    </xf>
    <xf numFmtId="0" fontId="5" fillId="0" borderId="0" xfId="0" applyFont="1" applyAlignment="1">
      <alignment wrapText="1"/>
    </xf>
    <xf numFmtId="0" fontId="0" fillId="0" borderId="0" xfId="0" pivotButton="1"/>
    <xf numFmtId="0" fontId="0" fillId="0" borderId="0" xfId="0" applyNumberFormat="1"/>
    <xf numFmtId="14" fontId="0" fillId="0" borderId="0" xfId="0" applyNumberFormat="1"/>
    <xf numFmtId="0" fontId="0" fillId="0" borderId="0" xfId="0" applyAlignment="1">
      <alignment horizontal="left"/>
    </xf>
    <xf numFmtId="0" fontId="0" fillId="0" borderId="0" xfId="0" applyAlignment="1">
      <alignment horizontal="left" indent="1"/>
    </xf>
    <xf numFmtId="0" fontId="6" fillId="0" borderId="0" xfId="0" applyFont="1"/>
    <xf numFmtId="3" fontId="0" fillId="0" borderId="0" xfId="0" applyNumberFormat="1" applyFill="1"/>
    <xf numFmtId="3" fontId="6" fillId="0" borderId="1" xfId="0" applyNumberFormat="1" applyFont="1" applyBorder="1"/>
    <xf numFmtId="3" fontId="0" fillId="0" borderId="1" xfId="0" applyNumberFormat="1" applyBorder="1"/>
    <xf numFmtId="0" fontId="6" fillId="0" borderId="2" xfId="0" applyFont="1" applyBorder="1" applyAlignment="1">
      <alignment horizontal="center" wrapText="1"/>
    </xf>
    <xf numFmtId="0" fontId="0" fillId="0" borderId="0" xfId="0" applyFill="1"/>
    <xf numFmtId="165" fontId="0" fillId="0" borderId="0" xfId="1" applyNumberFormat="1" applyFont="1"/>
    <xf numFmtId="0" fontId="0" fillId="0" borderId="0" xfId="0" applyAlignment="1">
      <alignment horizontal="center" vertical="center" wrapText="1"/>
    </xf>
    <xf numFmtId="3" fontId="6" fillId="0" borderId="0" xfId="0" applyNumberFormat="1" applyFont="1" applyBorder="1"/>
    <xf numFmtId="0" fontId="0" fillId="0" borderId="0" xfId="0" applyBorder="1" applyAlignment="1">
      <alignment horizontal="left" indent="1"/>
    </xf>
    <xf numFmtId="0" fontId="6" fillId="0" borderId="0" xfId="0" applyFont="1" applyBorder="1"/>
    <xf numFmtId="0" fontId="11" fillId="0" borderId="0" xfId="0" applyFont="1" applyAlignment="1">
      <alignment horizontal="center" vertical="center" wrapText="1"/>
    </xf>
    <xf numFmtId="0" fontId="6" fillId="0" borderId="3" xfId="0" applyFont="1" applyBorder="1" applyAlignment="1">
      <alignment horizontal="left" vertical="center" wrapText="1"/>
    </xf>
    <xf numFmtId="3" fontId="0" fillId="0" borderId="7" xfId="0" applyNumberFormat="1" applyBorder="1"/>
    <xf numFmtId="165" fontId="0" fillId="0" borderId="8" xfId="1" applyNumberFormat="1" applyFont="1" applyBorder="1"/>
    <xf numFmtId="0" fontId="6" fillId="0" borderId="6" xfId="0" applyFont="1" applyBorder="1" applyAlignment="1">
      <alignment horizontal="left"/>
    </xf>
    <xf numFmtId="3" fontId="6" fillId="0" borderId="7" xfId="0" applyNumberFormat="1" applyFont="1" applyBorder="1"/>
    <xf numFmtId="165" fontId="6" fillId="0" borderId="8" xfId="1" applyNumberFormat="1" applyFont="1" applyBorder="1"/>
    <xf numFmtId="0" fontId="6" fillId="0" borderId="9" xfId="0" applyFont="1" applyBorder="1"/>
    <xf numFmtId="3" fontId="6" fillId="0" borderId="10" xfId="0" applyNumberFormat="1" applyFont="1" applyBorder="1"/>
    <xf numFmtId="165" fontId="6" fillId="0" borderId="11" xfId="1" applyNumberFormat="1" applyFont="1" applyBorder="1"/>
    <xf numFmtId="3" fontId="0" fillId="0" borderId="13" xfId="0" applyNumberFormat="1" applyBorder="1"/>
    <xf numFmtId="165" fontId="0" fillId="0" borderId="13" xfId="1" applyNumberFormat="1" applyFont="1" applyBorder="1"/>
    <xf numFmtId="165" fontId="0" fillId="0" borderId="14" xfId="1" applyNumberFormat="1" applyFont="1" applyBorder="1"/>
    <xf numFmtId="0" fontId="6" fillId="0" borderId="12" xfId="0" applyFont="1" applyBorder="1" applyAlignment="1">
      <alignment horizontal="left"/>
    </xf>
    <xf numFmtId="3" fontId="6" fillId="0" borderId="13" xfId="0" applyNumberFormat="1" applyFont="1" applyBorder="1"/>
    <xf numFmtId="165" fontId="6" fillId="0" borderId="13" xfId="1" applyNumberFormat="1" applyFont="1" applyBorder="1"/>
    <xf numFmtId="165" fontId="6" fillId="0" borderId="14" xfId="1" applyNumberFormat="1" applyFont="1" applyBorder="1"/>
    <xf numFmtId="3" fontId="6" fillId="0" borderId="16" xfId="0" applyNumberFormat="1" applyFont="1" applyBorder="1"/>
    <xf numFmtId="0" fontId="6" fillId="0" borderId="22" xfId="0" applyFont="1" applyBorder="1" applyAlignment="1">
      <alignment horizontal="left" vertical="center" wrapText="1"/>
    </xf>
    <xf numFmtId="0" fontId="6" fillId="0" borderId="12" xfId="0" applyFont="1" applyBorder="1" applyAlignment="1">
      <alignment horizontal="left" vertical="center" wrapText="1"/>
    </xf>
    <xf numFmtId="0" fontId="14" fillId="0" borderId="0" xfId="0" applyFont="1" applyAlignment="1">
      <alignment wrapText="1"/>
    </xf>
    <xf numFmtId="166" fontId="0" fillId="0" borderId="0" xfId="2" applyNumberFormat="1" applyFont="1"/>
    <xf numFmtId="17" fontId="11" fillId="0" borderId="23" xfId="0" applyNumberFormat="1" applyFont="1" applyBorder="1" applyAlignment="1">
      <alignment horizontal="right" vertical="center" wrapText="1"/>
    </xf>
    <xf numFmtId="17" fontId="11" fillId="0" borderId="24" xfId="0" applyNumberFormat="1" applyFont="1" applyBorder="1" applyAlignment="1">
      <alignment horizontal="right" vertical="center" wrapText="1"/>
    </xf>
    <xf numFmtId="0" fontId="0" fillId="0" borderId="13" xfId="0" applyBorder="1" applyAlignment="1">
      <alignment horizontal="center" vertical="center"/>
    </xf>
    <xf numFmtId="0" fontId="11" fillId="0" borderId="13" xfId="0" applyFont="1" applyBorder="1" applyAlignment="1">
      <alignment horizontal="right" vertical="center" wrapText="1"/>
    </xf>
    <xf numFmtId="0" fontId="12" fillId="0" borderId="13"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0" fillId="0" borderId="12" xfId="0" applyBorder="1" applyAlignment="1">
      <alignment horizontal="left" indent="1"/>
    </xf>
    <xf numFmtId="3" fontId="10" fillId="0" borderId="13" xfId="0" applyNumberFormat="1" applyFont="1" applyBorder="1"/>
    <xf numFmtId="0" fontId="0" fillId="0" borderId="13" xfId="0" applyBorder="1"/>
    <xf numFmtId="0" fontId="0" fillId="0" borderId="14" xfId="0" applyBorder="1"/>
    <xf numFmtId="3" fontId="0" fillId="0" borderId="14" xfId="0" applyNumberFormat="1" applyBorder="1"/>
    <xf numFmtId="0" fontId="6" fillId="0" borderId="13" xfId="0" applyFont="1" applyBorder="1"/>
    <xf numFmtId="0" fontId="6" fillId="0" borderId="14" xfId="0" applyFont="1" applyBorder="1"/>
    <xf numFmtId="0" fontId="6" fillId="0" borderId="12" xfId="0" applyFont="1" applyBorder="1" applyAlignment="1">
      <alignment horizontal="left" indent="1"/>
    </xf>
    <xf numFmtId="3" fontId="6" fillId="0" borderId="14" xfId="0" applyNumberFormat="1" applyFont="1" applyBorder="1"/>
    <xf numFmtId="0" fontId="0" fillId="0" borderId="15" xfId="0" applyBorder="1" applyAlignment="1">
      <alignment horizontal="left" indent="1"/>
    </xf>
    <xf numFmtId="0" fontId="6" fillId="0" borderId="17" xfId="0" applyFont="1" applyBorder="1"/>
    <xf numFmtId="0" fontId="6" fillId="0" borderId="22" xfId="0" applyFont="1" applyBorder="1" applyAlignment="1">
      <alignment horizontal="left"/>
    </xf>
    <xf numFmtId="3" fontId="6" fillId="0" borderId="23" xfId="0" applyNumberFormat="1" applyFont="1" applyBorder="1"/>
    <xf numFmtId="0" fontId="6" fillId="0" borderId="23" xfId="0" applyFont="1" applyBorder="1"/>
    <xf numFmtId="0" fontId="6" fillId="0" borderId="24" xfId="0" applyFont="1" applyBorder="1"/>
    <xf numFmtId="0" fontId="6" fillId="0" borderId="15" xfId="0" applyFont="1" applyBorder="1" applyAlignment="1">
      <alignment horizontal="left" indent="1"/>
    </xf>
    <xf numFmtId="3" fontId="6" fillId="0" borderId="17" xfId="0" applyNumberFormat="1" applyFont="1" applyBorder="1"/>
    <xf numFmtId="0" fontId="0" fillId="0" borderId="25" xfId="0" applyBorder="1" applyAlignment="1">
      <alignment horizontal="left" indent="1"/>
    </xf>
    <xf numFmtId="3" fontId="0" fillId="0" borderId="26" xfId="0" applyNumberFormat="1" applyBorder="1"/>
    <xf numFmtId="0" fontId="0" fillId="0" borderId="0" xfId="0" quotePrefix="1"/>
    <xf numFmtId="0" fontId="9" fillId="0" borderId="0" xfId="0" applyFont="1" applyAlignment="1">
      <alignment wrapText="1"/>
    </xf>
    <xf numFmtId="0" fontId="11" fillId="0" borderId="23" xfId="0" applyFont="1" applyBorder="1" applyAlignment="1">
      <alignment horizontal="right" vertical="center" wrapText="1"/>
    </xf>
    <xf numFmtId="0" fontId="11" fillId="0" borderId="24" xfId="0" applyFont="1" applyBorder="1" applyAlignment="1">
      <alignment horizontal="center" vertical="center" wrapText="1"/>
    </xf>
    <xf numFmtId="0" fontId="0" fillId="0" borderId="17" xfId="0" applyBorder="1"/>
    <xf numFmtId="0" fontId="10" fillId="0" borderId="12" xfId="0" applyFont="1" applyBorder="1" applyAlignment="1">
      <alignment horizontal="left" vertical="center" wrapText="1" indent="1"/>
    </xf>
    <xf numFmtId="0" fontId="10" fillId="0" borderId="12" xfId="0" applyFont="1" applyBorder="1" applyAlignment="1">
      <alignment horizontal="left" indent="1"/>
    </xf>
    <xf numFmtId="0" fontId="10" fillId="0" borderId="15" xfId="0" applyFont="1" applyBorder="1" applyAlignment="1">
      <alignment horizontal="left" indent="1"/>
    </xf>
    <xf numFmtId="0" fontId="11" fillId="0" borderId="24" xfId="0" applyFont="1" applyBorder="1" applyAlignment="1">
      <alignment horizontal="right" vertical="center" wrapText="1"/>
    </xf>
    <xf numFmtId="3" fontId="6" fillId="0" borderId="0" xfId="0" applyNumberFormat="1" applyFont="1"/>
    <xf numFmtId="0" fontId="6" fillId="0" borderId="15" xfId="0" applyFont="1" applyBorder="1" applyAlignment="1">
      <alignment horizontal="left"/>
    </xf>
    <xf numFmtId="0" fontId="12" fillId="0" borderId="24" xfId="0" applyFont="1" applyBorder="1" applyAlignment="1">
      <alignment horizontal="center" vertical="center" wrapText="1"/>
    </xf>
    <xf numFmtId="0" fontId="13" fillId="0" borderId="0" xfId="0" applyFont="1" applyAlignment="1">
      <alignment horizontal="center" vertical="center" wrapText="1"/>
    </xf>
    <xf numFmtId="0" fontId="10" fillId="0" borderId="0" xfId="0" applyFont="1"/>
    <xf numFmtId="0" fontId="6" fillId="0" borderId="27" xfId="0" applyFont="1" applyBorder="1" applyAlignment="1">
      <alignment horizontal="left" vertical="center" wrapText="1"/>
    </xf>
    <xf numFmtId="0" fontId="0" fillId="0" borderId="0" xfId="0" applyFont="1" applyAlignment="1">
      <alignment horizontal="left" vertical="center"/>
    </xf>
    <xf numFmtId="0" fontId="6" fillId="0" borderId="22" xfId="0" applyFont="1" applyBorder="1" applyAlignment="1">
      <alignment horizontal="left" vertical="center" wrapText="1"/>
    </xf>
    <xf numFmtId="0" fontId="13" fillId="0" borderId="20" xfId="0" applyFont="1" applyBorder="1" applyAlignment="1">
      <alignment horizontal="center" vertical="center" wrapText="1"/>
    </xf>
    <xf numFmtId="0" fontId="15" fillId="0" borderId="0" xfId="0" applyFont="1" applyAlignment="1">
      <alignment horizontal="right"/>
    </xf>
    <xf numFmtId="166" fontId="6" fillId="0" borderId="23" xfId="2" applyNumberFormat="1" applyFont="1" applyBorder="1" applyAlignment="1">
      <alignment horizontal="right" vertical="center" wrapText="1"/>
    </xf>
    <xf numFmtId="166" fontId="6" fillId="0" borderId="23" xfId="0" applyNumberFormat="1" applyFont="1" applyBorder="1" applyAlignment="1">
      <alignment horizontal="right" vertical="center" wrapText="1"/>
    </xf>
    <xf numFmtId="0" fontId="6" fillId="0" borderId="24" xfId="0" applyFont="1" applyBorder="1" applyAlignment="1">
      <alignment horizontal="center" vertical="center" wrapText="1"/>
    </xf>
    <xf numFmtId="41" fontId="0" fillId="0" borderId="13" xfId="0" applyNumberFormat="1" applyBorder="1"/>
    <xf numFmtId="41" fontId="0" fillId="0" borderId="14" xfId="0" applyNumberFormat="1" applyBorder="1"/>
    <xf numFmtId="41" fontId="0" fillId="0" borderId="13" xfId="0" applyNumberFormat="1" applyFill="1" applyBorder="1"/>
    <xf numFmtId="41" fontId="0" fillId="0" borderId="14" xfId="0" applyNumberFormat="1" applyFill="1" applyBorder="1"/>
    <xf numFmtId="41" fontId="10" fillId="0" borderId="13" xfId="0" applyNumberFormat="1" applyFont="1" applyBorder="1"/>
    <xf numFmtId="41" fontId="10" fillId="0" borderId="14" xfId="0" applyNumberFormat="1" applyFont="1" applyBorder="1"/>
    <xf numFmtId="41" fontId="6" fillId="0" borderId="13" xfId="0" applyNumberFormat="1" applyFont="1" applyBorder="1"/>
    <xf numFmtId="41" fontId="6" fillId="0" borderId="14" xfId="0" applyNumberFormat="1" applyFont="1" applyBorder="1"/>
    <xf numFmtId="41" fontId="6" fillId="0" borderId="16" xfId="0" applyNumberFormat="1" applyFont="1" applyBorder="1"/>
    <xf numFmtId="41" fontId="6" fillId="0" borderId="17" xfId="0" applyNumberFormat="1" applyFont="1" applyBorder="1"/>
    <xf numFmtId="41" fontId="0" fillId="0" borderId="16" xfId="0" applyNumberFormat="1" applyBorder="1"/>
    <xf numFmtId="17" fontId="11" fillId="0" borderId="23" xfId="0" applyNumberFormat="1" applyFont="1" applyBorder="1" applyAlignment="1">
      <alignment horizontal="center" vertical="center" wrapText="1"/>
    </xf>
    <xf numFmtId="167" fontId="0" fillId="0" borderId="0" xfId="0" applyNumberFormat="1"/>
    <xf numFmtId="41" fontId="0" fillId="0" borderId="17" xfId="0" applyNumberFormat="1" applyBorder="1"/>
    <xf numFmtId="166" fontId="0" fillId="0" borderId="0" xfId="0" applyNumberFormat="1"/>
    <xf numFmtId="1" fontId="0" fillId="0" borderId="0" xfId="0" applyNumberFormat="1"/>
    <xf numFmtId="43" fontId="0" fillId="0" borderId="0" xfId="2" applyFont="1"/>
    <xf numFmtId="2" fontId="0" fillId="0" borderId="0" xfId="0" applyNumberFormat="1"/>
    <xf numFmtId="166" fontId="6" fillId="0" borderId="13" xfId="2" applyNumberFormat="1" applyFont="1" applyBorder="1"/>
    <xf numFmtId="0" fontId="6" fillId="0" borderId="0" xfId="0" applyFont="1" applyAlignment="1">
      <alignment horizontal="left"/>
    </xf>
    <xf numFmtId="166" fontId="6" fillId="0" borderId="0" xfId="2" applyNumberFormat="1" applyFont="1"/>
    <xf numFmtId="0" fontId="10" fillId="0" borderId="6" xfId="0" applyFont="1" applyBorder="1" applyAlignment="1">
      <alignment horizontal="left"/>
    </xf>
    <xf numFmtId="3" fontId="10" fillId="0" borderId="7" xfId="0" applyNumberFormat="1" applyFont="1" applyBorder="1"/>
    <xf numFmtId="165" fontId="10" fillId="0" borderId="8" xfId="1" applyNumberFormat="1" applyFont="1" applyBorder="1"/>
    <xf numFmtId="0" fontId="10" fillId="0" borderId="6" xfId="0" applyFont="1" applyBorder="1" applyAlignment="1">
      <alignment horizontal="left" indent="1"/>
    </xf>
    <xf numFmtId="0" fontId="0" fillId="0" borderId="6" xfId="0" applyBorder="1" applyAlignment="1">
      <alignment horizontal="left" indent="1"/>
    </xf>
    <xf numFmtId="0" fontId="0" fillId="0" borderId="8" xfId="0" applyBorder="1"/>
    <xf numFmtId="165" fontId="6" fillId="0" borderId="8" xfId="0" applyNumberFormat="1" applyFont="1" applyBorder="1"/>
    <xf numFmtId="0" fontId="10" fillId="0" borderId="7" xfId="0" applyFont="1" applyBorder="1"/>
    <xf numFmtId="0" fontId="0" fillId="0" borderId="7" xfId="0" applyBorder="1"/>
    <xf numFmtId="14"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14" fontId="6" fillId="0" borderId="30" xfId="0" applyNumberFormat="1" applyFont="1" applyBorder="1" applyAlignment="1">
      <alignment horizontal="center" vertical="center" wrapText="1"/>
    </xf>
    <xf numFmtId="165" fontId="10" fillId="0" borderId="7" xfId="1" applyNumberFormat="1" applyFont="1" applyBorder="1"/>
    <xf numFmtId="165" fontId="0" fillId="0" borderId="7" xfId="1" applyNumberFormat="1" applyFont="1" applyBorder="1"/>
    <xf numFmtId="165" fontId="6" fillId="0" borderId="7" xfId="1" applyNumberFormat="1" applyFont="1" applyBorder="1"/>
    <xf numFmtId="165" fontId="6" fillId="0" borderId="10" xfId="1" applyNumberFormat="1" applyFont="1" applyBorder="1"/>
    <xf numFmtId="165" fontId="10" fillId="0" borderId="18" xfId="1" applyNumberFormat="1" applyFont="1" applyBorder="1"/>
    <xf numFmtId="165" fontId="10" fillId="0" borderId="19" xfId="1" applyNumberFormat="1" applyFont="1" applyBorder="1"/>
    <xf numFmtId="0" fontId="10" fillId="0" borderId="29" xfId="0" applyFont="1" applyBorder="1" applyAlignment="1">
      <alignment horizontal="left"/>
    </xf>
    <xf numFmtId="3" fontId="10" fillId="0" borderId="30" xfId="0" applyNumberFormat="1" applyFont="1" applyBorder="1"/>
    <xf numFmtId="0" fontId="6" fillId="0" borderId="33" xfId="0" applyFont="1" applyBorder="1" applyAlignment="1">
      <alignment horizontal="center"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166" fontId="0" fillId="0" borderId="7" xfId="2" applyNumberFormat="1" applyFont="1" applyBorder="1"/>
    <xf numFmtId="166" fontId="6" fillId="0" borderId="7" xfId="2" applyNumberFormat="1" applyFont="1" applyBorder="1"/>
    <xf numFmtId="0" fontId="6" fillId="0" borderId="6" xfId="0" applyFont="1" applyBorder="1" applyAlignment="1">
      <alignment horizontal="left" indent="1"/>
    </xf>
    <xf numFmtId="166" fontId="6" fillId="0" borderId="10" xfId="0" applyNumberFormat="1" applyFont="1" applyBorder="1"/>
    <xf numFmtId="165" fontId="6" fillId="0" borderId="11" xfId="0" applyNumberFormat="1" applyFont="1" applyBorder="1"/>
    <xf numFmtId="0" fontId="10" fillId="0" borderId="3" xfId="0" applyFont="1" applyBorder="1" applyAlignment="1">
      <alignment vertical="center" wrapText="1"/>
    </xf>
    <xf numFmtId="166" fontId="6" fillId="0" borderId="7" xfId="0" applyNumberFormat="1" applyFont="1" applyBorder="1"/>
    <xf numFmtId="14" fontId="10" fillId="0" borderId="30" xfId="0" applyNumberFormat="1" applyFont="1" applyBorder="1" applyAlignment="1">
      <alignment horizontal="center" vertical="center" wrapText="1"/>
    </xf>
    <xf numFmtId="0" fontId="12" fillId="0" borderId="35" xfId="0" applyFont="1" applyBorder="1" applyAlignment="1">
      <alignment horizontal="center" vertical="center" wrapText="1"/>
    </xf>
    <xf numFmtId="0" fontId="10" fillId="0" borderId="30" xfId="0" applyFont="1" applyBorder="1" applyAlignment="1">
      <alignment horizontal="center" vertical="center"/>
    </xf>
    <xf numFmtId="166" fontId="6" fillId="0" borderId="10" xfId="2" applyNumberFormat="1" applyFont="1" applyBorder="1"/>
    <xf numFmtId="0" fontId="0" fillId="0" borderId="8" xfId="0" applyBorder="1" applyAlignment="1">
      <alignment horizontal="center" vertical="center" wrapText="1"/>
    </xf>
    <xf numFmtId="3" fontId="16" fillId="0" borderId="30" xfId="0" applyNumberFormat="1" applyFont="1" applyBorder="1"/>
    <xf numFmtId="0" fontId="0" fillId="2" borderId="0" xfId="0" applyFill="1"/>
    <xf numFmtId="0" fontId="0" fillId="0" borderId="6" xfId="0" applyFill="1" applyBorder="1" applyAlignment="1">
      <alignment horizontal="left" indent="1"/>
    </xf>
    <xf numFmtId="0" fontId="6" fillId="0" borderId="3" xfId="0" applyFont="1" applyFill="1" applyBorder="1" applyAlignment="1">
      <alignment vertical="center" wrapText="1"/>
    </xf>
    <xf numFmtId="0" fontId="6" fillId="0" borderId="6" xfId="0" applyFont="1" applyFill="1" applyBorder="1" applyAlignment="1">
      <alignment horizontal="left"/>
    </xf>
    <xf numFmtId="0" fontId="6" fillId="0" borderId="6" xfId="0" applyFont="1" applyFill="1" applyBorder="1"/>
    <xf numFmtId="0" fontId="6" fillId="0" borderId="6" xfId="0" applyFont="1" applyFill="1" applyBorder="1" applyAlignment="1">
      <alignment wrapText="1"/>
    </xf>
    <xf numFmtId="0" fontId="6" fillId="0" borderId="9" xfId="0" applyFont="1" applyFill="1" applyBorder="1"/>
    <xf numFmtId="0" fontId="0" fillId="0" borderId="36" xfId="0" pivotButton="1" applyBorder="1"/>
    <xf numFmtId="0" fontId="0" fillId="0" borderId="36" xfId="0" applyBorder="1"/>
    <xf numFmtId="166" fontId="0" fillId="0" borderId="0" xfId="2" applyNumberFormat="1" applyFont="1" applyAlignment="1">
      <alignment horizontal="left" indent="1"/>
    </xf>
    <xf numFmtId="41" fontId="0" fillId="0" borderId="0" xfId="0" applyNumberFormat="1"/>
    <xf numFmtId="0" fontId="6" fillId="2" borderId="0" xfId="0" applyFont="1" applyFill="1" applyAlignment="1">
      <alignment horizontal="left"/>
    </xf>
    <xf numFmtId="166" fontId="6" fillId="2" borderId="0" xfId="2" applyNumberFormat="1" applyFont="1" applyFill="1"/>
    <xf numFmtId="0" fontId="6" fillId="2" borderId="0" xfId="0" applyFont="1" applyFill="1"/>
    <xf numFmtId="166" fontId="0" fillId="0" borderId="28" xfId="2" quotePrefix="1" applyNumberFormat="1" applyFont="1" applyBorder="1"/>
    <xf numFmtId="0" fontId="13" fillId="0" borderId="20" xfId="0" applyFont="1" applyBorder="1" applyAlignment="1">
      <alignment horizontal="center" vertical="center" wrapText="1"/>
    </xf>
    <xf numFmtId="0" fontId="0" fillId="0" borderId="3" xfId="0" applyFill="1" applyBorder="1"/>
    <xf numFmtId="0" fontId="0" fillId="0" borderId="9" xfId="0" applyFill="1" applyBorder="1"/>
    <xf numFmtId="165" fontId="0" fillId="0" borderId="4" xfId="1" applyNumberFormat="1" applyFont="1" applyBorder="1"/>
    <xf numFmtId="165" fontId="0" fillId="0" borderId="5" xfId="1" applyNumberFormat="1" applyFont="1" applyBorder="1"/>
    <xf numFmtId="0" fontId="0" fillId="0" borderId="11" xfId="0" applyBorder="1" applyAlignment="1">
      <alignment horizontal="right"/>
    </xf>
    <xf numFmtId="165" fontId="0" fillId="0" borderId="10" xfId="1" applyNumberFormat="1" applyFont="1" applyBorder="1"/>
    <xf numFmtId="166" fontId="6" fillId="0" borderId="4" xfId="2" applyNumberFormat="1" applyFont="1" applyBorder="1"/>
    <xf numFmtId="165" fontId="6" fillId="0" borderId="5" xfId="1" applyNumberFormat="1" applyFont="1" applyBorder="1"/>
    <xf numFmtId="165" fontId="0" fillId="0" borderId="1" xfId="1" applyNumberFormat="1" applyFont="1" applyBorder="1"/>
    <xf numFmtId="3" fontId="6" fillId="0" borderId="30" xfId="0" applyNumberFormat="1" applyFont="1" applyBorder="1"/>
    <xf numFmtId="41" fontId="0" fillId="0" borderId="0" xfId="0" applyNumberFormat="1" applyBorder="1"/>
    <xf numFmtId="0" fontId="0" fillId="0" borderId="0" xfId="0" applyBorder="1"/>
    <xf numFmtId="3" fontId="10" fillId="0" borderId="37" xfId="0" applyNumberFormat="1" applyFont="1" applyBorder="1"/>
    <xf numFmtId="165" fontId="10" fillId="0" borderId="38" xfId="1" applyNumberFormat="1" applyFont="1" applyBorder="1"/>
    <xf numFmtId="165" fontId="10" fillId="0" borderId="10" xfId="1" applyNumberFormat="1" applyFont="1" applyBorder="1"/>
    <xf numFmtId="165" fontId="10" fillId="0" borderId="11" xfId="1" applyNumberFormat="1" applyFont="1" applyBorder="1"/>
    <xf numFmtId="3" fontId="10" fillId="0" borderId="0" xfId="0" applyNumberFormat="1" applyFont="1" applyBorder="1"/>
    <xf numFmtId="165" fontId="10" fillId="0" borderId="0" xfId="1" applyNumberFormat="1" applyFont="1" applyBorder="1"/>
    <xf numFmtId="3" fontId="10" fillId="0" borderId="4" xfId="0" applyNumberFormat="1" applyFont="1" applyBorder="1"/>
    <xf numFmtId="165" fontId="10" fillId="0" borderId="23" xfId="1" applyNumberFormat="1" applyFont="1" applyBorder="1"/>
    <xf numFmtId="165" fontId="10" fillId="0" borderId="4" xfId="1" applyNumberFormat="1" applyFont="1" applyBorder="1"/>
    <xf numFmtId="165" fontId="10" fillId="0" borderId="5" xfId="1" applyNumberFormat="1" applyFont="1" applyBorder="1"/>
    <xf numFmtId="0" fontId="0" fillId="0" borderId="27" xfId="0" applyBorder="1" applyAlignment="1">
      <alignment horizontal="left" indent="1"/>
    </xf>
    <xf numFmtId="0" fontId="6" fillId="0" borderId="39" xfId="0" applyFont="1" applyBorder="1" applyAlignment="1">
      <alignment horizontal="left"/>
    </xf>
    <xf numFmtId="165" fontId="10" fillId="0" borderId="8" xfId="0" applyNumberFormat="1" applyFont="1" applyBorder="1"/>
    <xf numFmtId="165" fontId="6" fillId="0" borderId="18" xfId="1" applyNumberFormat="1" applyFont="1" applyBorder="1"/>
    <xf numFmtId="0" fontId="0" fillId="0" borderId="0" xfId="0" pivotButton="1" applyAlignment="1">
      <alignment wrapText="1"/>
    </xf>
    <xf numFmtId="0" fontId="0" fillId="0" borderId="0" xfId="0" applyAlignment="1">
      <alignment horizontal="left" wrapText="1"/>
    </xf>
    <xf numFmtId="0" fontId="0" fillId="0" borderId="0" xfId="0" applyAlignment="1">
      <alignment horizontal="left" indent="2"/>
    </xf>
    <xf numFmtId="0" fontId="0" fillId="0" borderId="0" xfId="0" applyAlignment="1">
      <alignment horizontal="left" wrapText="1" indent="2"/>
    </xf>
    <xf numFmtId="3" fontId="0" fillId="2" borderId="0" xfId="0" applyNumberFormat="1" applyFill="1"/>
    <xf numFmtId="0" fontId="17" fillId="0" borderId="0" xfId="0" applyFont="1"/>
    <xf numFmtId="0" fontId="17" fillId="0" borderId="0" xfId="0" applyFont="1" applyFill="1" applyBorder="1"/>
    <xf numFmtId="14" fontId="0" fillId="0" borderId="0" xfId="0" applyNumberFormat="1" applyAlignment="1"/>
    <xf numFmtId="0" fontId="0" fillId="0" borderId="0" xfId="0" quotePrefix="1" applyNumberFormat="1" applyAlignment="1"/>
    <xf numFmtId="0" fontId="0" fillId="0" borderId="0" xfId="0" applyNumberFormat="1" applyAlignment="1"/>
    <xf numFmtId="166" fontId="6" fillId="0" borderId="0" xfId="2" applyNumberFormat="1" applyFont="1" applyAlignment="1">
      <alignment horizontal="left"/>
    </xf>
    <xf numFmtId="0" fontId="3" fillId="0" borderId="0" xfId="0" applyFont="1"/>
    <xf numFmtId="165" fontId="6" fillId="0" borderId="11" xfId="1" applyNumberFormat="1" applyFont="1" applyBorder="1" applyAlignment="1">
      <alignment horizontal="right"/>
    </xf>
    <xf numFmtId="0" fontId="19" fillId="0" borderId="0" xfId="0" applyFont="1"/>
    <xf numFmtId="3" fontId="10" fillId="0" borderId="30" xfId="0" applyNumberFormat="1" applyFont="1" applyFill="1" applyBorder="1"/>
    <xf numFmtId="0" fontId="0" fillId="0" borderId="0" xfId="0" applyAlignment="1">
      <alignment horizontal="center"/>
    </xf>
    <xf numFmtId="3" fontId="0" fillId="2" borderId="13" xfId="0" applyNumberFormat="1" applyFill="1" applyBorder="1"/>
    <xf numFmtId="3" fontId="0" fillId="4" borderId="13" xfId="0" applyNumberFormat="1" applyFill="1" applyBorder="1"/>
    <xf numFmtId="17" fontId="0" fillId="0" borderId="0" xfId="0" applyNumberFormat="1"/>
    <xf numFmtId="0" fontId="6" fillId="0" borderId="2" xfId="0" applyFont="1" applyBorder="1" applyAlignment="1">
      <alignment horizontal="center"/>
    </xf>
    <xf numFmtId="0" fontId="0" fillId="0" borderId="1" xfId="0" pivotButton="1" applyBorder="1"/>
    <xf numFmtId="0" fontId="0" fillId="0" borderId="1" xfId="0" applyBorder="1"/>
    <xf numFmtId="0" fontId="0" fillId="0" borderId="1" xfId="0" applyBorder="1" applyAlignment="1">
      <alignment horizontal="left"/>
    </xf>
    <xf numFmtId="0" fontId="0" fillId="0" borderId="1" xfId="0" applyBorder="1" applyAlignment="1">
      <alignment horizontal="center"/>
    </xf>
    <xf numFmtId="0" fontId="6" fillId="5" borderId="0" xfId="0" applyFont="1" applyFill="1"/>
    <xf numFmtId="0" fontId="0" fillId="5" borderId="0" xfId="0" applyFill="1"/>
    <xf numFmtId="0" fontId="19" fillId="5" borderId="0" xfId="0" applyFont="1" applyFill="1"/>
    <xf numFmtId="0" fontId="6" fillId="6" borderId="0" xfId="0" applyFont="1" applyFill="1" applyAlignment="1">
      <alignment wrapText="1"/>
    </xf>
    <xf numFmtId="0" fontId="6" fillId="7" borderId="0" xfId="0" applyFont="1" applyFill="1" applyAlignment="1">
      <alignment wrapText="1"/>
    </xf>
    <xf numFmtId="0" fontId="0" fillId="7" borderId="0" xfId="0" applyFill="1"/>
    <xf numFmtId="0" fontId="0" fillId="7" borderId="0" xfId="0" applyFill="1" applyAlignment="1">
      <alignment wrapText="1"/>
    </xf>
    <xf numFmtId="166" fontId="6" fillId="0" borderId="0" xfId="0" applyNumberFormat="1" applyFont="1"/>
    <xf numFmtId="164" fontId="0" fillId="0" borderId="0" xfId="0" applyNumberFormat="1"/>
    <xf numFmtId="166" fontId="0" fillId="6" borderId="7" xfId="2" applyNumberFormat="1" applyFont="1" applyFill="1" applyBorder="1"/>
    <xf numFmtId="3" fontId="0" fillId="0" borderId="1" xfId="0" applyNumberFormat="1" applyFill="1" applyBorder="1"/>
    <xf numFmtId="0" fontId="0" fillId="0" borderId="1" xfId="0" applyFill="1" applyBorder="1"/>
    <xf numFmtId="0" fontId="0" fillId="0" borderId="1" xfId="0" applyFill="1" applyBorder="1" applyAlignment="1">
      <alignment horizontal="center"/>
    </xf>
    <xf numFmtId="0" fontId="17" fillId="0" borderId="0" xfId="3" applyFont="1"/>
    <xf numFmtId="0" fontId="17" fillId="0" borderId="55" xfId="3" applyFont="1" applyBorder="1" applyAlignment="1">
      <alignment horizontal="center"/>
    </xf>
    <xf numFmtId="0" fontId="17" fillId="0" borderId="56" xfId="3" applyFont="1" applyBorder="1" applyAlignment="1">
      <alignment horizontal="center"/>
    </xf>
    <xf numFmtId="0" fontId="17" fillId="0" borderId="57" xfId="3" applyFont="1" applyBorder="1" applyAlignment="1">
      <alignment horizontal="center"/>
    </xf>
    <xf numFmtId="0" fontId="17" fillId="0" borderId="58" xfId="3" applyFont="1" applyBorder="1" applyAlignment="1">
      <alignment horizontal="center"/>
    </xf>
    <xf numFmtId="0" fontId="17" fillId="0" borderId="59" xfId="3" applyFont="1" applyBorder="1" applyAlignment="1">
      <alignment horizontal="center"/>
    </xf>
    <xf numFmtId="0" fontId="17" fillId="0" borderId="61" xfId="3" applyFont="1" applyBorder="1" applyAlignment="1">
      <alignment horizontal="center"/>
    </xf>
    <xf numFmtId="0" fontId="17" fillId="0" borderId="62" xfId="3" applyFont="1" applyBorder="1" applyAlignment="1">
      <alignment horizontal="center"/>
    </xf>
    <xf numFmtId="0" fontId="17" fillId="0" borderId="63" xfId="3" applyFont="1" applyBorder="1" applyAlignment="1">
      <alignment horizontal="center"/>
    </xf>
    <xf numFmtId="0" fontId="17" fillId="0" borderId="64" xfId="3" applyFont="1" applyBorder="1" applyAlignment="1">
      <alignment horizontal="center"/>
    </xf>
    <xf numFmtId="0" fontId="17" fillId="0" borderId="65" xfId="3" applyFont="1" applyBorder="1" applyAlignment="1">
      <alignment horizontal="center"/>
    </xf>
    <xf numFmtId="0" fontId="17" fillId="0" borderId="66" xfId="3" applyFont="1" applyBorder="1" applyAlignment="1">
      <alignment horizontal="center"/>
    </xf>
    <xf numFmtId="0" fontId="17" fillId="0" borderId="67" xfId="3" applyFont="1" applyBorder="1"/>
    <xf numFmtId="3" fontId="17" fillId="0" borderId="68" xfId="3" applyNumberFormat="1" applyFont="1" applyBorder="1"/>
    <xf numFmtId="3" fontId="17" fillId="0" borderId="69" xfId="3" applyNumberFormat="1" applyFont="1" applyBorder="1"/>
    <xf numFmtId="3" fontId="17" fillId="0" borderId="70" xfId="3" applyNumberFormat="1" applyFont="1" applyBorder="1"/>
    <xf numFmtId="3" fontId="17" fillId="0" borderId="71" xfId="3" applyNumberFormat="1" applyFont="1" applyBorder="1"/>
    <xf numFmtId="3" fontId="17" fillId="0" borderId="72" xfId="3" applyNumberFormat="1" applyFont="1" applyBorder="1"/>
    <xf numFmtId="3" fontId="17" fillId="0" borderId="74" xfId="3" applyNumberFormat="1" applyFont="1" applyBorder="1"/>
    <xf numFmtId="0" fontId="17" fillId="0" borderId="73" xfId="3" applyFont="1" applyBorder="1"/>
    <xf numFmtId="3" fontId="17" fillId="0" borderId="75" xfId="3" applyNumberFormat="1" applyFont="1" applyBorder="1"/>
    <xf numFmtId="3" fontId="17" fillId="0" borderId="27" xfId="3" applyNumberFormat="1" applyFont="1" applyBorder="1"/>
    <xf numFmtId="3" fontId="17" fillId="0" borderId="76" xfId="3" applyNumberFormat="1" applyFont="1" applyBorder="1"/>
    <xf numFmtId="0" fontId="17" fillId="0" borderId="77" xfId="3" applyFont="1" applyBorder="1"/>
    <xf numFmtId="3" fontId="17" fillId="0" borderId="78" xfId="3" applyNumberFormat="1" applyFont="1" applyBorder="1"/>
    <xf numFmtId="3" fontId="17" fillId="0" borderId="79" xfId="3" applyNumberFormat="1" applyFont="1" applyBorder="1"/>
    <xf numFmtId="0" fontId="18" fillId="0" borderId="80" xfId="3" applyFont="1" applyBorder="1"/>
    <xf numFmtId="3" fontId="18" fillId="0" borderId="81" xfId="3" applyNumberFormat="1" applyFont="1" applyBorder="1"/>
    <xf numFmtId="3" fontId="18" fillId="0" borderId="82" xfId="3" applyNumberFormat="1" applyFont="1" applyBorder="1"/>
    <xf numFmtId="3" fontId="18" fillId="0" borderId="80" xfId="3" applyNumberFormat="1" applyFont="1" applyBorder="1"/>
    <xf numFmtId="0" fontId="0" fillId="6" borderId="0" xfId="0" applyFill="1" applyAlignment="1">
      <alignment wrapText="1"/>
    </xf>
    <xf numFmtId="0" fontId="0" fillId="3" borderId="0" xfId="0" applyFill="1"/>
    <xf numFmtId="3" fontId="2" fillId="0" borderId="1" xfId="0" applyNumberFormat="1" applyFont="1" applyBorder="1"/>
    <xf numFmtId="3" fontId="1" fillId="0" borderId="30" xfId="0" applyNumberFormat="1" applyFont="1" applyBorder="1"/>
    <xf numFmtId="9" fontId="0" fillId="0" borderId="1" xfId="0" applyNumberFormat="1" applyBorder="1"/>
    <xf numFmtId="0" fontId="0" fillId="0" borderId="1" xfId="0" applyBorder="1" applyAlignment="1">
      <alignment wrapText="1"/>
    </xf>
    <xf numFmtId="0" fontId="6" fillId="0" borderId="84" xfId="0" applyFont="1" applyBorder="1" applyAlignment="1">
      <alignment horizontal="center"/>
    </xf>
    <xf numFmtId="0" fontId="6" fillId="0" borderId="0" xfId="0" applyFont="1" applyBorder="1" applyAlignment="1">
      <alignment horizontal="center"/>
    </xf>
    <xf numFmtId="0" fontId="0" fillId="0" borderId="85" xfId="0" applyBorder="1"/>
    <xf numFmtId="0" fontId="0" fillId="0" borderId="1" xfId="0" pivotButton="1" applyBorder="1" applyAlignment="1">
      <alignment horizontal="center" vertical="center"/>
    </xf>
    <xf numFmtId="0" fontId="0" fillId="0" borderId="1" xfId="0" pivotButton="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xf>
    <xf numFmtId="3" fontId="22" fillId="0" borderId="1" xfId="0" applyNumberFormat="1" applyFont="1" applyBorder="1"/>
    <xf numFmtId="9" fontId="22" fillId="0" borderId="1" xfId="0" applyNumberFormat="1" applyFont="1" applyBorder="1"/>
    <xf numFmtId="3" fontId="14" fillId="0" borderId="1" xfId="0" applyNumberFormat="1" applyFont="1" applyBorder="1"/>
    <xf numFmtId="0" fontId="0" fillId="0" borderId="0" xfId="0" applyBorder="1" applyAlignment="1">
      <alignment horizontal="center"/>
    </xf>
    <xf numFmtId="0" fontId="0" fillId="0" borderId="85" xfId="0" applyBorder="1" applyAlignment="1">
      <alignment wrapText="1"/>
    </xf>
    <xf numFmtId="0" fontId="6" fillId="0" borderId="0" xfId="0" applyFont="1" applyBorder="1" applyAlignment="1">
      <alignment horizontal="center" wrapText="1"/>
    </xf>
    <xf numFmtId="0" fontId="19" fillId="0" borderId="1" xfId="0" applyFont="1" applyBorder="1" applyAlignment="1">
      <alignment horizontal="center"/>
    </xf>
    <xf numFmtId="3" fontId="21" fillId="0" borderId="1" xfId="0" applyNumberFormat="1" applyFont="1" applyBorder="1"/>
    <xf numFmtId="3" fontId="19" fillId="0" borderId="1" xfId="0" applyNumberFormat="1" applyFont="1" applyBorder="1"/>
    <xf numFmtId="9" fontId="21" fillId="0" borderId="1" xfId="0" applyNumberFormat="1" applyFont="1" applyBorder="1"/>
    <xf numFmtId="9" fontId="19" fillId="0" borderId="1" xfId="0" applyNumberFormat="1" applyFont="1" applyBorder="1"/>
    <xf numFmtId="3" fontId="23" fillId="0" borderId="1" xfId="0" applyNumberFormat="1" applyFont="1" applyBorder="1"/>
    <xf numFmtId="0" fontId="19" fillId="0" borderId="1" xfId="0" applyFont="1" applyBorder="1"/>
    <xf numFmtId="0" fontId="19" fillId="0" borderId="1" xfId="0" applyFont="1" applyBorder="1" applyAlignment="1">
      <alignment wrapText="1"/>
    </xf>
    <xf numFmtId="0" fontId="0" fillId="0" borderId="1" xfId="0" applyFont="1" applyBorder="1" applyAlignment="1">
      <alignment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vertical="center" wrapText="1"/>
    </xf>
    <xf numFmtId="0" fontId="0" fillId="0" borderId="1" xfId="0" applyBorder="1" applyAlignment="1">
      <alignment horizontal="left" indent="1"/>
    </xf>
    <xf numFmtId="0" fontId="0" fillId="0" borderId="1" xfId="0" applyFill="1" applyBorder="1" applyAlignment="1">
      <alignment horizontal="left"/>
    </xf>
    <xf numFmtId="165" fontId="6" fillId="0" borderId="1" xfId="1" applyNumberFormat="1" applyFont="1" applyBorder="1"/>
    <xf numFmtId="0" fontId="0" fillId="6" borderId="1" xfId="0" applyFill="1" applyBorder="1" applyAlignment="1">
      <alignment horizontal="left" indent="1"/>
    </xf>
    <xf numFmtId="3" fontId="0" fillId="6" borderId="1" xfId="0" applyNumberFormat="1" applyFill="1" applyBorder="1"/>
    <xf numFmtId="0" fontId="0" fillId="6" borderId="0" xfId="0" applyFill="1"/>
    <xf numFmtId="0" fontId="6" fillId="0" borderId="1" xfId="0" applyFont="1" applyBorder="1" applyAlignment="1">
      <alignment horizontal="center" wrapText="1"/>
    </xf>
    <xf numFmtId="0" fontId="5" fillId="0" borderId="1" xfId="0" applyFont="1" applyBorder="1" applyAlignment="1">
      <alignment wrapText="1"/>
    </xf>
    <xf numFmtId="0" fontId="6" fillId="0" borderId="1" xfId="0" applyFont="1" applyBorder="1" applyAlignment="1">
      <alignment horizontal="center" vertical="center" wrapText="1"/>
    </xf>
    <xf numFmtId="0" fontId="6" fillId="0" borderId="1" xfId="0" applyFont="1" applyBorder="1" applyAlignment="1">
      <alignment horizontal="left"/>
    </xf>
    <xf numFmtId="0" fontId="0" fillId="0" borderId="1" xfId="0" applyBorder="1" applyAlignment="1">
      <alignment vertical="top"/>
    </xf>
    <xf numFmtId="0" fontId="0" fillId="0" borderId="1" xfId="0" applyFill="1" applyBorder="1" applyAlignment="1">
      <alignment horizontal="center" vertical="center" wrapText="1"/>
    </xf>
    <xf numFmtId="166" fontId="6" fillId="3" borderId="0" xfId="2" applyNumberFormat="1" applyFont="1" applyFill="1"/>
    <xf numFmtId="166" fontId="0" fillId="6" borderId="4" xfId="2" applyNumberFormat="1" applyFont="1" applyFill="1" applyBorder="1"/>
    <xf numFmtId="166" fontId="0" fillId="6" borderId="10" xfId="2" applyNumberFormat="1" applyFont="1" applyFill="1" applyBorder="1"/>
    <xf numFmtId="0" fontId="6" fillId="0" borderId="0" xfId="0" applyFont="1" applyFill="1"/>
    <xf numFmtId="166" fontId="0" fillId="2" borderId="0" xfId="2" applyNumberFormat="1" applyFont="1" applyFill="1"/>
    <xf numFmtId="0" fontId="0" fillId="0" borderId="0" xfId="0" applyFill="1" applyAlignment="1">
      <alignment wrapText="1"/>
    </xf>
    <xf numFmtId="166" fontId="0" fillId="4" borderId="0" xfId="2" applyNumberFormat="1" applyFont="1" applyFill="1"/>
    <xf numFmtId="1" fontId="0" fillId="2" borderId="0" xfId="0" applyNumberFormat="1" applyFill="1"/>
    <xf numFmtId="3" fontId="0" fillId="0" borderId="13" xfId="0" applyNumberFormat="1" applyFill="1" applyBorder="1"/>
    <xf numFmtId="3" fontId="9" fillId="2" borderId="13" xfId="0" applyNumberFormat="1" applyFont="1" applyFill="1" applyBorder="1"/>
    <xf numFmtId="43" fontId="0" fillId="0" borderId="0" xfId="0" applyNumberFormat="1"/>
    <xf numFmtId="3" fontId="10" fillId="6" borderId="30" xfId="0" applyNumberFormat="1" applyFont="1" applyFill="1" applyBorder="1"/>
    <xf numFmtId="3" fontId="1" fillId="6" borderId="30" xfId="0" applyNumberFormat="1" applyFont="1" applyFill="1" applyBorder="1"/>
    <xf numFmtId="3" fontId="6" fillId="6" borderId="10" xfId="0" applyNumberFormat="1" applyFont="1" applyFill="1" applyBorder="1"/>
    <xf numFmtId="0" fontId="17" fillId="0" borderId="46" xfId="3" applyFont="1" applyBorder="1" applyAlignment="1">
      <alignment horizontal="center"/>
    </xf>
    <xf numFmtId="0" fontId="17" fillId="0" borderId="49" xfId="3" applyFont="1" applyBorder="1" applyAlignment="1">
      <alignment horizontal="center"/>
    </xf>
    <xf numFmtId="0" fontId="17" fillId="0" borderId="50" xfId="3" applyFont="1" applyBorder="1" applyAlignment="1">
      <alignment horizontal="center"/>
    </xf>
    <xf numFmtId="0" fontId="17" fillId="0" borderId="52" xfId="3" applyFont="1" applyBorder="1" applyAlignment="1">
      <alignment horizontal="center"/>
    </xf>
    <xf numFmtId="0" fontId="17" fillId="0" borderId="53" xfId="3" applyFont="1" applyBorder="1" applyAlignment="1">
      <alignment horizontal="center"/>
    </xf>
    <xf numFmtId="3" fontId="17" fillId="0" borderId="87" xfId="3" applyNumberFormat="1" applyFont="1" applyBorder="1"/>
    <xf numFmtId="3" fontId="17" fillId="0" borderId="88" xfId="3" applyNumberFormat="1" applyFont="1" applyFill="1" applyBorder="1"/>
    <xf numFmtId="0" fontId="24" fillId="0" borderId="0" xfId="4" applyFont="1"/>
    <xf numFmtId="3" fontId="17" fillId="0" borderId="68" xfId="3" applyNumberFormat="1" applyFont="1" applyFill="1" applyBorder="1"/>
    <xf numFmtId="3" fontId="17" fillId="0" borderId="89" xfId="3" applyNumberFormat="1" applyFont="1" applyBorder="1"/>
    <xf numFmtId="3" fontId="17" fillId="0" borderId="74" xfId="3" applyNumberFormat="1" applyFont="1" applyFill="1" applyBorder="1"/>
    <xf numFmtId="3" fontId="17" fillId="0" borderId="90" xfId="3" applyNumberFormat="1" applyFont="1" applyFill="1" applyBorder="1"/>
    <xf numFmtId="3" fontId="17" fillId="0" borderId="89" xfId="3" applyNumberFormat="1" applyFont="1" applyFill="1" applyBorder="1"/>
    <xf numFmtId="3" fontId="17" fillId="0" borderId="91" xfId="3" applyNumberFormat="1" applyFont="1" applyFill="1" applyBorder="1"/>
    <xf numFmtId="3" fontId="17" fillId="0" borderId="92" xfId="3" applyNumberFormat="1" applyFont="1" applyFill="1" applyBorder="1"/>
    <xf numFmtId="3" fontId="17" fillId="0" borderId="93" xfId="3" applyNumberFormat="1" applyFont="1" applyFill="1" applyBorder="1"/>
    <xf numFmtId="3" fontId="17" fillId="0" borderId="94" xfId="3" applyNumberFormat="1" applyFont="1" applyFill="1" applyBorder="1"/>
    <xf numFmtId="3" fontId="17" fillId="0" borderId="95" xfId="3" applyNumberFormat="1" applyFont="1" applyBorder="1"/>
    <xf numFmtId="3" fontId="17" fillId="0" borderId="96" xfId="3" applyNumberFormat="1" applyFont="1" applyBorder="1"/>
    <xf numFmtId="3" fontId="17" fillId="0" borderId="97" xfId="3" applyNumberFormat="1" applyFont="1" applyBorder="1"/>
    <xf numFmtId="3" fontId="18" fillId="0" borderId="98" xfId="3" applyNumberFormat="1" applyFont="1" applyBorder="1"/>
    <xf numFmtId="3" fontId="18" fillId="0" borderId="99" xfId="3" applyNumberFormat="1" applyFont="1" applyFill="1" applyBorder="1"/>
    <xf numFmtId="3" fontId="17" fillId="0" borderId="100" xfId="3" applyNumberFormat="1" applyFont="1" applyBorder="1"/>
    <xf numFmtId="3" fontId="18" fillId="0" borderId="83" xfId="3" applyNumberFormat="1" applyFont="1" applyBorder="1"/>
    <xf numFmtId="3" fontId="18" fillId="0" borderId="101" xfId="3" applyNumberFormat="1" applyFont="1" applyBorder="1"/>
    <xf numFmtId="3" fontId="18" fillId="0" borderId="102" xfId="3" applyNumberFormat="1" applyFont="1" applyBorder="1"/>
    <xf numFmtId="3" fontId="18" fillId="0" borderId="103" xfId="3" applyNumberFormat="1" applyFont="1" applyBorder="1"/>
    <xf numFmtId="3" fontId="18" fillId="0" borderId="104" xfId="3" applyNumberFormat="1" applyFont="1" applyBorder="1"/>
    <xf numFmtId="0" fontId="17" fillId="0" borderId="0" xfId="3" applyFont="1" applyFill="1" applyBorder="1"/>
    <xf numFmtId="0" fontId="26" fillId="0" borderId="0" xfId="0" applyFont="1" applyAlignment="1">
      <alignment horizontal="center" vertical="center"/>
    </xf>
    <xf numFmtId="0" fontId="27" fillId="8" borderId="0" xfId="0" applyFont="1" applyFill="1" applyAlignment="1">
      <alignment vertical="center" wrapText="1"/>
    </xf>
    <xf numFmtId="0" fontId="28" fillId="0" borderId="0" xfId="0" applyFont="1" applyAlignment="1">
      <alignment vertical="center" wrapText="1"/>
    </xf>
    <xf numFmtId="0" fontId="26" fillId="10" borderId="105" xfId="0" applyFont="1" applyFill="1" applyBorder="1" applyAlignment="1">
      <alignment horizontal="center" vertical="center" wrapText="1"/>
    </xf>
    <xf numFmtId="0" fontId="28" fillId="10" borderId="106" xfId="0" applyFont="1" applyFill="1" applyBorder="1" applyAlignment="1">
      <alignment horizontal="center" vertical="center"/>
    </xf>
    <xf numFmtId="0" fontId="28" fillId="10" borderId="107" xfId="0" applyFont="1" applyFill="1" applyBorder="1" applyAlignment="1">
      <alignment horizontal="center" vertical="center"/>
    </xf>
    <xf numFmtId="0" fontId="28" fillId="10" borderId="108" xfId="0" applyFont="1" applyFill="1" applyBorder="1" applyAlignment="1">
      <alignment horizontal="center" vertical="center" wrapText="1"/>
    </xf>
    <xf numFmtId="0" fontId="28" fillId="10" borderId="109" xfId="0" applyFont="1" applyFill="1" applyBorder="1" applyAlignment="1">
      <alignment horizontal="center" vertical="center" wrapText="1"/>
    </xf>
    <xf numFmtId="0" fontId="28" fillId="0" borderId="0" xfId="0" applyFont="1" applyAlignment="1">
      <alignment horizontal="center" vertical="center"/>
    </xf>
    <xf numFmtId="0" fontId="28" fillId="10" borderId="110" xfId="0" applyFont="1" applyFill="1" applyBorder="1" applyAlignment="1">
      <alignment horizontal="center" vertical="center" wrapText="1"/>
    </xf>
    <xf numFmtId="0" fontId="31" fillId="0" borderId="111" xfId="11" applyFont="1" applyBorder="1" applyAlignment="1">
      <alignment horizontal="center" vertical="center"/>
    </xf>
    <xf numFmtId="0" fontId="31" fillId="0" borderId="112" xfId="11" applyFont="1" applyBorder="1" applyAlignment="1">
      <alignment horizontal="center" vertical="center"/>
    </xf>
    <xf numFmtId="3" fontId="32" fillId="0" borderId="110" xfId="0" applyNumberFormat="1" applyFont="1" applyBorder="1" applyAlignment="1">
      <alignment horizontal="center" vertical="center"/>
    </xf>
    <xf numFmtId="0" fontId="26" fillId="0" borderId="1" xfId="0" applyFont="1" applyBorder="1" applyAlignment="1">
      <alignment horizontal="center" vertical="center"/>
    </xf>
    <xf numFmtId="168" fontId="26" fillId="0" borderId="0" xfId="0" applyNumberFormat="1" applyFont="1" applyAlignment="1">
      <alignment horizontal="center" vertical="center"/>
    </xf>
    <xf numFmtId="168" fontId="27" fillId="8" borderId="113" xfId="0" applyNumberFormat="1" applyFont="1" applyFill="1" applyBorder="1" applyAlignment="1">
      <alignment horizontal="center" vertical="center" wrapText="1"/>
    </xf>
    <xf numFmtId="168" fontId="33" fillId="8" borderId="114" xfId="0" applyNumberFormat="1" applyFont="1" applyFill="1" applyBorder="1" applyAlignment="1">
      <alignment horizontal="center" vertical="center"/>
    </xf>
    <xf numFmtId="168" fontId="33" fillId="8" borderId="115" xfId="0" applyNumberFormat="1" applyFont="1" applyFill="1" applyBorder="1" applyAlignment="1">
      <alignment horizontal="center" vertical="center"/>
    </xf>
    <xf numFmtId="168" fontId="33" fillId="8" borderId="116" xfId="0" applyNumberFormat="1" applyFont="1" applyFill="1" applyBorder="1" applyAlignment="1">
      <alignment horizontal="center" vertical="center"/>
    </xf>
    <xf numFmtId="3" fontId="33" fillId="8" borderId="117" xfId="0" applyNumberFormat="1" applyFont="1" applyFill="1" applyBorder="1" applyAlignment="1">
      <alignment horizontal="center" vertical="center"/>
    </xf>
    <xf numFmtId="168" fontId="26" fillId="0" borderId="1" xfId="0" applyNumberFormat="1" applyFont="1" applyBorder="1" applyAlignment="1">
      <alignment horizontal="center" vertical="center"/>
    </xf>
    <xf numFmtId="0" fontId="28" fillId="10" borderId="118" xfId="0" applyFont="1" applyFill="1" applyBorder="1" applyAlignment="1">
      <alignment horizontal="center" vertical="center" wrapText="1"/>
    </xf>
    <xf numFmtId="0" fontId="26" fillId="0" borderId="119" xfId="0" applyFont="1" applyBorder="1" applyAlignment="1">
      <alignment horizontal="center" vertical="center" wrapText="1"/>
    </xf>
    <xf numFmtId="0" fontId="26" fillId="0" borderId="120" xfId="0" applyFont="1" applyBorder="1" applyAlignment="1">
      <alignment horizontal="center" vertical="center" wrapText="1"/>
    </xf>
    <xf numFmtId="0" fontId="26" fillId="0" borderId="121" xfId="0" applyFont="1" applyBorder="1" applyAlignment="1">
      <alignment horizontal="center" vertical="center" wrapText="1"/>
    </xf>
    <xf numFmtId="3" fontId="32" fillId="0" borderId="118" xfId="0" applyNumberFormat="1" applyFont="1" applyBorder="1" applyAlignment="1">
      <alignment horizontal="center" vertical="center"/>
    </xf>
    <xf numFmtId="0" fontId="28" fillId="0" borderId="1" xfId="0" applyFont="1" applyBorder="1" applyAlignment="1">
      <alignment horizontal="center" vertical="center"/>
    </xf>
    <xf numFmtId="168" fontId="33" fillId="8" borderId="122" xfId="0" applyNumberFormat="1" applyFont="1" applyFill="1" applyBorder="1" applyAlignment="1">
      <alignment horizontal="center" vertical="center"/>
    </xf>
    <xf numFmtId="168" fontId="33" fillId="8" borderId="2" xfId="0" applyNumberFormat="1" applyFont="1" applyFill="1" applyBorder="1" applyAlignment="1">
      <alignment horizontal="center" vertical="center"/>
    </xf>
    <xf numFmtId="168" fontId="33" fillId="8" borderId="105" xfId="0" applyNumberFormat="1" applyFont="1" applyFill="1" applyBorder="1" applyAlignment="1">
      <alignment horizontal="center" vertical="center"/>
    </xf>
    <xf numFmtId="3" fontId="33" fillId="8" borderId="113" xfId="0" applyNumberFormat="1" applyFont="1" applyFill="1" applyBorder="1" applyAlignment="1">
      <alignment horizontal="center" vertical="center"/>
    </xf>
    <xf numFmtId="0" fontId="31" fillId="0" borderId="123" xfId="11" applyFont="1" applyBorder="1" applyAlignment="1">
      <alignment horizontal="center" vertical="center"/>
    </xf>
    <xf numFmtId="0" fontId="34" fillId="0" borderId="123" xfId="11" applyFont="1" applyBorder="1" applyAlignment="1">
      <alignment horizontal="center" vertical="center"/>
    </xf>
    <xf numFmtId="0" fontId="34" fillId="0" borderId="124" xfId="11" applyFont="1" applyBorder="1" applyAlignment="1">
      <alignment horizontal="center" vertical="center"/>
    </xf>
    <xf numFmtId="0" fontId="35" fillId="0" borderId="0" xfId="0" applyFont="1" applyAlignment="1">
      <alignment horizontal="center" vertical="center"/>
    </xf>
    <xf numFmtId="168" fontId="27" fillId="8" borderId="117" xfId="0" applyNumberFormat="1" applyFont="1" applyFill="1" applyBorder="1" applyAlignment="1">
      <alignment horizontal="center" vertical="center" wrapText="1"/>
    </xf>
    <xf numFmtId="0" fontId="36" fillId="0" borderId="0" xfId="0" applyFont="1"/>
    <xf numFmtId="3" fontId="36" fillId="0" borderId="0" xfId="0" applyNumberFormat="1" applyFont="1"/>
    <xf numFmtId="165" fontId="36" fillId="0" borderId="86" xfId="1" applyNumberFormat="1" applyFont="1" applyFill="1" applyBorder="1"/>
    <xf numFmtId="166" fontId="36" fillId="0" borderId="0" xfId="2" applyNumberFormat="1" applyFont="1"/>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13" fillId="0" borderId="20"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34"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0" fontId="1" fillId="0" borderId="3" xfId="0" applyFont="1" applyBorder="1" applyAlignment="1">
      <alignment horizontal="left" vertical="center" wrapText="1"/>
    </xf>
    <xf numFmtId="0" fontId="10" fillId="0" borderId="6" xfId="0" applyFont="1" applyBorder="1" applyAlignment="1">
      <alignment horizontal="left" vertical="center" wrapText="1"/>
    </xf>
    <xf numFmtId="0" fontId="1" fillId="0" borderId="3"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27" fillId="8" borderId="0" xfId="0" applyFont="1" applyFill="1" applyAlignment="1">
      <alignment horizontal="center" vertical="center" wrapText="1"/>
    </xf>
    <xf numFmtId="0" fontId="29" fillId="9" borderId="0" xfId="0" applyFont="1" applyFill="1" applyAlignment="1">
      <alignment horizontal="right" vertical="center"/>
    </xf>
    <xf numFmtId="0" fontId="30" fillId="9" borderId="0" xfId="0" applyFont="1" applyFill="1" applyAlignment="1">
      <alignment horizontal="right" vertical="center"/>
    </xf>
    <xf numFmtId="0" fontId="17" fillId="0" borderId="46" xfId="3" applyFont="1" applyBorder="1" applyAlignment="1">
      <alignment horizontal="center"/>
    </xf>
    <xf numFmtId="0" fontId="17" fillId="0" borderId="47" xfId="3" applyFont="1" applyBorder="1" applyAlignment="1">
      <alignment horizontal="center"/>
    </xf>
    <xf numFmtId="0" fontId="17" fillId="0" borderId="52" xfId="3" applyFont="1" applyBorder="1" applyAlignment="1">
      <alignment horizontal="center"/>
    </xf>
    <xf numFmtId="0" fontId="17" fillId="0" borderId="53" xfId="3" applyFont="1" applyBorder="1" applyAlignment="1">
      <alignment horizontal="center"/>
    </xf>
    <xf numFmtId="0" fontId="17" fillId="0" borderId="0" xfId="3" applyFont="1" applyBorder="1" applyAlignment="1">
      <alignment horizontal="center"/>
    </xf>
    <xf numFmtId="0" fontId="17" fillId="0" borderId="48" xfId="3" applyFont="1" applyBorder="1" applyAlignment="1">
      <alignment horizontal="center"/>
    </xf>
    <xf numFmtId="0" fontId="17" fillId="0" borderId="49" xfId="3" applyFont="1" applyBorder="1" applyAlignment="1">
      <alignment horizontal="center" vertical="center"/>
    </xf>
    <xf numFmtId="0" fontId="17" fillId="0" borderId="50" xfId="3" applyFont="1" applyBorder="1" applyAlignment="1">
      <alignment horizontal="center" vertical="center"/>
    </xf>
    <xf numFmtId="0" fontId="17" fillId="0" borderId="46" xfId="3" applyFont="1" applyBorder="1" applyAlignment="1">
      <alignment horizontal="center" vertical="center"/>
    </xf>
    <xf numFmtId="0" fontId="17" fillId="0" borderId="47" xfId="3" applyFont="1" applyBorder="1" applyAlignment="1">
      <alignment horizontal="center" vertical="center"/>
    </xf>
    <xf numFmtId="0" fontId="17" fillId="0" borderId="52" xfId="3" applyFont="1" applyBorder="1" applyAlignment="1">
      <alignment horizontal="center" vertical="center"/>
    </xf>
    <xf numFmtId="0" fontId="17" fillId="0" borderId="53" xfId="3" applyFont="1" applyBorder="1" applyAlignment="1">
      <alignment horizontal="center" vertical="center"/>
    </xf>
    <xf numFmtId="0" fontId="17" fillId="0" borderId="0" xfId="3" applyFont="1" applyAlignment="1">
      <alignment horizontal="center"/>
    </xf>
    <xf numFmtId="0" fontId="18" fillId="0" borderId="0" xfId="3" applyFont="1" applyAlignment="1">
      <alignment horizontal="center"/>
    </xf>
    <xf numFmtId="0" fontId="17" fillId="0" borderId="40" xfId="3" applyFont="1" applyBorder="1" applyAlignment="1">
      <alignment horizontal="center" vertical="center"/>
    </xf>
    <xf numFmtId="0" fontId="17" fillId="0" borderId="45" xfId="3" applyFont="1" applyBorder="1" applyAlignment="1">
      <alignment horizontal="center" vertical="center"/>
    </xf>
    <xf numFmtId="0" fontId="17" fillId="0" borderId="60" xfId="3" applyFont="1" applyBorder="1" applyAlignment="1">
      <alignment horizontal="center" vertical="center"/>
    </xf>
    <xf numFmtId="0" fontId="17" fillId="0" borderId="41" xfId="3" applyFont="1" applyBorder="1" applyAlignment="1">
      <alignment horizontal="center"/>
    </xf>
    <xf numFmtId="0" fontId="17" fillId="0" borderId="42" xfId="3" applyFont="1" applyBorder="1" applyAlignment="1">
      <alignment horizontal="center"/>
    </xf>
    <xf numFmtId="0" fontId="17" fillId="0" borderId="43" xfId="3" applyFont="1" applyBorder="1" applyAlignment="1">
      <alignment horizontal="center"/>
    </xf>
    <xf numFmtId="0" fontId="17" fillId="0" borderId="41" xfId="3" applyFont="1" applyBorder="1" applyAlignment="1">
      <alignment horizontal="center" vertical="center"/>
    </xf>
    <xf numFmtId="0" fontId="17" fillId="0" borderId="42" xfId="3" applyFont="1" applyBorder="1" applyAlignment="1">
      <alignment horizontal="center" vertical="center"/>
    </xf>
    <xf numFmtId="0" fontId="17" fillId="0" borderId="43" xfId="3" applyFont="1" applyBorder="1" applyAlignment="1">
      <alignment horizontal="center" vertical="center"/>
    </xf>
    <xf numFmtId="0" fontId="17" fillId="0" borderId="0" xfId="3" applyFont="1" applyBorder="1" applyAlignment="1">
      <alignment horizontal="center" vertical="center"/>
    </xf>
    <xf numFmtId="0" fontId="17" fillId="0" borderId="44" xfId="3" applyFont="1" applyBorder="1" applyAlignment="1">
      <alignment horizontal="center"/>
    </xf>
    <xf numFmtId="0" fontId="17" fillId="0" borderId="49" xfId="3" applyFont="1" applyBorder="1" applyAlignment="1">
      <alignment horizontal="center"/>
    </xf>
    <xf numFmtId="0" fontId="17" fillId="0" borderId="50" xfId="3" applyFont="1" applyBorder="1" applyAlignment="1">
      <alignment horizontal="center"/>
    </xf>
    <xf numFmtId="0" fontId="17" fillId="0" borderId="51" xfId="3" applyFont="1" applyBorder="1" applyAlignment="1">
      <alignment horizontal="center" vertical="center"/>
    </xf>
    <xf numFmtId="0" fontId="17" fillId="0" borderId="54" xfId="3" applyFont="1" applyBorder="1" applyAlignment="1">
      <alignment horizontal="center" vertical="center"/>
    </xf>
  </cellXfs>
  <cellStyles count="12">
    <cellStyle name="Comma" xfId="2" builtinId="3"/>
    <cellStyle name="Normal" xfId="0" builtinId="0"/>
    <cellStyle name="Normal 2 2" xfId="11" xr:uid="{CC6FFF8F-C95F-449F-AA9D-B9382C4F278A}"/>
    <cellStyle name="Normal_Sheet1" xfId="3" xr:uid="{00000000-0005-0000-0000-000002000000}"/>
    <cellStyle name="Normal_Za Vlada" xfId="4" xr:uid="{00000000-0005-0000-0000-000003000000}"/>
    <cellStyle name="Percent" xfId="1" builtinId="5"/>
    <cellStyle name="Pivot Table Category" xfId="5" xr:uid="{00000000-0005-0000-0000-000005000000}"/>
    <cellStyle name="Pivot Table Corner" xfId="6" xr:uid="{00000000-0005-0000-0000-000006000000}"/>
    <cellStyle name="Pivot Table Field" xfId="7" xr:uid="{00000000-0005-0000-0000-000007000000}"/>
    <cellStyle name="Pivot Table Result" xfId="8" xr:uid="{00000000-0005-0000-0000-000008000000}"/>
    <cellStyle name="Pivot Table Title" xfId="9" xr:uid="{00000000-0005-0000-0000-000009000000}"/>
    <cellStyle name="Pivot Table Value" xfId="10" xr:uid="{00000000-0005-0000-0000-00000A000000}"/>
  </cellStyles>
  <dxfs count="180">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wrapText="1" readingOrder="0"/>
    </dxf>
    <dxf>
      <alignment wrapText="1"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fill>
        <patternFill patternType="none">
          <fgColor indexed="64"/>
          <bgColor indexed="6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ont>
        <color theme="0"/>
      </font>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wrapText="1"/>
    </dxf>
    <dxf>
      <alignment wrapText="1"/>
    </dxf>
    <dxf>
      <numFmt numFmtId="3" formatCode="#,##0"/>
    </dxf>
    <dxf>
      <numFmt numFmtId="13" formatCode="0%"/>
    </dxf>
    <dxf>
      <numFmt numFmtId="3" formatCode="#,##0"/>
    </dxf>
    <dxf>
      <numFmt numFmtId="3" formatCode="#,##0"/>
    </dxf>
    <dxf>
      <numFmt numFmtId="3" formatCode="#,##0"/>
    </dxf>
    <dxf>
      <fill>
        <patternFill patternType="none">
          <fgColor indexed="64"/>
          <bgColor indexed="6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6" formatCode="_(* #,##0_);_(* \(#,##0\);_(* &quot;-&quot;??_);_(@_)"/>
    </dxf>
    <dxf>
      <numFmt numFmtId="166" formatCode="_(* #,##0_);_(* \(#,##0\);_(* &quot;-&quot;??_);_(@_)"/>
    </dxf>
    <dxf>
      <numFmt numFmtId="166" formatCode="_(* #,##0_);_(* \(#,##0\);_(* &quot;-&quot;??_);_(@_)"/>
    </dxf>
    <dxf>
      <numFmt numFmtId="1" formatCode="0"/>
    </dxf>
    <dxf>
      <alignment wrapText="1" indent="0"/>
    </dxf>
    <dxf>
      <alignment wrapText="1" indent="0"/>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3" formatCode="#,##0"/>
    </dxf>
    <dxf>
      <alignment wrapText="1" indent="0"/>
    </dxf>
    <dxf>
      <alignment wrapText="1" indent="0"/>
    </dxf>
    <dxf>
      <numFmt numFmtId="3" formatCode="#,##0"/>
    </dxf>
    <dxf>
      <alignment wrapText="1" indent="0"/>
    </dxf>
    <dxf>
      <alignment wrapText="1" indent="0"/>
    </dxf>
    <dxf>
      <alignment wrapText="1" readingOrder="0"/>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bgColor theme="0"/>
        </patternFill>
      </fill>
    </dxf>
    <dxf>
      <fill>
        <patternFill patternType="solid">
          <bgColor rgb="FFFFFF00"/>
        </patternFill>
      </fill>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numFmt numFmtId="169" formatCode="dd/mm/yy"/>
    </dxf>
    <dxf>
      <numFmt numFmtId="0" formatCode="General"/>
    </dxf>
    <dxf>
      <numFmt numFmtId="0" formatCode="General"/>
    </dxf>
    <dxf>
      <numFmt numFmtId="0" formatCode="General"/>
    </dxf>
    <dxf>
      <numFmt numFmtId="0" formatCode="General"/>
    </dxf>
    <dxf>
      <numFmt numFmtId="0" formatCode="Genera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179"/>
      <tableStyleElement type="headerRow" dxfId="178"/>
      <tableStyleElement type="firstRowStripe" dxfId="177"/>
    </tableStyle>
    <tableStyle name="TableStyleQueryResult" pivot="0" count="3" xr9:uid="{00000000-0011-0000-FFFF-FFFF01000000}">
      <tableStyleElement type="wholeTable" dxfId="176"/>
      <tableStyleElement type="headerRow" dxfId="175"/>
      <tableStyleElement type="firstRowStripe" dxfId="174"/>
    </tableStyle>
  </tableStyles>
  <colors>
    <mruColors>
      <color rgb="FFFFFFFF"/>
      <color rgb="FFFF757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F58" s="75"/>
        <tr r="E40" s="72"/>
        <tr r="R13" s="71"/>
        <tr r="E8" s="76"/>
        <tr r="C63" s="72"/>
        <tr r="C111" s="72"/>
        <tr r="N47" s="84"/>
        <tr r="N47" s="84"/>
        <tr r="W52" s="71"/>
        <tr r="E25" s="72"/>
        <tr r="K39" s="71"/>
        <tr r="C35" s="104"/>
        <tr r="B44" s="104"/>
        <tr r="C26" s="75"/>
        <tr r="K21" s="71"/>
        <tr r="B30" s="104"/>
        <tr r="C8" s="84"/>
        <tr r="O36" s="71"/>
        <tr r="M48" s="104"/>
        <tr r="D30" s="75"/>
        <tr r="F30" s="75"/>
        <tr r="E30" s="75"/>
        <tr r="C30" s="75"/>
        <tr r="D19" s="75"/>
        <tr r="E19" s="75"/>
        <tr r="C19" s="75"/>
        <tr r="F19" s="75"/>
        <tr r="J47" s="104"/>
        <tr r="F47" s="104"/>
        <tr r="B47" s="104"/>
        <tr r="C47" s="104"/>
        <tr r="I33" s="71"/>
        <tr r="L33" s="71"/>
        <tr r="G33" s="71"/>
        <tr r="G46" s="104"/>
        <tr r="J46" s="104"/>
        <tr r="E46" s="104"/>
        <tr r="C46" s="104"/>
        <tr r="B46" s="104"/>
        <tr r="K46" s="104"/>
        <tr r="W32" s="71"/>
        <tr r="C32" s="71"/>
        <tr r="N32" s="71"/>
        <tr r="AC32" s="71"/>
        <tr r="V32" s="71"/>
        <tr r="F26" s="75"/>
        <tr r="D26" s="75"/>
        <tr r="D44" s="104"/>
        <tr r="L44" s="104"/>
        <tr r="M44" s="104"/>
        <tr r="N44" s="104"/>
        <tr r="H53" s="71"/>
        <tr r="L53" s="71"/>
        <tr r="T53" s="71"/>
        <tr r="W53" s="71"/>
        <tr r="S53" s="71"/>
        <tr r="N27" s="104"/>
        <tr r="L27" s="104"/>
        <tr r="C27" s="104"/>
        <tr r="B27" s="104"/>
        <tr r="I27" s="104"/>
        <tr r="K27" s="104"/>
        <tr r="W35" s="71"/>
        <tr r="U35" s="71"/>
        <tr r="R35" s="71"/>
        <tr r="E35" s="71"/>
        <tr r="G9" s="104"/>
        <tr r="G23" s="104"/>
        <tr r="G36" s="104"/>
        <tr r="G15" s="104"/>
        <tr r="G8" s="104"/>
        <tr r="G22" s="104"/>
        <tr r="G52" s="104"/>
        <tr r="G37" s="104"/>
        <tr r="G29" s="104"/>
        <tr r="G42" s="104"/>
        <tr r="G39" s="104"/>
        <tr r="G12" s="104"/>
        <tr r="G33" s="104"/>
        <tr r="AD46" s="71"/>
        <tr r="AD19" s="71"/>
        <tr r="AD43" s="71"/>
        <tr r="AD12" s="71"/>
        <tr r="AD56" s="71"/>
        <tr r="AD44" s="71"/>
        <tr r="AD27" s="71"/>
        <tr r="AD31" s="71"/>
        <tr r="AD21" s="71"/>
        <tr r="AD48" s="71"/>
        <tr r="J14" s="71"/>
        <tr r="J38" s="71"/>
        <tr r="J56" s="71"/>
        <tr r="J20" s="71"/>
        <tr r="J45" s="71"/>
        <tr r="J39" s="71"/>
        <tr r="F63" s="72"/>
        <tr r="C7" s="104"/>
        <tr r="I7" s="104"/>
        <tr r="K7" s="104"/>
        <tr r="B7" s="104"/>
        <tr r="Z41" s="71"/>
        <tr r="Z43" s="71"/>
        <tr r="Z7" s="71"/>
        <tr r="Z47" s="71"/>
        <tr r="O38" s="71"/>
        <tr r="O34" s="71"/>
        <tr r="D72" s="72"/>
        <tr r="D107" s="72"/>
        <tr r="D112" s="72"/>
        <tr r="D87" s="72"/>
        <tr r="D103" s="72"/>
        <tr r="D66" s="72"/>
        <tr r="Z57" s="71"/>
        <tr r="T57" s="71"/>
        <tr r="X57" s="71"/>
        <tr r="K45" s="104"/>
        <tr r="K33" s="104"/>
        <tr r="K24" s="104"/>
        <tr r="K34" s="104"/>
        <tr r="K39" s="104"/>
        <tr r="C47" s="72"/>
        <tr r="E47" s="72"/>
        <tr r="N13" s="71"/>
        <tr r="E39" s="71"/>
        <tr r="W39" s="71"/>
        <tr r="F28" s="75"/>
        <tr r="C28" s="75"/>
        <tr r="F41" s="75"/>
        <tr r="F62" s="75"/>
        <tr r="F59" s="75"/>
        <tr r="W47" s="71"/>
        <tr r="C47" s="71"/>
        <tr r="F43" s="76"/>
        <tr r="F45" s="76"/>
        <tr r="F44" s="76"/>
        <tr r="K17" s="71"/>
        <tr r="X17" s="71"/>
        <tr r="M17" s="71"/>
        <tr r="AC17" s="71"/>
        <tr r="C20" s="104"/>
        <tr r="H20" s="104"/>
        <tr r="Y52" s="71"/>
        <tr r="R34" s="71"/>
        <tr r="W34" s="71"/>
        <tr r="M42" s="71"/>
        <tr r="I42" s="71"/>
        <tr r="L43" s="84"/>
        <tr r="L43" s="84"/>
        <tr r="O46" s="84"/>
        <tr r="H43" s="84"/>
        <tr r="H43" s="84"/>
        <tr r="O57" s="84"/>
        <tr r="O57" s="84"/>
        <tr r="F61" s="84"/>
        <tr r="F61" s="84"/>
        <tr r="C43" s="84"/>
        <tr r="P60" s="84"/>
        <tr r="P60" s="84"/>
        <tr r="J59" s="84"/>
        <tr r="J59" s="84"/>
        <tr r="D57" s="84"/>
        <tr r="F59" s="84"/>
        <tr r="F59" s="84"/>
        <tr r="F46" s="84"/>
        <tr r="O58" s="84"/>
        <tr r="O58" s="84"/>
        <tr r="G60" s="84"/>
        <tr r="J56" s="84"/>
        <tr r="J56" s="84"/>
        <tr r="O45" s="84"/>
        <tr r="Q47" s="84"/>
        <tr r="Q47" s="84"/>
        <tr r="N60" s="84"/>
        <tr r="N60" s="84"/>
        <tr r="G61" s="84"/>
        <tr r="G43" s="84"/>
        <tr r="G43" s="84"/>
        <tr r="L42" s="84"/>
        <tr r="L42" s="84"/>
        <tr r="K61" s="84"/>
        <tr r="K61" s="84"/>
        <tr r="M42" s="84"/>
        <tr r="M44" s="84"/>
        <tr r="M57" s="84"/>
        <tr r="M59" s="84"/>
        <tr r="P56" s="84"/>
        <tr r="P56" s="84"/>
        <tr r="K42" s="84"/>
        <tr r="K42" s="84"/>
        <tr r="D61" s="84"/>
        <tr r="M61" s="84"/>
        <tr r="J57" s="84"/>
        <tr r="J57" s="84"/>
        <tr r="I46" s="84"/>
        <tr r="I46" s="84"/>
        <tr r="D10" s="76"/>
        <tr r="F23" s="76"/>
        <tr r="D21" s="76"/>
        <tr r="Q29" s="84"/>
        <tr r="Q29" s="84"/>
        <tr r="P28" s="84"/>
        <tr r="P28" s="84"/>
        <tr r="M9" s="84"/>
        <tr r="L19" s="84"/>
        <tr r="L19" s="84"/>
        <tr r="K8" s="84"/>
        <tr r="K8" s="84"/>
        <tr r="C13" s="84"/>
        <tr r="C6" s="84"/>
        <tr r="N28" s="84"/>
        <tr r="N28" s="84"/>
        <tr r="O13" s="84"/>
        <tr r="H14" s="84"/>
        <tr r="H14" s="84"/>
        <tr r="M24" s="84"/>
        <tr r="F10" s="84"/>
        <tr r="P14" s="84"/>
        <tr r="P14" s="84"/>
        <tr r="H8" s="84"/>
        <tr r="H8" s="84"/>
        <tr r="P23" s="84"/>
        <tr r="P23" s="84"/>
        <tr r="H17" s="84"/>
        <tr r="H17" s="84"/>
        <tr r="L6" s="84"/>
        <tr r="L6" s="84"/>
        <tr r="L9" s="84"/>
        <tr r="L9" s="84"/>
        <tr r="M14" s="84"/>
        <tr r="G24" s="84"/>
        <tr r="G24" s="84"/>
        <tr r="L25" s="84"/>
        <tr r="J25" s="84"/>
        <tr r="L16" s="84"/>
        <tr r="L16" s="84"/>
        <tr r="D12" s="84"/>
        <tr r="D12" s="84"/>
        <tr r="B9" s="104"/>
        <tr r="N10" s="104"/>
        <tr r="F24" s="104"/>
        <tr r="I33" s="104"/>
        <tr r="G49" s="104"/>
        <tr r="H24" s="104"/>
        <tr r="M21" s="104"/>
        <tr r="C9" s="72"/>
        <tr r="F39" s="72"/>
        <tr r="C22" s="72"/>
        <tr r="X11" s="71"/>
        <tr r="M36" s="71"/>
        <tr r="W14" s="71"/>
        <tr r="Y58" s="71"/>
        <tr r="C24" s="76"/>
        <tr r="J32" s="104"/>
        <tr r="C53" s="76"/>
        <tr r="F10" s="72"/>
        <tr r="F88" s="72"/>
        <tr r="L10" s="71"/>
        <tr r="C56" s="71"/>
        <tr r="G19" s="71"/>
        <tr r="R20" s="71"/>
        <tr r="F31" s="72"/>
        <tr r="U57" s="71"/>
        <tr r="D43" s="72"/>
        <tr r="F42" s="84"/>
        <tr r="N7" s="85"/>
        <tr r="N7" s="85"/>
        <tr r="F93" s="72"/>
        <tr r="E13" s="75"/>
        <tr r="F47" s="75"/>
        <tr r="E15" s="76"/>
        <tr r="R33" s="71"/>
        <tr r="K32" s="71"/>
        <tr r="C32" s="104"/>
        <tr r="D46" s="104"/>
        <tr r="J17" s="71"/>
        <tr r="C46" s="76"/>
        <tr r="I23" s="104"/>
        <tr r="K19" s="104"/>
        <tr r="F8" s="72"/>
        <tr r="J23" s="71"/>
        <tr r="I11" s="71"/>
        <tr r="AD38" s="71"/>
        <tr r="L25" s="71"/>
        <tr r="AD29" s="71"/>
        <tr r="AD45" s="71"/>
        <tr r="D19" s="76"/>
        <tr r="K56" s="84"/>
        <tr r="K56" s="84"/>
        <tr r="C50" s="104"/>
        <tr r="R52" s="71"/>
        <tr r="K48" s="104"/>
        <tr r="F23" s="71"/>
        <tr r="F43" s="71"/>
        <tr r="G31" s="104"/>
        <tr r="N6" s="85"/>
        <tr r="N6" s="85"/>
        <tr r="F36" s="71"/>
        <tr r="C77" s="72"/>
        <tr r="I16" s="71"/>
        <tr r="H37" s="104"/>
        <tr r="E29" s="104"/>
        <tr r="I47" s="104"/>
        <tr r="D75" s="72"/>
        <tr r="AB54" s="71"/>
        <tr r="F33" s="71"/>
        <tr r="K53" s="104"/>
        <tr r="B23" s="104"/>
        <tr r="F106" s="72"/>
        <tr r="F98" s="72"/>
        <tr r="E26" s="75"/>
        <tr r="J51" s="104"/>
        <tr r="J15" s="71"/>
        <tr r="F14" s="75"/>
        <tr r="K59" s="84"/>
        <tr r="K59" s="84"/>
        <tr r="B32" s="104"/>
        <tr r="D99" s="72"/>
        <tr r="K49" s="104"/>
        <tr r="F14" s="72"/>
        <tr r="E16" s="76"/>
        <tr r="H31" s="104"/>
        <tr r="N13" s="104"/>
        <tr r="D25" s="75"/>
        <tr r="H56" s="71"/>
        <tr r="C15" s="71"/>
        <tr r="D25" s="104"/>
        <tr r="N30" s="71"/>
        <tr r="Z32" s="71"/>
        <tr r="B43" s="104"/>
        <tr r="X47" s="71"/>
        <tr r="Y10" s="71"/>
        <tr r="D64" s="72"/>
        <tr r="G25" s="71"/>
        <tr r="P19" s="84"/>
        <tr r="P19" s="84"/>
        <tr r="N53" s="71"/>
        <tr r="M8" s="104"/>
        <tr r="G18" s="84"/>
        <tr r="G18" s="84"/>
        <tr r="F107" s="72"/>
        <tr r="H47" s="104"/>
        <tr r="L35" s="71"/>
        <tr r="C36" s="104"/>
        <tr r="C57" s="84"/>
        <tr r="J41" s="71"/>
        <tr r="M28" s="104"/>
        <tr r="C102" s="72"/>
        <tr r="B30" s="75"/>
        <tr r="H8" s="85"/>
        <tr r="H8" s="85"/>
        <tr r="M18" s="71"/>
        <tr r="C31" s="104"/>
        <tr r="C14" s="72"/>
        <tr r="N56" s="84"/>
        <tr r="N56" s="84"/>
        <tr r="K22" s="71"/>
        <tr r="N22" s="71"/>
        <tr r="O19" s="71"/>
        <tr r="E36" s="104"/>
        <tr r="Y19" s="71"/>
        <tr r="D14" s="72"/>
        <tr r="C26" s="104"/>
        <tr r="C31" s="72"/>
        <tr r="N38" s="71"/>
        <tr r="B19" s="75"/>
        <tr r="AA16" s="71"/>
        <tr r="I42" s="104"/>
        <tr r="K13" s="84"/>
        <tr r="K13" s="84"/>
        <tr r="D37" s="72"/>
        <tr r="S39" s="71"/>
        <tr r="C18" s="76"/>
        <tr r="P58" s="84"/>
        <tr r="P58" s="84"/>
        <tr r="F22" s="71"/>
        <tr r="F18" s="71"/>
        <tr r="F8" s="71"/>
        <tr r="D15" s="76"/>
        <tr r="I9" s="85"/>
        <tr r="I9" s="85"/>
        <tr r="Z33" s="71"/>
        <tr r="W33" s="71"/>
        <tr r="O33" s="71"/>
        <tr r="T54" s="71"/>
        <tr r="M32" s="71"/>
        <tr r="H32" s="71"/>
        <tr r="E32" s="104"/>
        <tr r="AA53" s="71"/>
        <tr r="L46" s="104"/>
        <tr r="C93" s="72"/>
        <tr r="J8" s="71"/>
        <tr r="J34" s="71"/>
        <tr r="D17" s="104"/>
        <tr r="W43" s="71"/>
        <tr r="E27" s="71"/>
        <tr r="D100" s="72"/>
        <tr r="M40" s="104"/>
        <tr r="J27" s="104"/>
        <tr r="G20" s="104"/>
        <tr r="C80" s="72"/>
        <tr r="F55" s="72"/>
        <tr r="E29" s="72"/>
        <tr r="D13" s="72"/>
        <tr r="AC36" s="71"/>
        <tr r="S24" s="71"/>
        <tr r="E9" s="71"/>
        <tr r="AC15" s="71"/>
        <tr r="AC27" s="71"/>
        <tr r="AA20" s="71"/>
        <tr r="M44" s="71"/>
        <tr r="S28" s="71"/>
        <tr r="R38" s="71"/>
        <tr r="W49" s="71"/>
        <tr r="AA46" s="71"/>
        <tr r="C39" s="71"/>
        <tr r="I17" s="71"/>
        <tr r="D38" s="71"/>
        <tr r="AC23" s="71"/>
        <tr r="J48" s="71"/>
        <tr r="C14" s="71"/>
        <tr r="L52" s="71"/>
        <tr r="D17" s="76"/>
        <tr r="B36" s="104"/>
        <tr r="G59" s="84"/>
        <tr r="P43" s="84"/>
        <tr r="P43" s="84"/>
        <tr r="H39" s="104"/>
        <tr r="N44" s="71"/>
        <tr r="D63" s="75"/>
        <tr r="F60" s="75"/>
        <tr r="F51" s="76"/>
        <tr r="C15" s="76"/>
        <tr r="D10" s="72"/>
        <tr r="Z54" s="71"/>
        <tr r="F22" s="84"/>
        <tr r="D92" s="72"/>
        <tr r="AB21" s="71"/>
        <tr r="D31" s="72"/>
        <tr r="K43" s="71"/>
        <tr r="Z52" s="71"/>
        <tr r="B16" s="50"/>
        <tr r="F56" s="71"/>
        <tr r="F14" s="71"/>
        <tr r="Q16" s="84"/>
        <tr r="Q16" s="84"/>
        <tr r="C8" s="75"/>
        <tr r="C58" s="76"/>
        <tr r="V7" s="71"/>
        <tr r="J19" s="104"/>
        <tr r="AD47" s="71"/>
        <tr r="AB29" s="71"/>
        <tr r="H37" s="71"/>
        <tr r="I59" s="84"/>
        <tr r="I59" s="84"/>
        <tr r="K15" s="84"/>
        <tr r="K15" s="84"/>
        <tr r="F41" s="71"/>
        <tr r="J27" s="84"/>
        <tr r="J27" s="84"/>
        <tr r="M24" s="71"/>
        <tr r="L24" s="84"/>
        <tr r="L24" s="84"/>
        <tr r="F46" s="104"/>
        <tr r="L33" s="104"/>
        <tr r="AB7" s="71"/>
        <tr r="J29" s="84"/>
        <tr r="J29" s="84"/>
        <tr r="G47" s="104"/>
        <tr r="O47" s="71"/>
        <tr r="V39" s="71"/>
        <tr r="C16" s="71"/>
        <tr r="P15" s="84"/>
        <tr r="P15" s="84"/>
        <tr r="V45" s="71"/>
        <tr r="I9" s="104"/>
        <tr r="T42" s="71"/>
        <tr r="X14" s="71"/>
        <tr r="E38" s="104"/>
        <tr r="L42" s="104"/>
        <tr r="AA33" s="71"/>
        <tr r="G43" s="104"/>
        <tr r="H19" s="84"/>
        <tr r="H19" s="84"/>
        <tr r="M8" s="84"/>
        <tr r="Y40" s="71"/>
        <tr r="I10" s="85"/>
        <tr r="I10" s="85"/>
        <tr r="V47" s="71"/>
        <tr r="F11" s="71"/>
        <tr r="C78" s="72"/>
        <tr r="D21" s="84"/>
        <tr r="D21" s="84"/>
        <tr r="F32" s="104"/>
        <tr r="D47" s="104"/>
        <tr r="C44" s="104"/>
        <tr r="F25" s="71"/>
        <tr r="F16" s="71"/>
        <tr r="V19" s="71"/>
        <tr r="D63" s="72"/>
        <tr r="Q18" s="84"/>
        <tr r="Q18" s="84"/>
        <tr r="AC13" s="71"/>
        <tr r="E15" s="104"/>
        <tr r="D41" s="84"/>
        <tr r="D41" s="84"/>
        <tr r="N51" s="104"/>
        <tr r="F22" s="72"/>
        <tr r="C18" s="84"/>
        <tr r="AC11" s="71"/>
        <tr r="F13" s="104"/>
        <tr r="L56" s="71"/>
        <tr r="V28" s="71"/>
        <tr r="F79" s="72"/>
        <tr r="C20" s="84"/>
        <tr r="F58" s="76"/>
        <tr r="I58" s="71"/>
        <tr r="D28" s="104"/>
        <tr r="U42" s="71"/>
        <tr r="J38" s="104"/>
        <tr r="K53" s="71"/>
        <tr r="D85" s="72"/>
        <tr r="D14" s="84"/>
        <tr r="D14" s="84"/>
        <tr r="E49" s="71"/>
        <tr r="Z12" s="71"/>
        <tr r="H42" s="84"/>
        <tr r="H42" s="84"/>
        <tr r="T29" s="71"/>
        <tr r="T58" s="71"/>
        <tr r="P26" s="84"/>
        <tr r="P26" s="84"/>
        <tr r="H30" s="104"/>
        <tr r="O41" s="71"/>
        <tr r="W48" s="71"/>
        <tr r="AD54" s="71"/>
        <tr r="J41" s="84"/>
        <tr r="J41" s="84"/>
        <tr r="AB19" s="71"/>
        <tr r="F29" s="104"/>
        <tr r="H28" s="104"/>
        <tr r="L20" s="104"/>
        <tr r="T45" s="71"/>
        <tr r="K52" s="104"/>
        <tr r="M35" s="104"/>
        <tr r="I9" s="84"/>
        <tr r="I9" s="84"/>
        <tr r="F38" s="71"/>
        <tr r="AB53" s="71"/>
        <tr r="H19" s="104"/>
        <tr r="L17" s="84"/>
        <tr r="L17" s="84"/>
        <tr r="P10" s="84"/>
        <tr r="P10" s="84"/>
        <tr r="D48" s="75"/>
        <tr r="F23" s="75"/>
        <tr r="Q61" s="84"/>
        <tr r="F37" s="71"/>
        <tr r="G29" s="84"/>
        <tr r="G29" s="84"/>
        <tr r="AC54" s="71"/>
        <tr r="D73" s="72"/>
        <tr r="N22" s="84"/>
        <tr r="X38" s="71"/>
        <tr r="AD52" s="71"/>
        <tr r="J11" s="71"/>
        <tr r="N21" s="71"/>
        <tr r="C27" s="75"/>
        <tr r="X12" s="71"/>
        <tr r="D17" s="72"/>
        <tr r="H48" s="104"/>
        <tr r="F26" s="104"/>
        <tr r="C53" s="104"/>
        <tr r="F63" s="75"/>
        <tr r="C42" s="75"/>
        <tr r="M34" s="104"/>
        <tr r="C76" s="72"/>
        <tr r="G27" s="71"/>
        <tr r="AB32" s="71"/>
        <tr r="D43" s="104"/>
        <tr r="M25" s="71"/>
        <tr r="I49" s="71"/>
        <tr r="C11" s="76"/>
        <tr r="B11" s="104"/>
        <tr r="X29" s="71"/>
        <tr r="G56" s="71"/>
        <tr r="C20" s="76"/>
        <tr r="I25" s="71"/>
        <tr r="G13" s="104"/>
        <tr r="H28" s="71"/>
        <tr r="D36" s="72"/>
        <tr r="F97" s="72"/>
        <tr r="C23" s="104"/>
        <tr r="E22" s="71"/>
        <tr r="Q42" s="84"/>
        <tr r="Q42" s="84"/>
        <tr r="Y45" s="71"/>
        <tr r="F86" s="72"/>
        <tr r="S34" s="71"/>
        <tr r="AD15" s="71"/>
        <tr r="V46" s="71"/>
        <tr r="B37" s="104"/>
        <tr r="G21" s="104"/>
        <tr r="C29" s="76"/>
        <tr r="C29" s="84"/>
        <tr r="I9" s="71"/>
        <tr r="V58" s="71"/>
        <tr r="I24" s="84"/>
        <tr r="I24" s="84"/>
        <tr r="W45" s="71"/>
        <tr r="F52" s="75"/>
        <tr r="T30" s="71"/>
        <tr r="D27" s="76"/>
        <tr r="I36" s="104"/>
        <tr r="I23" s="84"/>
        <tr r="I23" s="84"/>
        <tr r="O23" s="71"/>
        <tr r="F20" s="71"/>
        <tr r="J9" s="85"/>
        <tr r="J9" s="85"/>
        <tr r="H33" s="71"/>
        <tr r="E21" s="72"/>
        <tr r="E17" s="75"/>
        <tr r="D21" s="104"/>
        <tr r="G16" s="104"/>
        <tr r="C103" s="72"/>
        <tr r="L7" s="71"/>
        <tr r="U38" s="71"/>
        <tr r="W7" s="71"/>
        <tr r="AD41" s="71"/>
        <tr r="T19" s="71"/>
        <tr r="D44" s="75"/>
        <tr r="U21" s="71"/>
        <tr r="D38" s="72"/>
        <tr r="H25" s="71"/>
        <tr r="R53" s="71"/>
        <tr r="C66" s="72"/>
        <tr r="J27" s="71"/>
        <tr r="G16" s="84"/>
        <tr r="G16" s="84"/>
        <tr r="N21" s="84"/>
        <tr r="N21" s="84"/>
        <tr r="V21" s="71"/>
        <tr r="F14" s="84"/>
        <tr r="O29" s="84"/>
        <tr r="D10" s="104"/>
        <tr r="S16" s="71"/>
        <tr r="AB41" s="71"/>
        <tr r="Q20" s="84"/>
        <tr r="Q20" s="84"/>
        <tr r="F24" s="71"/>
        <tr r="F30" s="72"/>
        <tr r="F12" s="71"/>
        <tr r="I11" s="84"/>
        <tr r="I11" s="84"/>
        <tr r="F42" s="71"/>
        <tr r="N8" s="84"/>
        <tr r="N8" s="84"/>
        <tr r="E31" s="104"/>
        <tr r="I45" s="104"/>
        <tr r="AA36" s="71"/>
        <tr r="C38" s="71"/>
        <tr r="W57" s="71"/>
        <tr r="C90" s="72"/>
        <tr r="H45" s="84"/>
        <tr r="H45" s="84"/>
        <tr r="M29" s="104"/>
        <tr r="AD39" s="71"/>
        <tr r="L21" s="104"/>
        <tr r="H24" s="71"/>
        <tr r="C17" s="76"/>
        <tr r="F23" s="104"/>
        <tr r="F32" s="71"/>
        <tr r="L9" s="85"/>
        <tr r="L9" s="85"/>
        <tr r="J33" s="71"/>
        <tr r="Y32" s="71"/>
        <tr r="H32" s="104"/>
        <tr r="J6" s="85"/>
        <tr r="J6" s="85"/>
        <tr r="D49" s="104"/>
        <tr r="C42" s="76"/>
        <tr r="H8" s="104"/>
        <tr r="F41" s="104"/>
        <tr r="F11" s="72"/>
        <tr r="S46" s="71"/>
        <tr r="Y23" s="71"/>
        <tr r="L18" s="71"/>
        <tr r="AC52" s="71"/>
        <tr r="AC19" s="71"/>
        <tr r="C11" s="71"/>
        <tr r="AA40" s="71"/>
        <tr r="M13" s="71"/>
        <tr r="C45" s="75"/>
        <tr r="B25" s="104"/>
        <tr r="K46" s="84"/>
        <tr r="K46" s="84"/>
        <tr r="B48" s="104"/>
        <tr r="B14" s="50"/>
        <tr r="E20" s="76"/>
        <tr r="D33" s="104"/>
        <tr r="X19" s="71"/>
        <tr r="G39" s="71"/>
        <tr r="D77" s="72"/>
        <tr r="AC12" s="71"/>
        <tr r="C16" s="75"/>
        <tr r="I14" s="71"/>
        <tr r="E20" s="71"/>
        <tr r="F40" s="104"/>
        <tr r="E56" s="72"/>
        <tr r="E45" s="71"/>
        <tr r="D54" s="72"/>
        <tr r="AC47" s="71"/>
        <tr r="AB11" s="71"/>
        <tr r="P21" s="84"/>
        <tr r="P21" s="84"/>
        <tr r="K47" s="104"/>
        <tr r="F83" s="72"/>
        <tr r="E53" s="104"/>
        <tr r="M53" s="71"/>
        <tr r="C46" s="84"/>
        <tr r="AA54" s="71"/>
        <tr r="G53" s="104"/>
        <tr r="D47" s="71"/>
        <tr r="F35" s="71"/>
        <tr r="G14" s="104"/>
        <tr r="C44" s="84"/>
        <tr r="M35" s="71"/>
        <tr r="E15" s="75"/>
        <tr r="F7" s="71"/>
        <tr r="AB43" s="71"/>
        <tr r="M33" s="71"/>
        <tr r="F56" s="76"/>
        <tr r="AD18" s="71"/>
        <tr r="L49" s="104"/>
        <tr r="C33" s="72"/>
        <tr r="S20" s="71"/>
        <tr r="L38" s="104"/>
        <tr r="F38" s="72"/>
        <tr r="D60" s="75"/>
        <tr r="I48" s="104"/>
        <tr r="N35" s="104"/>
        <tr r="E13" s="104"/>
        <tr r="AD16" s="71"/>
        <tr r="M34" s="71"/>
        <tr r="D9" s="104"/>
        <tr r="F17" s="84"/>
        <tr r="F21" s="84"/>
        <tr r="C62" s="75"/>
        <tr r="C47" s="75"/>
        <tr r="D49" s="75"/>
        <tr r="F29" s="71"/>
        <tr r="E39" s="72"/>
        <tr r="N15" s="84"/>
        <tr r="N15" s="84"/>
        <tr r="E10" s="72"/>
        <tr r="F45" s="72"/>
        <tr r="B15" s="104"/>
        <tr r="F58" s="71"/>
        <tr r="F9" s="71"/>
        <tr r="AB10" s="71"/>
        <tr r="J22" s="71"/>
        <tr r="E9" s="75"/>
        <tr r="AD22" s="71"/>
        <tr r="I43" s="104"/>
        <tr r="Q57" s="84"/>
        <tr r="V16" s="71"/>
        <tr r="E19" s="72"/>
        <tr r="Q10" s="84"/>
        <tr r="Q10" s="84"/>
        <tr r="AB20" s="71"/>
        <tr r="Y28" s="71"/>
        <tr r="C18" s="75"/>
        <tr r="AB48" s="71"/>
        <tr r="L43" s="104"/>
        <tr r="AA29" s="71"/>
        <tr r="E56" s="71"/>
        <tr r="U25" s="71"/>
        <tr r="N15" s="104"/>
        <tr r="F90" s="72"/>
        <tr r="P42" s="84"/>
        <tr r="P42" s="84"/>
        <tr r="AB18" s="71"/>
        <tr r="D29" s="72"/>
        <tr r="D51" s="104"/>
        <tr r="C74" s="72"/>
        <tr r="K49" s="71"/>
        <tr r="L14" s="71"/>
        <tr r="X37" s="71"/>
        <tr r="AB13" s="71"/>
        <tr r="C20" s="71"/>
        <tr r="G18" s="104"/>
        <tr r="D61" s="75"/>
        <tr r="T32" s="71"/>
        <tr r="C8" s="76"/>
        <tr r="T43" s="71"/>
        <tr r="K6" s="84"/>
        <tr r="K6" s="84"/>
        <tr r="D24" s="71"/>
        <tr r="V23" s="71"/>
        <tr r="D45" s="71"/>
        <tr r="M60" s="84"/>
        <tr r="D26" s="84"/>
        <tr r="D26" s="84"/>
        <tr r="F56" s="75"/>
        <tr r="D95" s="72"/>
        <tr r="F39" s="71"/>
        <tr r="Z9" s="71"/>
        <tr r="G45" s="104"/>
        <tr r="G22" s="84"/>
        <tr r="G6" s="84"/>
        <tr r="G6" s="84"/>
        <tr r="C52" s="75"/>
        <tr r="M16" s="71"/>
        <tr r="E18" s="72"/>
        <tr r="E47" s="104"/>
        <tr r="L58" s="84"/>
        <tr r="L58" s="84"/>
        <tr r="F12" s="72"/>
        <tr r="J20" s="104"/>
        <tr r="AB57" s="71"/>
        <tr r="E38" s="71"/>
        <tr r="AD34" s="71"/>
        <tr r="J28" s="84"/>
        <tr r="J28" s="84"/>
        <tr r="D46" s="76"/>
        <tr r="D62" s="76"/>
        <tr r="F15" s="72"/>
        <tr r="K46" s="71"/>
        <tr r="H44" s="104"/>
        <tr r="L12" s="84"/>
        <tr r="L12" s="84"/>
        <tr r="B8" s="50"/>
        <tr r="H49" s="104"/>
        <tr r="D11" s="72"/>
        <tr r="N47" s="104"/>
        <tr r="E26" s="104"/>
        <tr r="E24" s="75"/>
        <tr r="C14" s="75"/>
        <tr r="H22" s="71"/>
        <tr r="O25" s="84"/>
        <tr r="Q59" s="84"/>
        <tr r="C34" s="104"/>
        <tr r="D84" s="72"/>
        <tr r="E32" s="72"/>
        <tr r="AC14" s="71"/>
        <tr r="E32" s="71"/>
        <tr r="N39" s="71"/>
        <tr r="K40" s="71"/>
        <tr r="X52" s="71"/>
        <tr r="J10" s="85"/>
        <tr r="J10" s="85"/>
        <tr r="AA12" s="71"/>
        <tr r="C45" s="72"/>
        <tr r="D24" s="76"/>
        <tr r="T47" s="71"/>
        <tr r="X31" s="71"/>
        <tr r="J42" s="84"/>
        <tr r="J42" s="84"/>
        <tr r="D81" s="72"/>
        <tr r="C48" s="75"/>
        <tr r="P7" s="84"/>
        <tr r="P7" s="84"/>
        <tr r="C91" s="72"/>
        <tr r="D15" s="75"/>
        <tr r="J18" s="104"/>
        <tr r="F10" s="76"/>
        <tr r="AB37" s="71"/>
        <tr r="N57" s="71"/>
        <tr r="C95" s="72"/>
        <tr r="E14" s="104"/>
        <tr r="F89" s="72"/>
        <tr r="B5" s="50"/>
        <tr r="H52" s="71"/>
        <tr r="K10" s="104"/>
        <tr r="C85" s="72"/>
        <tr r="J9" s="84"/>
        <tr r="J9" s="84"/>
        <tr r="F40" s="71"/>
        <tr r="F19" s="71"/>
        <tr r="U33" s="71"/>
        <tr r="O54" s="71"/>
        <tr r="J32" s="71"/>
        <tr r="C53" s="71"/>
        <tr r="J49" s="71"/>
        <tr r="D43" s="71"/>
        <tr r="D108" s="72"/>
        <tr r="D14" s="104"/>
        <tr r="C15" s="72"/>
        <tr r="R43" s="71"/>
        <tr r="N12" s="71"/>
        <tr r="D9" s="71"/>
        <tr r="L29" s="71"/>
        <tr r="J12" s="71"/>
        <tr r="J31" s="71"/>
        <tr r="AC9" s="71"/>
        <tr r="F58" s="84"/>
        <tr r="F58" s="84"/>
        <tr r="D34" s="71"/>
        <tr r="AD8" s="71"/>
        <tr r="F87" s="72"/>
        <tr r="F44" s="75"/>
        <tr r="D65" s="72"/>
        <tr r="I46" s="71"/>
        <tr r="Z8" s="71"/>
        <tr r="V11" s="71"/>
        <tr r="O44" s="71"/>
        <tr r="Y34" s="71"/>
        <tr r="M7" s="84"/>
        <tr r="E24" s="76"/>
        <tr r="F43" s="72"/>
        <tr r="F46" s="71"/>
        <tr r="J7" s="85"/>
        <tr r="J7" s="85"/>
        <tr r="E9" s="104"/>
        <tr r="Z25" s="71"/>
        <tr r="H23" s="84"/>
        <tr r="H23" s="84"/>
        <tr r="E24" s="71"/>
        <tr r="C33" s="71"/>
        <tr r="U47" s="71"/>
        <tr r="AB8" s="71"/>
        <tr r="E20" s="72"/>
        <tr r="H16" s="104"/>
        <tr r="G38" s="71"/>
        <tr r="W41" s="71"/>
        <tr r="N10" s="84"/>
        <tr r="N10" s="84"/>
        <tr r="U54" s="71"/>
        <tr r="D30" s="72"/>
        <tr r="O17" s="71"/>
        <tr r="F64" s="72"/>
        <tr r="N41" s="84"/>
        <tr r="N41" s="84"/>
        <tr r="F29" s="76"/>
        <tr r="G7" s="85"/>
        <tr r="G7" s="85"/>
        <tr r="D6" s="84"/>
        <tr r="D6" s="84"/>
        <tr r="L39" s="71"/>
        <tr r="N42" s="71"/>
        <tr r="V36" s="71"/>
        <tr r="P13" s="84"/>
        <tr r="P13" s="84"/>
        <tr r="M48" s="71"/>
        <tr r="F36" s="72"/>
        <tr r="H11" s="104"/>
        <tr r="K38" s="71"/>
        <tr r="M22" s="84"/>
        <tr r="X33" s="71"/>
        <tr r="I14" s="84"/>
        <tr r="I14" s="84"/>
        <tr r="D16" s="75"/>
        <tr r="V9" s="71"/>
        <tr r="I43" s="84"/>
        <tr r="I43" s="84"/>
        <tr r="E52" s="72"/>
        <tr r="R48" s="71"/>
        <tr r="M41" s="104"/>
        <tr r="E11" s="76"/>
        <tr r="Z16" s="71"/>
        <tr r="S37" s="71"/>
        <tr r="F21" s="71"/>
        <tr r="F15" s="76"/>
        <tr r="Y33" s="71"/>
        <tr r="D33" s="71"/>
        <tr r="X54" s="71"/>
        <tr r="S32" s="71"/>
        <tr r="M46" s="104"/>
        <tr r="C17" s="75"/>
        <tr r="J44" s="71"/>
        <tr r="D41" s="104"/>
        <tr r="O27" s="71"/>
        <tr r="D111" s="72"/>
        <tr r="H25" s="104"/>
        <tr r="C72" s="72"/>
        <tr r="C37" s="72"/>
        <tr r="F50" s="72"/>
        <tr r="S27" s="71"/>
        <tr r="X45" s="71"/>
        <tr r="T31" s="71"/>
        <tr r="AA10" s="71"/>
        <tr r="AC49" s="71"/>
        <tr r="T23" s="71"/>
        <tr r="S18" s="71"/>
        <tr r="J9" s="71"/>
        <tr r="G14" s="71"/>
        <tr r="C16" s="76"/>
        <tr r="C59" s="84"/>
        <tr r="F17" s="71"/>
        <tr r="F34" s="71"/>
        <tr r="K9" s="85"/>
        <tr r="K9" s="85"/>
        <tr r="E33" s="71"/>
        <tr r="AC33" s="71"/>
        <tr r="N33" s="71"/>
        <tr r="C54" s="71"/>
        <tr r="H54" s="71"/>
        <tr r="G32" s="71"/>
        <tr r="C21" s="72"/>
        <tr r="F53" s="76"/>
        <tr r="L32" s="104"/>
        <tr r="I46" s="104"/>
        <tr r="D17" s="75"/>
        <tr r="O6" s="85"/>
        <tr r="O6" s="85"/>
        <tr r="J25" s="71"/>
        <tr r="D38" s="104"/>
        <tr r="I43" s="71"/>
        <tr r="C57" s="76"/>
        <tr r="Y27" s="71"/>
        <tr r="G30" s="104"/>
        <tr r="J24" s="104"/>
        <tr r="N39" s="104"/>
        <tr r="L52" s="104"/>
        <tr r="C73" s="72"/>
        <tr r="D18" s="72"/>
        <tr r="E12" s="72"/>
        <tr r="E14" s="71"/>
        <tr r="N9" s="71"/>
        <tr r="Y29" s="71"/>
        <tr r="K31" s="71"/>
        <tr r="U8" s="71"/>
        <tr r="W24" s="71"/>
        <tr r="U41" s="71"/>
        <tr r="AA11" s="71"/>
        <tr r="T9" s="71"/>
        <tr r="S45" s="71"/>
        <tr r="X8" s="71"/>
        <tr r="T18" s="71"/>
        <tr r="C28" s="71"/>
        <tr r="D56" s="71"/>
        <tr r="AC10" s="71"/>
        <tr r="AD25" s="71"/>
        <tr r="R25" s="71"/>
        <tr r="K29" s="71"/>
        <tr r="C28" s="76"/>
        <tr r="C44" s="75"/>
        <tr r="B12" s="104"/>
        <tr r="I57" s="84"/>
        <tr r="I57" s="84"/>
        <tr r="L44" s="84"/>
        <tr r="L44" s="84"/>
        <tr r="B11" s="50"/>
        <tr r="AC53" s="71"/>
        <tr r="E14" s="75"/>
        <tr r="D74" s="72"/>
        <tr r="AD40" s="71"/>
        <tr r="T33" s="71"/>
        <tr r="D16" s="76"/>
        <tr r="N16" s="71"/>
        <tr r="F95" s="72"/>
        <tr r="AB52" s="71"/>
        <tr r="C52" s="104"/>
        <tr r="D32" s="71"/>
        <tr r="Z46" s="71"/>
        <tr r="I20" s="71"/>
        <tr r="I15" s="71"/>
        <tr r="D29" s="76"/>
        <tr r="F49" s="71"/>
        <tr r="B53" s="104"/>
        <tr r="O9" s="85"/>
        <tr r="O9" s="85"/>
        <tr r="D7" s="84"/>
        <tr r="D7" s="84"/>
        <tr r="D70" s="72"/>
        <tr r="D27" s="104"/>
        <tr r="B3" s="50"/>
        <tr r="C89" s="72"/>
        <tr r="G52" s="71"/>
        <tr r="E43" s="104"/>
        <tr r="G10" s="84"/>
        <tr r="G10" s="84"/>
        <tr r="D88" s="72"/>
        <tr r="I13" s="71"/>
        <tr r="I51" s="104"/>
        <tr r="V14" s="71"/>
        <tr r="L59" s="84"/>
        <tr r="L59" s="84"/>
        <tr r="K20" s="104"/>
        <tr r="J7" s="104"/>
        <tr r="R24" s="71"/>
        <tr r="F48" s="75"/>
        <tr r="F30" s="71"/>
        <tr r="C12" s="84"/>
        <tr r="E22" s="104"/>
        <tr r="E27" s="76"/>
        <tr r="Q7" s="84"/>
        <tr r="Q7" s="84"/>
        <tr r="O18" s="71"/>
        <tr r="P24" s="84"/>
        <tr r="P24" s="84"/>
        <tr r="F57" s="71"/>
        <tr r="B51" s="104"/>
        <tr r="Z58" s="71"/>
        <tr r="H12" s="104"/>
        <tr r="AA45" s="71"/>
        <tr r="H15" s="84"/>
        <tr r="H15" s="84"/>
        <tr r="C24" s="104"/>
        <tr r="D51" s="75"/>
        <tr r="D8" s="76"/>
        <tr r="E31" s="72"/>
        <tr r="X32" s="71"/>
        <tr r="D19" s="72"/>
        <tr r="H11" s="84"/>
        <tr r="H11" s="84"/>
        <tr r="E44" s="72"/>
        <tr r="F52" s="71"/>
        <tr r="G17" s="104"/>
        <tr r="E49" s="104"/>
        <tr r="F45" s="71"/>
        <tr r="G43" s="71"/>
        <tr r="M58" s="84"/>
        <tr r="F100" s="72"/>
        <tr r="C54" s="76"/>
        <tr r="O53" s="71"/>
        <tr r="F31" s="71"/>
        <tr r="AB9" s="71"/>
        <tr r="L22" s="71"/>
        <tr r="AC25" s="71"/>
        <tr r="C10" s="72"/>
        <tr r="W44" s="71"/>
        <tr r="M57" s="71"/>
        <tr r="L47" s="71"/>
        <tr r="H46" s="84"/>
        <tr r="H46" s="84"/>
        <tr r="D14" s="75"/>
        <tr r="X40" s="71"/>
        <tr r="F42" s="76"/>
        <tr r="G31" s="71"/>
        <tr r="C18" s="71"/>
        <tr r="S35" s="71"/>
        <tr r="S14" s="71"/>
        <tr r="Y35" s="71"/>
        <tr r="E17" s="104"/>
        <tr r="R46" s="71"/>
        <tr r="G48" s="71"/>
        <tr r="L6" s="85"/>
        <tr r="L6" s="85"/>
        <tr r="C27" s="71"/>
        <tr r="F50" s="76"/>
        <tr r="I39" s="104"/>
        <tr r="U19" s="71"/>
        <tr r="H10" s="85"/>
        <tr r="H10" s="85"/>
        <tr r="I7" s="85"/>
        <tr r="I7" s="85"/>
        <tr r="H21" s="71"/>
        <tr r="F46" s="72"/>
        <tr r="A16" s="52"/>
        <tr r="P9" s="84"/>
        <tr r="P9" s="84"/>
        <tr r="I44" s="104"/>
        <tr r="E44" s="104"/>
        <tr r="L27" s="84"/>
        <tr r="L27" s="84"/>
        <tr r="A40" s="52"/>
        <tr r="F13" s="84"/>
        <tr r="F43" s="84"/>
        <tr r="K44" s="104"/>
        <tr r="Z17" s="71"/>
        <tr r="N50" s="104"/>
        <tr r="G25" s="84"/>
        <tr r="B17" s="104"/>
        <tr r="X27" s="71"/>
        <tr r="F48" s="71"/>
        <tr r="B9" s="50"/>
        <tr r="V49" s="71"/>
        <tr r="O49" s="71"/>
        <tr r="L14" s="84"/>
        <tr r="L14" s="84"/>
        <tr r="E8" s="104"/>
        <tr r="W15" s="71"/>
        <tr r="L45" s="84"/>
        <tr r="L45" s="84"/>
        <tr r="F74" s="72"/>
        <tr r="H46" s="71"/>
        <tr r="AA32" s="71"/>
        <tr r="T41" s="71"/>
        <tr r="L10" s="85"/>
        <tr r="L10" s="85"/>
        <tr r="C58" s="71"/>
        <tr r="Z37" s="71"/>
        <tr r="I8" s="71"/>
        <tr r="C81" s="72"/>
        <tr r="E10" s="75"/>
        <tr r="F24" s="84"/>
        <tr r="AB33" s="71"/>
        <tr r="O43" s="71"/>
        <tr r="C29" s="72"/>
        <tr r="I18" s="104"/>
        <tr r="D39" s="71"/>
        <tr r="C47" s="76"/>
        <tr r="S47" s="71"/>
        <tr r="G58" s="84"/>
        <tr r="D53" s="71"/>
        <tr r="C66" s="76"/>
        <tr r="D54" s="71"/>
        <tr r="E16" s="75"/>
        <tr r="K57" s="84"/>
        <tr r="K57" s="84"/>
        <tr r="D20" s="71"/>
        <tr r="M30" s="71"/>
        <tr r="D48" s="71"/>
        <tr r="F52" s="72"/>
        <tr r="C21" s="76"/>
        <tr r="J60" s="84"/>
        <tr r="J60" s="84"/>
        <tr r="R10" s="71"/>
        <tr r="W8" s="71"/>
        <tr r="H46" s="104"/>
        <tr r="Q23" s="84"/>
        <tr r="Q23" s="84"/>
        <tr r="N36" s="104"/>
        <tr r="Z19" s="71"/>
        <tr r="D110" s="72"/>
        <tr r="L26" s="84"/>
        <tr r="L26" s="84"/>
        <tr r="D40" s="71"/>
        <tr r="F43" s="104"/>
        <tr r="X23" s="71"/>
        <tr r="V8" s="71"/>
        <tr r="L14" s="104"/>
        <tr r="T28" s="71"/>
        <tr r="O46" s="71"/>
        <tr r="I29" s="84"/>
        <tr r="I29" s="84"/>
        <tr r="K21" s="104"/>
        <tr r="J24" s="71"/>
        <tr r="K52" s="71"/>
        <tr r="Q17" s="84"/>
        <tr r="Q17" s="84"/>
        <tr r="C34" s="71"/>
        <tr r="F54" s="76"/>
        <tr r="I35" s="71"/>
        <tr r="J17" s="84"/>
        <tr r="J17" s="84"/>
        <tr r="F37" s="104"/>
        <tr r="F24" s="76"/>
        <tr r="I56" s="84"/>
        <tr r="I56" s="84"/>
        <tr r="C49" s="104"/>
        <tr r="J15" s="84"/>
        <tr r="J15" s="84"/>
        <tr r="C31" s="71"/>
        <tr r="J61" s="84"/>
        <tr r="J61" s="84"/>
        <tr r="N7" s="71"/>
        <tr r="Y53" s="71"/>
        <tr r="Y39" s="71"/>
        <tr r="K18" s="71"/>
        <tr r="L38" s="71"/>
        <tr r="Q6" s="84"/>
        <tr r="Q6" s="84"/>
        <tr r="E39" s="104"/>
        <tr r="J42" s="104"/>
        <tr r="K50" s="104"/>
        <tr r="F9" s="104"/>
        <tr r="N23" s="84"/>
        <tr r="N23" s="84"/>
        <tr r="P8" s="84"/>
        <tr r="P8" s="84"/>
        <tr r="I40" s="71"/>
        <tr r="E28" s="76"/>
        <tr r="I41" s="84"/>
        <tr r="I41" s="84"/>
        <tr r="F54" s="71"/>
        <tr r="D69" s="72"/>
        <tr r="F25" s="84"/>
        <tr r="L31" s="104"/>
        <tr r="H9" s="71"/>
        <tr r="F10" s="104"/>
        <tr r="F44" s="71"/>
        <tr r="F27" s="71"/>
        <tr r="F8" s="76"/>
        <tr r="E14" s="72"/>
        <tr r="C27" s="84"/>
        <tr r="AC29" s="71"/>
        <tr r="F55" s="76"/>
        <tr r="K25" s="71"/>
        <tr r="V12" s="71"/>
        <tr r="F71" s="72"/>
        <tr r="C14" s="84"/>
        <tr r="L47" s="104"/>
        <tr r="D15" s="71"/>
        <tr r="D98" s="72"/>
        <tr r="V33" s="71"/>
        <tr r="E8" s="72"/>
        <tr r="C16" s="84"/>
        <tr r="I53" s="104"/>
        <tr r="C51" s="76"/>
        <tr r="N46" s="71"/>
        <tr r="AA14" s="71"/>
        <tr r="D17" s="71"/>
        <tr r="G10" s="85"/>
        <tr r="G10" s="85"/>
        <tr r="H19" s="71"/>
        <tr r="I52" s="71"/>
        <tr r="M16" s="104"/>
        <tr r="N43" s="84"/>
        <tr r="N43" s="84"/>
        <tr r="J34" s="104"/>
        <tr r="I53" s="71"/>
        <tr r="I15" s="84"/>
        <tr r="I15" s="84"/>
        <tr r="I54" s="71"/>
        <tr r="C51" s="75"/>
        <tr r="G56" s="84"/>
        <tr r="H10" s="84"/>
        <tr r="H10" s="84"/>
        <tr r="E11" s="104"/>
        <tr r="Y54" s="71"/>
        <tr r="E36" s="71"/>
        <tr r="D44" s="71"/>
        <tr r="N45" s="104"/>
        <tr r="F35" s="104"/>
        <tr r="X24" s="71"/>
        <tr r="H25" s="84"/>
        <tr r="F23" s="72"/>
        <tr r="C87" s="72"/>
        <tr r="F15" s="104"/>
        <tr r="C60" s="84"/>
        <tr r="J14" s="104"/>
        <tr r="K27" s="84"/>
        <tr r="K27" s="84"/>
        <tr r="M8" s="85"/>
        <tr r="M8" s="85"/>
        <tr r="V43" s="71"/>
        <tr r="Z11" s="71"/>
        <tr r="G26" s="104"/>
        <tr r="K16" s="84"/>
        <tr r="K16" s="84"/>
        <tr r="F23" s="84"/>
        <tr r="B41" s="104"/>
        <tr r="AA37" s="71"/>
        <tr r="F11" s="75"/>
        <tr r="K51" s="104"/>
        <tr r="C65" s="72"/>
        <tr r="D15" s="84"/>
        <tr r="D15" s="84"/>
        <tr r="K36" s="104"/>
        <tr r="C58" s="84"/>
        <tr r="AB56" s="71"/>
        <tr r="M47" s="104"/>
        <tr r="S33" s="71"/>
        <tr r="G42" s="84"/>
        <tr r="G42" s="84"/>
        <tr r="R44" s="71"/>
        <tr r="H29" s="71"/>
        <tr r="N54" s="71"/>
        <tr r="E24" s="104"/>
        <tr r="E34" s="72"/>
        <tr r="D9" s="84"/>
        <tr r="D9" s="84"/>
        <tr r="F18" s="104"/>
        <tr r="N11" s="104"/>
        <tr r="H30" s="71"/>
        <tr r="H51" s="104"/>
        <tr r="F77" s="72"/>
        <tr r="H26" s="84"/>
        <tr r="H26" s="84"/>
        <tr r="F17" s="76"/>
        <tr r="Y8" s="71"/>
        <tr r="X16" s="71"/>
        <tr r="C16" s="104"/>
        <tr r="G19" s="84"/>
        <tr r="G19" s="84"/>
        <tr r="N58" s="71"/>
        <tr r="F103" s="72"/>
        <tr r="E51" s="104"/>
        <tr r="I19" s="71"/>
        <tr r="U32" s="71"/>
        <tr r="C17" s="72"/>
        <tr r="M31" s="71"/>
        <tr r="AD58" s="71"/>
        <tr r="D13" s="71"/>
        <tr r="J53" s="104"/>
        <tr r="E37" s="71"/>
        <tr r="K23" s="71"/>
        <tr r="Z23" s="71"/>
        <tr r="Z27" s="71"/>
        <tr r="D22" s="84"/>
        <tr r="H35" s="71"/>
        <tr r="I18" s="84"/>
        <tr r="I18" s="84"/>
        <tr r="AD33" s="71"/>
        <tr r="C44" s="71"/>
        <tr r="H14" s="71"/>
        <tr r="C59" s="76"/>
        <tr r="R49" s="71"/>
        <tr r="AD37" s="71"/>
        <tr r="R12" s="71"/>
        <tr r="K28" s="84"/>
        <tr r="K28" s="84"/>
        <tr r="D91" s="72"/>
        <tr r="W19" s="71"/>
        <tr r="G41" s="71"/>
        <tr r="O42" s="71"/>
        <tr r="E41" s="72"/>
        <tr r="J26" s="84"/>
        <tr r="J26" s="84"/>
        <tr r="H10" s="104"/>
        <tr r="N46" s="104"/>
        <tr r="G41" s="84"/>
        <tr r="G41" s="84"/>
        <tr r="K22" s="84"/>
        <tr r="J10" s="71"/>
        <tr r="F29" s="84"/>
        <tr r="U11" s="71"/>
        <tr r="J48" s="104"/>
        <tr r="H35" s="104"/>
        <tr r="D42" s="71"/>
        <tr r="Z36" s="71"/>
        <tr r="C13" s="72"/>
        <tr r="K33" s="71"/>
        <tr r="E28" s="72"/>
        <tr r="U46" s="71"/>
        <tr r="K7" s="84"/>
        <tr r="K7" s="84"/>
        <tr r="D18" s="104"/>
        <tr r="C35" s="71"/>
        <tr r="J35" s="71"/>
        <tr r="AD24" s="71"/>
        <tr r="D96" s="72"/>
        <tr r="D29" s="104"/>
        <tr r="J46" s="71"/>
        <tr r="J8" s="84"/>
        <tr r="J8" s="84"/>
        <tr r="E41" s="71"/>
        <tr r="A47" s="104"/>
        <tr r="K8" s="85"/>
        <tr r="K8" s="85"/>
        <tr r="Y12" s="71"/>
        <tr r="W22" s="71"/>
        <tr r="Y21" s="71"/>
        <tr r="E25" s="71"/>
        <tr r="C38" s="104"/>
        <tr r="M39" s="71"/>
        <tr r="O21" s="71"/>
        <tr r="U53" s="71"/>
        <tr r="C48" s="71"/>
        <tr r="U15" s="71"/>
        <tr r="H43" s="104"/>
        <tr r="F32" s="72"/>
        <tr r="G22" s="71"/>
        <tr r="D71" s="72"/>
        <tr r="B33" s="71"/>
        <tr r="AB22" s="71"/>
        <tr r="C19" s="72"/>
        <tr r="E7" s="72"/>
        <tr r="C57" s="71"/>
        <tr r="J23" s="104"/>
        <tr r="Z15" s="71"/>
        <tr r="K22" s="104"/>
        <tr r="D58" s="71"/>
        <tr r="H57" s="71"/>
        <tr r="D22" s="76"/>
        <tr r="C21" s="104"/>
        <tr r="J13" s="71"/>
        <tr r="AC18" s="71"/>
        <tr r="D94" s="72"/>
        <tr r="T36" s="71"/>
        <tr r="Y16" s="71"/>
        <tr r="E18" s="75"/>
        <tr r="G13" s="84"/>
        <tr r="G13" s="84"/>
        <tr r="C52" s="72"/>
        <tr r="D16" s="72"/>
        <tr r="I8" s="84"/>
        <tr r="I8" s="84"/>
        <tr r="F59" s="76"/>
        <tr r="X10" s="71"/>
        <tr r="T37" s="71"/>
        <tr r="I21" s="84"/>
        <tr r="I21" s="84"/>
        <tr r="H18" s="71"/>
        <tr r="J11" s="104"/>
        <tr r="J21" s="71"/>
        <tr r="O52" s="71"/>
        <tr r="W12" s="71"/>
        <tr r="W20" s="71"/>
        <tr r="AA27" s="71"/>
        <tr r="D23" s="76"/>
        <tr r="K25" s="84"/>
        <tr r="T34" s="71"/>
        <tr r="J35" s="104"/>
        <tr r="E12" s="76"/>
        <tr r="F46" s="75"/>
        <tr r="F43" s="75"/>
        <tr r="D27" s="71"/>
        <tr r="G35" s="104"/>
        <tr r="P47" s="84"/>
        <tr r="P47" s="84"/>
        <tr r="N29" s="104"/>
        <tr r="G7" s="71"/>
        <tr r="E12" s="75"/>
        <tr r="D63" s="76"/>
        <tr r="E12" s="71"/>
        <tr r="G8" s="84"/>
        <tr r="G8" s="84"/>
        <tr r="A46" s="104"/>
        <tr r="AD14" s="71"/>
        <tr r="F57" s="84"/>
        <tr r="F57" s="84"/>
        <tr r="F60" s="84"/>
        <tr r="F60" s="84"/>
        <tr r="C9" s="71"/>
        <tr r="D9" s="76"/>
        <tr r="AC16" s="71"/>
        <tr r="K23" s="104"/>
        <tr r="N10" s="85"/>
        <tr r="N10" s="85"/>
        <tr r="C11" s="75"/>
        <tr r="C96" s="72"/>
        <tr r="L47" s="84"/>
        <tr r="L47" s="84"/>
        <tr r="J18" s="71"/>
        <tr r="C22" s="84"/>
        <tr r="C63" s="76"/>
        <tr r="D27" s="75"/>
        <tr r="T15" s="71"/>
        <tr r="G42" s="71"/>
        <tr r="E18" s="104"/>
        <tr r="C36" s="72"/>
        <tr r="K29" s="84"/>
        <tr r="K29" s="84"/>
        <tr r="I32" s="71"/>
        <tr r="M54" s="71"/>
        <tr r="U34" s="71"/>
        <tr r="F47" s="71"/>
        <tr r="F28" s="71"/>
        <tr r="N9" s="85"/>
        <tr r="N9" s="85"/>
        <tr r="F92" s="72"/>
        <tr r="F52" s="104"/>
        <tr r="K28" s="104"/>
        <tr r="L8" s="85"/>
        <tr r="L8" s="85"/>
        <tr r="E13" s="76"/>
        <tr r="Z13" s="71"/>
        <tr r="D76" s="72"/>
        <tr r="I6" s="84"/>
        <tr r="I6" s="84"/>
        <tr r="U58" s="71"/>
        <tr r="C42" s="71"/>
        <tr r="K54" s="71"/>
        <tr r="AB15" s="71"/>
        <tr r="D48" s="104"/>
        <tr r="E10" s="71"/>
        <tr r="J30" s="71"/>
        <tr r="F41" s="84"/>
        <tr r="S8" s="71"/>
        <tr r="Q28" s="84"/>
        <tr r="Q28" s="84"/>
        <tr r="AB58" s="71"/>
        <tr r="J44" s="84"/>
        <tr r="J44" s="84"/>
        <tr r="Z14" s="71"/>
        <tr r="V53" s="71"/>
        <tr r="L39" s="104"/>
        <tr r="M29" s="71"/>
        <tr r="Q58" s="84"/>
        <tr r="V10" s="71"/>
        <tr r="M17" s="84"/>
        <tr r="L32" s="71"/>
        <tr r="E46" s="72"/>
        <tr r="V15" s="71"/>
        <tr r="H59" s="84"/>
        <tr r="K30" s="104"/>
        <tr r="I50" s="104"/>
        <tr r="G10" s="104"/>
        <tr r="F25" s="75"/>
        <tr r="F72" s="72"/>
        <tr r="B14" s="104"/>
        <tr r="V17" s="71"/>
        <tr r="E30" s="104"/>
        <tr r="N8" s="85"/>
        <tr r="N8" s="85"/>
        <tr r="F108" s="72"/>
        <tr r="F54" s="72"/>
        <tr r="M27" s="104"/>
        <tr r="G11" s="104"/>
        <tr r="Y43" s="71"/>
        <tr r="E34" s="104"/>
        <tr r="AB38" s="71"/>
        <tr r="Z49" s="71"/>
        <tr r="M9" s="104"/>
        <tr r="N9" s="84"/>
        <tr r="N9" s="84"/>
        <tr r="Q25" s="84"/>
        <tr r="F46" s="76"/>
        <tr r="T27" s="71"/>
        <tr r="D41" s="72"/>
        <tr r="AB23" s="71"/>
        <tr r="G7" s="104"/>
        <tr r="F21" s="72"/>
        <tr r="M9" s="85"/>
        <tr r="M9" s="85"/>
        <tr r="D7" s="71"/>
        <tr r="E37" s="104"/>
        <tr r="D39" s="72"/>
        <tr r="O11" s="84"/>
        <tr r="AD32" s="71"/>
        <tr r="F30" s="76"/>
        <tr r="V52" s="71"/>
        <tr r="F99" s="72"/>
        <tr r="N16" s="84"/>
        <tr r="N16" s="84"/>
        <tr r="H31" s="71"/>
        <tr r="E42" s="72"/>
        <tr r="G54" s="71"/>
        <tr r="O32" s="71"/>
        <tr r="C84" s="72"/>
        <tr r="G20" s="84"/>
        <tr r="G20" s="84"/>
        <tr r="C63" s="75"/>
        <tr r="D106" s="72"/>
        <tr r="B38" s="104"/>
        <tr r="S54" s="71"/>
        <tr r="D11" s="76"/>
        <tr r="N20" s="71"/>
        <tr r="D20" s="104"/>
        <tr r="E40" s="104"/>
        <tr r="N48" s="104"/>
        <tr r="E45" s="104"/>
        <tr r="L37" s="104"/>
        <tr r="S10" s="71"/>
        <tr r="W37" s="71"/>
        <tr r="H52" s="104"/>
        <tr r="M40" s="71"/>
        <tr r="AB25" s="71"/>
        <tr r="K14" s="104"/>
        <tr r="O22" s="71"/>
        <tr r="Z56" s="71"/>
        <tr r="AA47" s="71"/>
        <tr r="I31" s="104"/>
        <tr r="E30" s="72"/>
        <tr r="D54" s="76"/>
        <tr r="K11" s="84"/>
        <tr r="K11" s="84"/>
        <tr r="N17" s="104"/>
        <tr r="M37" s="71"/>
        <tr r="H12" s="71"/>
        <tr r="F27" s="84"/>
        <tr r="I8" s="85"/>
        <tr r="I8" s="85"/>
        <tr r="N19" s="84"/>
        <tr r="N19" s="84"/>
        <tr r="F27" s="76"/>
        <tr r="R32" s="71"/>
        <tr r="F78" s="72"/>
        <tr r="AA48" s="71"/>
        <tr r="X21" s="71"/>
        <tr r="L10" s="104"/>
        <tr r="N14" s="104"/>
        <tr r="A9" s="50"/>
        <tr r="D65" s="76"/>
        <tr r="V37" s="71"/>
        <tr r="D35" s="72"/>
        <tr r="D57" s="71"/>
        <tr r="D41" s="71"/>
        <tr r="F9" s="72"/>
        <tr r="E23" s="104"/>
        <tr r="D44" s="76"/>
        <tr r="C101" s="72"/>
        <tr r="X13" s="71"/>
        <tr r="L11" s="104"/>
        <tr r="G47" s="71"/>
        <tr r="D53" s="76"/>
        <tr r="M14" s="71"/>
        <tr r="S44" s="71"/>
        <tr r="D8" s="71"/>
        <tr r="U31" s="71"/>
        <tr r="E27" s="104"/>
        <tr r="W25" s="71"/>
        <tr r="L49" s="71"/>
        <tr r="O6" s="84"/>
        <tr r="R22" s="71"/>
        <tr r="AA34" s="71"/>
        <tr r="D28" s="76"/>
        <tr r="N32" s="104"/>
        <tr r="M10" s="84"/>
        <tr r="F16" s="84"/>
        <tr r="AB49" s="71"/>
        <tr r="O12" s="71"/>
        <tr r="D11" s="84"/>
        <tr r="D11" s="84"/>
        <tr r="B10" s="104"/>
        <tr r="I30" s="104"/>
        <tr r="V30" s="71"/>
        <tr r="E28" s="104"/>
        <tr r="D9" s="72"/>
        <tr r="L29" s="84"/>
        <tr r="L29" s="84"/>
        <tr r="I23" s="71"/>
        <tr r="O15" s="84"/>
        <tr r="F50" s="75"/>
        <tr r="H61" s="84"/>
        <tr r="AA35" s="71"/>
        <tr r="I14" s="104"/>
        <tr r="AA22" s="71"/>
        <tr r="F19" s="104"/>
        <tr r="K17" s="84"/>
        <tr r="K17" s="84"/>
        <tr r="Q13" s="84"/>
        <tr r="Q13" s="84"/>
        <tr r="I18" s="71"/>
        <tr r="I41" s="104"/>
        <tr r="AB14" s="71"/>
        <tr r="J43" s="104"/>
        <tr r="C29" s="71"/>
        <tr r="E36" s="72"/>
        <tr r="C30" s="104"/>
        <tr r="B39" s="104"/>
        <tr r="B32" s="71"/>
        <tr r="D11" s="104"/>
        <tr r="O14" s="71"/>
        <tr r="E16" s="71"/>
        <tr r="E52" s="104"/>
        <tr r="Z53" s="71"/>
        <tr r="AD28" s="71"/>
        <tr r="I32" s="104"/>
        <tr r="Q14" s="84"/>
        <tr r="Q14" s="84"/>
        <tr r="E21" s="76"/>
        <tr r="Z31" s="71"/>
        <tr r="D10" s="84"/>
        <tr r="D10" s="84"/>
        <tr r="D32" s="104"/>
        <tr r="D12" s="71"/>
        <tr r="M15" s="104"/>
        <tr r="K12" s="71"/>
        <tr r="W29" s="71"/>
        <tr r="O16" s="71"/>
        <tr r="L23" s="71"/>
        <tr r="C49" s="76"/>
        <tr r="D25" s="72"/>
        <tr r="H6" s="84"/>
        <tr r="H6" s="84"/>
        <tr r="M47" s="71"/>
        <tr r="C49" s="71"/>
        <tr r="AD36" s="71"/>
        <tr r="C56" s="84"/>
        <tr r="R41" s="71"/>
        <tr r="C30" s="72"/>
        <tr r="C23" s="71"/>
        <tr r="U44" s="71"/>
        <tr r="C25" s="84"/>
        <tr r="E42" s="71"/>
        <tr r="N13" s="84"/>
        <tr r="N13" s="84"/>
        <tr r="L8" s="84"/>
        <tr r="L8" s="84"/>
        <tr r="L28" s="71"/>
        <tr r="D20" s="76"/>
        <tr r="K16" s="104"/>
        <tr r="H24" s="84"/>
        <tr r="H24" s="84"/>
        <tr r="E29" s="76"/>
        <tr r="B29" s="76"/>
        <tr r="M43" s="104"/>
        <tr r="H42" s="104"/>
        <tr r="V56" s="71"/>
        <tr r="L23" s="104"/>
        <tr r="O58" s="71"/>
        <tr r="B26" s="75"/>
        <tr r="F61" s="75"/>
        <tr r="Y15" s="71"/>
        <tr r="A19" s="52"/>
        <tr r="F53" s="71"/>
        <tr r="U13" s="71"/>
        <tr r="I52" s="104"/>
        <tr r="AD57" s="71"/>
        <tr r="D44" s="84"/>
        <tr r="D44" s="84"/>
        <tr r="W46" s="71"/>
        <tr r="G50" s="104"/>
        <tr r="C51" s="104"/>
        <tr r="F10" s="71"/>
        <tr r="G18" s="71"/>
        <tr r="F51" s="75"/>
        <tr r="J54" s="71"/>
        <tr r="F20" s="76"/>
        <tr r="E10" s="104"/>
        <tr r="F13" s="71"/>
        <tr r="F112" s="72"/>
        <tr r="C13" s="75"/>
        <tr r="F15" s="71"/>
        <tr r="F6" s="71"/>
        <tr r="F66" s="72"/>
        <tr r="Z24" s="71"/>
        <tr r="O42" s="84"/>
        <tr r="C24" s="72"/>
        <tr r="N6" s="84"/>
        <tr r="N6" s="84"/>
        <tr r="N56" s="71"/>
        <tr r="U40" s="71"/>
        <tr r="K15" s="71"/>
        <tr r="E25" s="104"/>
        <tr r="J8" s="104"/>
        <tr r="AD53" s="71"/>
        <tr r="M52" s="104"/>
        <tr r="D11" s="71"/>
        <tr r="I10" s="104"/>
        <tr r="H7" s="71"/>
        <tr r="F8" s="84"/>
        <tr r="F34" s="72"/>
        <tr r="G51" s="104"/>
        <tr r="K41" s="104"/>
        <tr r="G44" s="104"/>
        <tr r="I45" s="84"/>
        <tr r="I45" s="84"/>
        <tr r="M39" s="104"/>
        <tr r="J7" s="71"/>
        <tr r="D59" s="75"/>
        <tr r="N18" s="104"/>
        <tr r="I58" s="84"/>
        <tr r="I58" s="84"/>
        <tr r="U48" s="71"/>
        <tr r="O13" s="71"/>
        <tr r="B10" s="50"/>
        <tr r="J31" s="104"/>
        <tr r="E23" s="72"/>
        <tr r="L51" s="104"/>
        <tr r="F10" s="85"/>
        <tr r="F10" s="85"/>
        <tr r="M31" s="104"/>
        <tr r="J22" s="104"/>
        <tr r="E35" s="104"/>
        <tr r="F42" s="104"/>
        <tr r="L34" s="71"/>
        <tr r="H41" s="104"/>
        <tr r="O22" s="84"/>
        <tr r="I7" s="84"/>
        <tr r="I7" s="84"/>
        <tr r="N37" s="71"/>
        <tr r="C53" s="75"/>
        <tr r="C42" s="104"/>
        <tr r="Z42" s="71"/>
        <tr r="M47" s="84"/>
        <tr r="D52" s="75"/>
        <tr r="O30" s="71"/>
        <tr r="AC45" s="71"/>
        <tr r="V34" s="71"/>
        <tr r="D89" s="72"/>
        <tr r="L10" s="84"/>
        <tr r="L10" s="84"/>
        <tr r="H34" s="71"/>
        <tr r="AB46" s="71"/>
        <tr r="E50" s="104"/>
        <tr r="D42" s="75"/>
        <tr r="G40" s="104"/>
        <tr r="J6" s="84"/>
        <tr r="J6" s="84"/>
        <tr r="V54" s="71"/>
        <tr r="J44" s="104"/>
        <tr r="X53" s="71"/>
        <tr r="AB39" s="71"/>
        <tr r="AC22" s="71"/>
        <tr r="E45" s="72"/>
        <tr r="N28" s="71"/>
        <tr r="I31" s="71"/>
        <tr r="AD10" s="71"/>
        <tr r="H47" s="84"/>
        <tr r="H47" s="84"/>
        <tr r="L13" s="104"/>
        <tr r="C8" s="71"/>
        <tr r="B4" s="50"/>
        <tr r="D45" s="75"/>
        <tr r="N10" s="71"/>
        <tr r="G8" s="71"/>
        <tr r="D50" s="76"/>
        <tr r="J58" s="84"/>
        <tr r="J58" s="84"/>
        <tr r="V44" s="71"/>
        <tr r="H58" s="71"/>
        <tr r="M11" s="71"/>
        <tr r="J52" s="104"/>
        <tr r="E27" s="75"/>
        <tr r="M43" s="71"/>
        <tr r="AD11" s="71"/>
        <tr r="E17" s="71"/>
        <tr r="C14" s="76"/>
        <tr r="G27" s="104"/>
        <tr r="D14" s="71"/>
        <tr r="AA39" s="71"/>
        <tr r="C64" s="76"/>
        <tr r="N17" s="71"/>
        <tr r="H47" s="71"/>
        <tr r="L40" s="71"/>
        <tr r="K13" s="71"/>
        <tr r="D57" s="76"/>
        <tr r="E53" s="71"/>
        <tr r="J26" s="104"/>
        <tr r="AA57" s="71"/>
        <tr r="X41" s="71"/>
        <tr r="N45" s="84"/>
        <tr r="N45" s="84"/>
        <tr r="AD9" s="71"/>
        <tr r="J40" s="71"/>
        <tr r="K20" s="71"/>
        <tr r="X46" s="71"/>
        <tr r="Y48" s="71"/>
        <tr r="H27" s="104"/>
        <tr r="N22" s="104"/>
        <tr r="C12" s="76"/>
        <tr r="J57" s="71"/>
        <tr r="I47" s="71"/>
        <tr r="L26" s="104"/>
        <tr r="G24" s="104"/>
        <tr r="AC35" s="71"/>
        <tr r="D10" s="85"/>
        <tr r="D10" s="85"/>
        <tr r="N21" s="104"/>
        <tr r="F47" s="84"/>
        <tr r="F12" s="76"/>
        <tr r="M7" s="71"/>
        <tr r="C30" s="76"/>
        <tr r="E38" s="72"/>
        <tr r="W54" s="71"/>
        <tr r="N18" s="84"/>
        <tr r="N18" s="84"/>
        <tr r="L25" s="104"/>
        <tr r="J10" s="104"/>
        <tr r="G13" s="71"/>
        <tr r="X15" s="71"/>
        <tr r="C9" s="75"/>
        <tr r="H34" s="104"/>
        <tr r="H7" s="104"/>
        <tr r="P29" s="84"/>
        <tr r="P29" s="84"/>
        <tr r="H44" s="71"/>
        <tr r="G10" s="71"/>
        <tr r="J53" s="71"/>
        <tr r="M51" s="104"/>
        <tr r="F33" s="104"/>
        <tr r="T20" s="71"/>
        <tr r="O17" s="84"/>
        <tr r="L30" s="104"/>
        <tr r="U43" s="71"/>
        <tr r="B15" s="76"/>
        <tr r="K28" s="71"/>
        <tr r="O28" s="71"/>
        <tr r="B7" s="50"/>
        <tr r="G53" s="71"/>
        <tr r="K45" s="84"/>
        <tr r="K45" s="84"/>
        <tr r="M21" s="84"/>
        <tr r="U28" s="71"/>
        <tr r="C50" s="75"/>
        <tr r="L18" s="104"/>
        <tr r="N8" s="71"/>
        <tr r="D56" s="84"/>
        <tr r="R31" s="71"/>
        <tr r="H20" s="71"/>
        <tr r="D50" s="104"/>
        <tr r="B17" s="50"/>
        <tr r="AA23" s="71"/>
        <tr r="F22" s="76"/>
        <tr r="L36" s="104"/>
        <tr r="AA19" s="71"/>
        <tr r="O45" s="71"/>
        <tr r="F13" s="75"/>
        <tr r="E15" s="71"/>
        <tr r="P22" s="84"/>
        <tr r="R29" s="71"/>
        <tr r="F44" s="104"/>
        <tr r="AC46" s="71"/>
        <tr r="C45" s="104"/>
        <tr r="B13" s="104"/>
        <tr r="M36" s="104"/>
        <tr r="C41" s="75"/>
        <tr r="M6" s="84"/>
        <tr r="E10" s="76"/>
        <tr r="E33" s="104"/>
        <tr r="D53" s="75"/>
        <tr r="F16" s="76"/>
        <tr r="C92" s="72"/>
        <tr r="K18" s="84"/>
        <tr r="K18" s="84"/>
        <tr r="A44" s="104"/>
        <tr r="D12" s="75"/>
        <tr r="W13" s="71"/>
        <tr r="O11" s="71"/>
        <tr r="L30" s="71"/>
        <tr r="F12" s="75"/>
        <tr r="E27" s="72"/>
        <tr r="O8" s="85"/>
        <tr r="O8" s="85"/>
        <tr r="B53" s="71"/>
        <tr r="C25" s="104"/>
        <tr r="U52" s="71"/>
        <tr r="J39" s="104"/>
        <tr r="X9" s="71"/>
        <tr r="Z30" s="71"/>
        <tr r="M50" s="104"/>
        <tr r="D13" s="104"/>
        <tr r="G45" s="84"/>
        <tr r="G45" s="84"/>
        <tr r="L23" s="84"/>
        <tr r="L23" s="84"/>
        <tr r="H15" s="71"/>
        <tr r="E23" s="75"/>
        <tr r="E20" s="75"/>
        <tr r="L22" s="104"/>
        <tr r="C23" s="76"/>
        <tr r="M13" s="104"/>
        <tr r="N44" s="84"/>
        <tr r="N44" s="84"/>
        <tr r="B60" s="72"/>
        <tr r="AC31" s="71"/>
        <tr r="W23" s="71"/>
        <tr r="K24" s="71"/>
        <tr r="AB35" s="71"/>
        <tr r="G11" s="71"/>
        <tr r="E29" s="75"/>
        <tr r="D34" s="104"/>
        <tr r="I48" s="71"/>
        <tr r="J46" s="84"/>
        <tr r="J46" s="84"/>
        <tr r="M22" s="71"/>
        <tr r="F16" s="75"/>
        <tr r="G23" s="71"/>
        <tr r="I27" s="71"/>
        <tr r="J28" s="104"/>
        <tr r="A9" s="85"/>
        <tr r="C20" s="75"/>
        <tr r="Y14" s="71"/>
        <tr r="R57" s="71"/>
        <tr r="G57" s="71"/>
        <tr r="R54" s="71"/>
        <tr r="E52" s="71"/>
        <tr r="C10" s="84"/>
        <tr r="O35" s="71"/>
        <tr r="D47" s="76"/>
        <tr r="G38" s="104"/>
        <tr r="V40" s="71"/>
        <tr r="Z40" s="71"/>
        <tr r="AB31" s="71"/>
        <tr r="F27" s="104"/>
        <tr r="F19" s="72"/>
        <tr r="D93" s="72"/>
        <tr r="B24" s="104"/>
        <tr r="S29" s="71"/>
        <tr r="I37" s="71"/>
        <tr r="V22" s="71"/>
        <tr r="D66" s="76"/>
        <tr r="D56" s="76"/>
        <tr r="O37" s="71"/>
        <tr r="R45" s="71"/>
        <tr r="C107" s="72"/>
        <tr r="E23" s="71"/>
        <tr r="E24" s="72"/>
        <tr r="K10" s="71"/>
        <tr r="L54" s="71"/>
        <tr r="F44" s="72"/>
        <tr r="M19" s="84"/>
        <tr r="AD13" s="71"/>
        <tr r="AD30" s="71"/>
        <tr r="M9" s="71"/>
        <tr r="F48" s="76"/>
        <tr r="E18" s="76"/>
        <tr r="D42" s="72"/>
        <tr r="N31" s="104"/>
        <tr r="N43" s="104"/>
        <tr r="S36" s="71"/>
        <tr r="R36" s="71"/>
        <tr r="E54" s="71"/>
        <tr r="B54" s="71"/>
        <tr r="H13" s="84"/>
        <tr r="H13" s="84"/>
        <tr r="J22" s="84"/>
        <tr r="K11" s="71"/>
        <tr r="I61" s="84"/>
        <tr r="I61" s="84"/>
        <tr r="T48" s="71"/>
        <tr r="P6" s="84"/>
        <tr r="P6" s="84"/>
        <tr r="F18" s="72"/>
        <tr r="J58" s="71"/>
        <tr r="AD49" s="71"/>
        <tr r="AC58" s="71"/>
        <tr r="F31" s="104"/>
        <tr r="E13" s="71"/>
        <tr r="J13" s="104"/>
        <tr r="D16" s="71"/>
        <tr r="C49" s="75"/>
        <tr r="Z18" s="71"/>
        <tr r="H13" s="71"/>
        <tr r="C11" s="104"/>
        <tr r="D25" s="71"/>
        <tr r="V27" s="71"/>
        <tr r="G21" s="84"/>
        <tr r="G21" s="84"/>
        <tr r="S12" s="71"/>
        <tr r="H16" s="71"/>
        <tr r="AA58" s="71"/>
        <tr r="C12" s="104"/>
        <tr r="C28" s="104"/>
        <tr r="G16" s="71"/>
        <tr r="H27" s="84"/>
        <tr r="H27" s="84"/>
        <tr r="H9" s="104"/>
        <tr r="L46" s="84"/>
        <tr r="L46" s="84"/>
        <tr r="K13" s="104"/>
        <tr r="D18" s="75"/>
        <tr r="J9" s="104"/>
        <tr r="Y36" s="71"/>
        <tr r="E20" s="104"/>
        <tr r="B20" s="104"/>
        <tr r="K45" s="71"/>
        <tr r="E16" s="104"/>
        <tr r="G46" s="71"/>
        <tr r="Z35" s="71"/>
        <tr r="G28" s="71"/>
        <tr r="V18" s="71"/>
        <tr r="D79" s="72"/>
        <tr r="M20" s="104"/>
        <tr r="M18" s="104"/>
        <tr r="F20" s="104"/>
        <tr r="E51" s="72"/>
        <tr r="H48" s="71"/>
        <tr r="K11" s="104"/>
        <tr r="N35" s="71"/>
        <tr r="AA30" s="71"/>
        <tr r="C28" s="84"/>
        <tr r="N52" s="104"/>
        <tr r="I20" s="104"/>
        <tr r="J40" s="104"/>
        <tr r="K32" s="104"/>
        <tr r="C98" s="72"/>
        <tr r="AC37" s="71"/>
        <tr r="C38" s="72"/>
        <tr r="AB27" s="71"/>
        <tr r="B21" s="104"/>
        <tr r="C12" s="75"/>
        <tr r="H11" s="71"/>
        <tr r="I26" s="84"/>
        <tr r="I26" s="84"/>
        <tr r="L37" s="71"/>
        <tr r="D47" s="72"/>
        <tr r="H45" s="104"/>
        <tr r="X20" s="71"/>
        <tr r="Y41" s="71"/>
        <tr r="F30" s="104"/>
        <tr r="M58" s="71"/>
        <tr r="G48" s="104"/>
        <tr r="Q8" s="84"/>
        <tr r="Q8" s="84"/>
        <tr r="G29" s="71"/>
        <tr r="C17" s="71"/>
        <tr r="E46" s="71"/>
        <tr r="C52" s="76"/>
        <tr r="K35" s="71"/>
        <tr r="S7" s="71"/>
        <tr r="W38" s="71"/>
        <tr r="R7" s="71"/>
        <tr r="C106" s="72"/>
        <tr r="D10" s="71"/>
        <tr r="K31" s="104"/>
        <tr r="N12" s="104"/>
        <tr r="F15" s="75"/>
        <tr r="K12" s="84"/>
        <tr r="K12" s="84"/>
        <tr r="AC44" s="71"/>
        <tr r="Q49" s="71"/>
        <tr r="N18" s="71"/>
        <tr r="V25" s="71"/>
        <tr r="M10" s="104"/>
        <tr r="M56" s="84"/>
        <tr r="F49" s="75"/>
        <tr r="B50" s="104"/>
        <tr r="G25" s="104"/>
        <tr r="X35" s="71"/>
        <tr r="A14" s="50"/>
        <tr r="I39" s="71"/>
        <tr r="M32" s="104"/>
        <tr r="T40" s="71"/>
        <tr r="M38" s="71"/>
        <tr r="C94" s="72"/>
        <tr r="N52" s="71"/>
        <tr r="N28" s="104"/>
        <tr r="F91" s="72"/>
        <tr r="C28" s="72"/>
        <tr r="D40" s="72"/>
        <tr r="D12" s="76"/>
        <tr r="E19" s="76"/>
        <tr r="F50" s="104"/>
        <tr r="F56" s="72"/>
        <tr r="C13" s="71"/>
        <tr r="I49" s="104"/>
        <tr r="AC41" s="71"/>
        <tr r="R16" s="71"/>
        <tr r="Z22" s="71"/>
        <tr r="I6" s="85"/>
        <tr r="I6" s="85"/>
        <tr r="Q15" s="84"/>
        <tr r="Q15" s="84"/>
        <tr r="M7" s="104"/>
        <tr r="E34" s="71"/>
        <tr r="D64" s="76"/>
        <tr r="G34" s="71"/>
        <tr r="D39" s="104"/>
        <tr r="B8" s="104"/>
        <tr r="F20" s="84"/>
        <tr r="O14" s="84"/>
        <tr r="N12" s="84"/>
        <tr r="N12" s="84"/>
        <tr r="N24" s="71"/>
        <tr r="F8" s="75"/>
        <tr r="G20" s="71"/>
        <tr r="M21" s="71"/>
        <tr r="E15" s="72"/>
        <tr r="AD35" s="71"/>
        <tr r="I56" s="71"/>
        <tr r="E30" s="71"/>
        <tr r="E42" s="104"/>
        <tr r="J49" s="104"/>
        <tr r="C35" s="72"/>
        <tr r="H27" s="71"/>
        <tr r="N19" s="71"/>
        <tr r="F21" s="76"/>
        <tr r="D47" s="75"/>
        <tr r="K8" s="104"/>
        <tr r="Z34" s="71"/>
        <tr r="T24" s="71"/>
        <tr r="AA31" s="71"/>
        <tr r="D28" s="84"/>
        <tr r="D28" s="84"/>
        <tr r="L42" s="71"/>
        <tr r="U9" s="71"/>
        <tr r="V57" s="71"/>
        <tr r="G28" s="104"/>
        <tr r="I35" s="104"/>
        <tr r="S49" s="71"/>
        <tr r="J10" s="84"/>
        <tr r="J10" s="84"/>
        <tr r="D27" s="72"/>
        <tr r="J8" s="85"/>
        <tr r="J8" s="85"/>
        <tr r="W21" s="71"/>
        <tr r="F62" s="76"/>
        <tr r="I34" s="71"/>
        <tr r="C19" s="71"/>
        <tr r="Z48" s="71"/>
        <tr r="G15" s="71"/>
        <tr r="N42" s="104"/>
        <tr r="D18" s="71"/>
        <tr r="I19" s="104"/>
        <tr r="D60" s="84"/>
        <tr r="M24" s="104"/>
        <tr r="AB28" s="71"/>
        <tr r="H41" s="84"/>
        <tr r="H41" s="84"/>
        <tr r="G35" s="71"/>
        <tr r="F41" s="72"/>
        <tr r="E29" s="71"/>
        <tr r="D29" s="75"/>
        <tr r="AD23" s="71"/>
        <tr r="D86" s="72"/>
        <tr r="W42" s="71"/>
        <tr r="R11" s="71"/>
        <tr r="O29" s="71"/>
        <tr r="D52" s="72"/>
        <tr r="B52" s="72"/>
        <tr r="F18" s="76"/>
        <tr r="K7" s="85"/>
        <tr r="K7" s="85"/>
        <tr r="J33" s="104"/>
        <tr r="B33" s="104"/>
        <tr r="B47" s="75"/>
        <tr r="F65" s="72"/>
        <tr r="M6" s="85"/>
        <tr r="M6" s="85"/>
        <tr r="D46" s="72"/>
        <tr r="AC38" s="71"/>
        <tr r="E8" s="75"/>
        <tr r="D78" s="72"/>
        <tr r="A27" s="104"/>
        <tr r="N29" s="84"/>
        <tr r="N29" s="84"/>
        <tr r="F52" s="76"/>
        <tr r="P12" s="84"/>
        <tr r="P12" s="84"/>
        <tr r="O56" s="71"/>
        <tr r="B28" s="104"/>
        <tr r="Y17" s="71"/>
        <tr r="E43" s="71"/>
        <tr r="H43" s="71"/>
        <tr r="D23" s="84"/>
        <tr r="D23" s="84"/>
        <tr r="V35" s="71"/>
        <tr r="C21" s="71"/>
        <tr r="E12" s="104"/>
        <tr r="C44" s="76"/>
        <tr r="D36" s="71"/>
        <tr r="B10" s="72"/>
        <tr r="E28" s="75"/>
        <tr r="L50" s="104"/>
        <tr r="L53" s="104"/>
        <tr r="Q26" s="84"/>
        <tr r="Q26" s="84"/>
        <tr r="Y31" s="71"/>
        <tr r="N8" s="104"/>
        <tr r="AA49" s="71"/>
        <tr r="I17" s="84"/>
        <tr r="I17" s="84"/>
        <tr r="F110" s="72"/>
        <tr r="G32" s="104"/>
        <tr r="X7" s="71"/>
        <tr r="C7" s="72"/>
        <tr r="C43" s="71"/>
        <tr r="E21" s="104"/>
        <tr r="Y13" s="71"/>
        <tr r="D101" s="72"/>
        <tr r="F7" s="72"/>
        <tr r="H8" s="71"/>
        <tr r="E37" s="72"/>
        <tr r="H57" s="84"/>
        <tr r="F102" s="72"/>
        <tr r="L44" s="71"/>
        <tr r="O7" s="71"/>
        <tr r="AB47" s="71"/>
        <tr r="I11" s="104"/>
        <tr r="H50" s="104"/>
        <tr r="F28" s="104"/>
        <tr r="I29" s="71"/>
        <tr r="D102" s="72"/>
        <tr r="O20" s="71"/>
        <tr r="D59" s="76"/>
        <tr r="AC20" s="71"/>
        <tr r="C19" s="104"/>
        <tr r="S31" s="71"/>
        <tr r="C9" s="76"/>
        <tr r="K48" s="71"/>
        <tr r="D51" s="76"/>
        <tr r="K34" s="71"/>
        <tr r="I41" s="71"/>
        <tr r="B22" s="104"/>
        <tr r="E17" s="76"/>
        <tr r="L22" s="84"/>
        <tr r="AD20" s="71"/>
        <tr r="AD42" s="71"/>
        <tr r="E21" s="71"/>
        <tr r="Z20" s="71"/>
        <tr r="D56" s="75"/>
        <tr r="G21" s="71"/>
        <tr r="J52" s="71"/>
        <tr r="V42" s="71"/>
        <tr r="I37" s="104"/>
        <tr r="AB16" s="71"/>
        <tr r="C30" s="71"/>
        <tr r="L12" s="104"/>
        <tr r="M11" s="104"/>
        <tr r="AB42" s="71"/>
        <tr r="C83" s="72"/>
        <tr r="S56" s="71"/>
        <tr r="H13" s="104"/>
        <tr r="C40" s="72"/>
        <tr r="A8" s="50"/>
        <tr r="G19" s="104"/>
        <tr r="I36" s="71"/>
        <tr r="J15" s="104"/>
        <tr r="J45" s="84"/>
        <tr r="J45" s="84"/>
        <tr r="F25" s="104"/>
        <tr r="Y24" s="71"/>
        <tr r="K38" s="104"/>
        <tr r="L57" s="71"/>
        <tr r="V13" s="71"/>
        <tr r="J50" s="104"/>
        <tr r="M46" s="71"/>
        <tr r="S43" s="71"/>
        <tr r="N38" s="104"/>
        <tr r="E33" s="72"/>
        <tr r="I28" s="104"/>
        <tr r="AA25" s="71"/>
        <tr r="Y38" s="71"/>
        <tr r="T56" s="71"/>
        <tr r="D7" s="104"/>
        <tr r="G58" s="71"/>
        <tr r="T13" s="71"/>
        <tr r="C48" s="104"/>
        <tr r="H38" s="71"/>
        <tr r="D50" s="75"/>
        <tr r="L60" s="84"/>
        <tr r="L60" s="84"/>
        <tr r="C39" s="104"/>
        <tr r="N25" s="104"/>
        <tr r="M41" s="71"/>
        <tr r="AA13" s="71"/>
        <tr r="O12" s="84"/>
        <tr r="M53" s="104"/>
        <tr r="F13" s="72"/>
        <tr r="C43" s="104"/>
        <tr r="B15" s="50"/>
        <tr r="H42" s="71"/>
        <tr r="E41" s="104"/>
        <tr r="J7" s="84"/>
        <tr r="J7" s="84"/>
        <tr r="K24" s="84"/>
        <tr r="K24" s="84"/>
        <tr r="F11" s="84"/>
        <tr r="I13" s="104"/>
        <tr r="X39" s="71"/>
        <tr r="U7" s="71"/>
        <tr r="G41" s="104"/>
        <tr r="M26" s="104"/>
        <tr r="L17" s="71"/>
        <tr r="L45" s="71"/>
        <tr r="L8" s="104"/>
        <tr r="R23" s="71"/>
        <tr r="D42" s="76"/>
        <tr r="AB45" s="71"/>
        <tr r="N25" s="84"/>
        <tr r="F45" s="104"/>
        <tr r="G34" s="104"/>
        <tr r="K12" s="104"/>
        <tr r="N40" s="104"/>
        <tr r="V31" s="71"/>
        <tr r="C10" s="76"/>
        <tr r="C24" s="84"/>
        <tr r="M22" s="104"/>
        <tr r="S23" s="71"/>
        <tr r="C23" s="72"/>
        <tr r="D20" s="72"/>
        <tr r="M41" s="84"/>
        <tr r="O40" s="71"/>
        <tr r="W10" s="71"/>
        <tr r="F69" s="72"/>
        <tr r="L13" s="84"/>
        <tr r="L13" s="84"/>
        <tr r="A32" s="104"/>
        <tr r="F66" s="76"/>
        <tr r="Q58" s="71"/>
        <tr r="D16" s="104"/>
        <tr r="J29" s="104"/>
        <tr r="F17" s="75"/>
        <tr r="B17" s="75"/>
        <tr r="F29" s="75"/>
        <tr r="AB40" s="71"/>
        <tr r="T44" s="71"/>
        <tr r="D37" s="71"/>
        <tr r="D8" s="104"/>
        <tr r="L27" s="71"/>
        <tr r="I15" s="104"/>
        <tr r="F49" s="104"/>
        <tr r="I57" s="71"/>
        <tr r="K16" s="71"/>
        <tr r="B40" s="104"/>
        <tr r="N30" s="104"/>
        <tr r="X25" s="71"/>
        <tr r="E58" s="71"/>
        <tr r="AC21" s="71"/>
        <tr r="N53" s="104"/>
        <tr r="E16" s="72"/>
        <tr r="N14" s="71"/>
        <tr r="Y22" s="71"/>
        <tr r="O24" s="71"/>
        <tr r="M56" s="71"/>
        <tr r="V24" s="71"/>
        <tr r="J13" s="84"/>
        <tr r="J13" s="84"/>
        <tr r="D42" s="84"/>
        <tr r="D42" s="84"/>
        <tr r="T49" s="71"/>
        <tr r="T35" s="71"/>
        <tr r="L24" s="71"/>
        <tr r="C20" s="72"/>
        <tr r="D35" s="71"/>
        <tr r="C22" s="76"/>
        <tr r="G9" s="71"/>
        <tr r="K25" s="104"/>
        <tr r="M45" s="104"/>
        <tr r="I24" s="71"/>
        <tr r="P18" s="84"/>
        <tr r="P18" s="84"/>
        <tr r="Q19" s="84"/>
        <tr r="Q19" s="84"/>
        <tr r="O28" s="84"/>
        <tr r="J14" s="84"/>
        <tr r="J14" s="84"/>
        <tr r="D67" s="72"/>
        <tr r="D30" s="104"/>
        <tr r="N41" s="104"/>
        <tr r="G26" s="84"/>
        <tr r="G26" s="84"/>
        <tr r="D23" s="72"/>
        <tr r="O47" s="84"/>
        <tr r="O8" s="71"/>
        <tr r="K27" s="71"/>
        <tr r="O24" s="84"/>
        <tr r="M28" s="71"/>
        <tr r="P20" s="84"/>
        <tr r="P20" s="84"/>
        <tr r="S38" s="71"/>
        <tr r="F53" s="75"/>
        <tr r="L7" s="84"/>
        <tr r="L7" s="84"/>
        <tr r="D36" s="104"/>
        <tr r="W17" s="71"/>
        <tr r="B35" s="71"/>
        <tr r="C33" s="104"/>
        <tr r="C17" s="84"/>
        <tr r="C14" s="104"/>
        <tr r="Q40" s="71"/>
        <tr r="A51" s="52"/>
        <tr r="U29" s="71"/>
        <tr r="M26" s="84"/>
        <tr r="X22" s="71"/>
        <tr r="X48" s="71"/>
        <tr r="C40" s="104"/>
        <tr r="G6" s="104"/>
        <tr r="I7" s="71"/>
        <tr r="I47" s="84"/>
        <tr r="I47" s="84"/>
        <tr r="D53" s="104"/>
        <tr r="C68" s="72"/>
        <tr r="M10" s="71"/>
        <tr r="F40" s="72"/>
        <tr r="Q60" s="84"/>
        <tr r="F111" s="72"/>
        <tr r="A10" s="52"/>
        <tr r="N59" s="84"/>
        <tr r="N59" s="84"/>
        <tr r="D55" s="72"/>
        <tr r="F47" s="72"/>
        <tr r="K15" s="104"/>
        <tr r="I16" s="104"/>
        <tr r="I10" s="71"/>
        <tr r="F63" s="76"/>
        <tr r="S57" s="71"/>
        <tr r="H15" s="104"/>
        <tr r="J43" s="71"/>
        <tr r="C34" s="72"/>
        <tr r="O10" s="71"/>
        <tr r="O48" s="71"/>
        <tr r="R56" s="71"/>
        <tr r="AC48" s="71"/>
        <tr r="C46" s="75"/>
        <tr r="B42" s="104"/>
        <tr r="I21" s="71"/>
        <tr r="E17" s="72"/>
        <tr r="D14" s="76"/>
        <tr r="D18" s="84"/>
        <tr r="D18" s="84"/>
        <tr r="Q27" s="84"/>
        <tr r="Q27" s="84"/>
        <tr r="AA41" s="71"/>
        <tr r="F8" s="104"/>
        <tr r="E7" s="104"/>
        <tr r="Q9" s="84"/>
        <tr r="Q9" s="84"/>
        <tr r="H45" s="71"/>
        <tr r="M45" s="71"/>
        <tr r="N24" s="104"/>
        <tr r="F96" s="72"/>
        <tr r="M25" s="84"/>
        <tr r="E55" s="72"/>
        <tr r="AB36" s="71"/>
        <tr r="F36" s="104"/>
        <tr r="S13" s="71"/>
        <tr r="B52" s="104"/>
        <tr r="F80" s="72"/>
        <tr r="E57" s="71"/>
        <tr r="L48" s="71"/>
        <tr r="J36" s="104"/>
        <tr r="AD17" s="71"/>
        <tr r="C25" s="71"/>
        <tr r="W11" s="71"/>
        <tr r="J25" s="104"/>
        <tr r="D21" s="72"/>
        <tr r="F24" s="75"/>
        <tr r="W58" s="71"/>
        <tr r="D24" s="72"/>
        <tr r="T21" s="71"/>
        <tr r="F18" s="84"/>
        <tr r="AB44" s="71"/>
        <tr r="V48" s="71"/>
        <tr r="H10" s="71"/>
        <tr r="L36" s="71"/>
        <tr r="M52" s="71"/>
        <tr r="F38" s="104"/>
        <tr r="D9" s="75"/>
        <tr r="D83" s="72"/>
        <tr r="D49" s="76"/>
        <tr r="F11" s="76"/>
        <tr r="J29" s="71"/>
        <tr r="G37" s="71"/>
        <tr r="B16" s="104"/>
        <tr r="L8" s="71"/>
        <tr r="H49" s="71"/>
        <tr r="F13" s="76"/>
        <tr r="M49" s="71"/>
        <tr r="H23" s="71"/>
        <tr r="C27" s="76"/>
        <tr r="F33" s="72"/>
        <tr r="U10" s="71"/>
        <tr r="M27" s="84"/>
        <tr r="C10" s="104"/>
        <tr r="N29" s="71"/>
        <tr r="K14" s="71"/>
        <tr r="E48" s="104"/>
        <tr r="F21" s="104"/>
        <tr r="B109" s="72"/>
        <tr r="D7" s="72"/>
        <tr r="H36" s="71"/>
        <tr r="F73" s="72"/>
        <tr r="H40" s="71"/>
        <tr r="P41" s="84"/>
        <tr r="P41" s="84"/>
        <tr r="E9" s="76"/>
        <tr r="T14" s="71"/>
        <tr r="R47" s="71"/>
        <tr r="B74" s="72"/>
        <tr r="F17" s="72"/>
        <tr r="Z28" s="71"/>
        <tr r="T16" s="71"/>
        <tr r="U37" s="71"/>
        <tr r="C55" s="76"/>
        <tr r="F56" s="84"/>
        <tr r="F56" s="84"/>
        <tr r="H28" s="84"/>
        <tr r="H28" s="84"/>
        <tr r="M10" s="85"/>
        <tr r="M10" s="85"/>
        <tr r="C112" s="72"/>
        <tr r="B31" s="104"/>
        <tr r="S25" s="71"/>
        <tr r="D52" s="104"/>
        <tr r="C10" s="71"/>
        <tr r="X18" s="71"/>
        <tr r="J30" s="104"/>
        <tr r="L7" s="85"/>
        <tr r="L7" s="85"/>
        <tr r="G15" s="84"/>
        <tr r="G15" s="84"/>
        <tr r="AA18" s="71"/>
        <tr r="B21" s="72"/>
        <tr r="F39" s="104"/>
        <tr r="E40" s="71"/>
        <tr r="S40" s="71"/>
        <tr r="B29" s="104"/>
        <tr r="O26" s="84"/>
        <tr r="J24" s="84"/>
        <tr r="J24" s="84"/>
        <tr r="P46" s="84"/>
        <tr r="P46" s="84"/>
        <tr r="U17" s="71"/>
        <tr r="C45" s="71"/>
        <tr r="C86" s="72"/>
        <tr r="N57" s="84"/>
        <tr r="N57" s="84"/>
        <tr r="AA52" s="71"/>
        <tr r="AB30" s="71"/>
        <tr r="D46" s="84"/>
        <tr r="D46" s="84"/>
        <tr r="X43" s="71"/>
        <tr r="J16" s="71"/>
        <tr r="D37" s="104"/>
        <tr r="D28" s="72"/>
        <tr r="V20" s="71"/>
        <tr r="N34" s="104"/>
        <tr r="F47" s="76"/>
        <tr r="E19" s="104"/>
        <tr r="Z29" s="71"/>
        <tr r="C60" s="75"/>
        <tr r="L16" s="71"/>
        <tr r="D55" s="76"/>
        <tr r="Z39" s="71"/>
        <tr r="K40" s="104"/>
        <tr r="AA44" s="71"/>
        <tr r="AD7" s="71"/>
        <tr r="I12" s="71"/>
        <tr r="O56" s="84"/>
        <tr r="O56" s="84"/>
        <tr r="H58" s="84"/>
        <tr r="L48" s="104"/>
        <tr r="L9" s="71"/>
        <tr r="AC57" s="71"/>
        <tr r="C75" s="72"/>
        <tr r="D34" s="72"/>
        <tr r="E8" s="71"/>
        <tr r="H22" s="84"/>
        <tr r="D13" s="75"/>
        <tr r="C36" s="71"/>
        <tr r="T11" s="71"/>
        <tr r="O16" s="84"/>
        <tr r="Q12" s="84"/>
        <tr r="Q12" s="84"/>
        <tr r="D90" s="72"/>
        <tr r="X56" s="71"/>
        <tr r="B53" s="76"/>
        <tr r="X44" s="71"/>
        <tr r="U30" s="71"/>
        <tr r="AC34" s="71"/>
        <tr r="G44" s="71"/>
        <tr r="B111" s="72"/>
        <tr r="J36" s="71"/>
        <tr r="O25" s="71"/>
        <tr r="Z45" s="71"/>
        <tr r="X34" s="71"/>
        <tr r="W27" s="71"/>
        <tr r="H16" s="84"/>
        <tr r="H16" s="84"/>
        <tr r="D52" s="76"/>
        <tr r="N37" s="104"/>
        <tr r="J28" s="71"/>
        <tr r="D97" s="72"/>
        <tr r="AB17" s="71"/>
        <tr r="G9" s="84"/>
        <tr r="G9" s="84"/>
        <tr r="D31" s="104"/>
        <tr r="N17" s="84"/>
        <tr r="N17" s="84"/>
        <tr r="H17" s="71"/>
        <tr r="O59" s="84"/>
        <tr r="O59" s="84"/>
        <tr r="N49" s="104"/>
        <tr r="E6" s="104"/>
        <tr r="C110" s="72"/>
        <tr r="L46" s="71"/>
        <tr r="F27" s="72"/>
        <tr r="I44" s="71"/>
        <tr r="L28" s="104"/>
        <tr r="J41" s="104"/>
        <tr r="D19" s="104"/>
        <tr r="A7" s="50"/>
        <tr r="Q56" s="84"/>
        <tr r="L24" s="104"/>
        <tr r="C12" s="71"/>
        <tr r="N40" s="71"/>
        <tr r="D42" s="104"/>
        <tr r="M12" s="84"/>
        <tr r="H29" s="104"/>
        <tr r="J43" s="84"/>
        <tr r="J43" s="84"/>
        <tr r="AC24" s="71"/>
        <tr r="R42" s="71"/>
        <tr r="Y44" s="71"/>
        <tr r="Q46" s="84"/>
        <tr r="Q46" s="84"/>
        <tr r="G45" s="71"/>
        <tr r="M33" s="104"/>
        <tr r="C24" s="71"/>
        <tr r="K42" s="71"/>
        <tr r="H41" s="71"/>
        <tr r="T8" s="71"/>
        <tr r="I60" s="84"/>
        <tr r="I60" s="84"/>
        <tr r="O20" s="84"/>
        <tr r="T7" s="71"/>
        <tr r="H56" s="84"/>
        <tr r="S30" s="71"/>
        <tr r="O31" s="71"/>
        <tr r="O9" s="71"/>
        <tr r="S11" s="71"/>
        <tr r="F9" s="76"/>
        <tr r="I45" s="71"/>
        <tr r="B45" s="104"/>
        <tr r="AC40" s="71"/>
        <tr r="N14" s="84"/>
        <tr r="N14" s="84"/>
        <tr r="R28" s="71"/>
        <tr r="Z10" s="71"/>
        <tr r="C11" s="84"/>
        <tr r="I29" s="104"/>
        <tr r="E50" s="72"/>
        <tr r="T39" s="71"/>
        <tr r="D80" s="72"/>
        <tr r="AD6" s="71"/>
        <tr r="A12" s="47"/>
        <tr r="D43" s="75"/>
        <tr r="C41" s="84"/>
        <tr r="D43" s="76"/>
        <tr r="O41" s="84"/>
        <tr r="Y57" s="71"/>
        <tr r="E18" s="71"/>
        <tr r="U12" s="71"/>
        <tr r="J19" s="71"/>
        <tr r="G57" s="84"/>
        <tr r="AA17" s="71"/>
        <tr r="T10" s="71"/>
        <tr r="D25" s="84"/>
        <tr r="I25" s="104"/>
        <tr r="L19" s="71"/>
        <tr r="F18" s="75"/>
        <tr r="L41" s="84"/>
        <tr r="L41" s="84"/>
        <tr r="K42" s="104"/>
        <tr r="M23" s="104"/>
        <tr r="AA38" s="71"/>
        <tr r="V41" s="71"/>
        <tr r="F17" s="104"/>
        <tr r="F70" s="72"/>
        <tr r="U56" s="71"/>
        <tr r="O7" s="85"/>
        <tr r="O7" s="85"/>
        <tr r="M15" s="71"/>
        <tr r="C48" s="76"/>
        <tr r="W16" s="71"/>
        <tr r="J37" s="71"/>
        <tr r="F85" s="72"/>
        <tr r="K57" s="71"/>
        <tr r="AC30" s="71"/>
        <tr r="X36" s="71"/>
        <tr r="M19" s="71"/>
        <tr r="S52" s="71"/>
        <tr r="G47" s="84"/>
        <tr r="G47" s="84"/>
        <tr r="M19" s="104"/>
        <tr r="C8" s="104"/>
        <tr r="N26" s="84"/>
        <tr r="N26" s="84"/>
        <tr r="AC8" s="71"/>
        <tr r="I30" s="71"/>
        <tr r="K17" s="104"/>
        <tr r="N7" s="104"/>
        <tr r="E7" s="71"/>
        <tr r="N48" s="71"/>
        <tr r="M42" s="104"/>
        <tr r="L19" s="104"/>
        <tr r="U14" s="71"/>
        <tr r="F28" s="84"/>
        <tr r="N20" s="104"/>
        <tr r="M49" s="104"/>
        <tr r="K6" s="85"/>
        <tr r="K6" s="85"/>
        <tr r="A31" s="84"/>
        <tr r="C9" s="84"/>
        <tr r="F27" s="75"/>
        <tr r="R17" s="71"/>
        <tr r="C32" s="72"/>
        <tr r="C21" s="84"/>
        <tr r="D15" s="72"/>
        <tr r="D24" s="75"/>
        <tr r="D45" s="72"/>
        <tr r="K19" s="71"/>
        <tr r="F7" s="104"/>
        <tr r="A56" s="52"/>
        <tr r="L7" s="104"/>
        <tr r="K58" s="84"/>
        <tr r="K58" s="84"/>
        <tr r="R8" s="71"/>
        <tr r="F94" s="72"/>
        <tr r="I22" s="84"/>
        <tr r="C71" s="72"/>
        <tr r="K9" s="104"/>
        <tr r="AA42" s="71"/>
        <tr r="L9" s="104"/>
        <tr r="C25" s="75"/>
        <tr r="C50" s="76"/>
        <tr r="Q24" s="84"/>
        <tr r="Q24" s="84"/>
        <tr r="E10" s="85"/>
        <tr r="E10" s="85"/>
        <tr r="L20" s="71"/>
        <tr r="N46" s="84"/>
        <tr r="N46" s="84"/>
        <tr r="F10" s="75"/>
        <tr r="J47" s="71"/>
        <tr r="K58" s="71"/>
        <tr r="AB34" s="71"/>
        <tr r="G46" s="84"/>
        <tr r="G46" s="84"/>
        <tr r="F20" s="72"/>
        <tr r="F51" s="104"/>
        <tr r="A51" s="104"/>
        <tr r="F7" s="84"/>
        <tr r="K36" s="71"/>
        <tr r="P61" s="84"/>
        <tr r="P61" s="84"/>
        <tr r="D68" s="72"/>
        <tr r="K7" s="71"/>
        <tr r="D46" s="75"/>
        <tr r="R19" s="71"/>
        <tr r="F57" s="75"/>
        <tr r="C24" s="75"/>
        <tr r="K9" s="71"/>
        <tr r="F34" s="104"/>
        <tr r="L28" s="84"/>
        <tr r="L28" s="84"/>
        <tr r="D26" s="104"/>
        <tr r="C8" s="72"/>
        <tr r="I24" s="104"/>
        <tr r="C41" s="72"/>
        <tr r="L58" s="71"/>
        <tr r="M30" s="104"/>
        <tr r="H18" s="84"/>
        <tr r="H18" s="84"/>
        <tr r="I22" s="104"/>
        <tr r="H20" s="84"/>
        <tr r="H20" s="84"/>
        <tr r="R37" s="71"/>
        <tr r="F20" s="75"/>
        <tr r="N47" s="71"/>
        <tr r="T12" s="71"/>
        <tr r="D23" s="71"/>
        <tr r="C56" s="75"/>
        <tr r="H36" s="104"/>
        <tr r="H26" s="104"/>
        <tr r="B26" s="104"/>
        <tr r="Z44" s="71"/>
        <tr r="P25" s="84"/>
        <tr r="C22" s="71"/>
        <tr r="J42" s="71"/>
        <tr r="D20" s="84"/>
        <tr r="D20" s="84"/>
        <tr r="J16" s="84"/>
        <tr r="J16" s="84"/>
        <tr r="K37" s="104"/>
        <tr r="A21" s="47"/>
        <tr r="I26" s="104"/>
        <tr r="F57" s="76"/>
        <tr r="E11" s="72"/>
        <tr r="R18" s="71"/>
        <tr r="C57" s="75"/>
        <tr r="J6" s="71"/>
        <tr r="E23" s="76"/>
        <tr r="I42" s="84"/>
        <tr r="I42" s="84"/>
        <tr r="C42" s="84"/>
        <tr r="H18" s="104"/>
        <tr r="I10" s="84"/>
        <tr r="I10" s="84"/>
        <tr r="J37" s="104"/>
        <tr r="D43" s="84"/>
        <tr r="D43" s="84"/>
        <tr r="B63" s="72"/>
        <tr r="G28" s="84"/>
        <tr r="G28" s="84"/>
        <tr r="D18" s="76"/>
        <tr r="B51" s="76"/>
        <tr r="K29" s="104"/>
        <tr r="K20" s="84"/>
        <tr r="K20" s="84"/>
        <tr r="C58" s="75"/>
        <tr r="D33" s="72"/>
        <tr r="N11" s="84"/>
        <tr r="N11" s="84"/>
        <tr r="B19" s="104"/>
        <tr r="F53" s="104"/>
        <tr r="C43" s="75"/>
        <tr r="Q15" s="71"/>
        <tr r="AA21" s="71"/>
        <tr r="Q21" s="84"/>
        <tr r="Q21" s="84"/>
        <tr r="P57" s="84"/>
        <tr r="P57" s="84"/>
        <tr r="B50" s="75"/>
        <tr r="Q29" s="71"/>
        <tr r="A7" s="104"/>
        <tr r="B14" s="72"/>
        <tr r="B40" s="75"/>
        <tr r="B59" s="76"/>
        <tr r="E48" s="71"/>
        <tr r="W30" s="71"/>
        <tr r="C56" s="72"/>
        <tr r="C27" s="72"/>
        <tr r="AC56" s="71"/>
        <tr r="H60" s="84"/>
        <tr r="D28" s="71"/>
        <tr r="F28" s="76"/>
        <tr r="D12" s="104"/>
        <tr r="L29" s="104"/>
        <tr r="B49" s="104"/>
        <tr r="O57" s="71"/>
        <tr r="R27" s="71"/>
        <tr r="D45" s="104"/>
        <tr r="D22" s="71"/>
        <tr r="H7" s="85"/>
        <tr r="H7" s="85"/>
        <tr r="L43" s="71"/>
        <tr r="R14" s="71"/>
        <tr r="D13" s="76"/>
        <tr r="M45" s="84"/>
        <tr r="L35" s="104"/>
        <tr r="M46" s="84"/>
        <tr r="V38" s="71"/>
        <tr r="E13" s="72"/>
        <tr r="F81" s="72"/>
        <tr r="U20" s="71"/>
        <tr r="B34" s="104"/>
        <tr r="F11" s="104"/>
        <tr r="J21" s="104"/>
        <tr r="O39" s="71"/>
        <tr r="N36" s="71"/>
        <tr r="K56" s="71"/>
        <tr r="D48" s="76"/>
        <tr r="H40" s="104"/>
        <tr r="O43" s="84"/>
        <tr r="Y47" s="71"/>
        <tr r="L15" s="71"/>
        <tr r="Z38" s="71"/>
        <tr r="Q11" s="84"/>
        <tr r="Q11" s="84"/>
        <tr r="F6" s="84"/>
        <tr r="T52" s="71"/>
        <tr r="J11" s="84"/>
        <tr r="J11" s="84"/>
        <tr r="X30" s="71"/>
        <tr r="Y20" s="71"/>
        <tr r="D30" s="71"/>
        <tr r="M8" s="71"/>
        <tr r="F45" s="84"/>
        <tr r="X49" s="71"/>
        <tr r="U39" s="71"/>
        <tr r="C52" s="71"/>
        <tr r="F48" s="104"/>
        <tr r="I40" s="104"/>
        <tr r="F16" s="104"/>
        <tr r="C19" s="76"/>
        <tr r="C29" s="104"/>
        <tr r="H23" s="104"/>
        <tr r="AB12" s="71"/>
        <tr r="C43" s="72"/>
        <tr r="B17" s="72"/>
        <tr r="D44" s="72"/>
        <tr r="C43" s="76"/>
        <tr r="C15" s="104"/>
        <tr r="G44" s="84"/>
        <tr r="G44" s="84"/>
        <tr r="A48" s="104"/>
        <tr r="M20" s="71"/>
        <tr r="M12" s="104"/>
        <tr r="Z21" s="71"/>
        <tr r="E47" s="71"/>
        <tr r="C50" s="72"/>
        <tr r="S15" s="71"/>
        <tr r="F42" s="75"/>
        <tr r="F49" s="76"/>
        <tr r="R39" s="71"/>
        <tr r="O15" s="71"/>
        <tr r="Q44" s="84"/>
        <tr r="Q44" s="84"/>
        <tr r="C15" s="84"/>
        <tr r="J19" s="84"/>
        <tr r="J19" s="84"/>
        <tr r="K18" s="104"/>
        <tr r="R40" s="71"/>
        <tr r="D17" s="84"/>
        <tr r="D17" s="84"/>
        <tr r="B106" s="72"/>
        <tr r="K35" s="104"/>
        <tr r="M17" s="104"/>
        <tr r="D8" s="72"/>
        <tr r="Q24" s="71"/>
        <tr r="K26" s="104"/>
        <tr r="C42" s="72"/>
        <tr r="O21" s="84"/>
        <tr r="F68" s="72"/>
        <tr r="L18" s="84"/>
        <tr r="L18" s="84"/>
        <tr r="Q14" s="71"/>
        <tr r="K43" s="104"/>
        <tr r="D49" s="71"/>
        <tr r="D28" s="75"/>
        <tr r="AA56" s="71"/>
        <tr r="Z6" s="71"/>
        <tr r="L15" s="104"/>
        <tr r="A17" s="50"/>
        <tr r="O6" s="71"/>
        <tr r="Y42" s="71"/>
        <tr r="J17" s="104"/>
        <tr r="G17" s="71"/>
        <tr r="C10" s="75"/>
        <tr r="O10" s="84"/>
        <tr r="B42" s="75"/>
        <tr r="D62" s="72"/>
        <tr r="A50" s="104"/>
        <tr r="U49" s="71"/>
        <tr r="B57" s="71"/>
        <tr r="L20" s="84"/>
        <tr r="L20" s="84"/>
        <tr r="B49" s="75"/>
        <tr r="K6" s="104"/>
        <tr r="A45" s="52"/>
        <tr r="B47" s="72"/>
        <tr r="AA15" s="71"/>
        <tr r="L56" s="84"/>
        <tr r="L56" s="84"/>
        <tr r="M23" s="71"/>
        <tr r="L61" s="84"/>
        <tr r="L61" s="84"/>
        <tr r="F76" s="72"/>
        <tr r="A57" s="52"/>
        <tr r="C69" s="72"/>
        <tr r="S22" s="71"/>
        <tr r="AC39" s="71"/>
        <tr r="D24" s="104"/>
        <tr r="F45" s="75"/>
        <tr r="Y56" s="71"/>
        <tr r="W40" s="71"/>
        <tr r="J16" s="104"/>
        <tr r="U24" s="71"/>
        <tr r="X28" s="71"/>
        <tr r="D15" s="104"/>
        <tr r="C62" s="76"/>
        <tr r="R30" s="71"/>
        <tr r="N26" s="104"/>
        <tr r="F29" s="72"/>
        <tr r="K10" s="84"/>
        <tr r="K10" s="84"/>
        <tr r="AA43" s="71"/>
        <tr r="Q41" s="84"/>
        <tr r="Q41" s="84"/>
        <tr r="C45" s="76"/>
        <tr r="D29" s="84"/>
        <tr r="D29" s="84"/>
        <tr r="J45" s="104"/>
        <tr r="E19" s="71"/>
        <tr r="C51" s="72"/>
        <tr r="C108" s="72"/>
        <tr r="N11" s="71"/>
        <tr r="V29" s="71"/>
        <tr r="K47" s="84"/>
        <tr r="K47" s="84"/>
        <tr r="F9" s="75"/>
        <tr r="C41" s="71"/>
        <tr r="F22" s="104"/>
        <tr r="A10" s="50"/>
        <tr r="H39" s="71"/>
        <tr r="A4" s="50"/>
        <tr r="G40" s="71"/>
        <tr r="L13" s="71"/>
        <tr r="D24" s="84"/>
        <tr r="D24" s="84"/>
        <tr r="U16" s="71"/>
        <tr r="R58" s="71"/>
        <tr r="F51" s="72"/>
        <tr r="G30" s="71"/>
        <tr r="K44" s="71"/>
        <tr r="I27" s="84"/>
        <tr r="I27" s="84"/>
        <tr r="L12" s="71"/>
        <tr r="C56" s="76"/>
        <tr r="N25" s="71"/>
        <tr r="C64" s="72"/>
        <tr r="AB24" s="71"/>
        <tr r="G24" s="71"/>
        <tr r="D62" s="75"/>
        <tr r="D23" s="104"/>
        <tr r="V6" s="71"/>
        <tr r="AA8" s="71"/>
        <tr r="C7" s="84"/>
        <tr r="R15" s="71"/>
        <tr r="L17" s="104"/>
        <tr r="C79" s="72"/>
        <tr r="X42" s="71"/>
        <tr r="C100" s="72"/>
        <tr r="C65" s="76"/>
        <tr r="E25" s="75"/>
        <tr r="A42" s="104"/>
        <tr r="C16" s="72"/>
        <tr r="T17" s="71"/>
        <tr r="J12" s="104"/>
        <tr r="B8" s="76"/>
        <tr r="F12" s="104"/>
        <tr r="A35" s="47"/>
        <tr r="B13" s="75"/>
        <tr r="U23" s="71"/>
        <tr r="P44" s="84"/>
        <tr r="P44" s="84"/>
        <tr r="D35" s="104"/>
        <tr r="M12" s="71"/>
        <tr r="E43" s="72"/>
        <tr r="L41" s="71"/>
        <tr r="O9" s="84"/>
        <tr r="N45" s="71"/>
        <tr r="C23" s="75"/>
        <tr r="B37" s="75"/>
        <tr r="A6" s="85"/>
        <tr r="F67" s="72"/>
        <tr r="C41" s="104"/>
        <tr r="F25" s="72"/>
        <tr r="E9" s="72"/>
        <tr r="S42" s="71"/>
        <tr r="K9" s="84"/>
        <tr r="K9" s="84"/>
        <tr r="B13" s="71"/>
        <tr r="H17" s="104"/>
        <tr r="G17" s="84"/>
        <tr r="G17" s="84"/>
        <tr r="C46" s="71"/>
        <tr r="W36" s="71"/>
        <tr r="D52" s="71"/>
        <tr r="F65" s="76"/>
        <tr r="U22" s="71"/>
        <tr r="C17" s="104"/>
        <tr r="L15" s="84"/>
        <tr r="L15" s="84"/>
        <tr r="A25" s="52"/>
        <tr r="D29" s="71"/>
        <tr r="B39" s="71"/>
        <tr r="D58" s="75"/>
        <tr r="Q57" s="71"/>
        <tr r="C59" s="75"/>
        <tr r="B28" s="75"/>
        <tr r="A18" s="47"/>
        <tr r="F39" s="75"/>
        <tr r="A15" s="47"/>
        <tr r="Q43" s="84"/>
        <tr r="Q43" s="84"/>
        <tr r="L21" s="84"/>
        <tr r="L21" s="84"/>
        <tr r="B112" s="72"/>
        <tr r="C44" s="72"/>
        <tr r="D19" s="71"/>
        <tr r="H6" s="71"/>
        <tr r="AA7" s="71"/>
        <tr r="D13" s="84"/>
        <tr r="D13" s="84"/>
        <tr r="F24" s="72"/>
        <tr r="B93" s="72"/>
        <tr r="K60" s="84"/>
        <tr r="K60" s="84"/>
        <tr r="L16" s="104"/>
        <tr r="AC42" s="71"/>
        <tr r="E44" s="71"/>
        <tr r="C8" s="38"/>
        <tr r="I34" s="104"/>
        <tr r="N31" s="71"/>
        <tr r="K14" s="84"/>
        <tr r="K14" s="84"/>
        <tr r="F64" s="76"/>
        <tr r="F14" s="104"/>
        <tr r="K44" s="84"/>
        <tr r="K44" s="84"/>
        <tr r="B16" s="71"/>
        <tr r="M28" s="84"/>
        <tr r="T25" s="71"/>
        <tr r="C54" s="72"/>
        <tr r="F44" s="84"/>
        <tr r="D56" s="72"/>
        <tr r="C39" s="72"/>
        <tr r="C25" s="72"/>
        <tr r="L45" s="104"/>
        <tr r="A28" s="47"/>
        <tr r="N41" s="71"/>
        <tr r="M13" s="84"/>
        <tr r="B25" s="72"/>
        <tr r="B23" s="72"/>
        <tr r="N19" s="104"/>
        <tr r="K47" s="71"/>
        <tr r="D11" s="75"/>
        <tr r="Y9" s="71"/>
        <tr r="E11" s="75"/>
        <tr r="G12" s="71"/>
        <tr r="D27" s="84"/>
        <tr r="D27" s="84"/>
        <tr r="M37" s="104"/>
        <tr r="Y30" s="71"/>
        <tr r="C9" s="104"/>
        <tr r="N33" s="104"/>
        <tr r="AC43" s="71"/>
        <tr r="A11" s="104"/>
        <tr r="D58" s="84"/>
        <tr r="M27" s="71"/>
        <tr r="I22" s="71"/>
        <tr r="I21" s="104"/>
        <tr r="C55" s="72"/>
        <tr r="D23" s="75"/>
        <tr r="S17" s="71"/>
        <tr r="F75" s="72"/>
        <tr r="Q27" s="71"/>
        <tr r="N42" s="84"/>
        <tr r="N42" s="84"/>
        <tr r="B66" s="76"/>
        <tr r="C40" s="76"/>
        <tr r="U36" s="71"/>
        <tr r="D22" s="72"/>
        <tr r="I17" s="104"/>
        <tr r="F42" s="72"/>
        <tr r="H14" s="104"/>
        <tr r="E30" s="76"/>
        <tr r="D45" s="76"/>
        <tr r="Q8" s="71"/>
        <tr r="F101" s="72"/>
        <tr r="B101" s="72"/>
        <tr r="N27" s="84"/>
        <tr r="N27" s="84"/>
        <tr r="D20" s="75"/>
        <tr r="F26" s="84"/>
        <tr r="A9" s="52"/>
        <tr r="F37" s="72"/>
        <tr r="B18" s="75"/>
        <tr r="P45" s="84"/>
        <tr r="P45" s="84"/>
        <tr r="F9" s="84"/>
        <tr r="Y25" s="71"/>
        <tr r="G11" s="84"/>
        <tr r="G11" s="84"/>
        <tr r="B20" s="76"/>
        <tr r="B46" s="75"/>
        <tr r="C18" s="72"/>
        <tr r="B18" s="72"/>
        <tr r="B76" s="72"/>
        <tr r="B12" s="71"/>
        <tr r="Q5" s="71"/>
        <tr r="K41" s="84"/>
        <tr r="K41" s="84"/>
        <tr r="B41" s="84"/>
        <tr r="F16" s="72"/>
        <tr r="P17" s="84"/>
        <tr r="P17" s="84"/>
        <tr r="O7" s="84"/>
        <tr r="L31" s="71"/>
        <tr r="B49" s="76"/>
        <tr r="B2" s="50"/>
        <tr r="B66" s="72"/>
        <tr r="F19" s="76"/>
        <tr r="N7" s="84"/>
        <tr r="N7" s="84"/>
        <tr r="C37" s="104"/>
        <tr r="Q39" s="71"/>
        <tr r="H53" s="104"/>
        <tr r="A53" s="104"/>
        <tr r="H21" s="104"/>
        <tr r="A21" s="104"/>
        <tr r="M18" s="84"/>
        <tr r="Q13" s="71"/>
        <tr r="B29" s="71"/>
        <tr r="I8" s="104"/>
        <tr r="A8" s="104"/>
        <tr r="B73" s="72"/>
        <tr r="B47" s="71"/>
        <tr r="D59" s="84"/>
        <tr r="F40" s="76"/>
        <tr r="Q48" s="71"/>
        <tr r="D10" s="75"/>
        <tr r="B10" s="75"/>
        <tr r="B17" s="71"/>
        <tr r="X58" s="71"/>
        <tr r="X6" s="71"/>
        <tr r="B9" s="72"/>
        <tr r="B108" s="72"/>
        <tr r="S48" s="71"/>
        <tr r="B48" s="71"/>
        <tr r="D8" s="38"/>
        <tr r="A20" s="104"/>
        <tr r="A27" s="47"/>
        <tr r="N34" s="71"/>
        <tr r="J47" s="84"/>
        <tr r="J47" s="84"/>
        <tr r="D50" s="72"/>
        <tr r="T38" s="71"/>
        <tr r="D19" s="84"/>
        <tr r="D19" s="84"/>
        <tr r="AA9" s="71"/>
        <tr r="R21" s="71"/>
        <tr r="K41" s="71"/>
        <tr r="U27" s="71"/>
        <tr r="C45" s="84"/>
        <tr r="F84" s="72"/>
        <tr r="W56" s="71"/>
        <tr r="N43" s="71"/>
        <tr r="I12" s="84"/>
        <tr r="I12" s="84"/>
        <tr r="L40" s="104"/>
        <tr r="D21" s="71"/>
        <tr r="K8" s="71"/>
        <tr r="K43" s="84"/>
        <tr r="K43" s="84"/>
        <tr r="I38" s="104"/>
        <tr r="M7" s="85"/>
        <tr r="M7" s="85"/>
        <tr r="H12" s="84"/>
        <tr r="H12" s="84"/>
        <tr r="T22" s="71"/>
        <tr r="A52" s="52"/>
        <tr r="I28" s="71"/>
        <tr r="O19" s="84"/>
        <tr r="B40" s="72"/>
        <tr r="O60" s="84"/>
        <tr r="O60" s="84"/>
        <tr r="D51" s="72"/>
        <tr r="O8" s="84"/>
        <tr r="M11" s="84"/>
        <tr r="S19" s="71"/>
        <tr r="T46" s="71"/>
        <tr r="D8" s="84"/>
        <tr r="D8" s="84"/>
        <tr r="R9" s="71"/>
        <tr r="O44" s="84"/>
        <tr r="N23" s="104"/>
        <tr r="E22" s="72"/>
        <tr r="M14" s="104"/>
        <tr r="C7" s="71"/>
        <tr r="A16" s="50"/>
        <tr r="B35" s="104"/>
        <tr r="H33" s="104"/>
        <tr r="D46" s="71"/>
        <tr r="N20" s="84"/>
        <tr r="N20" s="84"/>
        <tr r="M25" s="104"/>
        <tr r="B69" s="72"/>
        <tr r="B14" s="75"/>
        <tr r="AA28" s="71"/>
        <tr r="B43" s="71"/>
        <tr r="B52" s="71"/>
        <tr r="N9" s="104"/>
        <tr r="P59" s="84"/>
        <tr r="P59" s="84"/>
        <tr r="Q45" s="71"/>
        <tr r="F28" s="72"/>
        <tr r="D45" s="84"/>
        <tr r="D45" s="84"/>
        <tr r="C26" s="84"/>
        <tr r="C88" s="72"/>
        <tr r="S21" s="71"/>
        <tr r="A11" s="50"/>
        <tr r="C67" s="72"/>
        <tr r="C97" s="72"/>
        <tr r="B38" s="72"/>
        <tr r="I16" s="84"/>
        <tr r="I16" s="84"/>
        <tr r="I19" s="84"/>
        <tr r="I19" s="84"/>
        <tr r="K37" s="71"/>
        <tr r="E22" s="76"/>
        <tr r="B34" s="71"/>
        <tr r="E35" s="72"/>
        <tr r="C61" s="84"/>
        <tr r="A39" s="104"/>
        <tr r="H44" s="84"/>
        <tr r="H44" s="84"/>
        <tr r="I13" s="84"/>
        <tr r="I13" s="84"/>
        <tr r="O23" s="84"/>
        <tr r="H7" s="84"/>
        <tr r="H7" s="84"/>
        <tr r="B81" s="72"/>
        <tr r="B7" s="75"/>
        <tr r="A35" s="104"/>
        <tr r="Q9" s="71"/>
        <tr r="M38" s="104"/>
        <tr r="W31" s="71"/>
        <tr r="B62" s="84"/>
        <tr r="K19" s="84"/>
        <tr r="K19" s="84"/>
        <tr r="R6" s="71"/>
        <tr r="A5" s="50"/>
        <tr r="O18" s="84"/>
        <tr r="J23" s="84"/>
        <tr r="J23" s="84"/>
        <tr r="O10" s="85"/>
        <tr r="O10" s="85"/>
        <tr r="A30" s="47"/>
        <tr r="B28" s="76"/>
        <tr r="B55" s="71"/>
        <tr r="A26" s="104"/>
        <tr r="M6" s="104"/>
        <tr r="N23" s="71"/>
        <tr r="B23" s="71"/>
        <tr r="B27" s="72"/>
        <tr r="L11" s="84"/>
        <tr r="L11" s="84"/>
        <tr r="C19" s="84"/>
        <tr r="N61" s="84"/>
        <tr r="N61" s="84"/>
        <tr r="B33" s="72"/>
        <tr r="B87" s="72"/>
        <tr r="B10" s="76"/>
        <tr r="B78" s="72"/>
        <tr r="C13" s="104"/>
        <tr r="A13" s="104"/>
        <tr r="B17" s="76"/>
        <tr r="C61" s="75"/>
        <tr r="B61" s="75"/>
        <tr r="B92" s="72"/>
        <tr r="B42" s="71"/>
        <tr r="A19" s="104"/>
        <tr r="G36" s="71"/>
        <tr r="Y11" s="71"/>
        <tr r="U18" s="71"/>
        <tr r="E54" s="72"/>
        <tr r="W9" s="71"/>
        <tr r="L21" s="71"/>
        <tr r="Q43" s="71"/>
        <tr r="A34" s="52"/>
        <tr r="D12" s="72"/>
        <tr r="K26" s="84"/>
        <tr r="K26" s="84"/>
        <tr r="D22" s="104"/>
        <tr r="J18" s="84"/>
        <tr r="J18" s="84"/>
        <tr r="I20" s="84"/>
        <tr r="I20" s="84"/>
        <tr r="L41" s="104"/>
        <tr r="S9" s="71"/>
        <tr r="AC7" s="71"/>
        <tr r="E14" s="76"/>
        <tr r="W18" s="71"/>
        <tr r="D40" s="104"/>
        <tr r="AA24" s="71"/>
        <tr r="C29" s="75"/>
        <tr r="H22" s="104"/>
        <tr r="M23" s="84"/>
        <tr r="C40" s="71"/>
        <tr r="D58" s="76"/>
        <tr r="D57" s="75"/>
        <tr r="K23" s="84"/>
        <tr r="K23" s="84"/>
        <tr r="E11" s="71"/>
        <tr r="Y18" s="71"/>
        <tr r="N27" s="71"/>
        <tr r="B24" s="75"/>
        <tr r="D6" s="104"/>
        <tr r="I44" s="84"/>
        <tr r="I44" s="84"/>
        <tr r="B102" s="72"/>
        <tr r="B6" s="50"/>
        <tr r="AB6" s="71"/>
        <tr r="C70" s="72"/>
        <tr r="N16" s="104"/>
        <tr r="J20" s="84"/>
        <tr r="J20" s="84"/>
        <tr r="D8" s="75"/>
        <tr r="I38" s="71"/>
        <tr r="I12" s="104"/>
        <tr r="H38" s="104"/>
        <tr r="E31" s="71"/>
        <tr r="W28" s="71"/>
        <tr r="C12" s="72"/>
        <tr r="O61" s="84"/>
        <tr r="O61" s="84"/>
        <tr r="H29" s="84"/>
        <tr r="H29" s="84"/>
        <tr r="B40" s="71"/>
        <tr r="B36" s="52"/>
        <tr r="J21" s="84"/>
        <tr r="J21" s="84"/>
        <tr r="C37" s="71"/>
        <tr r="M43" s="84"/>
        <tr r="K30" s="71"/>
        <tr r="B60" s="75"/>
        <tr r="L57" s="84"/>
        <tr r="L57" s="84"/>
        <tr r="F35" s="72"/>
        <tr r="B18" s="104"/>
        <tr r="N24" s="84"/>
        <tr r="N24" s="84"/>
        <tr r="P11" s="84"/>
        <tr r="P11" s="84"/>
        <tr r="H21" s="84"/>
        <tr r="H21" s="84"/>
        <tr r="S41" s="71"/>
        <tr r="N58" s="84"/>
        <tr r="N58" s="84"/>
        <tr r="D30" s="76"/>
        <tr r="Y7" s="71"/>
        <tr r="C99" s="72"/>
        <tr r="A41" s="47"/>
        <tr r="M15" s="84"/>
        <tr r="B27" s="71"/>
        <tr r="B94" s="72"/>
        <tr r="B9" s="71"/>
        <tr r="L34" s="104"/>
        <tr r="Y46" s="71"/>
        <tr r="F14" s="76"/>
        <tr r="N15" s="71"/>
        <tr r="C13" s="76"/>
        <tr r="C62" s="72"/>
        <tr r="AA6" s="71"/>
        <tr r="M20" s="84"/>
        <tr r="Q45" s="84"/>
        <tr r="Q45" s="84"/>
        <tr r="A33" s="104"/>
        <tr r="J12" s="84"/>
        <tr r="J12" s="84"/>
        <tr r="A12" s="52"/>
        <tr r="A8" s="38"/>
        <tr r="A49" s="52"/>
        <tr r="Q36" s="71"/>
        <tr r="B98" s="72"/>
        <tr r="S58" s="71"/>
        <tr r="S6" s="71"/>
        <tr r="B50" s="76"/>
        <tr r="A23" s="52"/>
        <tr r="B44" s="75"/>
        <tr r="B42" s="76"/>
        <tr r="B12" s="72"/>
        <tr r="B39" s="84"/>
        <tr r="B90" s="72"/>
        <tr r="H9" s="84"/>
        <tr r="H9" s="84"/>
        <tr r="A38" s="47"/>
        <tr r="B29" s="75"/>
        <tr r="L6" s="104"/>
        <tr r="Q16" s="71"/>
        <tr r="B48" s="75"/>
        <tr r="C11" s="72"/>
        <tr r="G12" s="84"/>
        <tr r="G12" s="84"/>
        <tr r="C18" s="104"/>
        <tr r="F19" s="84"/>
        <tr r="D32" s="72"/>
        <tr r="U45" s="71"/>
        <tr r="G49" s="71"/>
        <tr r="Q22" s="84"/>
        <tr r="L11" s="71"/>
        <tr r="B54" s="76"/>
        <tr r="E28" s="71"/>
        <tr r="B31" s="72"/>
        <tr r="M29" s="84"/>
        <tr r="F12" s="84"/>
        <tr r="O27" s="84"/>
        <tr r="C23" s="84"/>
        <tr r="C15" s="75"/>
        <tr r="K21" s="84"/>
        <tr r="K21" s="84"/>
        <tr r="B45" s="76"/>
        <tr r="A36" s="104"/>
        <tr r="D41" s="75"/>
        <tr r="D39" s="75"/>
        <tr r="B24" s="72"/>
        <tr r="B25" s="71"/>
        <tr r="F15" s="84"/>
        <tr r="C22" s="104"/>
        <tr r="P27" s="84"/>
        <tr r="P27" s="84"/>
        <tr r="G23" s="84"/>
        <tr r="G23" s="84"/>
        <tr r="I25" s="84"/>
        <tr r="A41" s="104"/>
        <tr r="Q32" s="71"/>
        <tr r="P16" s="84"/>
        <tr r="P16" s="84"/>
        <tr r="G27" s="84"/>
        <tr r="G27" s="84"/>
        <tr r="D16" s="84"/>
        <tr r="D16" s="84"/>
        <tr r="Q20" s="71"/>
        <tr r="B56" s="71"/>
        <tr r="B5" s="76"/>
        <tr r="A25" s="104"/>
        <tr r="Q46" s="71"/>
        <tr r="B55" s="75"/>
        <tr r="B30" s="71"/>
        <tr r="Q19" s="71"/>
        <tr r="A30" s="52"/>
        <tr r="Q42" s="71"/>
        <tr r="B77" s="72"/>
        <tr r="A55" s="52"/>
        <tr r="B58" s="71"/>
        <tr r="I6" s="104"/>
        <tr r="B8" s="38"/>
        <tr r="Q37" s="71"/>
        <tr r="A43" s="104"/>
        <tr r="B36" s="71"/>
        <tr r="B22" s="71"/>
        <tr r="A24" s="47"/>
        <tr r="D31" s="71"/>
        <tr r="D6" s="71"/>
        <tr r="B79" s="72"/>
        <tr r="A31" s="47"/>
        <tr r="A3" s="50"/>
        <tr r="A8" s="84"/>
        <tr r="Q7" s="71"/>
        <tr r="A42" s="52"/>
        <tr r="B12" s="76"/>
        <tr r="M16" s="84"/>
        <tr r="B14" s="76"/>
        <tr r="A9" s="104"/>
        <tr r="Q30" s="71"/>
        <tr r="G14" s="84"/>
        <tr r="G14" s="84"/>
        <tr r="Q22" s="71"/>
        <tr r="Q31" s="71"/>
        <tr r="A12" s="104"/>
        <tr r="B32" s="72"/>
        <tr r="A5" s="52"/>
        <tr r="B7" s="72"/>
        <tr r="Y37" s="71"/>
        <tr r="B37" s="71"/>
        <tr r="B23" s="75"/>
        <tr r="B50" s="72"/>
        <tr r="B35" s="72"/>
        <tr r="A19" s="47"/>
        <tr r="B22" s="76"/>
        <tr r="A8" s="85"/>
        <tr r="Y49" s="71"/>
        <tr r="Y6" s="71"/>
        <tr r="M6" s="71"/>
        <tr r="K6" s="71"/>
        <tr r="Q54" s="71"/>
        <tr r="B110" s="72"/>
        <tr r="B53" s="72"/>
        <tr r="B58" s="76"/>
        <tr r="B22" s="75"/>
        <tr r="G7" s="84"/>
        <tr r="G7" s="84"/>
        <tr r="A62" s="52"/>
        <tr r="B7" s="71"/>
        <tr r="I28" s="84"/>
        <tr r="I28" s="84"/>
        <tr r="A3" s="84"/>
        <tr r="A20" s="52"/>
        <tr r="B2" s="104"/>
        <tr r="B11" s="75"/>
        <tr r="A43" s="52"/>
        <tr r="B80" s="72"/>
        <tr r="Q17" s="71"/>
        <tr r="A26" s="52"/>
        <tr r="A37" s="47"/>
        <tr r="A18" s="104"/>
        <tr r="Q21" s="71"/>
        <tr r="A27" s="52"/>
        <tr r="C46" s="72"/>
        <tr r="B46" s="72"/>
        <tr r="H6" s="104"/>
        <tr r="B48" s="76"/>
        <tr r="A45" s="104"/>
        <tr r="B21" s="76"/>
        <tr r="B51" s="72"/>
        <tr r="B27" s="75"/>
        <tr r="B89" s="72"/>
        <tr r="B62" s="76"/>
        <tr r="B30" s="72"/>
        <tr r="B58" s="75"/>
        <tr r="T6" s="71"/>
        <tr r="N49" s="71"/>
        <tr r="AC28" s="71"/>
        <tr r="B1" s="104"/>
        <tr r="B43" s="72"/>
        <tr r="B47" s="76"/>
        <tr r="A38" s="52"/>
        <tr r="B65" s="72"/>
        <tr r="B5" s="72"/>
        <tr r="B5" s="71"/>
        <tr r="B99" s="72"/>
        <tr r="A28" s="104"/>
        <tr r="Q38" s="71"/>
        <tr r="K10" s="85"/>
        <tr r="K10" s="85"/>
        <tr r="B56" s="75"/>
        <tr r="B65" s="76"/>
        <tr r="B34" s="72"/>
        <tr r="B27" s="76"/>
        <tr r="B43" s="76"/>
        <tr r="B16" s="75"/>
        <tr r="A22" s="104"/>
        <tr r="B55" s="76"/>
        <tr r="B96" s="72"/>
        <tr r="B45" s="71"/>
        <tr r="A6" s="50"/>
        <tr r="B75" s="72"/>
        <tr r="B85" s="72"/>
        <tr r="B46" s="71"/>
        <tr r="B24" s="76"/>
        <tr r="A34" s="47"/>
        <tr r="Q18" s="71"/>
        <tr r="B42" s="84"/>
        <tr r="C6" s="71"/>
        <tr r="A15" s="50"/>
        <tr r="B45" s="72"/>
        <tr r="B20" s="72"/>
        <tr r="A48" s="52"/>
        <tr r="D40" s="76"/>
        <tr r="A30" s="104"/>
        <tr r="B107" s="72"/>
        <tr r="A52" s="104"/>
        <tr r="A16" s="104"/>
        <tr r="A37" s="104"/>
        <tr r="A15" s="104"/>
        <tr r="B44" s="76"/>
        <tr r="B25" s="75"/>
        <tr r="B13" s="76"/>
        <tr r="J6" s="104"/>
        <tr r="B14" s="71"/>
        <tr r="Q41" s="71"/>
        <tr r="B13" s="72"/>
        <tr r="A59" s="52"/>
        <tr r="B71" s="72"/>
        <tr r="A5" s="104"/>
        <tr r="B31" s="71"/>
        <tr r="B83" s="72"/>
        <tr r="B28" s="72"/>
        <tr r="Q12" s="71"/>
        <tr r="B23" s="76"/>
        <tr r="B63" s="76"/>
        <tr r="A31" s="104"/>
        <tr r="B41" s="72"/>
        <tr r="B36" s="72"/>
        <tr r="A14" s="104"/>
        <tr r="B9" s="75"/>
        <tr r="B16" s="72"/>
        <tr r="B18" s="71"/>
        <tr r="A58" s="52"/>
        <tr r="B59" s="75"/>
        <tr r="I6" s="71"/>
        <tr r="Q25" s="71"/>
        <tr r="A38" s="104"/>
        <tr r="B41" s="71"/>
        <tr r="A40" s="104"/>
        <tr r="B62" s="75"/>
        <tr r="A49" s="104"/>
        <tr r="A24" s="104"/>
        <tr r="A7" s="52"/>
        <tr r="A17" s="52"/>
        <tr r="B54" s="84"/>
        <tr r="B97" s="72"/>
        <tr r="B57" s="75"/>
        <tr r="F6" s="104"/>
        <tr r="A1" s="50"/>
        <tr r="A24" s="52"/>
        <tr r="B64" s="72"/>
        <tr r="A13" s="47"/>
        <tr r="A23" s="104"/>
        <tr r="B8" s="75"/>
        <tr r="B21" s="71"/>
        <tr r="E36" s="52"/>
        <tr r="B29" s="72"/>
        <tr r="Q47" s="71"/>
        <tr r="B9" s="76"/>
        <tr r="B19" s="71"/>
        <tr r="Q28" s="71"/>
        <tr r="A10" s="104"/>
        <tr r="B72" s="72"/>
        <tr r="A22" s="47"/>
        <tr r="B46" s="76"/>
        <tr r="B86" s="72"/>
        <tr r="B41" s="76"/>
        <tr r="B88" s="72"/>
        <tr r="G6" s="71"/>
        <tr r="B100" s="72"/>
        <tr r="A9" s="47"/>
        <tr r="Q10" s="71"/>
        <tr r="B15" s="75"/>
        <tr r="Q33" s="71"/>
        <tr r="A6" s="52"/>
        <tr r="B63" s="75"/>
        <tr r="B30" s="76"/>
        <tr r="B91" s="72"/>
        <tr r="B7" s="76"/>
        <tr r="L6" s="71"/>
        <tr r="A17" s="104"/>
        <tr r="Q55" s="71"/>
        <tr r="B44" s="72"/>
        <tr r="B5" s="75"/>
        <tr r="B51" s="75"/>
        <tr r="Q52" s="71"/>
        <tr r="B95" s="72"/>
        <tr r="Q11" s="71"/>
        <tr r="C39" s="75"/>
        <tr r="B47" s="84"/>
        <tr r="B22" s="72"/>
        <tr r="B43" s="75"/>
        <tr r="B10" s="71"/>
        <tr r="W6" s="71"/>
        <tr r="Q53" s="71"/>
        <tr r="B8" s="72"/>
        <tr r="Q44" s="71"/>
        <tr r="B64" s="76"/>
        <tr r="A7" s="85"/>
        <tr r="B67" s="72"/>
        <tr r="A34" s="104"/>
        <tr r="B52" s="76"/>
        <tr r="B18" s="76"/>
        <tr r="E6" s="71"/>
        <tr r="Q35" s="71"/>
        <tr r="Q23" s="71"/>
        <tr r="F62" s="72"/>
        <tr r="Q56" s="71"/>
        <tr r="B37" s="72"/>
        <tr r="B42" s="72"/>
        <tr r="N6" s="104"/>
        <tr r="B84" s="72"/>
        <tr r="U6" s="71"/>
        <tr r="B38" s="76"/>
        <tr r="A16" s="47"/>
        <tr r="B20" s="71"/>
        <tr r="B44" s="71"/>
        <tr r="B24" s="71"/>
        <tr r="B39" s="72"/>
        <tr r="A36" s="47"/>
        <tr r="A20" s="47"/>
        <tr r="B70" s="72"/>
        <tr r="B49" s="71"/>
        <tr r="B56" s="76"/>
        <tr r="B38" s="71"/>
        <tr r="N6" s="71"/>
        <tr r="Q34" s="71"/>
        <tr r="B16" s="76"/>
        <tr r="B11" s="71"/>
        <tr r="A14" s="47"/>
        <tr r="B15" s="72"/>
        <tr r="B15" s="71"/>
        <tr r="A4" s="85"/>
        <tr r="B28" s="71"/>
        <tr r="B52" s="75"/>
        <tr r="B57" s="76"/>
        <tr r="AC6" s="71"/>
        <tr r="B11" s="76"/>
        <tr r="B41" s="75"/>
        <tr r="B19" s="76"/>
        <tr r="A29" s="104"/>
        <tr r="A6" s="84"/>
        <tr r="A10" s="84"/>
        <tr r="A9" s="84"/>
        <tr r="B44" s="84"/>
        <tr r="A10" s="85"/>
        <tr r="A11" s="84"/>
        <tr r="C15" s="108"/>
        <tr r="C31" s="108"/>
        <tr r="B40" s="108"/>
        <tr r="C45" s="108"/>
        <tr r="C8" s="108"/>
        <tr r="C19" s="108"/>
        <tr r="B34" s="108"/>
        <tr r="C44" s="108"/>
        <tr r="C49" s="108"/>
        <tr r="C48" s="108"/>
        <tr r="A55" s="108"/>
        <tr r="C43" s="108"/>
        <tr r="B10" s="108"/>
        <tr r="B9" s="108"/>
        <tr r="C38" s="108"/>
        <tr r="C42" s="108"/>
        <tr r="C29" s="108"/>
        <tr r="C7" s="108"/>
        <tr r="B12" s="108"/>
        <tr r="B56" s="108"/>
        <tr r="C10" s="108"/>
        <tr r="C30" s="108"/>
        <tr r="A56" s="108"/>
        <tr r="C20" s="108"/>
        <tr r="C35" s="108"/>
        <tr r="C52" s="108"/>
        <tr r="C41" s="108"/>
        <tr r="C27" s="108"/>
        <tr r="C23" s="108"/>
        <tr r="C32" s="108"/>
        <tr r="C28" s="108"/>
        <tr r="C16" s="108"/>
        <tr r="C12" s="108"/>
        <tr r="C51" s="108"/>
        <tr r="C21" s="108"/>
        <tr r="C24" s="108"/>
        <tr r="B54" s="108"/>
        <tr r="C47" s="108"/>
        <tr r="C14" s="108"/>
        <tr r="C36" s="108"/>
        <tr r="C25" s="108"/>
        <tr r="C34" s="108"/>
        <tr r="C37" s="108"/>
        <tr r="C53" s="108"/>
        <tr r="B6" s="108"/>
        <tr r="B51" s="108"/>
        <tr r="C22" s="108"/>
        <tr r="C40" s="108"/>
        <tr r="C6" s="108"/>
        <tr r="A7" s="84"/>
        <tr r="C13" s="108"/>
        <tr r="B11" s="108"/>
        <tr r="A6" s="108"/>
        <tr r="B50" s="108"/>
        <tr r="C26" s="108"/>
        <tr r="B39" s="108"/>
        <tr r="C18" s="108"/>
        <tr r="C17" s="108"/>
        <tr r="B33" s="108"/>
        <tr r="C46" s="108"/>
        <tr r="B53" s="75"/>
        <tr r="H5" s="85"/>
        <tr r="C3" s="52"/>
        <tr r="B8" s="71"/>
        <tr r="B68" s="72"/>
        <tr r="O5" s="85"/>
        <tr r="M5" s="85"/>
        <tr r="E3" s="52"/>
        <tr r="E3" s="57"/>
        <tr r="E35" s="52"/>
        <tr r="G5" s="85"/>
        <tr r="D3" s="57"/>
        <tr r="C39" s="76"/>
        <tr r="D38" s="75"/>
        <tr r="C6" s="76"/>
        <tr r="B3" s="57"/>
        <tr r="F6" s="76"/>
        <tr r="B55" s="72"/>
        <tr r="K5" s="85"/>
        <tr r="C3" s="57"/>
        <tr r="B3" s="59"/>
        <tr r="F61" s="72"/>
        <tr r="D61" s="72"/>
        <tr r="N5" s="85"/>
        <tr r="F5" s="85"/>
        <tr r="D6" s="76"/>
        <tr r="A39" s="52"/>
        <tr r="F3" s="52"/>
        <tr r="D5" s="71"/>
        <tr r="B103" s="72"/>
        <tr r="F6" s="72"/>
        <tr r="C5" s="85"/>
        <tr r="C3" s="59"/>
        <tr r="B45" s="75"/>
        <tr r="E15" s="52"/>
        <tr r="F6" s="75"/>
        <tr r="F39" s="76"/>
        <tr r="C61" s="72"/>
        <tr r="C35" s="52"/>
        <tr r="D3" s="59"/>
        <tr r="F38" s="75"/>
        <tr r="C15" s="52"/>
        <tr r="B54" s="72"/>
        <tr r="J5" s="85"/>
        <tr r="E6" s="75"/>
        <tr r="D15" s="52"/>
        <tr r="D39" s="76"/>
        <tr r="D3" s="52"/>
        <tr r="D5" s="85"/>
        <tr r="B56" s="72"/>
        <tr r="D6" s="75"/>
        <tr r="B11" s="72"/>
        <tr r="B12" s="75"/>
        <tr r="C6" s="75"/>
        <tr r="B35" s="52"/>
        <tr r="E6" s="72"/>
        <tr r="E3" s="59"/>
        <tr r="E5" s="85"/>
        <tr r="B19" s="72"/>
        <tr r="C6" s="72"/>
        <tr r="I5" s="85"/>
        <tr r="F15" s="52"/>
        <tr r="B20" s="75"/>
        <tr r="L5" s="85"/>
        <tr r="E6" s="76"/>
        <tr r="C38" s="75"/>
        <tr r="D6" s="72"/>
        <tr r="B6" s="104"/>
        <tr r="B3" s="104"/>
        <tr r="C6" s="104"/>
        <tr r="G5" s="84"/>
        <tr r="K5" s="84"/>
        <tr r="O55" s="84"/>
        <tr r="A28" s="84"/>
        <tr r="B43" s="84"/>
        <tr r="B61" s="84"/>
        <tr r="A14" s="84"/>
        <tr r="P5" s="84"/>
        <tr r="A22" s="84"/>
        <tr r="M5" s="84"/>
        <tr r="A15" s="84"/>
        <tr r="B59" s="84"/>
        <tr r="F55" s="84"/>
        <tr r="N55" s="84"/>
        <tr r="O5" s="84"/>
        <tr r="J5" s="84"/>
        <tr r="R55" s="84"/>
        <tr r="H55" s="84"/>
        <tr r="A23" s="84"/>
        <tr r="C5" s="84"/>
        <tr r="N5" s="84"/>
        <tr r="B46" s="84"/>
        <tr r="B57" s="84"/>
        <tr r="I55" s="84"/>
        <tr r="A29" s="84"/>
        <tr r="P55" s="84"/>
        <tr r="M55" s="84"/>
        <tr r="C55" s="84"/>
        <tr r="A27" s="84"/>
        <tr r="I5" s="84"/>
        <tr r="C4" s="84"/>
        <tr r="A25" s="84"/>
        <tr r="A17" s="84"/>
        <tr r="L55" s="84"/>
        <tr r="G55" s="84"/>
        <tr r="F5" s="84"/>
        <tr r="Q55" s="84"/>
        <tr r="Q5" s="84"/>
        <tr r="B58" s="84"/>
        <tr r="J55" s="84"/>
        <tr r="A21" s="84"/>
        <tr r="A13" s="84"/>
        <tr r="K55" s="84"/>
        <tr r="A19" s="84"/>
        <tr r="F4" s="84"/>
        <tr r="B56" s="84"/>
        <tr r="R5" s="84"/>
        <tr r="A18" s="84"/>
        <tr r="D55" s="84"/>
        <tr r="A20" s="84"/>
        <tr r="A12" s="84"/>
        <tr r="B60" s="84"/>
        <tr r="L5" s="84"/>
        <tr r="E4" s="84"/>
        <tr r="A26" s="84"/>
        <tr r="B45" s="84"/>
        <tr r="A24" s="84"/>
        <tr r="H5" s="84"/>
        <tr r="A16" s="84"/>
        <tr r="D5" s="84"/>
        <tr r="S5" s="71"/>
        <tr r="D7" s="38"/>
        <tr r="B7" s="38"/>
        <tr r="C7" s="38"/>
      </tp>
    </main>
  </volType>
</volTypes>
</file>

<file path=xl/_rels/workbook.xml.rels><?xml version="1.0" encoding="UTF-8" standalone="yes"?>
<Relationships xmlns="http://schemas.openxmlformats.org/package/2006/relationships"><Relationship Id="rId117" Type="http://schemas.openxmlformats.org/officeDocument/2006/relationships/customXml" Target="../customXml/item23.xml"/><Relationship Id="rId21" Type="http://schemas.openxmlformats.org/officeDocument/2006/relationships/worksheet" Target="worksheets/sheet21.xml"/><Relationship Id="rId42" Type="http://schemas.openxmlformats.org/officeDocument/2006/relationships/pivotCacheDefinition" Target="pivotCache/pivotCacheDefinition3.xml"/><Relationship Id="rId63" Type="http://schemas.openxmlformats.org/officeDocument/2006/relationships/pivotCacheDefinition" Target="pivotCache/pivotCacheDefinition24.xml"/><Relationship Id="rId84" Type="http://schemas.microsoft.com/office/2007/relationships/slicerCache" Target="slicerCaches/slicerCache10.xml"/><Relationship Id="rId138" Type="http://schemas.openxmlformats.org/officeDocument/2006/relationships/customXml" Target="../customXml/item44.xml"/><Relationship Id="rId159" Type="http://schemas.openxmlformats.org/officeDocument/2006/relationships/customXml" Target="../customXml/item65.xml"/><Relationship Id="rId107" Type="http://schemas.openxmlformats.org/officeDocument/2006/relationships/customXml" Target="../customXml/item1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pivotCacheDefinition" Target="pivotCache/pivotCacheDefinition14.xml"/><Relationship Id="rId74" Type="http://schemas.openxmlformats.org/officeDocument/2006/relationships/pivotCacheDefinition" Target="pivotCache/pivotCacheDefinition35.xml"/><Relationship Id="rId128" Type="http://schemas.openxmlformats.org/officeDocument/2006/relationships/customXml" Target="../customXml/item34.xml"/><Relationship Id="rId149" Type="http://schemas.openxmlformats.org/officeDocument/2006/relationships/customXml" Target="../customXml/item55.xml"/><Relationship Id="rId5" Type="http://schemas.openxmlformats.org/officeDocument/2006/relationships/worksheet" Target="worksheets/sheet5.xml"/><Relationship Id="rId95" Type="http://schemas.openxmlformats.org/officeDocument/2006/relationships/customXml" Target="../customXml/item1.xml"/><Relationship Id="rId160" Type="http://schemas.openxmlformats.org/officeDocument/2006/relationships/customXml" Target="../customXml/item66.xml"/><Relationship Id="rId22" Type="http://schemas.openxmlformats.org/officeDocument/2006/relationships/worksheet" Target="worksheets/sheet22.xml"/><Relationship Id="rId43" Type="http://schemas.openxmlformats.org/officeDocument/2006/relationships/pivotCacheDefinition" Target="pivotCache/pivotCacheDefinition4.xml"/><Relationship Id="rId64" Type="http://schemas.openxmlformats.org/officeDocument/2006/relationships/pivotCacheDefinition" Target="pivotCache/pivotCacheDefinition25.xml"/><Relationship Id="rId118" Type="http://schemas.openxmlformats.org/officeDocument/2006/relationships/customXml" Target="../customXml/item24.xml"/><Relationship Id="rId139" Type="http://schemas.openxmlformats.org/officeDocument/2006/relationships/customXml" Target="../customXml/item45.xml"/><Relationship Id="rId85" Type="http://schemas.microsoft.com/office/2007/relationships/slicerCache" Target="slicerCaches/slicerCache11.xml"/><Relationship Id="rId150" Type="http://schemas.openxmlformats.org/officeDocument/2006/relationships/customXml" Target="../customXml/item5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pivotCacheDefinition" Target="pivotCache/pivotCacheDefinition20.xml"/><Relationship Id="rId103" Type="http://schemas.openxmlformats.org/officeDocument/2006/relationships/customXml" Target="../customXml/item9.xml"/><Relationship Id="rId108" Type="http://schemas.openxmlformats.org/officeDocument/2006/relationships/customXml" Target="../customXml/item14.xml"/><Relationship Id="rId124" Type="http://schemas.openxmlformats.org/officeDocument/2006/relationships/customXml" Target="../customXml/item30.xml"/><Relationship Id="rId129" Type="http://schemas.openxmlformats.org/officeDocument/2006/relationships/customXml" Target="../customXml/item35.xml"/><Relationship Id="rId54" Type="http://schemas.openxmlformats.org/officeDocument/2006/relationships/pivotCacheDefinition" Target="pivotCache/pivotCacheDefinition15.xml"/><Relationship Id="rId70" Type="http://schemas.openxmlformats.org/officeDocument/2006/relationships/pivotCacheDefinition" Target="pivotCache/pivotCacheDefinition31.xml"/><Relationship Id="rId75" Type="http://schemas.microsoft.com/office/2007/relationships/slicerCache" Target="slicerCaches/slicerCache1.xml"/><Relationship Id="rId91" Type="http://schemas.openxmlformats.org/officeDocument/2006/relationships/sharedStrings" Target="sharedStrings.xml"/><Relationship Id="rId96" Type="http://schemas.openxmlformats.org/officeDocument/2006/relationships/customXml" Target="../customXml/item2.xml"/><Relationship Id="rId140" Type="http://schemas.openxmlformats.org/officeDocument/2006/relationships/customXml" Target="../customXml/item46.xml"/><Relationship Id="rId145" Type="http://schemas.openxmlformats.org/officeDocument/2006/relationships/customXml" Target="../customXml/item51.xml"/><Relationship Id="rId161"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pivotCacheDefinition" Target="pivotCache/pivotCacheDefinition10.xml"/><Relationship Id="rId114" Type="http://schemas.openxmlformats.org/officeDocument/2006/relationships/customXml" Target="../customXml/item20.xml"/><Relationship Id="rId119" Type="http://schemas.openxmlformats.org/officeDocument/2006/relationships/customXml" Target="../customXml/item25.xml"/><Relationship Id="rId44" Type="http://schemas.openxmlformats.org/officeDocument/2006/relationships/pivotCacheDefinition" Target="pivotCache/pivotCacheDefinition5.xml"/><Relationship Id="rId60" Type="http://schemas.openxmlformats.org/officeDocument/2006/relationships/pivotCacheDefinition" Target="pivotCache/pivotCacheDefinition21.xml"/><Relationship Id="rId65" Type="http://schemas.openxmlformats.org/officeDocument/2006/relationships/pivotCacheDefinition" Target="pivotCache/pivotCacheDefinition26.xml"/><Relationship Id="rId81" Type="http://schemas.microsoft.com/office/2007/relationships/slicerCache" Target="slicerCaches/slicerCache7.xml"/><Relationship Id="rId86" Type="http://schemas.microsoft.com/office/2007/relationships/slicerCache" Target="slicerCaches/slicerCache12.xml"/><Relationship Id="rId130" Type="http://schemas.openxmlformats.org/officeDocument/2006/relationships/customXml" Target="../customXml/item36.xml"/><Relationship Id="rId135" Type="http://schemas.openxmlformats.org/officeDocument/2006/relationships/customXml" Target="../customXml/item41.xml"/><Relationship Id="rId151" Type="http://schemas.openxmlformats.org/officeDocument/2006/relationships/customXml" Target="../customXml/item57.xml"/><Relationship Id="rId156" Type="http://schemas.openxmlformats.org/officeDocument/2006/relationships/customXml" Target="../customXml/item6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5.xml"/><Relationship Id="rId34" Type="http://schemas.openxmlformats.org/officeDocument/2006/relationships/worksheet" Target="worksheets/sheet34.xml"/><Relationship Id="rId50" Type="http://schemas.openxmlformats.org/officeDocument/2006/relationships/pivotCacheDefinition" Target="pivotCache/pivotCacheDefinition11.xml"/><Relationship Id="rId55" Type="http://schemas.openxmlformats.org/officeDocument/2006/relationships/pivotCacheDefinition" Target="pivotCache/pivotCacheDefinition16.xml"/><Relationship Id="rId76" Type="http://schemas.microsoft.com/office/2007/relationships/slicerCache" Target="slicerCaches/slicerCache2.xml"/><Relationship Id="rId97" Type="http://schemas.openxmlformats.org/officeDocument/2006/relationships/customXml" Target="../customXml/item3.xml"/><Relationship Id="rId104" Type="http://schemas.openxmlformats.org/officeDocument/2006/relationships/customXml" Target="../customXml/item10.xml"/><Relationship Id="rId120" Type="http://schemas.openxmlformats.org/officeDocument/2006/relationships/customXml" Target="../customXml/item26.xml"/><Relationship Id="rId125" Type="http://schemas.openxmlformats.org/officeDocument/2006/relationships/customXml" Target="../customXml/item31.xml"/><Relationship Id="rId141" Type="http://schemas.openxmlformats.org/officeDocument/2006/relationships/customXml" Target="../customXml/item47.xml"/><Relationship Id="rId146" Type="http://schemas.openxmlformats.org/officeDocument/2006/relationships/customXml" Target="../customXml/item52.xml"/><Relationship Id="rId7" Type="http://schemas.openxmlformats.org/officeDocument/2006/relationships/worksheet" Target="worksheets/sheet7.xml"/><Relationship Id="rId71" Type="http://schemas.openxmlformats.org/officeDocument/2006/relationships/pivotCacheDefinition" Target="pivotCache/pivotCacheDefinition32.xml"/><Relationship Id="rId92" Type="http://schemas.openxmlformats.org/officeDocument/2006/relationships/sheetMetadata" Target="metadata.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pivotCacheDefinition" Target="pivotCache/pivotCacheDefinition1.xml"/><Relationship Id="rId45" Type="http://schemas.openxmlformats.org/officeDocument/2006/relationships/pivotCacheDefinition" Target="pivotCache/pivotCacheDefinition6.xml"/><Relationship Id="rId66" Type="http://schemas.openxmlformats.org/officeDocument/2006/relationships/pivotCacheDefinition" Target="pivotCache/pivotCacheDefinition27.xml"/><Relationship Id="rId87" Type="http://schemas.microsoft.com/office/2007/relationships/slicerCache" Target="slicerCaches/slicerCache13.xml"/><Relationship Id="rId110" Type="http://schemas.openxmlformats.org/officeDocument/2006/relationships/customXml" Target="../customXml/item16.xml"/><Relationship Id="rId115" Type="http://schemas.openxmlformats.org/officeDocument/2006/relationships/customXml" Target="../customXml/item21.xml"/><Relationship Id="rId131" Type="http://schemas.openxmlformats.org/officeDocument/2006/relationships/customXml" Target="../customXml/item37.xml"/><Relationship Id="rId136" Type="http://schemas.openxmlformats.org/officeDocument/2006/relationships/customXml" Target="../customXml/item42.xml"/><Relationship Id="rId157" Type="http://schemas.openxmlformats.org/officeDocument/2006/relationships/customXml" Target="../customXml/item63.xml"/><Relationship Id="rId61" Type="http://schemas.openxmlformats.org/officeDocument/2006/relationships/pivotCacheDefinition" Target="pivotCache/pivotCacheDefinition22.xml"/><Relationship Id="rId82" Type="http://schemas.microsoft.com/office/2007/relationships/slicerCache" Target="slicerCaches/slicerCache8.xml"/><Relationship Id="rId152" Type="http://schemas.openxmlformats.org/officeDocument/2006/relationships/customXml" Target="../customXml/item5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pivotCacheDefinition" Target="pivotCache/pivotCacheDefinition17.xml"/><Relationship Id="rId77" Type="http://schemas.microsoft.com/office/2007/relationships/slicerCache" Target="slicerCaches/slicerCache3.xml"/><Relationship Id="rId100" Type="http://schemas.openxmlformats.org/officeDocument/2006/relationships/customXml" Target="../customXml/item6.xml"/><Relationship Id="rId105" Type="http://schemas.openxmlformats.org/officeDocument/2006/relationships/customXml" Target="../customXml/item11.xml"/><Relationship Id="rId126" Type="http://schemas.openxmlformats.org/officeDocument/2006/relationships/customXml" Target="../customXml/item32.xml"/><Relationship Id="rId147" Type="http://schemas.openxmlformats.org/officeDocument/2006/relationships/customXml" Target="../customXml/item53.xml"/><Relationship Id="rId8" Type="http://schemas.openxmlformats.org/officeDocument/2006/relationships/worksheet" Target="worksheets/sheet8.xml"/><Relationship Id="rId51" Type="http://schemas.openxmlformats.org/officeDocument/2006/relationships/pivotCacheDefinition" Target="pivotCache/pivotCacheDefinition12.xml"/><Relationship Id="rId72" Type="http://schemas.openxmlformats.org/officeDocument/2006/relationships/pivotCacheDefinition" Target="pivotCache/pivotCacheDefinition33.xml"/><Relationship Id="rId93" Type="http://schemas.openxmlformats.org/officeDocument/2006/relationships/powerPivotData" Target="model/item.data"/><Relationship Id="rId98" Type="http://schemas.openxmlformats.org/officeDocument/2006/relationships/customXml" Target="../customXml/item4.xml"/><Relationship Id="rId121" Type="http://schemas.openxmlformats.org/officeDocument/2006/relationships/customXml" Target="../customXml/item27.xml"/><Relationship Id="rId142" Type="http://schemas.openxmlformats.org/officeDocument/2006/relationships/customXml" Target="../customXml/item4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pivotCacheDefinition" Target="pivotCache/pivotCacheDefinition7.xml"/><Relationship Id="rId67" Type="http://schemas.openxmlformats.org/officeDocument/2006/relationships/pivotCacheDefinition" Target="pivotCache/pivotCacheDefinition28.xml"/><Relationship Id="rId116" Type="http://schemas.openxmlformats.org/officeDocument/2006/relationships/customXml" Target="../customXml/item22.xml"/><Relationship Id="rId137" Type="http://schemas.openxmlformats.org/officeDocument/2006/relationships/customXml" Target="../customXml/item43.xml"/><Relationship Id="rId158" Type="http://schemas.openxmlformats.org/officeDocument/2006/relationships/customXml" Target="../customXml/item64.xml"/><Relationship Id="rId20" Type="http://schemas.openxmlformats.org/officeDocument/2006/relationships/worksheet" Target="worksheets/sheet20.xml"/><Relationship Id="rId41" Type="http://schemas.openxmlformats.org/officeDocument/2006/relationships/pivotCacheDefinition" Target="pivotCache/pivotCacheDefinition2.xml"/><Relationship Id="rId62" Type="http://schemas.openxmlformats.org/officeDocument/2006/relationships/pivotCacheDefinition" Target="pivotCache/pivotCacheDefinition23.xml"/><Relationship Id="rId83" Type="http://schemas.microsoft.com/office/2007/relationships/slicerCache" Target="slicerCaches/slicerCache9.xml"/><Relationship Id="rId88" Type="http://schemas.openxmlformats.org/officeDocument/2006/relationships/theme" Target="theme/theme1.xml"/><Relationship Id="rId111" Type="http://schemas.openxmlformats.org/officeDocument/2006/relationships/customXml" Target="../customXml/item17.xml"/><Relationship Id="rId132" Type="http://schemas.openxmlformats.org/officeDocument/2006/relationships/customXml" Target="../customXml/item38.xml"/><Relationship Id="rId153" Type="http://schemas.openxmlformats.org/officeDocument/2006/relationships/customXml" Target="../customXml/item5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pivotCacheDefinition" Target="pivotCache/pivotCacheDefinition18.xml"/><Relationship Id="rId106" Type="http://schemas.openxmlformats.org/officeDocument/2006/relationships/customXml" Target="../customXml/item12.xml"/><Relationship Id="rId127" Type="http://schemas.openxmlformats.org/officeDocument/2006/relationships/customXml" Target="../customXml/item3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pivotCacheDefinition" Target="pivotCache/pivotCacheDefinition13.xml"/><Relationship Id="rId73" Type="http://schemas.openxmlformats.org/officeDocument/2006/relationships/pivotCacheDefinition" Target="pivotCache/pivotCacheDefinition34.xml"/><Relationship Id="rId78" Type="http://schemas.microsoft.com/office/2007/relationships/slicerCache" Target="slicerCaches/slicerCache4.xml"/><Relationship Id="rId94" Type="http://schemas.openxmlformats.org/officeDocument/2006/relationships/calcChain" Target="calcChain.xml"/><Relationship Id="rId99" Type="http://schemas.openxmlformats.org/officeDocument/2006/relationships/customXml" Target="../customXml/item5.xml"/><Relationship Id="rId101" Type="http://schemas.openxmlformats.org/officeDocument/2006/relationships/customXml" Target="../customXml/item7.xml"/><Relationship Id="rId122" Type="http://schemas.openxmlformats.org/officeDocument/2006/relationships/customXml" Target="../customXml/item28.xml"/><Relationship Id="rId143" Type="http://schemas.openxmlformats.org/officeDocument/2006/relationships/customXml" Target="../customXml/item49.xml"/><Relationship Id="rId148" Type="http://schemas.openxmlformats.org/officeDocument/2006/relationships/customXml" Target="../customXml/item5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pivotCacheDefinition" Target="pivotCache/pivotCacheDefinition8.xml"/><Relationship Id="rId68" Type="http://schemas.openxmlformats.org/officeDocument/2006/relationships/pivotCacheDefinition" Target="pivotCache/pivotCacheDefinition29.xml"/><Relationship Id="rId89" Type="http://schemas.openxmlformats.org/officeDocument/2006/relationships/connections" Target="connections.xml"/><Relationship Id="rId112" Type="http://schemas.openxmlformats.org/officeDocument/2006/relationships/customXml" Target="../customXml/item18.xml"/><Relationship Id="rId133" Type="http://schemas.openxmlformats.org/officeDocument/2006/relationships/customXml" Target="../customXml/item39.xml"/><Relationship Id="rId154" Type="http://schemas.openxmlformats.org/officeDocument/2006/relationships/customXml" Target="../customXml/item6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pivotCacheDefinition" Target="pivotCache/pivotCacheDefinition19.xml"/><Relationship Id="rId79" Type="http://schemas.microsoft.com/office/2007/relationships/slicerCache" Target="slicerCaches/slicerCache5.xml"/><Relationship Id="rId102" Type="http://schemas.openxmlformats.org/officeDocument/2006/relationships/customXml" Target="../customXml/item8.xml"/><Relationship Id="rId123" Type="http://schemas.openxmlformats.org/officeDocument/2006/relationships/customXml" Target="../customXml/item29.xml"/><Relationship Id="rId144" Type="http://schemas.openxmlformats.org/officeDocument/2006/relationships/customXml" Target="../customXml/item50.xml"/><Relationship Id="rId90"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pivotCacheDefinition" Target="pivotCache/pivotCacheDefinition9.xml"/><Relationship Id="rId69" Type="http://schemas.openxmlformats.org/officeDocument/2006/relationships/pivotCacheDefinition" Target="pivotCache/pivotCacheDefinition30.xml"/><Relationship Id="rId113" Type="http://schemas.openxmlformats.org/officeDocument/2006/relationships/customXml" Target="../customXml/item19.xml"/><Relationship Id="rId134" Type="http://schemas.openxmlformats.org/officeDocument/2006/relationships/customXml" Target="../customXml/item40.xml"/><Relationship Id="rId80" Type="http://schemas.microsoft.com/office/2007/relationships/slicerCache" Target="slicerCaches/slicerCache6.xml"/><Relationship Id="rId155" Type="http://schemas.openxmlformats.org/officeDocument/2006/relationships/customXml" Target="../customXml/item6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k-MK"/>
              <a:t>Буџет планиран за 20</a:t>
            </a:r>
            <a:r>
              <a:rPr lang="en-US"/>
              <a:t>2</a:t>
            </a:r>
            <a:r>
              <a:rPr lang="mk-MK"/>
              <a: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Grafici!$B$1</c:f>
              <c:strCache>
                <c:ptCount val="1"/>
                <c:pt idx="0">
                  <c:v>Буџет планиран за 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52B-4BED-8BC4-5759602B63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52B-4BED-8BC4-5759602B6373}"/>
              </c:ext>
            </c:extLst>
          </c:dPt>
          <c:dLbls>
            <c:dLbl>
              <c:idx val="1"/>
              <c:layout>
                <c:manualLayout>
                  <c:x val="-4.6511627906976771E-2"/>
                  <c:y val="-9.97150997150997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52B-4BED-8BC4-5759602B637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Grafici!$A$2:$A$3</c:f>
              <c:strCache>
                <c:ptCount val="2"/>
                <c:pt idx="0">
                  <c:v>CAPEX (капитални инвестиции)</c:v>
                </c:pt>
                <c:pt idx="1">
                  <c:v>OPEX (оперативни трошоци (без амортизација)</c:v>
                </c:pt>
              </c:strCache>
            </c:strRef>
          </c:cat>
          <c:val>
            <c:numRef>
              <c:f>Grafici!$B$2:$B$3</c:f>
              <c:numCache>
                <c:formatCode>#,##0</c:formatCode>
                <c:ptCount val="2"/>
                <c:pt idx="0">
                  <c:v>139306600</c:v>
                </c:pt>
                <c:pt idx="1">
                  <c:v>310693956</c:v>
                </c:pt>
              </c:numCache>
            </c:numRef>
          </c:val>
          <c:extLst>
            <c:ext xmlns:c16="http://schemas.microsoft.com/office/drawing/2014/chart" uri="{C3380CC4-5D6E-409C-BE32-E72D297353CC}">
              <c16:uniqueId val="{00000000-ED43-41ED-8961-D3B602E297F8}"/>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7994812052002"/>
          <c:y val="0.13700528046642391"/>
          <c:w val="0.58871045399663702"/>
          <c:h val="0.45012889940140882"/>
        </c:manualLayout>
      </c:layout>
      <c:barChart>
        <c:barDir val="col"/>
        <c:grouping val="clustered"/>
        <c:varyColors val="0"/>
        <c:ser>
          <c:idx val="0"/>
          <c:order val="0"/>
          <c:tx>
            <c:strRef>
              <c:f>Grafici!$A$9</c:f>
              <c:strCache>
                <c:ptCount val="1"/>
                <c:pt idx="0">
                  <c:v>Вкупно приходи</c:v>
                </c:pt>
              </c:strCache>
            </c:strRef>
          </c:tx>
          <c:spPr>
            <a:solidFill>
              <a:schemeClr val="accent1"/>
            </a:solidFill>
            <a:ln>
              <a:noFill/>
            </a:ln>
            <a:effectLst/>
          </c:spPr>
          <c:invertIfNegative val="0"/>
          <c:cat>
            <c:strRef>
              <c:f>Grafici!$B$7:$D$7</c:f>
              <c:strCache>
                <c:ptCount val="3"/>
                <c:pt idx="0">
                  <c:v>2020</c:v>
                </c:pt>
                <c:pt idx="1">
                  <c:v>2021</c:v>
                </c:pt>
                <c:pt idx="2">
                  <c:v>2022</c:v>
                </c:pt>
              </c:strCache>
            </c:strRef>
          </c:cat>
          <c:val>
            <c:numRef>
              <c:f>Grafici!$B$9:$D$9</c:f>
              <c:numCache>
                <c:formatCode>#,##0</c:formatCode>
                <c:ptCount val="3"/>
                <c:pt idx="0">
                  <c:v>319895500</c:v>
                </c:pt>
                <c:pt idx="1">
                  <c:v>360382124</c:v>
                </c:pt>
                <c:pt idx="2">
                  <c:v>366479045</c:v>
                </c:pt>
              </c:numCache>
            </c:numRef>
          </c:val>
          <c:extLst>
            <c:ext xmlns:c16="http://schemas.microsoft.com/office/drawing/2014/chart" uri="{C3380CC4-5D6E-409C-BE32-E72D297353CC}">
              <c16:uniqueId val="{00000009-C64B-452B-8E75-8B3D6997DB06}"/>
            </c:ext>
          </c:extLst>
        </c:ser>
        <c:ser>
          <c:idx val="1"/>
          <c:order val="1"/>
          <c:tx>
            <c:strRef>
              <c:f>Grafici!$A$11</c:f>
              <c:strCache>
                <c:ptCount val="1"/>
                <c:pt idx="0">
                  <c:v>Вкупно расходи без амортизација</c:v>
                </c:pt>
              </c:strCache>
            </c:strRef>
          </c:tx>
          <c:spPr>
            <a:solidFill>
              <a:schemeClr val="accent2"/>
            </a:solidFill>
            <a:ln>
              <a:noFill/>
            </a:ln>
            <a:effectLst/>
          </c:spPr>
          <c:invertIfNegative val="0"/>
          <c:cat>
            <c:strRef>
              <c:f>Grafici!$B$7:$D$7</c:f>
              <c:strCache>
                <c:ptCount val="3"/>
                <c:pt idx="0">
                  <c:v>2020</c:v>
                </c:pt>
                <c:pt idx="1">
                  <c:v>2021</c:v>
                </c:pt>
                <c:pt idx="2">
                  <c:v>2022</c:v>
                </c:pt>
              </c:strCache>
            </c:strRef>
          </c:cat>
          <c:val>
            <c:numRef>
              <c:f>Grafici!$B$11:$D$11</c:f>
              <c:numCache>
                <c:formatCode>#,##0</c:formatCode>
                <c:ptCount val="3"/>
                <c:pt idx="0">
                  <c:v>278331555</c:v>
                </c:pt>
                <c:pt idx="1">
                  <c:v>276308199</c:v>
                </c:pt>
                <c:pt idx="2">
                  <c:v>310693956</c:v>
                </c:pt>
              </c:numCache>
            </c:numRef>
          </c:val>
          <c:extLst>
            <c:ext xmlns:c16="http://schemas.microsoft.com/office/drawing/2014/chart" uri="{C3380CC4-5D6E-409C-BE32-E72D297353CC}">
              <c16:uniqueId val="{0000000A-C64B-452B-8E75-8B3D6997DB06}"/>
            </c:ext>
          </c:extLst>
        </c:ser>
        <c:ser>
          <c:idx val="2"/>
          <c:order val="2"/>
          <c:tx>
            <c:strRef>
              <c:f>Grafici!$A$12</c:f>
              <c:strCache>
                <c:ptCount val="1"/>
                <c:pt idx="0">
                  <c:v>Оперативна добивка (EBITDA)</c:v>
                </c:pt>
              </c:strCache>
            </c:strRef>
          </c:tx>
          <c:spPr>
            <a:solidFill>
              <a:schemeClr val="accent3"/>
            </a:solidFill>
            <a:ln>
              <a:noFill/>
            </a:ln>
            <a:effectLst/>
          </c:spPr>
          <c:invertIfNegative val="0"/>
          <c:cat>
            <c:strRef>
              <c:f>Grafici!$B$7:$D$7</c:f>
              <c:strCache>
                <c:ptCount val="3"/>
                <c:pt idx="0">
                  <c:v>2020</c:v>
                </c:pt>
                <c:pt idx="1">
                  <c:v>2021</c:v>
                </c:pt>
                <c:pt idx="2">
                  <c:v>2022</c:v>
                </c:pt>
              </c:strCache>
            </c:strRef>
          </c:cat>
          <c:val>
            <c:numRef>
              <c:f>Grafici!$B$12:$D$12</c:f>
              <c:numCache>
                <c:formatCode>#,##0</c:formatCode>
                <c:ptCount val="3"/>
                <c:pt idx="0">
                  <c:v>41563945</c:v>
                </c:pt>
                <c:pt idx="1">
                  <c:v>84073925</c:v>
                </c:pt>
                <c:pt idx="2">
                  <c:v>55785089</c:v>
                </c:pt>
              </c:numCache>
            </c:numRef>
          </c:val>
          <c:extLst>
            <c:ext xmlns:c16="http://schemas.microsoft.com/office/drawing/2014/chart" uri="{C3380CC4-5D6E-409C-BE32-E72D297353CC}">
              <c16:uniqueId val="{0000000C-C64B-452B-8E75-8B3D6997DB06}"/>
            </c:ext>
          </c:extLst>
        </c:ser>
        <c:ser>
          <c:idx val="3"/>
          <c:order val="3"/>
          <c:tx>
            <c:strRef>
              <c:f>Grafici!$A$13</c:f>
              <c:strCache>
                <c:ptCount val="1"/>
                <c:pt idx="0">
                  <c:v>Амортизација на материјални средства</c:v>
                </c:pt>
              </c:strCache>
            </c:strRef>
          </c:tx>
          <c:spPr>
            <a:solidFill>
              <a:schemeClr val="accent4"/>
            </a:solidFill>
            <a:ln>
              <a:noFill/>
            </a:ln>
            <a:effectLst/>
          </c:spPr>
          <c:invertIfNegative val="0"/>
          <c:cat>
            <c:strRef>
              <c:f>Grafici!$B$7:$D$7</c:f>
              <c:strCache>
                <c:ptCount val="3"/>
                <c:pt idx="0">
                  <c:v>2020</c:v>
                </c:pt>
                <c:pt idx="1">
                  <c:v>2021</c:v>
                </c:pt>
                <c:pt idx="2">
                  <c:v>2022</c:v>
                </c:pt>
              </c:strCache>
            </c:strRef>
          </c:cat>
          <c:val>
            <c:numRef>
              <c:f>Grafici!$B$13:$D$13</c:f>
              <c:numCache>
                <c:formatCode>#,##0</c:formatCode>
                <c:ptCount val="3"/>
                <c:pt idx="0">
                  <c:v>34645388</c:v>
                </c:pt>
                <c:pt idx="1">
                  <c:v>41428384</c:v>
                </c:pt>
                <c:pt idx="2">
                  <c:v>54229630</c:v>
                </c:pt>
              </c:numCache>
            </c:numRef>
          </c:val>
          <c:extLst>
            <c:ext xmlns:c16="http://schemas.microsoft.com/office/drawing/2014/chart" uri="{C3380CC4-5D6E-409C-BE32-E72D297353CC}">
              <c16:uniqueId val="{0000000D-C64B-452B-8E75-8B3D6997DB06}"/>
            </c:ext>
          </c:extLst>
        </c:ser>
        <c:ser>
          <c:idx val="4"/>
          <c:order val="4"/>
          <c:tx>
            <c:strRef>
              <c:f>Grafici!$A$14</c:f>
              <c:strCache>
                <c:ptCount val="1"/>
                <c:pt idx="0">
                  <c:v>Нето добивка</c:v>
                </c:pt>
              </c:strCache>
            </c:strRef>
          </c:tx>
          <c:spPr>
            <a:solidFill>
              <a:schemeClr val="accent5"/>
            </a:solidFill>
            <a:ln>
              <a:noFill/>
            </a:ln>
            <a:effectLst/>
          </c:spPr>
          <c:invertIfNegative val="0"/>
          <c:cat>
            <c:strRef>
              <c:f>Grafici!$B$7:$D$7</c:f>
              <c:strCache>
                <c:ptCount val="3"/>
                <c:pt idx="0">
                  <c:v>2020</c:v>
                </c:pt>
                <c:pt idx="1">
                  <c:v>2021</c:v>
                </c:pt>
                <c:pt idx="2">
                  <c:v>2022</c:v>
                </c:pt>
              </c:strCache>
            </c:strRef>
          </c:cat>
          <c:val>
            <c:numRef>
              <c:f>Grafici!$B$14:$D$14</c:f>
              <c:numCache>
                <c:formatCode>#,##0</c:formatCode>
                <c:ptCount val="3"/>
                <c:pt idx="0">
                  <c:v>6918557</c:v>
                </c:pt>
                <c:pt idx="1">
                  <c:v>42645541</c:v>
                </c:pt>
                <c:pt idx="2">
                  <c:v>1555459</c:v>
                </c:pt>
              </c:numCache>
            </c:numRef>
          </c:val>
          <c:extLst>
            <c:ext xmlns:c16="http://schemas.microsoft.com/office/drawing/2014/chart" uri="{C3380CC4-5D6E-409C-BE32-E72D297353CC}">
              <c16:uniqueId val="{0000000E-C64B-452B-8E75-8B3D6997DB06}"/>
            </c:ext>
          </c:extLst>
        </c:ser>
        <c:dLbls>
          <c:showLegendKey val="0"/>
          <c:showVal val="0"/>
          <c:showCatName val="0"/>
          <c:showSerName val="0"/>
          <c:showPercent val="0"/>
          <c:showBubbleSize val="0"/>
        </c:dLbls>
        <c:gapWidth val="219"/>
        <c:axId val="-926497600"/>
        <c:axId val="-926494880"/>
      </c:barChart>
      <c:lineChart>
        <c:grouping val="standard"/>
        <c:varyColors val="0"/>
        <c:ser>
          <c:idx val="5"/>
          <c:order val="5"/>
          <c:tx>
            <c:strRef>
              <c:f>Grafici!$A$15</c:f>
              <c:strCache>
                <c:ptCount val="1"/>
                <c:pt idx="0">
                  <c:v>Оперативна добивка - маржа, %</c:v>
                </c:pt>
              </c:strCache>
            </c:strRef>
          </c:tx>
          <c:spPr>
            <a:ln w="28575" cap="rnd">
              <a:solidFill>
                <a:schemeClr val="accent6"/>
              </a:solidFill>
              <a:round/>
            </a:ln>
            <a:effectLst/>
          </c:spPr>
          <c:marker>
            <c:symbol val="none"/>
          </c:marker>
          <c:cat>
            <c:strRef>
              <c:f>Grafici!$B$7:$D$7</c:f>
              <c:strCache>
                <c:ptCount val="3"/>
                <c:pt idx="0">
                  <c:v>2020</c:v>
                </c:pt>
                <c:pt idx="1">
                  <c:v>2021</c:v>
                </c:pt>
                <c:pt idx="2">
                  <c:v>2022</c:v>
                </c:pt>
              </c:strCache>
            </c:strRef>
          </c:cat>
          <c:val>
            <c:numRef>
              <c:f>Grafici!$B$15:$D$15</c:f>
              <c:numCache>
                <c:formatCode>0.0%</c:formatCode>
                <c:ptCount val="3"/>
                <c:pt idx="0">
                  <c:v>0.12992975831169867</c:v>
                </c:pt>
                <c:pt idx="1">
                  <c:v>0.23329105247184792</c:v>
                </c:pt>
                <c:pt idx="2">
                  <c:v>0.15221904160986885</c:v>
                </c:pt>
              </c:numCache>
            </c:numRef>
          </c:val>
          <c:smooth val="0"/>
          <c:extLst>
            <c:ext xmlns:c16="http://schemas.microsoft.com/office/drawing/2014/chart" uri="{C3380CC4-5D6E-409C-BE32-E72D297353CC}">
              <c16:uniqueId val="{0000000F-C64B-452B-8E75-8B3D6997DB06}"/>
            </c:ext>
          </c:extLst>
        </c:ser>
        <c:ser>
          <c:idx val="6"/>
          <c:order val="6"/>
          <c:tx>
            <c:strRef>
              <c:f>Grafici!$A$16</c:f>
              <c:strCache>
                <c:ptCount val="1"/>
                <c:pt idx="0">
                  <c:v>Нето добивка - маржа, %</c:v>
                </c:pt>
              </c:strCache>
            </c:strRef>
          </c:tx>
          <c:spPr>
            <a:ln w="28575" cap="rnd">
              <a:solidFill>
                <a:schemeClr val="accent1">
                  <a:lumMod val="60000"/>
                </a:schemeClr>
              </a:solidFill>
              <a:round/>
            </a:ln>
            <a:effectLst/>
          </c:spPr>
          <c:marker>
            <c:symbol val="none"/>
          </c:marker>
          <c:cat>
            <c:strRef>
              <c:f>Grafici!$B$7:$D$7</c:f>
              <c:strCache>
                <c:ptCount val="3"/>
                <c:pt idx="0">
                  <c:v>2020</c:v>
                </c:pt>
                <c:pt idx="1">
                  <c:v>2021</c:v>
                </c:pt>
                <c:pt idx="2">
                  <c:v>2022</c:v>
                </c:pt>
              </c:strCache>
            </c:strRef>
          </c:cat>
          <c:val>
            <c:numRef>
              <c:f>Grafici!$B$16:$D$16</c:f>
              <c:numCache>
                <c:formatCode>0.0%</c:formatCode>
                <c:ptCount val="3"/>
                <c:pt idx="0">
                  <c:v>2.1627553372898338E-2</c:v>
                </c:pt>
                <c:pt idx="1">
                  <c:v>0.11833422958570498</c:v>
                </c:pt>
                <c:pt idx="2">
                  <c:v>4.2443327148486759E-3</c:v>
                </c:pt>
              </c:numCache>
            </c:numRef>
          </c:val>
          <c:smooth val="0"/>
          <c:extLst>
            <c:ext xmlns:c16="http://schemas.microsoft.com/office/drawing/2014/chart" uri="{C3380CC4-5D6E-409C-BE32-E72D297353CC}">
              <c16:uniqueId val="{00000010-C64B-452B-8E75-8B3D6997DB06}"/>
            </c:ext>
          </c:extLst>
        </c:ser>
        <c:dLbls>
          <c:showLegendKey val="0"/>
          <c:showVal val="0"/>
          <c:showCatName val="0"/>
          <c:showSerName val="0"/>
          <c:showPercent val="0"/>
          <c:showBubbleSize val="0"/>
        </c:dLbls>
        <c:marker val="1"/>
        <c:smooth val="0"/>
        <c:axId val="-347819680"/>
        <c:axId val="-926494336"/>
      </c:lineChart>
      <c:catAx>
        <c:axId val="-92649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494880"/>
        <c:crosses val="autoZero"/>
        <c:auto val="1"/>
        <c:lblAlgn val="ctr"/>
        <c:lblOffset val="100"/>
        <c:noMultiLvlLbl val="0"/>
      </c:catAx>
      <c:valAx>
        <c:axId val="-926494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Приходи, расходи, добивка</a:t>
                </a:r>
              </a:p>
            </c:rich>
          </c:tx>
          <c:layout>
            <c:manualLayout>
              <c:xMode val="edge"/>
              <c:yMode val="edge"/>
              <c:x val="3.3940859697335575E-2"/>
              <c:y val="0.1252121523347130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497600"/>
        <c:crosses val="autoZero"/>
        <c:crossBetween val="between"/>
      </c:valAx>
      <c:valAx>
        <c:axId val="-926494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Маргини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819680"/>
        <c:crosses val="max"/>
        <c:crossBetween val="between"/>
      </c:valAx>
      <c:catAx>
        <c:axId val="-347819680"/>
        <c:scaling>
          <c:orientation val="minMax"/>
        </c:scaling>
        <c:delete val="1"/>
        <c:axPos val="b"/>
        <c:numFmt formatCode="General" sourceLinked="1"/>
        <c:majorTickMark val="out"/>
        <c:minorTickMark val="none"/>
        <c:tickLblPos val="nextTo"/>
        <c:crossAx val="-92649433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val">
        <cx:f dir="row">_xlchart.v1.1</cx:f>
      </cx:numDim>
    </cx:data>
  </cx:chartData>
  <cx:chart>
    <cx:title pos="t" align="ctr" overlay="0">
      <cx:tx>
        <cx:rich>
          <a:bodyPr spcFirstLastPara="1" vertOverflow="ellipsis" horzOverflow="overflow" wrap="square" lIns="0" tIns="0" rIns="0" bIns="0" anchor="ctr" anchorCtr="1"/>
          <a:lstStyle/>
          <a:p>
            <a:pPr algn="ctr" rtl="0">
              <a:defRPr/>
            </a:pPr>
            <a:r>
              <a:rPr lang="mk-MK" sz="1400" b="0" i="0" u="none" strike="noStrike" baseline="0">
                <a:solidFill>
                  <a:sysClr val="windowText" lastClr="000000">
                    <a:lumMod val="65000"/>
                    <a:lumOff val="35000"/>
                  </a:sysClr>
                </a:solidFill>
                <a:latin typeface="Calibri" panose="020F0502020204030204"/>
              </a:rPr>
              <a:t>Парични текови по месеци</a:t>
            </a:r>
            <a:endParaRPr lang="en-US" sz="1400" b="0" i="0" u="none" strike="noStrike" baseline="0">
              <a:solidFill>
                <a:sysClr val="windowText" lastClr="000000">
                  <a:lumMod val="65000"/>
                  <a:lumOff val="35000"/>
                </a:sysClr>
              </a:solidFill>
              <a:latin typeface="Calibri" panose="020F0502020204030204"/>
            </a:endParaRPr>
          </a:p>
        </cx:rich>
      </cx:tx>
    </cx:title>
    <cx:plotArea>
      <cx:plotAreaRegion>
        <cx:series layoutId="waterfall" uniqueId="{31BF7E46-5285-4A29-B2A0-156547838D01}">
          <cx:tx>
            <cx:txData>
              <cx:f>_xlchart.v1.0</cx:f>
              <cx:v>Нето зголемување / намалување на паричните текови</cx:v>
            </cx:txData>
          </cx:tx>
          <cx:dataLabels pos="outEnd">
            <cx:visibility seriesName="0" categoryName="0" value="1"/>
          </cx:dataLabels>
          <cx:dataId val="0"/>
          <cx:layoutPr>
            <cx:subtotals/>
          </cx:layoutPr>
        </cx:series>
      </cx:plotAreaRegion>
      <cx:axis id="0">
        <cx:catScaling gapWidth="0.5"/>
        <cx:tickLabels/>
      </cx:axis>
      <cx:axis id="1">
        <cx:valScaling/>
        <cx:majorGridlines/>
        <cx:tickLabels/>
      </cx:axis>
    </cx:plotArea>
    <cx:legend pos="t"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1" Type="http://schemas.microsoft.com/office/2014/relationships/chartEx" Target="../charts/chartEx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15</xdr:col>
      <xdr:colOff>85725</xdr:colOff>
      <xdr:row>0</xdr:row>
      <xdr:rowOff>0</xdr:rowOff>
    </xdr:from>
    <xdr:to>
      <xdr:col>17</xdr:col>
      <xdr:colOff>361950</xdr:colOff>
      <xdr:row>13</xdr:row>
      <xdr:rowOff>47625</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83506890-33F9-4D7D-9AB3-1F5CCA5D55A6}"/>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1409700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25</xdr:row>
      <xdr:rowOff>266169</xdr:rowOff>
    </xdr:from>
    <xdr:to>
      <xdr:col>6</xdr:col>
      <xdr:colOff>313267</xdr:colOff>
      <xdr:row>43</xdr:row>
      <xdr:rowOff>71437</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5028669"/>
              <a:ext cx="8314267" cy="36152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144780</xdr:colOff>
      <xdr:row>19</xdr:row>
      <xdr:rowOff>180975</xdr:rowOff>
    </xdr:from>
    <xdr:to>
      <xdr:col>1</xdr:col>
      <xdr:colOff>1920240</xdr:colOff>
      <xdr:row>33</xdr:row>
      <xdr:rowOff>87630</xdr:rowOff>
    </xdr:to>
    <mc:AlternateContent xmlns:mc="http://schemas.openxmlformats.org/markup-compatibility/2006" xmlns:a14="http://schemas.microsoft.com/office/drawing/2010/main">
      <mc:Choice Requires="a14">
        <xdr:graphicFrame macro="">
          <xdr:nvGraphicFramePr>
            <xdr:cNvPr id="2" name="Year 1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754380" y="3800475"/>
              <a:ext cx="1775460" cy="25736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335280</xdr:colOff>
      <xdr:row>0</xdr:row>
      <xdr:rowOff>114300</xdr:rowOff>
    </xdr:from>
    <xdr:to>
      <xdr:col>11</xdr:col>
      <xdr:colOff>15240</xdr:colOff>
      <xdr:row>14</xdr:row>
      <xdr:rowOff>20955</xdr:rowOff>
    </xdr:to>
    <mc:AlternateContent xmlns:mc="http://schemas.openxmlformats.org/markup-compatibility/2006" xmlns:a14="http://schemas.microsoft.com/office/drawing/2010/main">
      <mc:Choice Requires="a14">
        <xdr:graphicFrame macro="">
          <xdr:nvGraphicFramePr>
            <xdr:cNvPr id="2" name="Year 17">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11399520" y="1143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314325</xdr:colOff>
      <xdr:row>1</xdr:row>
      <xdr:rowOff>154305</xdr:rowOff>
    </xdr:from>
    <xdr:to>
      <xdr:col>9</xdr:col>
      <xdr:colOff>683895</xdr:colOff>
      <xdr:row>15</xdr:row>
      <xdr:rowOff>60960</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9839325" y="344805"/>
              <a:ext cx="1788795" cy="25736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579120</xdr:colOff>
      <xdr:row>0</xdr:row>
      <xdr:rowOff>1</xdr:rowOff>
    </xdr:from>
    <xdr:to>
      <xdr:col>12</xdr:col>
      <xdr:colOff>525780</xdr:colOff>
      <xdr:row>5</xdr:row>
      <xdr:rowOff>76201</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12047220" y="1"/>
              <a:ext cx="2026920"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472440</xdr:colOff>
      <xdr:row>6</xdr:row>
      <xdr:rowOff>83820</xdr:rowOff>
    </xdr:to>
    <mc:AlternateContent xmlns:mc="http://schemas.openxmlformats.org/markup-compatibility/2006" xmlns:a14="http://schemas.microsoft.com/office/drawing/2010/main">
      <mc:Choice Requires="a14">
        <xdr:graphicFrame macro="">
          <xdr:nvGraphicFramePr>
            <xdr:cNvPr id="4" name="StavkaImeAOP">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StavkaImeAOP"/>
            </a:graphicData>
          </a:graphic>
        </xdr:graphicFrame>
      </mc:Choice>
      <mc:Fallback xmlns="">
        <xdr:sp macro="" textlink="">
          <xdr:nvSpPr>
            <xdr:cNvPr id="0" name=""/>
            <xdr:cNvSpPr>
              <a:spLocks noTextEdit="1"/>
            </xdr:cNvSpPr>
          </xdr:nvSpPr>
          <xdr:spPr>
            <a:xfrm>
              <a:off x="0" y="1"/>
              <a:ext cx="5875020" cy="11810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662940</xdr:colOff>
      <xdr:row>0</xdr:row>
      <xdr:rowOff>0</xdr:rowOff>
    </xdr:from>
    <xdr:to>
      <xdr:col>12</xdr:col>
      <xdr:colOff>160020</xdr:colOff>
      <xdr:row>6</xdr:row>
      <xdr:rowOff>99060</xdr:rowOff>
    </xdr:to>
    <mc:AlternateContent xmlns:mc="http://schemas.openxmlformats.org/markup-compatibility/2006" xmlns:a14="http://schemas.microsoft.com/office/drawing/2010/main">
      <mc:Choice Requires="a14">
        <xdr:graphicFrame macro="">
          <xdr:nvGraphicFramePr>
            <xdr:cNvPr id="5" name="StavkaKategorija">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StavkaKategorija"/>
            </a:graphicData>
          </a:graphic>
        </xdr:graphicFrame>
      </mc:Choice>
      <mc:Fallback xmlns="">
        <xdr:sp macro="" textlink="">
          <xdr:nvSpPr>
            <xdr:cNvPr id="0" name=""/>
            <xdr:cNvSpPr>
              <a:spLocks noTextEdit="1"/>
            </xdr:cNvSpPr>
          </xdr:nvSpPr>
          <xdr:spPr>
            <a:xfrm>
              <a:off x="6065520" y="0"/>
              <a:ext cx="5684520" cy="11963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579120</xdr:colOff>
      <xdr:row>0</xdr:row>
      <xdr:rowOff>1</xdr:rowOff>
    </xdr:from>
    <xdr:to>
      <xdr:col>12</xdr:col>
      <xdr:colOff>525780</xdr:colOff>
      <xdr:row>5</xdr:row>
      <xdr:rowOff>76201</xdr:rowOff>
    </xdr:to>
    <mc:AlternateContent xmlns:mc="http://schemas.openxmlformats.org/markup-compatibility/2006" xmlns:a14="http://schemas.microsoft.com/office/drawing/2010/main">
      <mc:Choice Requires="a14">
        <xdr:graphicFrame macro="">
          <xdr:nvGraphicFramePr>
            <xdr:cNvPr id="2" name="Year 19">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9189720" y="1"/>
              <a:ext cx="1975485" cy="1028700"/>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472440</xdr:colOff>
      <xdr:row>6</xdr:row>
      <xdr:rowOff>83820</xdr:rowOff>
    </xdr:to>
    <mc:AlternateContent xmlns:mc="http://schemas.openxmlformats.org/markup-compatibility/2006" xmlns:a14="http://schemas.microsoft.com/office/drawing/2010/main">
      <mc:Choice Requires="a14">
        <xdr:graphicFrame macro="">
          <xdr:nvGraphicFramePr>
            <xdr:cNvPr id="3" name="StavkaImeAOP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StavkaImeAOP 1"/>
            </a:graphicData>
          </a:graphic>
        </xdr:graphicFrame>
      </mc:Choice>
      <mc:Fallback xmlns="">
        <xdr:sp macro="" textlink="">
          <xdr:nvSpPr>
            <xdr:cNvPr id="0" name=""/>
            <xdr:cNvSpPr>
              <a:spLocks noTextEdit="1"/>
            </xdr:cNvSpPr>
          </xdr:nvSpPr>
          <xdr:spPr>
            <a:xfrm>
              <a:off x="0" y="1"/>
              <a:ext cx="5730240" cy="1226819"/>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662940</xdr:colOff>
      <xdr:row>0</xdr:row>
      <xdr:rowOff>0</xdr:rowOff>
    </xdr:from>
    <xdr:to>
      <xdr:col>12</xdr:col>
      <xdr:colOff>160020</xdr:colOff>
      <xdr:row>6</xdr:row>
      <xdr:rowOff>99060</xdr:rowOff>
    </xdr:to>
    <mc:AlternateContent xmlns:mc="http://schemas.openxmlformats.org/markup-compatibility/2006" xmlns:a14="http://schemas.microsoft.com/office/drawing/2010/main">
      <mc:Choice Requires="a14">
        <xdr:graphicFrame macro="">
          <xdr:nvGraphicFramePr>
            <xdr:cNvPr id="4" name="StavkaKategorija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vkaKategorija 2"/>
            </a:graphicData>
          </a:graphic>
        </xdr:graphicFrame>
      </mc:Choice>
      <mc:Fallback xmlns="">
        <xdr:sp macro="" textlink="">
          <xdr:nvSpPr>
            <xdr:cNvPr id="0" name=""/>
            <xdr:cNvSpPr>
              <a:spLocks noTextEdit="1"/>
            </xdr:cNvSpPr>
          </xdr:nvSpPr>
          <xdr:spPr>
            <a:xfrm>
              <a:off x="5257800" y="0"/>
              <a:ext cx="5541645" cy="1242060"/>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6</xdr:col>
      <xdr:colOff>203835</xdr:colOff>
      <xdr:row>1</xdr:row>
      <xdr:rowOff>26670</xdr:rowOff>
    </xdr:from>
    <xdr:to>
      <xdr:col>13</xdr:col>
      <xdr:colOff>230505</xdr:colOff>
      <xdr:row>14</xdr:row>
      <xdr:rowOff>148590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1859280</xdr:colOff>
      <xdr:row>17</xdr:row>
      <xdr:rowOff>160020</xdr:rowOff>
    </xdr:from>
    <xdr:to>
      <xdr:col>10</xdr:col>
      <xdr:colOff>22860</xdr:colOff>
      <xdr:row>38</xdr:row>
      <xdr:rowOff>83820</xdr:rowOff>
    </xdr:to>
    <xdr:graphicFrame macro="">
      <xdr:nvGraphicFramePr>
        <xdr:cNvPr id="9" name="Chart 8">
          <a:extLst>
            <a:ext uri="{FF2B5EF4-FFF2-40B4-BE49-F238E27FC236}">
              <a16:creationId xmlns:a16="http://schemas.microsoft.com/office/drawing/2014/main" id="{00000000-0008-0000-1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211032</xdr:colOff>
      <xdr:row>133</xdr:row>
      <xdr:rowOff>25400</xdr:rowOff>
    </xdr:from>
    <xdr:to>
      <xdr:col>15</xdr:col>
      <xdr:colOff>491532</xdr:colOff>
      <xdr:row>152</xdr:row>
      <xdr:rowOff>104351</xdr:rowOff>
    </xdr:to>
    <mc:AlternateContent xmlns:mc="http://schemas.openxmlformats.org/markup-compatibility/2006" xmlns:a14="http://schemas.microsoft.com/office/drawing/2010/main">
      <mc:Choice Requires="a14">
        <xdr:graphicFrame macro="">
          <xdr:nvGraphicFramePr>
            <xdr:cNvPr id="2" name="Месец 1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microsoft.com/office/drawing/2010/slicer">
              <sle:slicer xmlns:sle="http://schemas.microsoft.com/office/drawing/2010/slicer" name="Месец 11"/>
            </a:graphicData>
          </a:graphic>
        </xdr:graphicFrame>
      </mc:Choice>
      <mc:Fallback xmlns="">
        <xdr:sp macro="" textlink="">
          <xdr:nvSpPr>
            <xdr:cNvPr id="0" name=""/>
            <xdr:cNvSpPr>
              <a:spLocks noTextEdit="1"/>
            </xdr:cNvSpPr>
          </xdr:nvSpPr>
          <xdr:spPr>
            <a:xfrm>
              <a:off x="15041880" y="24523700"/>
              <a:ext cx="1737678" cy="355367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220980</xdr:colOff>
      <xdr:row>274</xdr:row>
      <xdr:rowOff>90170</xdr:rowOff>
    </xdr:from>
    <xdr:to>
      <xdr:col>16</xdr:col>
      <xdr:colOff>741876</xdr:colOff>
      <xdr:row>293</xdr:row>
      <xdr:rowOff>171451</xdr:rowOff>
    </xdr:to>
    <mc:AlternateContent xmlns:mc="http://schemas.openxmlformats.org/markup-compatibility/2006" xmlns:a14="http://schemas.microsoft.com/office/drawing/2010/main">
      <mc:Choice Requires="a14">
        <xdr:graphicFrame macro="">
          <xdr:nvGraphicFramePr>
            <xdr:cNvPr id="3" name="Месец 1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microsoft.com/office/drawing/2010/slicer">
              <sle:slicer xmlns:sle="http://schemas.microsoft.com/office/drawing/2010/slicer" name="Месец 12"/>
            </a:graphicData>
          </a:graphic>
        </xdr:graphicFrame>
      </mc:Choice>
      <mc:Fallback xmlns="">
        <xdr:sp macro="" textlink="">
          <xdr:nvSpPr>
            <xdr:cNvPr id="0" name=""/>
            <xdr:cNvSpPr>
              <a:spLocks noTextEdit="1"/>
            </xdr:cNvSpPr>
          </xdr:nvSpPr>
          <xdr:spPr>
            <a:xfrm>
              <a:off x="15262860" y="50374550"/>
              <a:ext cx="1917700" cy="35560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90267</xdr:colOff>
      <xdr:row>0</xdr:row>
      <xdr:rowOff>0</xdr:rowOff>
    </xdr:from>
    <xdr:to>
      <xdr:col>4</xdr:col>
      <xdr:colOff>915866</xdr:colOff>
      <xdr:row>6</xdr:row>
      <xdr:rowOff>23446</xdr:rowOff>
    </xdr:to>
    <mc:AlternateContent xmlns:mc="http://schemas.openxmlformats.org/markup-compatibility/2006" xmlns:a14="http://schemas.microsoft.com/office/drawing/2010/main">
      <mc:Choice Requires="a14">
        <xdr:graphicFrame macro="">
          <xdr:nvGraphicFramePr>
            <xdr:cNvPr id="4" name="StavkaGrupa">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microsoft.com/office/drawing/2010/slicer">
              <sle:slicer xmlns:sle="http://schemas.microsoft.com/office/drawing/2010/slicer" name="StavkaGrupa"/>
            </a:graphicData>
          </a:graphic>
        </xdr:graphicFrame>
      </mc:Choice>
      <mc:Fallback xmlns="">
        <xdr:sp macro="" textlink="">
          <xdr:nvSpPr>
            <xdr:cNvPr id="0" name=""/>
            <xdr:cNvSpPr>
              <a:spLocks noTextEdit="1"/>
            </xdr:cNvSpPr>
          </xdr:nvSpPr>
          <xdr:spPr>
            <a:xfrm>
              <a:off x="5488744" y="0"/>
              <a:ext cx="2963594" cy="11078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1759</xdr:rowOff>
    </xdr:from>
    <xdr:to>
      <xdr:col>2</xdr:col>
      <xdr:colOff>6594</xdr:colOff>
      <xdr:row>7</xdr:row>
      <xdr:rowOff>128954</xdr:rowOff>
    </xdr:to>
    <mc:AlternateContent xmlns:mc="http://schemas.openxmlformats.org/markup-compatibility/2006" xmlns:a14="http://schemas.microsoft.com/office/drawing/2010/main">
      <mc:Choice Requires="a14">
        <xdr:graphicFrame macro="">
          <xdr:nvGraphicFramePr>
            <xdr:cNvPr id="5" name="StavkaKategorija 1">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microsoft.com/office/drawing/2010/slicer">
              <sle:slicer xmlns:sle="http://schemas.microsoft.com/office/drawing/2010/slicer" name="StavkaKategorija 1"/>
            </a:graphicData>
          </a:graphic>
        </xdr:graphicFrame>
      </mc:Choice>
      <mc:Fallback xmlns="">
        <xdr:sp macro="" textlink="">
          <xdr:nvSpPr>
            <xdr:cNvPr id="0" name=""/>
            <xdr:cNvSpPr>
              <a:spLocks noTextEdit="1"/>
            </xdr:cNvSpPr>
          </xdr:nvSpPr>
          <xdr:spPr>
            <a:xfrm>
              <a:off x="0" y="1759"/>
              <a:ext cx="5363308" cy="13932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211032</xdr:colOff>
      <xdr:row>124</xdr:row>
      <xdr:rowOff>25400</xdr:rowOff>
    </xdr:from>
    <xdr:to>
      <xdr:col>15</xdr:col>
      <xdr:colOff>491532</xdr:colOff>
      <xdr:row>143</xdr:row>
      <xdr:rowOff>104351</xdr:rowOff>
    </xdr:to>
    <mc:AlternateContent xmlns:mc="http://schemas.openxmlformats.org/markup-compatibility/2006" xmlns:a14="http://schemas.microsoft.com/office/drawing/2010/main">
      <mc:Choice Requires="a14">
        <xdr:graphicFrame macro="">
          <xdr:nvGraphicFramePr>
            <xdr:cNvPr id="2" name="Месец 18">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Месец 18"/>
            </a:graphicData>
          </a:graphic>
        </xdr:graphicFrame>
      </mc:Choice>
      <mc:Fallback xmlns="">
        <xdr:sp macro="" textlink="">
          <xdr:nvSpPr>
            <xdr:cNvPr id="0" name=""/>
            <xdr:cNvSpPr>
              <a:spLocks noTextEdit="1"/>
            </xdr:cNvSpPr>
          </xdr:nvSpPr>
          <xdr:spPr>
            <a:xfrm>
              <a:off x="16073820" y="23647400"/>
              <a:ext cx="1694596" cy="3698451"/>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220980</xdr:colOff>
      <xdr:row>265</xdr:row>
      <xdr:rowOff>90170</xdr:rowOff>
    </xdr:from>
    <xdr:to>
      <xdr:col>16</xdr:col>
      <xdr:colOff>741876</xdr:colOff>
      <xdr:row>284</xdr:row>
      <xdr:rowOff>171451</xdr:rowOff>
    </xdr:to>
    <mc:AlternateContent xmlns:mc="http://schemas.openxmlformats.org/markup-compatibility/2006" xmlns:a14="http://schemas.microsoft.com/office/drawing/2010/main">
      <mc:Choice Requires="a14">
        <xdr:graphicFrame macro="">
          <xdr:nvGraphicFramePr>
            <xdr:cNvPr id="3" name="Месец 19">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Месец 19"/>
            </a:graphicData>
          </a:graphic>
        </xdr:graphicFrame>
      </mc:Choice>
      <mc:Fallback xmlns="">
        <xdr:sp macro="" textlink="">
          <xdr:nvSpPr>
            <xdr:cNvPr id="0" name=""/>
            <xdr:cNvSpPr>
              <a:spLocks noTextEdit="1"/>
            </xdr:cNvSpPr>
          </xdr:nvSpPr>
          <xdr:spPr>
            <a:xfrm>
              <a:off x="16823788" y="50572670"/>
              <a:ext cx="1869050" cy="3700781"/>
            </a:xfrm>
            <a:prstGeom prst="rect">
              <a:avLst/>
            </a:prstGeom>
            <a:solidFill>
              <a:prstClr val="white"/>
            </a:solidFill>
            <a:ln w="1">
              <a:solidFill>
                <a:prstClr val="green"/>
              </a:solidFill>
            </a:ln>
          </xdr:spPr>
          <xdr:txBody>
            <a:bodyPr vertOverflow="clip" horzOverflow="clip"/>
            <a:lstStyle/>
            <a:p>
              <a:r>
                <a:rPr lang="mk-MK"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Angela Sazdova - Doneva" refreshedDate="44523.444688425923" createdVersion="3" refreshedVersion="6" minRefreshableVersion="3" recordCount="0" tupleCache="1" supportSubquery="1" supportAdvancedDrill="1" xr:uid="{00000000-000A-0000-FFFF-FFFF00000000}">
  <cacheSource type="external" connectionId="25"/>
  <cacheFields count="19">
    <cacheField name="[fActualAndBudget].[ReportType].[ReportType]" caption="ReportType" numFmtId="0" hierarchy="31" level="1">
      <sharedItems count="3">
        <s v="[fActualAndBudget].[ReportType].&amp;[План]" c="План"/>
        <s v="[fActualAndBudget].[ReportType].&amp;[Предвидување]" c="Предвидување"/>
        <s v="[fActualAndBudget].[ReportType].&amp;[Остварено]" c="Остварено"/>
      </sharedItems>
    </cacheField>
    <cacheField name="[fActualAndBudget].[ObrazecIme].[ObrazecIme]" caption="ObrazecIme" numFmtId="0" hierarchy="40" level="1">
      <sharedItems count="2">
        <s v="[fActualAndBudget].[ObrazecIme].&amp;[Finansiski plan_Bilans na uspeh]" c="Finansiski plan_Bilans na uspeh"/>
        <s v="[fActualAndBudget].[ObrazecIme].&amp;[Finansiski plan_Bilans na sostojba]" c="Finansiski plan_Bilans na sostojba"/>
      </sharedItems>
    </cacheField>
    <cacheField name="[Calendar].[Година].[Година]" caption="Година" numFmtId="0" hierarchy="8" level="1">
      <sharedItems count="6">
        <s v="[Calendar].[Година].&amp;[2022]" c="2022"/>
        <s v="[Calendar].[Година].&amp;[2021]" c="2021"/>
        <s v="[Calendar].[Година].&amp;[2020]" c="2020"/>
        <s v="[Calendar].[Година].&amp;[2019]" c="2019"/>
        <s v="[Calendar].[Година].&amp;[2017]" c="2017"/>
        <s v="[Calendar].[Година].&amp;[2018]" c="2018"/>
      </sharedItems>
    </cacheField>
    <cacheField name="[Calendar].[Date Hierarchy].[Year]" caption="Year" numFmtId="0" hierarchy="7" level="1">
      <sharedItems count="2">
        <s v="[Calendar].[Date Hierarchy].[Year].&amp;[2021]" c="2021"/>
        <s v="[Calendar].[Date Hierarchy].[Year].&amp;[2022]" c="2022"/>
      </sharedItems>
    </cacheField>
    <cacheField name="[CAPEX].[Очекуван датум на плаќање].[Очекуван датум на плаќање]" caption="Очекуван датум на плаќање" numFmtId="0" hierarchy="18" level="1">
      <sharedItems count="10">
        <s v="[CAPEX].[Очекуван датум на плаќање].&amp;[2022-04-01T00:00:00]" c="4/1/2022"/>
        <s v="[CAPEX].[Очекуван датум на плаќање].&amp;[2022-05-01T00:00:00]" c="5/1/2022"/>
        <s v="[CAPEX].[Очекуван датум на плаќање].&amp;[2021-12-01T00:00:00]" c="12/1/2021"/>
        <s v="[CAPEX].[Очекуван датум на плаќање].&amp;[2022-07-01T00:00:00]" c="7/1/2022"/>
        <s v="[CAPEX].[Очекуван датум на плаќање].&amp;[2022-06-01T00:00:00]" c="6/1/2022"/>
        <s v="[CAPEX].[Очекуван датум на плаќање].&amp;[2022-02-01T00:00:00]" c="2/1/2022"/>
        <s v="[CAPEX].[Очекуван датум на плаќање].&amp;[2022-09-01T00:00:00]" c="9/1/2022"/>
        <s v="[CAPEX].[Очекуван датум на плаќање].&amp;[2022-11-01T00:00:00]" c="11/1/2022"/>
        <s v="[CAPEX].[Очекуван датум на плаќање].&amp;[2022-12-01T00:00:00]" c="12/1/2022"/>
        <s v="[CAPEX].[Очекуван датум на плаќање].&amp;[2022-03-01T00:00:00]" c="3/1/2022"/>
      </sharedItems>
    </cacheField>
    <cacheField name="[CAPEX].[Конто Средства].[Конто Средства]" caption="Конто Средства" numFmtId="0" hierarchy="22" level="1">
      <sharedItems count="6">
        <s v="[CAPEX].[Конто Средства].&amp;[01363]" c="01363"/>
        <s v="[CAPEX].[Конто Средства].&amp;[01213]" c="01213"/>
        <s v="[CAPEX].[Конто Средства].&amp;[0135]" c="0135"/>
        <s v="[CAPEX].[Конто Средства].&amp;[0191001]" c="0191001"/>
        <s v="[CAPEX].[Конто Средства].&amp;[0031]" c="0031"/>
        <s v="[CAPEX].[Конто Средства].&amp;[0030]" c="0030"/>
      </sharedItems>
    </cacheField>
    <cacheField name="[CAPEX].[Број на јавна набавка (план)].[Број на јавна набавка (план)]" caption="Број на јавна набавка (план)" numFmtId="0" hierarchy="16" level="1">
      <sharedItems count="22">
        <s v="[CAPEX].[Број на јавна набавка (план)].&amp;[2022-004]" c="2022-004"/>
        <s v="[CAPEX].[Број на јавна набавка (план)].&amp;[2022-018]" c="2022-018"/>
        <s v="[CAPEX].[Број на јавна набавка (план)].&amp;[2021-014]" c="2021-014"/>
        <s v="[CAPEX].[Број на јавна набавка (план)].&amp;[2021-015]" c="2021-015"/>
        <s v="[CAPEX].[Број на јавна набавка (план)].&amp;[2022-006]" c="2022-006"/>
        <s v="[CAPEX].[Број на јавна набавка (план)].&amp;[2022-016]" c="2022-016"/>
        <s v="[CAPEX].[Број на јавна набавка (план)].&amp;[2022-001]" c="2022-001"/>
        <s v="[CAPEX].[Број на јавна набавка (план)].&amp;[2022-002]" c="2022-002"/>
        <s v="[CAPEX].[Број на јавна набавка (план)].&amp;[2022-007]" c="2022-007"/>
        <s v="[CAPEX].[Број на јавна набавка (план)].&amp;[2022-012]" c="2022-012"/>
        <s v="[CAPEX].[Број на јавна набавка (план)].&amp;[2022-015]" c="2022-015"/>
        <s v="[CAPEX].[Број на јавна набавка (план)].&amp;[2022-017]" c="2022-017"/>
        <s v="[CAPEX].[Број на јавна набавка (план)].&amp;[2022-003]" c="2022-003"/>
        <s v="[CAPEX].[Број на јавна набавка (план)].&amp;[2022-008]" c="2022-008"/>
        <s v="[CAPEX].[Број на јавна набавка (план)].&amp;[2022-013]" c="2022-013"/>
        <s v="[CAPEX].[Број на јавна набавка (план)].&amp;[2022-005]" c="2022-005"/>
        <s v="[CAPEX].[Број на јавна набавка (план)].&amp;[2019-007]" c="2019-007"/>
        <s v="[CAPEX].[Број на јавна набавка (план)].&amp;[2021-011]" c="2021-011"/>
        <s v="[CAPEX].[Број на јавна набавка (план)].&amp;[2021-013]" c="2021-013"/>
        <s v="[CAPEX].[Број на јавна набавка (план)].&amp;[2019-006]" c="2019-006"/>
        <s v="[CAPEX].[Број на јавна набавка (план)].&amp;[2021-012]" c="2021-012"/>
        <s v="[CAPEX].[Број на јавна набавка (план)].&amp;[2021-010]" c="2021-010"/>
      </sharedItems>
    </cacheField>
    <cacheField name="[CAPEX].[Очекуван датум за ставање во употреба (месец)].[Очекуван датум за ставање во употреба (месец)]" caption="Очекуван датум за ставање во употреба (месец)" numFmtId="0" hierarchy="19" level="1">
      <sharedItems count="8">
        <s v="[CAPEX].[Очекуван датум за ставање во употреба (месец)].&amp;[2022-05-01T00:00:00]" c="5/1/2022"/>
        <s v="[CAPEX].[Очекуван датум за ставање во употреба (месец)].&amp;[2022-09-01T00:00:00]" c="9/1/2022"/>
        <s v="[CAPEX].[Очекуван датум за ставање во употреба (месец)].&amp;[2022-06-01T00:00:00]" c="6/1/2022"/>
        <s v="[CAPEX].[Очекуван датум за ставање во употреба (месец)].&amp;[2022-01-01T00:00:00]" c="1/1/2022"/>
        <s v="[CAPEX].[Очекуван датум за ставање во употреба (месец)].&amp;[2022-11-01T00:00:00]" c="11/1/2022"/>
        <s v="[CAPEX].[Очекуван датум за ставање во употреба (месец)].&amp;[2022-10-01T00:00:00]" c="10/1/2022"/>
        <s v="[CAPEX].[Очекуван датум за ставање во употреба (месец)].&amp;[2022-04-01T00:00:00]" c="4/1/2022"/>
        <s v="[CAPEX].[Очекуван датум за ставање во употреба (месец)].&amp;[2022-07-01T00:00:00]" c="7/1/2022"/>
      </sharedItems>
    </cacheField>
    <cacheField name="[fActualAndBudget].[StavkaGrupa].[StavkaGrupa]" caption="StavkaGrupa" numFmtId="0" hierarchy="35" level="1">
      <sharedItems count="4">
        <s v="[fActualAndBudget].[StavkaGrupa].&amp;[3.1. Приходи од дејноста]" c="3.1. Приходи од дејноста"/>
        <s v="[fActualAndBudget].[StavkaGrupa].&amp;[4.1. Расходи од дејноста]" c="4.1. Расходи од дејноста"/>
        <s v="[fActualAndBudget].[StavkaGrupa].&amp;[3.2. Останати приходи]" c="3.2. Останати приходи"/>
        <s v="[fActualAndBudget].[StavkaGrupa].&amp;[4.2. Останати расходи]" c="4.2. Останати расходи"/>
      </sharedItems>
    </cacheField>
    <cacheField name="[fActualAndBudget].[StavkaImeMK].[StavkaImeMK]" caption="StavkaImeMK" numFmtId="0" hierarchy="34" level="1">
      <sharedItems count="77">
        <s v="[fActualAndBudget].[StavkaImeMK].&amp;[Приходи од регистар на вистински сопственици]" c="Приходи од регистар на вистински сопственици"/>
        <s v="[fActualAndBudget].[StavkaImeMK].&amp;[Загуби и кусоци]" c="Загуби и кусоци"/>
        <s v="[fActualAndBudget].[StavkaImeMK].&amp;[Останати расходи]" c="Останати расходи"/>
        <s v="[fActualAndBudget].[StavkaImeMK].&amp;[Приходи од регистар на задолжница]" c="Приходи од регистар на задолжница"/>
        <s v="[fActualAndBudget].[StavkaImeMK].&amp;[Услуги за одржување и заштита]" c="Услуги за одржување и заштита"/>
        <s v="[fActualAndBudget].[StavkaImeMK].&amp;[Приходи од годишни сметки]" c="Приходи од годишни сметки"/>
        <s v="[fActualAndBudget].[StavkaImeMK].&amp;[Курсни разлики]" c="Курсни разлики"/>
        <s v="[fActualAndBudget].[StavkaImeMK].&amp;[Трошоци за промоција,пропаганда, реклама, репрезентација и спонзорство]" c="Трошоци за промоција,пропаганда, реклама, репрезентација и спонзорство"/>
        <s v="[fActualAndBudget].[StavkaImeMK].&amp;[Амортизација по минимални стапки]" c="Амортизација по минимални стапки"/>
        <s v="[fActualAndBudget].[StavkaImeMK].&amp;[Потрoшена енергија и гориво за возила]" c="Потрoшена енергија и гориво за возила"/>
        <s v="[fActualAndBudget].[StavkaImeMK].&amp;[Потрошени резервни делови]" c="Потрошени резервни делови"/>
        <s v="[fActualAndBudget].[StavkaImeMK].&amp;[Наемнини и лизинг]" c="Наемнини и лизинг"/>
        <s v="[fActualAndBudget].[StavkaImeMK].&amp;[Други неспомнати приходи]" c="Други неспомнати приходи"/>
        <s v="[fActualAndBudget].[StavkaImeMK].&amp;[Даноци,чланарини и други давачки кои не зависат од резултатот]" c="Даноци,чланарини и други давачки кои не зависат од резултатот"/>
        <s v="[fActualAndBudget].[StavkaImeMK].&amp;[Казни, пенали и надомест на штети затезни камати]" c="Казни, пенали и надомест на штети затезни камати"/>
        <s v="[fActualAndBudget].[StavkaImeMK].&amp;[Останати услуги]" c="Останати услуги"/>
        <s v="[fActualAndBudget].[StavkaImeMK].&amp;[Одложено плаќање на трошоци и признавање на приходи (ПВР)]" c="Одложено плаќање на трошоци и признавање на приходи (ПВР)"/>
        <s v="[fActualAndBudget].[StavkaImeMK].&amp;[Приходи од Регистар на резиденти и нерезиденти]" c="Приходи од Регистар на резиденти и нерезиденти"/>
        <s v="[fActualAndBudget].[StavkaImeMK].&amp;[Приходи од интернет дистрибутивен систем]" c="Приходи од интернет дистрибутивен систем"/>
        <s v="[fActualAndBudget].[StavkaImeMK].&amp;[Вонредни невообичаени приходи]" c="Вонредни невообичаени приходи"/>
        <s v="[fActualAndBudget].[StavkaImeMK].&amp;[Приходи од регистар на недвижности]" c="Приходи од регистар на недвижности"/>
        <s v="[fActualAndBudget].[StavkaImeMK].&amp;[Банкарски услуги и трошоци за платен промет]" c="Банкарски услуги и трошоци за платен промет"/>
        <s v="[fActualAndBudget].[StavkaImeMK].&amp;[Приходи од прекршочна постапка]" c="Приходи од прекршочна постапка"/>
        <s v="[fActualAndBudget].[StavkaImeMK].&amp;[Приходи од трговски регистар]" c="Приходи од трговски регистар"/>
        <s v="[fActualAndBudget].[StavkaImeMK].&amp;[Потрошени суровини и материјали]" c="Потрошени суровини и материјали"/>
        <s v="[fActualAndBudget].[StavkaImeMK].&amp;[Приходи од регистрите за кривични санкции, пресуди и др.]" c="Приходи од регистрите за кривични санкции, пресуди и др."/>
        <s v="[fActualAndBudget].[StavkaImeMK].&amp;[Останати резерви - резерви за развој]" c="Останати резерви - резерви за развој"/>
        <s v="[fActualAndBudget].[StavkaImeMK].&amp;[Приходи од закуп]" c="Приходи од закуп"/>
        <s v="[fActualAndBudget].[StavkaImeMK].&amp;[Софтвер]" c="Софтвер"/>
        <s v="[fActualAndBudget].[StavkaImeMK].&amp;[Приходи од Регистар на лизинг]" c="Приходи од Регистар на лизинг"/>
        <s v="[fActualAndBudget].[StavkaImeMK].&amp;[Нематеријални средства во подготовка]" c="Нематеријални средства во подготовка"/>
        <s v="[fActualAndBudget].[StavkaImeMK].&amp;[Приходи од заложен регистар]" c="Приходи од заложен регистар"/>
        <s v="[fActualAndBudget].[StavkaImeMK].&amp;[Приходи од продажба на подвижен имот]" c="Приходи од продажба на подвижен имот"/>
        <s v="[fActualAndBudget].[StavkaImeMK].&amp;[Потрошок на ситен инвентар и автогуми]" c="Потрошок на ситен инвентар и автогуми"/>
        <s v="[fActualAndBudget].[StavkaImeMK].&amp;[Патнички автомобили]" c="Патнички автомобили"/>
        <s v="[fActualAndBudget].[StavkaImeMK].&amp;[Дневници за службени патувања и патни трошоци]" c="Дневници за службени патувања и патни трошоци"/>
        <s v="[fActualAndBudget].[StavkaImeMK].&amp;[Премии за осигурување]" c="Премии за осигурување"/>
        <s v="[fActualAndBudget].[StavkaImeMK].&amp;[Вредносно усогласување на тековни и нетековни средства]" c="Вредносно усогласување на тековни и нетековни средства"/>
        <s v="[fActualAndBudget].[StavkaImeMK].&amp;[Приходи од донации]" c="Приходи од донации"/>
        <s v="[fActualAndBudget].[StavkaImeMK].&amp;[Побарувања од вработените]" c="Побарувања од вработените"/>
        <s v="[fActualAndBudget].[StavkaImeMK].&amp;[Останати нематеријални трошоци]" c="Останати нематеријални трошоци"/>
        <s v="[fActualAndBudget].[StavkaImeMK].&amp;[Транспортни услуги]" c="Транспортни услуги"/>
        <s v="[fActualAndBudget].[StavkaImeMK].&amp;[Побарувања за аванси за материјални исредства]" c="Побарувања за аванси за материјални исредства"/>
        <s v="[fActualAndBudget].[StavkaImeMK].&amp;[Приходи од курсни разлики]" c="Приходи од курсни разлики"/>
        <s v="[fActualAndBudget].[StavkaImeMK].&amp;[Приходи од странство]" c="Приходи од странство"/>
        <s v="[fActualAndBudget].[StavkaImeMK].&amp;[Надомест на трошоци на вработените, подароци и помошти]" c="Надомест на трошоци на вработените, подароци и помошти"/>
        <s v="[fActualAndBudget].[StavkaImeMK].&amp;[Краткорочни финансиски побарувања]" c="Краткорочни финансиски побарувања"/>
        <s v="[fActualAndBudget].[StavkaImeMK].&amp;[Останати материјални основни средства]" c="Останати материјални основни средства"/>
        <s v="[fActualAndBudget].[StavkaImeMK].&amp;[Приходи од камати]" c="Приходи од камати"/>
        <s v="[fActualAndBudget].[StavkaImeMK].&amp;[Лиценци за разни софтвери (едногодишни, обновливи)]" c="Лиценци за разни софтвери (едногодишни, обновливи)"/>
        <s v="[fActualAndBudget].[StavkaImeMK].&amp;[Обврски спрема државата]" c="Обврски спрема државата"/>
        <s v="[fActualAndBudget].[StavkaImeMK].&amp;[Вонбилансна актива]" c="Вонбилансна актива"/>
        <s v="[fActualAndBudget].[StavkaImeMK].&amp;[Надворешни услуги]" c="Надворешни услуги"/>
        <s v="[fActualAndBudget].[StavkaImeMK].&amp;[Приходи од регистар на директни странски инвестиции]" c="Приходи од регистар на директни странски инвестиции"/>
        <s v="[fActualAndBudget].[StavkaImeMK].&amp;[Обврски за даноци и придонеси]" c="Обврски за даноци и придонеси"/>
        <s v="[fActualAndBudget].[StavkaImeMK].&amp;[Законска резерва]" c="Законска резерва"/>
        <s v="[fActualAndBudget].[StavkaImeMK].&amp;[Жиро сметки]" c="Жиро сметки"/>
        <s v="[fActualAndBudget].[StavkaImeMK].&amp;[Готовина домашна валута]" c="Готовина домашна валута"/>
        <s v="[fActualAndBudget].[StavkaImeMK].&amp;[Акумулирана добивка]" c="Акумулирана добивка"/>
        <s v="[fActualAndBudget].[StavkaImeMK].&amp;[Залихи на резервни делови]" c="Залихи на резервни делови"/>
        <s v="[fActualAndBudget].[StavkaImeMK].&amp;[Капитална добивка од продажба на материјални и неметеријални средства]" c="Капитална добивка од продажба на материјални и неметеријални средства"/>
        <s v="[fActualAndBudget].[StavkaImeMK].&amp;[Побарувања од државата]" c="Побарувања од државата"/>
        <s v="[fActualAndBudget].[StavkaImeMK].&amp;[Вонбилансна пасива]" c="Вонбилансна пасива"/>
        <s v="[fActualAndBudget].[StavkaImeMK].&amp;[Обврски кон добавувачи во земјата]" c="Обврски кон добавувачи во земјата"/>
        <s v="[fActualAndBudget].[StavkaImeMK].&amp;[Канцелариски мебел]" c="Канцелариски мебел"/>
        <s v="[fActualAndBudget].[StavkaImeMK].&amp;[Реинвестирана добивка]" c="Реинвестирана добивка"/>
        <s v="[fActualAndBudget].[StavkaImeMK].&amp;[Залихи на канцелариски и останат материјал]" c="Залихи на канцелариски и останат материјал"/>
        <s v="[fActualAndBudget].[StavkaImeMK].&amp;[Останати тековни обврски]" c="Останати тековни обврски"/>
        <s v="[fActualAndBudget].[StavkaImeMK].&amp;[Добивка/ Загуба за деловната година]" c="Добивка/ Загуба за деловната година"/>
        <s v="[fActualAndBudget].[StavkaImeMK].&amp;[Долгорочни финансиски обврски]" c="Долгорочни финансиски обврски"/>
        <s v="[fActualAndBudget].[StavkaImeMK].&amp;[Готовина странска валута]" c="Готовина странска валута"/>
        <s v="[fActualAndBudget].[StavkaImeMK].&amp;[Обврски кон вработените]" c="Обврски кон вработените"/>
        <s v="[fActualAndBudget].[StavkaImeMK].&amp;[Компјутерска и останата опрема]" c="Компјутерска и останата опрема"/>
        <s v="[fActualAndBudget].[StavkaImeMK].&amp;[Залихи на ситен инвентар и авто гуми]" c="Залихи на ситен инвентар и авто гуми"/>
        <s v="[fActualAndBudget].[StavkaImeMK].&amp;[Недвижности]" c="Недвижности"/>
        <s v="[fActualAndBudget].[StavkaImeMK].&amp;[Државен капитал]" c="Државен капитал"/>
        <s v="[fActualAndBudget].[StavkaImeMK].&amp;[Инвестиции во тек - недвижности]" c="Инвестиции во тек - недвижности"/>
      </sharedItems>
    </cacheField>
    <cacheField name="[Calendar].[Квартал].[Квартал]" caption="Квартал" numFmtId="0" hierarchy="14" level="1">
      <sharedItems count="4">
        <s v="[Calendar].[Квартал].&amp;[2022-12-31T00:00:00]" c="12/31/2022"/>
        <s v="[Calendar].[Квартал].&amp;[2022-03-31T00:00:00]" c="3/31/2022"/>
        <s v="[Calendar].[Квартал].&amp;[2022-06-30T00:00:00]" c="6/30/2022"/>
        <s v="[Calendar].[Квартал].&amp;[2022-09-30T00:00:00]" c="9/30/2022"/>
      </sharedItems>
    </cacheField>
    <cacheField name="[Amortizacija].[Период].[Период]" caption="Период" numFmtId="0" hierarchy="2" level="1">
      <sharedItems count="12">
        <s v="[Amortizacija].[Период].&amp;[2022-02-01T00:00:00]" c="2/1/2022"/>
        <s v="[Amortizacija].[Период].&amp;[2022-07-01T00:00:00]" c="7/1/2022"/>
        <s v="[Amortizacija].[Период].&amp;[2022-01-01T00:00:00]" c="1/1/2022"/>
        <s v="[Amortizacija].[Период].&amp;[2022-09-01T00:00:00]" c="9/1/2022"/>
        <s v="[Amortizacija].[Период].&amp;[2022-05-01T00:00:00]" c="5/1/2022"/>
        <s v="[Amortizacija].[Период].&amp;[2022-10-01T00:00:00]" c="10/1/2022"/>
        <s v="[Amortizacija].[Период].&amp;[2022-08-01T00:00:00]" c="8/1/2022"/>
        <s v="[Amortizacija].[Период].&amp;[2022-04-01T00:00:00]" c="4/1/2022"/>
        <s v="[Amortizacija].[Период].&amp;[2022-06-01T00:00:00]" c="6/1/2022"/>
        <s v="[Amortizacija].[Период].&amp;[2022-11-01T00:00:00]" c="11/1/2022"/>
        <s v="[Amortizacija].[Период].&amp;[2022-03-01T00:00:00]" c="3/1/2022"/>
        <s v="[Amortizacija].[Период].&amp;[2022-12-01T00:00:00]" c="12/1/2022"/>
      </sharedItems>
    </cacheField>
    <cacheField name="[fActualAndBudget].[StavkaKategorija].[StavkaKategorija]" caption="StavkaKategorija" numFmtId="0" hierarchy="36" level="1">
      <sharedItems count="23">
        <s v="[fActualAndBudget].[StavkaKategorija].&amp;[1.2. Побарувања]" c="1.2. Побарувања"/>
        <s v="[fActualAndBudget].[StavkaKategorija].&amp;[2.41. Расходи од финансирање]" c="2.41. Расходи од финансирање"/>
        <s v="[fActualAndBudget].[StavkaKategorija].&amp;[2.29. Приходи од продажба]" c="2.29. Приходи од продажба"/>
        <s v="[fActualAndBudget].[StavkaKategorija].&amp;[2.37. Останати оперативни расходи]" c="2.37. Останати оперативни расходи"/>
        <s v="[fActualAndBudget].[StavkaKategorija].&amp;[1.3. Залихи]" c="1.3. Залихи"/>
        <s v="[fActualAndBudget].[StavkaKategorija].&amp;[2.30. Останати оперативни приходи]" c="2.30. Останати оперативни приходи"/>
        <s v="[fActualAndBudget].[StavkaKategorija].&amp;[2.32. Потрошени суровини и материјали]" c="2.32. Потрошени суровини и материјали"/>
        <s v="[fActualAndBudget].[StavkaKategorija].&amp;[1.13. Вонбилансна актива]" c="1.13. Вонбилансна актива"/>
        <s v="[fActualAndBudget].[StavkaKategorija].&amp;[1.1. Парични средства]" c="1.1. Парични средства"/>
        <s v="[fActualAndBudget].[StavkaKategorija].&amp;[2.34. Амортизација на материјални средства]" c="2.34. Амортизација на материјални средства"/>
        <s v="[fActualAndBudget].[StavkaKategorija].&amp;[1.17. Долгорочни обврски]" c="1.17. Долгорочни обврски"/>
        <s v="[fActualAndBudget].[StavkaKategorija].&amp;[1.15. Одложено плаќање на трошоци и приходи (ПВР)]" c="1.15. Одложено плаќање на трошоци и приходи (ПВР)"/>
        <s v="[fActualAndBudget].[StavkaKategorija].&amp;[1.28. Вонбилансна пасива]" c="1.28. Вонбилансна пасива"/>
        <s v="[fActualAndBudget].[StavkaKategorija].&amp;[2.33. Трошоци за вработените]" c="2.33. Трошоци за вработените"/>
        <s v="[fActualAndBudget].[StavkaKategorija].&amp;[1.23. Резерви]" c="1.23. Резерви"/>
        <s v="[fActualAndBudget].[StavkaKategorija].&amp;[1.9. Нематеријални средства]" c="1.9. Нематеријални средства"/>
        <s v="[fActualAndBudget].[StavkaKategorija].&amp;[1.14. Краткорочни обврски]" c="1.14. Краткорочни обврски"/>
        <s v="[fActualAndBudget].[StavkaKategorija].&amp;[1.7. Материјални средства и вложувања во недвижности]" c="1.7. Материјални средства и вложувања во недвижности"/>
        <s v="[fActualAndBudget].[StavkaKategorija].&amp;[1.25. Добивка / Загуба за деловната година]" c="1.25. Добивка / Загуба за деловната година"/>
        <s v="[fActualAndBudget].[StavkaKategorija].&amp;[1.22. Акумулирана добивка]" c="1.22. Акумулирана добивка"/>
        <s v="[fActualAndBudget].[StavkaKategorija].&amp;[2.35. Вредносно усогласување на тековни средства]" c="2.35. Вредносно усогласување на тековни средства"/>
        <s v="[fActualAndBudget].[StavkaKategorija].&amp;[1.21. Капитал]" c="1.21. Капитал"/>
        <s v="[fActualAndBudget].[StavkaKategorija].&amp;[2.40. Приходи од финансирање]" c="2.40. Приходи од финансирање"/>
      </sharedItems>
    </cacheField>
    <cacheField name="[rArtikli_HR_Analiza].[StavkaKategorija.1].[StavkaKategorija.1]" caption="StavkaKategorija.1" numFmtId="0" hierarchy="118" level="1">
      <sharedItems count="2">
        <s v="[rArtikli_HR_Analiza].[StavkaKategorija.1].&amp;[2.32. Потрошени суровини и материјали]" c="2.32. Потрошени суровини и материјали"/>
        <s v="[rArtikli_HR_Analiza].[StavkaKategorija.1].&amp;[2.37. Останати оперативни расходи]" c="2.37. Останати оперативни расходи"/>
      </sharedItems>
    </cacheField>
    <cacheField name="[rArtikli_HR_Analiza].[Ставка].[Ставка]" caption="Ставка" numFmtId="0" hierarchy="101" level="1">
      <sharedItems count="29">
        <s v="[rArtikli_HR_Analiza].[Ставка].&amp;[Останат канцелариски материјал]" c="Останат канцелариски материјал"/>
        <s v="[rArtikli_HR_Analiza].[Ставка].&amp;[Резервни делови - батерии]" c="Резервни делови - батерии"/>
        <s v="[rArtikli_HR_Analiza].[Ставка].&amp;[Вреќи за отпад, ПВЦ, големи од  90 до 120 литри, од мин. 10 во пакување]" c="Вреќи за отпад, ПВЦ, големи од  90 до 120 литри, од мин. 10 во пакување"/>
        <s v="[rArtikli_HR_Analiza].[Ставка].&amp;[Средство за дезинфекција на површини]" c="Средство за дезинфекција на површини"/>
        <s v="[rArtikli_HR_Analiza].[Ставка].&amp;[Зимски пневматици]" c="Зимски пневматици"/>
        <s v="[rArtikli_HR_Analiza].[Ставка].&amp;[Метли]" c="Метли"/>
        <s v="[rArtikli_HR_Analiza].[Ставка].&amp;[Ракавици гумени хигиеничарски големина М,L,XL]" c="Ракавици гумени хигиеничарски големина М,L,XL"/>
        <s v="[rArtikli_HR_Analiza].[Ставка].&amp;[Средство за чистење на подови  кое се состои најмалку од &lt;5% Non-Ionic Surfactants, Perfume, Benzisothiazolinone, алкохол, боја]" c="Средство за чистење на подови  кое се состои најмалку од &lt;5% Non-Ionic Surfactants, Perfume, Benzisothiazolinone, алкохол, боја"/>
        <s v="[rArtikli_HR_Analiza].[Ставка].&amp;[Течен сапун за миење на раце со ph неутрален фактор, антибактериски, во пакување од 300 мл до 1 литар со пумпица]" c="Течен сапун за миење на раце со ph неутрален фактор, антибактериски, во пакување од 300 мл до 1 литар со пумпица"/>
        <s v="[rArtikli_HR_Analiza].[Ставка].&amp;[Потрошено гориво]" c="Потрошено гориво"/>
        <s v="[rArtikli_HR_Analiza].[Ставка].&amp;[Летни пневматици]" c="Летни пневматици"/>
        <s v="[rArtikli_HR_Analiza].[Ставка].&amp;[Средство за миење на садови: 5-15% анјонски активни материи, &lt; 5% нејонски активни материи, парфем, 750 -1000мл]" c="Средство за миење на садови: 5-15% анјонски активни материи, &lt; 5% нејонски активни материи, парфем, 750 -1000мл"/>
        <s v="[rArtikli_HR_Analiza].[Ставка].&amp;[Средство за чистење стаклени површини со пумпа распрскувач кое се состои најмалку од &lt;5% Non-Ionic Surfactants, Perfume, Benzisothiazolinone]" c="Средство за чистење стаклени површини со пумпа распрскувач кое се состои најмалку од &lt;5% Non-Ionic Surfactants, Perfume, Benzisothiazolinone"/>
        <s v="[rArtikli_HR_Analiza].[Ставка].&amp;[Лопатки за ѓубре]" c="Лопатки за ѓубре"/>
        <s v="[rArtikli_HR_Analiza].[Ставка].&amp;[Џогер Пуцвал со рачка во висина минимум 140 см]" c="Џогер Пуцвал со рачка во висина минимум 140 см"/>
        <s v="[rArtikli_HR_Analiza].[Ставка].&amp;[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 c="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
        <s v="[rArtikli_HR_Analiza].[Ставка].&amp;[ПВЦ Кофа за цедење на џогер мин. 10 литри]" c="ПВЦ Кофа за цедење на џогер мин. 10 литри"/>
        <s v="[rArtikli_HR_Analiza].[Ставка].&amp;[Четка за WC шоља со пластична рачка]" c="Четка за WC шоља со пластична рачка"/>
        <s v="[rArtikli_HR_Analiza].[Ставка].&amp;[Сунѓери со абразивна подлога за миење на садови, димензии мин. 9х5 см]" c="Сунѓери со абразивна подлога за миење на садови, димензии мин. 9х5 см"/>
        <s v="[rArtikli_HR_Analiza].[Ставка].&amp;[Четка за собирање на пајажина со димензии на рачка од 80 см до 120 см]" c="Четка за собирање на пајажина со димензии на рачка од 80 см до 120 см"/>
        <s v="[rArtikli_HR_Analiza].[Ставка].&amp;[Тонери]" c="Тонери"/>
        <s v="[rArtikli_HR_Analiza].[Ставка].&amp;[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 c="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
        <s v="[rArtikli_HR_Analiza].[Ставка].&amp;[Средство за чистење на плочки, пакување од  0,5л - 1 литар]" c="Средство за чистење на плочки, пакување од  0,5л - 1 литар"/>
        <s v="[rArtikli_HR_Analiza].[Ставка].&amp;[Трослојна тоалетна хартија во ролна 100% целулоза, бела боја со најмалку 200 листови со димензии најмалку 100 х 205mm]" c="Трослојна тоалетна хартија во ролна 100% целулоза, бела боја со најмалку 200 листови со димензии најмалку 100 х 205mm"/>
        <s v="[rArtikli_HR_Analiza].[Ставка].&amp;[Крпи за бришење со моќ на впивање на течност, со димензии 200x190x4 мм +/- 20%]" c="Крпи за бришење со моќ на впивање на течност, со димензии 200x190x4 мм +/- 20%"/>
        <s v="[rArtikli_HR_Analiza].[Ставка].&amp;[Крпи за чистење на маси и други површини (микрофибер), со димензии330х330 мм +/- 20%]" c="Крпи за чистење на маси и други површини (микрофибер), со димензии330х330 мм +/- 20%"/>
        <s v="[rArtikli_HR_Analiza].[Ставка].&amp;[Хартија]" c="Хартија"/>
        <s v="[rArtikli_HR_Analiza].[Ставка].&amp;[Трошоци за нафта за затоплување со склучен договор]" c="Трошоци за нафта за затоплување со склучен договор"/>
        <s v="[rArtikli_HR_Analiza].[Ставка].&amp;[Резерва за џогер пуцвал]" c="Резерва за џогер пуцвал"/>
      </sharedItems>
    </cacheField>
    <cacheField name="[Amortizacija].[Конто].[Конто]" caption="Конто" numFmtId="0" hierarchy="4" level="1">
      <sharedItems count="5">
        <s v="[Amortizacija].[Конто].&amp;[431001]" c="431001"/>
        <s v="[Amortizacija].[Конто].&amp;[43030]" c="43030"/>
        <s v="[Amortizacija].[Конто].&amp;[43031]" c="43031"/>
        <s v="[Amortizacija].[Конто].&amp;[43134]" c="43134"/>
        <s v="[Amortizacija].[Конто].&amp;[43136]" c="43136"/>
      </sharedItems>
    </cacheField>
    <cacheField name="[Calendar].[Месец].[Месец]" caption="Месец" numFmtId="0" hierarchy="10" level="1">
      <sharedItems count="12">
        <s v="[Calendar].[Месец].&amp;[Jul]" c="Jul"/>
        <s v="[Calendar].[Месец].&amp;[Mar]" c="Mar"/>
        <s v="[Calendar].[Месец].&amp;[Oct]" c="Oct"/>
        <s v="[Calendar].[Месец].&amp;[Dec]" c="Dec"/>
        <s v="[Calendar].[Месец].&amp;[Nov]" c="Nov"/>
        <s v="[Calendar].[Месец].&amp;[Jun]" c="Jun"/>
        <s v="[Calendar].[Месец].&amp;[Apr]" c="Apr"/>
        <s v="[Calendar].[Месец].&amp;[Sep]" c="Sep"/>
        <s v="[Calendar].[Месец].&amp;[Feb]" c="Feb"/>
        <s v="[Calendar].[Месец].&amp;[May]" c="May"/>
        <s v="[Calendar].[Месец].&amp;[Aug]" c="Aug"/>
        <s v="[Calendar].[Месец].&amp;[Jan]" c="Jan"/>
      </sharedItems>
    </cacheField>
    <cacheField name="[Measures].[MeasuresLevel]" caption="MeasuresLevel" numFmtId="0" hierarchy="86">
      <sharedItems count="4">
        <s v="[Measures].[Sum of Износ]" c="Sum of Износ"/>
        <s v="[Measures].[Sum of Проценета вредност на набавка со ДДВ (денари)]" c="Sum of Проценета вредност на набавка со ДДВ (денари)"/>
        <s v="[Measures].[Sum of Износ 2]" c="Sum of Износ 2"/>
        <s v="[Measures].[Sum of Износ (илјади)]" c="Sum of Износ (илјади)"/>
      </sharedItems>
    </cacheField>
    <cacheField name="[Calendar].[MMM-YYYY].[MMM-YYYY]" caption="MMM-YYYY" numFmtId="0" hierarchy="11" level="1">
      <sharedItems count="1">
        <s v="[Calendar].[MMM-YYYY].&amp;[Nov-2018]" c="Nov-2018"/>
      </sharedItems>
    </cacheField>
  </cacheFields>
  <cacheHierarchies count="177">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2" memberValueDatatype="130" unbalanced="0"/>
    <cacheHierarchy uniqueName="[Amortizacija].[Ставка]" caption="Ставка" attribute="1" defaultMemberUniqueName="[Amortizacija].[Ставка].[All]" allUniqueName="[Amortizacija].[Ставка].[All]" dimensionUniqueName="[Amortizacija]" displayFolder="" count="2" memberValueDatatype="130" unbalanced="0"/>
    <cacheHierarchy uniqueName="[Amortizacija].[Период]" caption="Период" attribute="1" time="1" defaultMemberUniqueName="[Amortizacija].[Период].[All]" allUniqueName="[Amortizacija].[Период].[All]" dimensionUniqueName="[Amortizacija]" displayFolder="" count="2" memberValueDatatype="7" unbalanced="0">
      <fieldsUsage count="2">
        <fieldUsage x="-1"/>
        <fieldUsage x="11"/>
      </fieldsUsage>
    </cacheHierarchy>
    <cacheHierarchy uniqueName="[Amortizacija].[Износ]" caption="Износ" attribute="1" defaultMemberUniqueName="[Amortizacija].[Износ].[All]" allUniqueName="[Amortizacija].[Износ].[All]" dimensionUniqueName="[Amortizacija]" displayFolder="" count="2" memberValueDatatype="20" unbalanced="0"/>
    <cacheHierarchy uniqueName="[Amortizacija].[Конто]" caption="Конто" attribute="1" defaultMemberUniqueName="[Amortizacija].[Конто].[All]" allUniqueName="[Amortizacija].[Конто].[All]" dimensionUniqueName="[Amortizacija]" displayFolder="" count="2" memberValueDatatype="130" unbalanced="0">
      <fieldsUsage count="2">
        <fieldUsage x="-1"/>
        <fieldUsage x="15"/>
      </fieldsUsage>
    </cacheHierarchy>
    <cacheHierarchy uniqueName="[Amortizacija].[ReportType]" caption="ReportType" attribute="1" defaultMemberUniqueName="[Amortizacija].[ReportType].[All]" allUniqueName="[Amortizacija].[ReportType].[All]" dimensionUniqueName="[Amortizacija]" displayFolder="" count="2" memberValueDatatype="130" unbalanced="0"/>
    <cacheHierarchy uniqueName="[Calendar].[Date]" caption="Date" attribute="1" time="1" keyAttribute="1" defaultMemberUniqueName="[Calendar].[Date].[All]" allUniqueName="[Calendar].[Date].[All]" dimensionUniqueName="[Calendar]" displayFolder="" count="2" memberValueDatatype="7" unbalanced="0"/>
    <cacheHierarchy uniqueName="[Calendar].[Date Hierarchy]" caption="Date Hierarchy" time="1" defaultMemberUniqueName="[Calendar].[Date Hierarchy].[All]" allUniqueName="[Calendar].[Date Hierarchy].[All]" dimensionUniqueName="[Calendar]" displayFolder="" count="4" unbalanced="0">
      <fieldsUsage count="2">
        <fieldUsage x="-1"/>
        <fieldUsage x="3"/>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2"/>
      </fieldsUsage>
    </cacheHierarchy>
    <cacheHierarchy uniqueName="[Calendar].[Month Number]" caption="Month Number" attribute="1" time="1" defaultMemberUniqueName="[Calendar].[Month Number].[All]" allUniqueName="[Calendar].[Month Number].[All]" dimensionUniqueName="[Calendar]" displayFolder="" count="2" memberValueDatatype="20" unbalanced="0"/>
    <cacheHierarchy uniqueName="[Calendar].[Месец]" caption="Месец" attribute="1" time="1" defaultMemberUniqueName="[Calendar].[Месец].[All]" allUniqueName="[Calendar].[Месец].[All]" allCaption="All" dimensionUniqueName="[Calendar]" displayFolder="" count="2" memberValueDatatype="130" unbalanced="0">
      <fieldsUsage count="2">
        <fieldUsage x="-1"/>
        <fieldUsage x="16"/>
      </fieldsUsage>
    </cacheHierarchy>
    <cacheHierarchy uniqueName="[Calendar].[MMM-YYYY]" caption="MMM-YYYY" attribute="1" time="1" defaultMemberUniqueName="[Calendar].[MMM-YYYY].[All]" allUniqueName="[Calendar].[MMM-YYYY].[All]" dimensionUniqueName="[Calendar]" displayFolder="" count="2" memberValueDatatype="130" unbalanced="0">
      <fieldsUsage count="2">
        <fieldUsage x="-1"/>
        <fieldUsage x="18"/>
      </fieldsUsage>
    </cacheHierarchy>
    <cacheHierarchy uniqueName="[Calendar].[Day Of Week Number]" caption="Day Of Week Number" attribute="1" time="1" defaultMemberUniqueName="[Calendar].[Day Of Week Number].[All]" allUniqueName="[Calendar].[Day Of Week Number].[All]" dimensionUniqueName="[Calendar]" displayFolder="" count="2" memberValueDatatype="20" unbalanced="0"/>
    <cacheHierarchy uniqueName="[Calendar].[Day Of Week]" caption="Day Of Week" attribute="1" time="1" defaultMemberUniqueName="[Calendar].[Day Of Week].[All]" allUniqueName="[Calendar].[Day Of Week].[All]" dimensionUniqueName="[Calendar]" displayFolder="" count="2" memberValueDatatype="130" unbalanced="0"/>
    <cacheHierarchy uniqueName="[Calendar].[Квартал]" caption="Квартал" attribute="1" time="1" defaultMemberUniqueName="[Calendar].[Квартал].[All]" allUniqueName="[Calendar].[Квартал].[All]" dimensionUniqueName="[Calendar]" displayFolder="" count="2" memberValueDatatype="7" unbalanced="0">
      <fieldsUsage count="2">
        <fieldUsage x="-1"/>
        <fieldUsage x="10"/>
      </fieldsUsage>
    </cacheHierarchy>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2"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allCaption="All" dimensionUniqueName="[CAPEX]" displayFolder="" count="2" memberValueDatatype="130" unbalanced="0">
      <fieldsUsage count="2">
        <fieldUsage x="-1"/>
        <fieldUsage x="6"/>
      </fieldsUsage>
    </cacheHierarchy>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2"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2" memberValueDatatype="7" unbalanced="0">
      <fieldsUsage count="2">
        <fieldUsage x="-1"/>
        <fieldUsage x="4"/>
      </fieldsUsage>
    </cacheHierarchy>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2" memberValueDatatype="7" unbalanced="0">
      <fieldsUsage count="2">
        <fieldUsage x="-1"/>
        <fieldUsage x="7"/>
      </fieldsUsage>
    </cacheHierarchy>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2"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2" memberValueDatatype="5" unbalanced="0"/>
    <cacheHierarchy uniqueName="[CAPEX].[Конто Средства]" caption="Конто Средства" attribute="1" defaultMemberUniqueName="[CAPEX].[Конто Средства].[All]" allUniqueName="[CAPEX].[Конто Средства].[All]" allCaption="All" dimensionUniqueName="[CAPEX]" displayFolder="" count="2" memberValueDatatype="130" unbalanced="0">
      <fieldsUsage count="2">
        <fieldUsage x="-1"/>
        <fieldUsage x="5"/>
      </fieldsUsage>
    </cacheHierarchy>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2"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2"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2"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2"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2"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2"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2" memberValueDatatype="7" unbalanced="0"/>
    <cacheHierarchy uniqueName="[fActualAndBudget].[ReportType]" caption="ReportType" attribute="1" defaultMemberUniqueName="[fActualAndBudget].[ReportType].[All]" allUniqueName="[fActualAndBudget].[ReportType].[All]" allCaption="All" dimensionUniqueName="[fActualAndBudget]" displayFolder="" count="2" memberValueDatatype="130" unbalanced="0">
      <fieldsUsage count="2">
        <fieldUsage x="-1"/>
        <fieldUsage x="0"/>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2"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9"/>
      </fieldsUsage>
    </cacheHierarchy>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8"/>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12"/>
      </fieldsUsage>
    </cacheHierarchy>
    <cacheHierarchy uniqueName="[fActualAndBudget].[ZnakIzvestaj]" caption="ZnakIzvestaj" attribute="1" defaultMemberUniqueName="[fActualAndBudget].[ZnakIzvestaj].[All]" allUniqueName="[fActualAndBudget].[ZnakIzvestaj].[All]" dimensionUniqueName="[fActualAndBudget]" displayFolder="" count="2" memberValueDatatype="20" unbalanced="0"/>
    <cacheHierarchy uniqueName="[fActualAndBudget].[ObrazecID]" caption="ObrazecID" attribute="1" defaultMemberUniqueName="[fActualAndBudget].[ObrazecID].[All]" allUniqueName="[fActualAndBudget].[ObrazecID].[All]" dimensionUniqueName="[fActualAndBudget]" displayFolder="" count="2" memberValueDatatype="20" unbalanced="0"/>
    <cacheHierarchy uniqueName="[fActualAndBudget].[StavkaAOP]" caption="StavkaAOP" attribute="1" defaultMemberUniqueName="[fActualAndBudget].[StavkaAOP].[All]" allUniqueName="[fActualAndBudget].[StavkaAOP].[All]" dimensionUniqueName="[fActualAndBudget]" displayFolder="" count="2"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
      </fieldsUsage>
    </cacheHierarchy>
    <cacheHierarchy uniqueName="[fActualAndBudget].[Износ]" caption="Износ" attribute="1" defaultMemberUniqueName="[fActualAndBudget].[Износ].[All]" allUniqueName="[fActualAndBudget].[Износ].[All]" dimensionUniqueName="[fActualAndBudget]" displayFolder="" count="2"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2"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2" memberValueDatatype="130" unbalanced="0"/>
    <cacheHierarchy uniqueName="[fArtikliCeni].[Ставка]" caption="Ставка" attribute="1" defaultMemberUniqueName="[fArtikliCeni].[Ставка].[All]" allUniqueName="[fArtikliCeni].[Ставка].[All]" dimensionUniqueName="[fArtikliCeni]" displayFolder="" count="2"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2"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2"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2" memberValueDatatype="130" unbalanced="0"/>
    <cacheHierarchy uniqueName="[fArtikliCeni].[Количина]" caption="Количина" attribute="1" defaultMemberUniqueName="[fArtikliCeni].[Количина].[All]" allUniqueName="[fArtikliCeni].[Количина].[All]" dimensionUniqueName="[fArtikliCeni]" displayFolder="" count="2"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2"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2" memberValueDatatype="5" unbalanced="0"/>
    <cacheHierarchy uniqueName="[fArtikliCeni].[ДДВ]" caption="ДДВ" attribute="1" defaultMemberUniqueName="[fArtikliCeni].[ДДВ].[All]" allUniqueName="[fArtikliCeni].[ДДВ].[All]" dimensionUniqueName="[fArtikliCeni]" displayFolder="" count="2" memberValueDatatype="5" unbalanced="0"/>
    <cacheHierarchy uniqueName="[fArtikliCeni].[Износ]" caption="Износ" attribute="1" defaultMemberUniqueName="[fArtikliCeni].[Износ].[All]" allUniqueName="[fArtikliCeni].[Износ].[All]" dimensionUniqueName="[fArtikliCeni]" displayFolder="" count="2" memberValueDatatype="5" unbalanced="0"/>
    <cacheHierarchy uniqueName="[fArtikliCeni].[Конто]" caption="Конто" attribute="1" defaultMemberUniqueName="[fArtikliCeni].[Конто].[All]" allUniqueName="[fArtikliCeni].[Конто].[All]" dimensionUniqueName="[fArtikliCeni]" displayFolder="" count="2" memberValueDatatype="130" unbalanced="0"/>
    <cacheHierarchy uniqueName="[fArtikliCeni].[ReportType]" caption="ReportType" attribute="1" defaultMemberUniqueName="[fArtikliCeni].[ReportType].[All]" allUniqueName="[fArtikliCeni].[ReportType].[All]" dimensionUniqueName="[fArtikliCeni]" displayFolder="" count="2" memberValueDatatype="130" unbalanced="0"/>
    <cacheHierarchy uniqueName="[fArtikliCeni].[Период]" caption="Период" attribute="1" time="1" defaultMemberUniqueName="[fArtikliCeni].[Период].[All]" allUniqueName="[fArtikliCeni].[Период].[All]" dimensionUniqueName="[fArtikliCeni]" displayFolder="" count="2" memberValueDatatype="7" unbalanced="0"/>
    <cacheHierarchy uniqueName="[fArtikliCeni].[StavkaImeMK]" caption="StavkaImeMK" attribute="1" defaultMemberUniqueName="[fArtikliCeni].[StavkaImeMK].[All]" allUniqueName="[fArtikliCeni].[StavkaImeMK].[All]" dimensionUniqueName="[fArtikliCeni]" displayFolder="" count="2" memberValueDatatype="130" unbalanced="0"/>
    <cacheHierarchy uniqueName="[fArtikliCeni].[StavkaAOP]" caption="StavkaAOP" attribute="1" defaultMemberUniqueName="[fArtikliCeni].[StavkaAOP].[All]" allUniqueName="[fArtikliCeni].[StavkaAOP].[All]" dimensionUniqueName="[fArtikliCeni]" displayFolder="" count="2" memberValueDatatype="130" unbalanced="0"/>
    <cacheHierarchy uniqueName="[fArtikliCeni].[StavkaGrupa]" caption="StavkaGrupa" attribute="1" defaultMemberUniqueName="[fArtikliCeni].[StavkaGrupa].[All]" allUniqueName="[fArtikliCeni].[StavkaGrupa].[All]" dimensionUniqueName="[fArtikliCeni]" displayFolder="" count="2" memberValueDatatype="130" unbalanced="0"/>
    <cacheHierarchy uniqueName="[fArtikliCeni].[StavkaKategorija]" caption="StavkaKategorija" attribute="1" defaultMemberUniqueName="[fArtikliCeni].[StavkaKategorija].[All]" allUniqueName="[fArtikliCeni].[StavkaKategorija].[All]" dimensionUniqueName="[fArtikliCeni]" displayFolder="" count="2" memberValueDatatype="130" unbalanced="0"/>
    <cacheHierarchy uniqueName="[fArtikliCeni].[ObrazecIme]" caption="ObrazecIme" attribute="1" defaultMemberUniqueName="[fArtikliCeni].[ObrazecIme].[All]" allUniqueName="[fArtikliCeni].[ObrazecIme].[All]" dimensionUniqueName="[fArtikliCeni]" displayFolder="" count="2" memberValueDatatype="130" unbalanced="0"/>
    <cacheHierarchy uniqueName="[fCoveckiResursi].[Ставка]" caption="Ставка" attribute="1" defaultMemberUniqueName="[fCoveckiResursi].[Ставка].[All]" allUniqueName="[fCoveckiResursi].[Ставка].[All]" dimensionUniqueName="[fCoveckiResursi]" displayFolder="" count="2"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2"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2" memberValueDatatype="20" unbalanced="0"/>
    <cacheHierarchy uniqueName="[fCoveckiResursi].[Период]" caption="Период" attribute="1" time="1" defaultMemberUniqueName="[fCoveckiResursi].[Период].[All]" allUniqueName="[fCoveckiResursi].[Период].[All]" dimensionUniqueName="[fCoveckiResursi]" displayFolder="" count="2"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2" memberValueDatatype="20" unbalanced="0"/>
    <cacheHierarchy uniqueName="[fCoveckiResursi].[Износ]" caption="Износ" attribute="1" defaultMemberUniqueName="[fCoveckiResursi].[Износ].[All]" allUniqueName="[fCoveckiResursi].[Износ].[All]" dimensionUniqueName="[fCoveckiResursi]" displayFolder="" count="2" memberValueDatatype="20" unbalanced="0"/>
    <cacheHierarchy uniqueName="[fCoveckiResursi].[Конто]" caption="Конто" attribute="1" defaultMemberUniqueName="[fCoveckiResursi].[Конто].[All]" allUniqueName="[fCoveckiResursi].[Конто].[All]" dimensionUniqueName="[fCoveckiResursi]" displayFolder="" count="2" memberValueDatatype="130" unbalanced="0"/>
    <cacheHierarchy uniqueName="[fCoveckiResursi].[ReportType]" caption="ReportType" attribute="1" defaultMemberUniqueName="[fCoveckiResursi].[ReportType].[All]" allUniqueName="[fCoveckiResursi].[ReportType].[All]" dimensionUniqueName="[fCoveckiResursi]" displayFolder="" count="2"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2"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2"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2"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2"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2"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2" memberValueDatatype="130" unbalanced="0"/>
    <cacheHierarchy uniqueName="[fOPEX].[Конто]" caption="Конто" attribute="1" defaultMemberUniqueName="[fOPEX].[Конто].[All]" allUniqueName="[fOPEX].[Конто].[All]" dimensionUniqueName="[fOPEX]" displayFolder="" count="2" memberValueDatatype="130" unbalanced="0"/>
    <cacheHierarchy uniqueName="[fOPEX].[Ставка]" caption="Ставка" attribute="1" defaultMemberUniqueName="[fOPEX].[Ставка].[All]" allUniqueName="[fOPEX].[Ставка].[All]" dimensionUniqueName="[fOPEX]" displayFolder="" count="2" memberValueDatatype="130" unbalanced="0"/>
    <cacheHierarchy uniqueName="[fOPEX].[Период]" caption="Период" attribute="1" time="1" defaultMemberUniqueName="[fOPEX].[Период].[All]" allUniqueName="[fOPEX].[Период].[All]" dimensionUniqueName="[fOPEX]" displayFolder="" count="2" memberValueDatatype="7" unbalanced="0"/>
    <cacheHierarchy uniqueName="[fOPEX].[Износ]" caption="Износ" attribute="1" defaultMemberUniqueName="[fOPEX].[Износ].[All]" allUniqueName="[fOPEX].[Износ].[All]" dimensionUniqueName="[fOPEX]" displayFolder="" count="2" memberValueDatatype="20" unbalanced="0"/>
    <cacheHierarchy uniqueName="[fOPEX].[ReportType]" caption="ReportType" attribute="1" defaultMemberUniqueName="[fOPEX].[ReportType].[All]" allUniqueName="[fOPEX].[ReportType].[All]" dimensionUniqueName="[fOPEX]" displayFolder="" count="2" memberValueDatatype="130" unbalanced="0"/>
    <cacheHierarchy uniqueName="[fOPEX - ЈН].[Конто]" caption="Конто" attribute="1" defaultMemberUniqueName="[fOPEX - ЈН].[Конто].[All]" allUniqueName="[fOPEX - ЈН].[Конто].[All]" dimensionUniqueName="[fOPEX - ЈН]" displayFolder="" count="2"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2"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2"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2" memberValueDatatype="20" unbalanced="0"/>
    <cacheHierarchy uniqueName="[fOPEX - ЈН].[ReportType]" caption="ReportType" attribute="1" defaultMemberUniqueName="[fOPEX - ЈН].[ReportType].[All]" allUniqueName="[fOPEX - ЈН].[ReportType].[All]" dimensionUniqueName="[fOPEX - ЈН]" displayFolder="" count="2" memberValueDatatype="130" unbalanced="0"/>
    <cacheHierarchy uniqueName="[Measures]" caption="Measures" attribute="1" keyAttribute="1" defaultMemberUniqueName="[Measures].[__No measures defined]" dimensionUniqueName="[Measures]" displayFolder="" measures="1" count="1" memberValueDatatype="130" unbalanced="0">
      <fieldsUsage count="1">
        <fieldUsage x="17"/>
      </fieldsUsage>
    </cacheHierarchy>
    <cacheHierarchy uniqueName="[OPEXAnaliza].[Ставка]" caption="Ставка" attribute="1" defaultMemberUniqueName="[OPEXAnaliza].[Ставка].[All]" allUniqueName="[OPEXAnaliza].[Ставка].[All]" dimensionUniqueName="[OPEXAnaliza]" displayFolder="" count="2" memberValueDatatype="130" unbalanced="0"/>
    <cacheHierarchy uniqueName="[OPEXAnaliza].[Износ]" caption="Износ" attribute="1" defaultMemberUniqueName="[OPEXAnaliza].[Износ].[All]" allUniqueName="[OPEXAnaliza].[Износ].[All]" dimensionUniqueName="[OPEXAnaliza]" displayFolder="" count="2" memberValueDatatype="5" unbalanced="0"/>
    <cacheHierarchy uniqueName="[OPEXAnaliza].[Конто]" caption="Конто" attribute="1" defaultMemberUniqueName="[OPEXAnaliza].[Конто].[All]" allUniqueName="[OPEXAnaliza].[Конто].[All]" dimensionUniqueName="[OPEXAnaliza]" displayFolder="" count="2" memberValueDatatype="130" unbalanced="0"/>
    <cacheHierarchy uniqueName="[OPEXAnaliza].[StavkaImeMK]" caption="StavkaImeMK" attribute="1" defaultMemberUniqueName="[OPEXAnaliza].[StavkaImeMK].[All]" allUniqueName="[OPEXAnaliza].[StavkaImeMK].[All]" dimensionUniqueName="[OPEXAnaliza]" displayFolder="" count="2" memberValueDatatype="130" unbalanced="0"/>
    <cacheHierarchy uniqueName="[OPEXAnaliza].[StavkaAOP]" caption="StavkaAOP" attribute="1" defaultMemberUniqueName="[OPEXAnaliza].[StavkaAOP].[All]" allUniqueName="[OPEXAnaliza].[StavkaAOP].[All]" dimensionUniqueName="[OPEXAnaliza]" displayFolder="" count="2" memberValueDatatype="130" unbalanced="0"/>
    <cacheHierarchy uniqueName="[OPEXAnaliza].[StavkaGrupa]" caption="StavkaGrupa" attribute="1" defaultMemberUniqueName="[OPEXAnaliza].[StavkaGrupa].[All]" allUniqueName="[OPEXAnaliza].[StavkaGrupa].[All]" dimensionUniqueName="[OPEXAnaliza]" displayFolder="" count="2" memberValueDatatype="130" unbalanced="0"/>
    <cacheHierarchy uniqueName="[OPEXAnaliza].[StavkaKategorija]" caption="StavkaKategorija" attribute="1" defaultMemberUniqueName="[OPEXAnaliza].[StavkaKategorija].[All]" allUniqueName="[OPEXAnaliza].[StavkaKategorija].[All]" dimensionUniqueName="[OPEXAnaliza]" displayFolder="" count="2" memberValueDatatype="130" unbalanced="0"/>
    <cacheHierarchy uniqueName="[OPEXAnaliza].[ObrazecIme]" caption="ObrazecIme" attribute="1" defaultMemberUniqueName="[OPEXAnaliza].[ObrazecIme].[All]" allUniqueName="[OPEXAnaliza].[ObrazecIme].[All]" dimensionUniqueName="[OPEXAnaliza]" displayFolder="" count="2" memberValueDatatype="130" unbalanced="0"/>
    <cacheHierarchy uniqueName="[OPEXAnaliza].[Период]" caption="Период" attribute="1" time="1" defaultMemberUniqueName="[OPEXAnaliza].[Период].[All]" allUniqueName="[OPEXAnaliza].[Период].[All]" dimensionUniqueName="[OPEXAnaliza]" displayFolder="" count="2" memberValueDatatype="7" unbalanced="0"/>
    <cacheHierarchy uniqueName="[OPEXAnaliza].[ReportType]" caption="ReportType" attribute="1" defaultMemberUniqueName="[OPEXAnaliza].[ReportType].[All]" allUniqueName="[OPEXAnaliza].[ReportType].[All]" dimensionUniqueName="[OPEXAnaliza]" displayFolder="" count="2" memberValueDatatype="130" unbalanced="0"/>
    <cacheHierarchy uniqueName="[OPEXAnaliza].[StavkaImeAOP]" caption="StavkaImeAOP" attribute="1" defaultMemberUniqueName="[OPEXAnaliza].[StavkaImeAOP].[All]" allUniqueName="[OPEXAnaliza].[StavkaImeAOP].[All]" dimensionUniqueName="[OPEXAnaliza]" displayFolder="" count="2" memberValueDatatype="130" unbalanced="0"/>
    <cacheHierarchy uniqueName="[OPEXAnaliza].[Период (Year)]" caption="Период (Year)" attribute="1" defaultMemberUniqueName="[OPEXAnaliza].[Период (Year)].[All]" allUniqueName="[OPEXAnaliza].[Период (Year)].[All]" dimensionUniqueName="[OPEXAnaliza]" displayFolder="" count="2"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2"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2"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2" memberValueDatatype="130" unbalanced="0">
      <fieldsUsage count="2">
        <fieldUsage x="-1"/>
        <fieldUsage x="14"/>
      </fieldsUsage>
    </cacheHierarchy>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2"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2"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2"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2"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2"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2" memberValueDatatype="5" unbalanced="0"/>
    <cacheHierarchy uniqueName="[rArtikli_HR_Analiza].[ДДВ]" caption="ДДВ" attribute="1" defaultMemberUniqueName="[rArtikli_HR_Analiza].[ДДВ].[All]" allUniqueName="[rArtikli_HR_Analiza].[ДДВ].[All]" dimensionUniqueName="[rArtikli_HR_Analiza]" displayFolder="" count="2" memberValueDatatype="5" unbalanced="0"/>
    <cacheHierarchy uniqueName="[rArtikli_HR_Analiza].[Износ]" caption="Износ" attribute="1" defaultMemberUniqueName="[rArtikli_HR_Analiza].[Износ].[All]" allUniqueName="[rArtikli_HR_Analiza].[Износ].[All]" dimensionUniqueName="[rArtikli_HR_Analiza]" displayFolder="" count="2" memberValueDatatype="5" unbalanced="0"/>
    <cacheHierarchy uniqueName="[rArtikli_HR_Analiza].[Конто]" caption="Конто" attribute="1" defaultMemberUniqueName="[rArtikli_HR_Analiza].[Конто].[All]" allUniqueName="[rArtikli_HR_Analiza].[Конто].[All]" dimensionUniqueName="[rArtikli_HR_Analiza]" displayFolder="" count="2"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2"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2"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2" memberValueDatatype="130" unbalanced="0"/>
    <cacheHierarchy uniqueName="[rArtikli_HR_Analiza].[StavkaAOP]" caption="StavkaAOP" attribute="1" defaultMemberUniqueName="[rArtikli_HR_Analiza].[StavkaAOP].[All]" allUniqueName="[rArtikli_HR_Analiza].[StavkaAOP].[All]" dimensionUniqueName="[rArtikli_HR_Analiza]" displayFolder="" count="2"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2"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2"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2"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2" memberValueDatatype="130" unbalanced="0">
      <fieldsUsage count="2">
        <fieldUsage x="-1"/>
        <fieldUsage x="13"/>
      </fieldsUsage>
    </cacheHierarchy>
    <cacheHierarchy uniqueName="[rArtikliAnaliza].[Ставка]" caption="Ставка" attribute="1" defaultMemberUniqueName="[rArtikliAnaliza].[Ставка].[All]" allUniqueName="[rArtikliAnaliza].[Ставка].[All]" dimensionUniqueName="[rArtikliAnaliza]" displayFolder="" count="2" memberValueDatatype="130" unbalanced="0"/>
    <cacheHierarchy uniqueName="[rArtikliAnaliza].[Износ]" caption="Износ" attribute="1" defaultMemberUniqueName="[rArtikliAnaliza].[Износ].[All]" allUniqueName="[rArtikliAnaliza].[Износ].[All]" dimensionUniqueName="[rArtikliAnaliza]" displayFolder="" count="2" memberValueDatatype="5" unbalanced="0"/>
    <cacheHierarchy uniqueName="[rArtikliAnaliza].[Конто]" caption="Конто" attribute="1" defaultMemberUniqueName="[rArtikliAnaliza].[Конто].[All]" allUniqueName="[rArtikliAnaliza].[Конто].[All]" dimensionUniqueName="[rArtikliAnaliza]" displayFolder="" count="2" memberValueDatatype="130" unbalanced="0"/>
    <cacheHierarchy uniqueName="[rArtikliAnaliza].[StavkaImeMK]" caption="StavkaImeMK" attribute="1" defaultMemberUniqueName="[rArtikliAnaliza].[StavkaImeMK].[All]" allUniqueName="[rArtikliAnaliza].[StavkaImeMK].[All]" dimensionUniqueName="[rArtikliAnaliza]" displayFolder="" count="2" memberValueDatatype="130" unbalanced="0"/>
    <cacheHierarchy uniqueName="[rArtikliAnaliza].[StavkaAOP]" caption="StavkaAOP" attribute="1" defaultMemberUniqueName="[rArtikliAnaliza].[StavkaAOP].[All]" allUniqueName="[rArtikliAnaliza].[StavkaAOP].[All]" dimensionUniqueName="[rArtikliAnaliza]" displayFolder="" count="2" memberValueDatatype="130" unbalanced="0"/>
    <cacheHierarchy uniqueName="[rArtikliAnaliza].[StavkaGrupa]" caption="StavkaGrupa" attribute="1" defaultMemberUniqueName="[rArtikliAnaliza].[StavkaGrupa].[All]" allUniqueName="[rArtikliAnaliza].[StavkaGrupa].[All]" dimensionUniqueName="[rArtikliAnaliza]" displayFolder="" count="2"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2" memberValueDatatype="130" unbalanced="0"/>
    <cacheHierarchy uniqueName="[rArtikliAnaliza].[ObrazecIme]" caption="ObrazecIme" attribute="1" defaultMemberUniqueName="[rArtikliAnaliza].[ObrazecIme].[All]" allUniqueName="[rArtikliAnaliza].[ObrazecIme].[All]" dimensionUniqueName="[rArtikliAnaliza]" displayFolder="" count="2" memberValueDatatype="130" unbalanced="0"/>
    <cacheHierarchy uniqueName="[rArtikliAnaliza].[Период]" caption="Период" attribute="1" time="1" defaultMemberUniqueName="[rArtikliAnaliza].[Период].[All]" allUniqueName="[rArtikliAnaliza].[Период].[All]" dimensionUniqueName="[rArtikliAnaliza]" displayFolder="" count="2" memberValueDatatype="7" unbalanced="0"/>
    <cacheHierarchy uniqueName="[rArtikliAnaliza].[ReportType]" caption="ReportType" attribute="1" defaultMemberUniqueName="[rArtikliAnaliza].[ReportType].[All]" allUniqueName="[rArtikliAnaliza].[ReportType].[All]" dimensionUniqueName="[rArtikliAnaliza]" displayFolder="" count="2"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2"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2"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2"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2" memberValueDatatype="20" unbalanced="0" hidden="1"/>
    <cacheHierarchy uniqueName="[fActualAndBudget].[StavkaID]" caption="StavkaID" attribute="1" defaultMemberUniqueName="[fActualAndBudget].[StavkaID].[All]" allUniqueName="[fActualAndBudget].[StavkaID].[All]" dimensionUniqueName="[fActualAndBudget]" displayFolder="" count="2" memberValueDatatype="20" unbalanced="0" hidden="1"/>
    <cacheHierarchy uniqueName="[fActualAndBudget].[Износ1]" caption="Износ1" attribute="1" defaultMemberUniqueName="[fActualAndBudget].[Износ1].[All]" allUniqueName="[fActualAndBudget].[Износ1].[All]" dimensionUniqueName="[fActualAndBudget]" displayFolder="" count="2"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2"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2"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2"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2"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2"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2"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2"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4"/>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8"/>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20"/>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6"/>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7"/>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8"/>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9"/>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tupleCache>
    <entries count="2861">
      <n v="12417102">
        <tpls c="5">
          <tpl fld="10" item="1"/>
          <tpl hier="31" item="0"/>
          <tpl fld="12" item="9"/>
          <tpl hier="40" item="2"/>
          <tpl fld="17" item="0"/>
        </tpls>
      </n>
      <m>
        <tpls c="3">
          <tpl fld="6" item="17"/>
          <tpl fld="4" item="2"/>
          <tpl fld="17" item="1"/>
        </tpls>
      </m>
      <m>
        <tpls c="3">
          <tpl fld="6" item="12"/>
          <tpl fld="4" item="2"/>
          <tpl fld="17" item="1"/>
        </tpls>
      </m>
      <m>
        <tpls c="3">
          <tpl fld="6" item="6"/>
          <tpl fld="4" item="3"/>
          <tpl fld="17" item="1"/>
        </tpls>
      </m>
      <m>
        <tpls c="3">
          <tpl fld="6" item="18"/>
          <tpl fld="4" item="7"/>
          <tpl fld="17" item="1"/>
        </tpls>
      </m>
      <m>
        <tpls c="3">
          <tpl fld="6" item="14"/>
          <tpl fld="4" item="3"/>
          <tpl fld="17" item="1"/>
        </tpls>
      </m>
      <m>
        <tpls c="3">
          <tpl fld="6" item="8"/>
          <tpl fld="4" item="3"/>
          <tpl fld="17" item="1"/>
        </tpls>
      </m>
      <n v="2500000" in="0">
        <tpls c="3">
          <tpl fld="6" item="20"/>
          <tpl fld="4" item="6"/>
          <tpl fld="17" item="1"/>
        </tpls>
      </n>
      <n v="350750">
        <tpls c="3">
          <tpl fld="11" item="9"/>
          <tpl fld="15" item="1"/>
          <tpl fld="17" item="2"/>
        </tpls>
      </n>
      <m>
        <tpls c="3">
          <tpl fld="6" item="21"/>
          <tpl fld="4" item="6"/>
          <tpl fld="17" item="1"/>
        </tpls>
      </m>
      <m>
        <tpls c="3">
          <tpl fld="6" item="8"/>
          <tpl fld="4" item="8"/>
          <tpl fld="17" item="1"/>
        </tpls>
      </m>
      <n v="13828412">
        <tpls c="5">
          <tpl fld="10" item="3"/>
          <tpl hier="31" item="0"/>
          <tpl fld="12" item="9"/>
          <tpl hier="40" item="2"/>
          <tpl fld="17" item="0"/>
        </tpls>
      </n>
      <m>
        <tpls c="3">
          <tpl fld="6" item="0"/>
          <tpl fld="4" item="9"/>
          <tpl fld="17" item="1"/>
        </tpls>
      </m>
      <m>
        <tpls c="3">
          <tpl fld="6" item="3"/>
          <tpl fld="4" item="7"/>
          <tpl fld="17" item="1"/>
        </tpls>
      </m>
      <m>
        <tpls c="3">
          <tpl fld="6" item="19"/>
          <tpl fld="4" item="5"/>
          <tpl fld="17" item="1"/>
        </tpls>
      </m>
      <n v="14160000" in="0">
        <tpls c="3">
          <tpl fld="7" item="4"/>
          <tpl fld="5" item="5"/>
          <tpl fld="17" item="1"/>
        </tpls>
      </n>
      <m>
        <tpls c="3">
          <tpl fld="4" item="6"/>
          <tpl fld="5" item="0"/>
          <tpl fld="17" item="1"/>
        </tpls>
      </m>
      <m>
        <tpls c="3">
          <tpl fld="7" item="6"/>
          <tpl fld="5" item="0"/>
          <tpl fld="17" item="1"/>
        </tpls>
      </m>
      <m>
        <tpls c="3">
          <tpl fld="4" item="0"/>
          <tpl fld="5" item="4"/>
          <tpl fld="17" item="1"/>
        </tpls>
      </m>
      <m>
        <tpls c="3">
          <tpl fld="6" item="18"/>
          <tpl fld="4" item="9"/>
          <tpl fld="17" item="1"/>
        </tpls>
      </m>
      <n v="1178943">
        <tpls c="5">
          <tpl fld="10" item="3"/>
          <tpl hier="31" item="0"/>
          <tpl fld="12" item="5"/>
          <tpl hier="40" item="2"/>
          <tpl fld="17" item="0"/>
        </tpls>
      </n>
      <n v="465000">
        <tpls c="6">
          <tpl fld="10" item="2"/>
          <tpl hier="31" item="0"/>
          <tpl fld="9" item="35"/>
          <tpl fld="12" item="3"/>
          <tpl hier="40" item="2"/>
          <tpl fld="17" item="0"/>
        </tpls>
      </n>
      <n v="118000">
        <tpls c="6">
          <tpl fld="10" item="2"/>
          <tpl hier="31" item="0"/>
          <tpl fld="9" item="13"/>
          <tpl fld="12" item="3"/>
          <tpl hier="40" item="2"/>
          <tpl fld="17" item="0"/>
        </tpls>
      </n>
      <n v="12501">
        <tpls c="6">
          <tpl fld="10" item="3"/>
          <tpl hier="31" item="1"/>
          <tpl fld="9" item="20"/>
          <tpl fld="8" item="0"/>
          <tpl hier="40" item="2"/>
          <tpl fld="17" item="0"/>
        </tpls>
      </n>
      <n v="3304000" in="0">
        <tpls c="3">
          <tpl fld="4" item="5"/>
          <tpl fld="5" item="4"/>
          <tpl fld="17" item="1"/>
        </tpls>
      </n>
      <m>
        <tpls c="6">
          <tpl fld="10" item="3"/>
          <tpl hier="31" item="0"/>
          <tpl fld="9" item="36"/>
          <tpl fld="12" item="3"/>
          <tpl hier="40" item="2"/>
          <tpl fld="17" item="0"/>
        </tpls>
      </m>
      <m>
        <tpls c="3">
          <tpl fld="4" item="4"/>
          <tpl fld="5" item="4"/>
          <tpl fld="17" item="1"/>
        </tpls>
      </m>
      <n v="495600" in="0">
        <tpls c="3">
          <tpl fld="7" item="2"/>
          <tpl fld="5" item="5"/>
          <tpl fld="17" item="1"/>
        </tpls>
      </n>
      <n v="36890000" in="0">
        <tpls c="3">
          <tpl fld="4" item="0"/>
          <tpl fld="5" item="5"/>
          <tpl fld="17" item="1"/>
        </tpls>
      </n>
      <m>
        <tpls c="3">
          <tpl fld="6" item="12"/>
          <tpl fld="4" item="4"/>
          <tpl fld="17" item="1"/>
        </tpls>
      </m>
      <m>
        <tpls c="3">
          <tpl fld="6" item="1"/>
          <tpl fld="4" item="1"/>
          <tpl fld="17" item="1"/>
        </tpls>
      </m>
      <m>
        <tpls c="3">
          <tpl fld="6" item="12"/>
          <tpl fld="4" item="6"/>
          <tpl fld="17" item="1"/>
        </tpls>
      </m>
      <n v="142887601">
        <tpls c="6">
          <tpl fld="2" item="1"/>
          <tpl fld="0" item="1"/>
          <tpl fld="9" item="23"/>
          <tpl fld="8" item="0"/>
          <tpl hier="40" item="2"/>
          <tpl fld="17" item="0"/>
        </tpls>
      </n>
      <n v="2473050">
        <tpls c="6">
          <tpl fld="10" item="3"/>
          <tpl hier="31" item="0"/>
          <tpl fld="9" item="41"/>
          <tpl fld="12" item="3"/>
          <tpl hier="40" item="2"/>
          <tpl fld="17" item="0"/>
        </tpls>
      </n>
      <m>
        <tpls c="3">
          <tpl fld="6" item="17"/>
          <tpl fld="4" item="3"/>
          <tpl fld="17" item="1"/>
        </tpls>
      </m>
      <n v="703170">
        <tpls c="6">
          <tpl fld="10" item="3"/>
          <tpl hier="31" item="0"/>
          <tpl fld="9" item="40"/>
          <tpl fld="12" item="3"/>
          <tpl hier="40" item="2"/>
          <tpl fld="17" item="0"/>
        </tpls>
      </n>
      <m>
        <tpls c="3">
          <tpl fld="7" item="7"/>
          <tpl fld="5" item="0"/>
          <tpl fld="17" item="1"/>
        </tpls>
      </m>
      <n v="769263">
        <tpls c="6">
          <tpl fld="10" item="0"/>
          <tpl hier="31" item="0"/>
          <tpl fld="9" item="24"/>
          <tpl fld="12" item="6"/>
          <tpl hier="40" item="2"/>
          <tpl fld="17" item="0"/>
        </tpls>
      </n>
      <m>
        <tpls c="3">
          <tpl fld="4" item="0"/>
          <tpl fld="5" item="0"/>
          <tpl fld="17" item="1"/>
        </tpls>
      </m>
      <m>
        <tpls c="3">
          <tpl fld="4" item="7"/>
          <tpl fld="5" item="1"/>
          <tpl fld="17" item="1"/>
        </tpls>
      </m>
      <n v="11771385">
        <tpls c="6">
          <tpl fld="2" item="2"/>
          <tpl fld="0" item="2"/>
          <tpl fld="9" item="25"/>
          <tpl fld="12" item="2"/>
          <tpl hier="40" item="2"/>
          <tpl fld="17" item="0"/>
        </tpls>
      </n>
      <m>
        <tpls c="3">
          <tpl fld="6" item="13"/>
          <tpl fld="4" item="6"/>
          <tpl fld="17" item="1"/>
        </tpls>
      </m>
      <m>
        <tpls c="6">
          <tpl fld="10" item="2"/>
          <tpl hier="31" item="1"/>
          <tpl fld="9" item="32"/>
          <tpl fld="8" item="2"/>
          <tpl hier="40" item="2"/>
          <tpl fld="17" item="0"/>
        </tpls>
      </m>
      <m>
        <tpls c="6">
          <tpl fld="10" item="0"/>
          <tpl hier="31" item="0"/>
          <tpl fld="9" item="1"/>
          <tpl fld="12" item="1"/>
          <tpl hier="40" item="2"/>
          <tpl fld="17" item="0"/>
        </tpls>
      </m>
      <m>
        <tpls c="3">
          <tpl fld="4" item="8"/>
          <tpl fld="5" item="0"/>
          <tpl fld="17" item="1"/>
        </tpls>
      </m>
      <m>
        <tpls c="3">
          <tpl fld="6" item="15"/>
          <tpl fld="4" item="9"/>
          <tpl fld="17" item="1"/>
        </tpls>
      </m>
      <n v="157458441">
        <tpls c="6">
          <tpl fld="2" item="1"/>
          <tpl fld="0" item="1"/>
          <tpl fld="9" item="5"/>
          <tpl fld="12" item="2"/>
          <tpl hier="40" item="2"/>
          <tpl fld="17" item="0"/>
        </tpls>
      </n>
      <n v="4167">
        <tpls c="3">
          <tpl fld="11" item="8"/>
          <tpl fld="15" item="0"/>
          <tpl fld="17" item="2"/>
        </tpls>
      </n>
      <m>
        <tpls c="3">
          <tpl fld="6" item="16"/>
          <tpl fld="4" item="8"/>
          <tpl fld="17" item="1"/>
        </tpls>
      </m>
      <m>
        <tpls c="3">
          <tpl fld="6" item="13"/>
          <tpl fld="4" item="2"/>
          <tpl fld="17" item="1"/>
        </tpls>
      </m>
      <n v="495600" in="0">
        <tpls c="3">
          <tpl fld="6" item="12"/>
          <tpl fld="4" item="5"/>
          <tpl fld="17" item="1"/>
        </tpls>
      </n>
      <n v="922368">
        <tpls c="6">
          <tpl fld="2" item="1"/>
          <tpl fld="0" item="1"/>
          <tpl fld="9" item="53"/>
          <tpl fld="12" item="2"/>
          <tpl hier="40" item="2"/>
          <tpl fld="17" item="0"/>
        </tpls>
      </n>
      <m>
        <tpls c="3">
          <tpl fld="7" item="2"/>
          <tpl fld="5" item="3"/>
          <tpl fld="17" item="1"/>
        </tpls>
      </m>
      <m>
        <tpls c="3">
          <tpl fld="6" item="0"/>
          <tpl fld="4" item="3"/>
          <tpl fld="17" item="1"/>
        </tpls>
      </m>
      <m>
        <tpls c="3">
          <tpl fld="6" item="13"/>
          <tpl fld="4" item="7"/>
          <tpl fld="17" item="1"/>
        </tpls>
      </m>
      <n v="19227896">
        <tpls c="6">
          <tpl fld="2" item="0"/>
          <tpl fld="0" item="0"/>
          <tpl fld="9" item="15"/>
          <tpl fld="12" item="3"/>
          <tpl hier="40" item="2"/>
          <tpl fld="17" item="0"/>
        </tpls>
      </n>
      <n v="2499">
        <tpls c="6">
          <tpl fld="10" item="1"/>
          <tpl hier="31" item="1"/>
          <tpl fld="9" item="3"/>
          <tpl fld="8" item="0"/>
          <tpl hier="40" item="2"/>
          <tpl fld="17" item="0"/>
        </tpls>
      </n>
      <m>
        <tpls c="3">
          <tpl fld="4" item="3"/>
          <tpl fld="5" item="4"/>
          <tpl fld="17" item="1"/>
        </tpls>
      </m>
      <m>
        <tpls c="6">
          <tpl fld="10" item="0"/>
          <tpl hier="31" item="1"/>
          <tpl fld="9" item="22"/>
          <tpl fld="8" item="0"/>
          <tpl hier="40" item="2"/>
          <tpl fld="17" item="0"/>
        </tpls>
      </m>
      <m>
        <tpls c="3">
          <tpl fld="6" item="7"/>
          <tpl fld="4" item="7"/>
          <tpl fld="17" item="1"/>
        </tpls>
      </m>
      <m>
        <tpls c="3">
          <tpl fld="6" item="2"/>
          <tpl fld="4" item="1"/>
          <tpl fld="17" item="1"/>
        </tpls>
      </m>
      <m>
        <tpls c="3">
          <tpl fld="6" item="14"/>
          <tpl fld="4" item="5"/>
          <tpl fld="17" item="1"/>
        </tpls>
      </m>
      <n v="1000000" in="0">
        <tpls c="3">
          <tpl fld="6" item="17"/>
          <tpl fld="4" item="6"/>
          <tpl fld="17" item="1"/>
        </tpls>
      </n>
      <n v="2124000" in="0">
        <tpls c="3">
          <tpl fld="6" item="0"/>
          <tpl fld="4" item="5"/>
          <tpl fld="17" item="1"/>
        </tpls>
      </n>
      <n v="590000" in="0">
        <tpls c="3">
          <tpl fld="6" item="6"/>
          <tpl fld="4" item="5"/>
          <tpl fld="17" item="1"/>
        </tpls>
      </n>
      <m>
        <tpls c="3">
          <tpl fld="7" item="5"/>
          <tpl fld="5" item="2"/>
          <tpl fld="17" item="1"/>
        </tpls>
      </m>
      <n v="495600" in="0">
        <tpls c="3">
          <tpl fld="4" item="5"/>
          <tpl fld="5" item="5"/>
          <tpl fld="17" item="1"/>
        </tpls>
      </n>
      <n v="0">
        <tpls c="6">
          <tpl fld="10" item="0"/>
          <tpl hier="31" item="0"/>
          <tpl fld="9" item="12"/>
          <tpl fld="12" item="5"/>
          <tpl hier="40" item="2"/>
          <tpl fld="17" item="0"/>
        </tpls>
      </n>
      <n v="3670000" in="0">
        <tpls c="3">
          <tpl fld="6" item="17"/>
          <tpl fld="4" item="9"/>
          <tpl fld="17" item="1"/>
        </tpls>
      </n>
      <n v="191418">
        <tpls c="6">
          <tpl fld="10" item="2"/>
          <tpl hier="31" item="1"/>
          <tpl fld="9" item="29"/>
          <tpl fld="8" item="0"/>
          <tpl hier="40" item="2"/>
          <tpl fld="17" item="0"/>
        </tpls>
      </n>
      <n v="1722989">
        <tpls c="7">
          <tpl fld="3" item="1"/>
          <tpl fld="16" item="1"/>
          <tpl hier="31" item="1"/>
          <tpl fld="9" item="15"/>
          <tpl fld="12" item="3"/>
          <tpl hier="40" item="2"/>
          <tpl fld="17" item="0"/>
        </tpls>
      </n>
      <n v="630000" in="0">
        <tpls c="3">
          <tpl fld="6" item="1"/>
          <tpl fld="4" item="4"/>
          <tpl fld="17" item="1"/>
        </tpls>
      </n>
      <n v="18757797">
        <tpls c="6">
          <tpl fld="3" item="1"/>
          <tpl fld="16" item="0"/>
          <tpl hier="31" item="1"/>
          <tpl fld="12" item="2"/>
          <tpl hier="40" item="2"/>
          <tpl fld="17" item="0"/>
        </tpls>
      </n>
      <n v="1313122">
        <tpls c="7">
          <tpl fld="3" item="1"/>
          <tpl fld="16" item="0"/>
          <tpl hier="31" item="1"/>
          <tpl fld="9" item="4"/>
          <tpl fld="12" item="3"/>
          <tpl hier="40" item="2"/>
          <tpl fld="17" item="0"/>
        </tpls>
      </n>
      <n v="1368367">
        <tpls c="7">
          <tpl fld="3" item="1"/>
          <tpl fld="16" item="0"/>
          <tpl hier="31" item="1"/>
          <tpl fld="9" item="5"/>
          <tpl fld="12" item="2"/>
          <tpl hier="40" item="2"/>
          <tpl fld="17" item="0"/>
        </tpls>
      </n>
      <n v="0">
        <tpls c="7">
          <tpl fld="3" item="0"/>
          <tpl hier="10" item="4294967295"/>
          <tpl hier="31" item="3"/>
          <tpl fld="9" item="1"/>
          <tpl fld="12" item="1"/>
          <tpl hier="40" item="2"/>
          <tpl fld="17" item="0"/>
        </tpls>
      </n>
      <n v="2573050">
        <tpls c="6">
          <tpl fld="10" item="1"/>
          <tpl hier="31" item="0"/>
          <tpl fld="9" item="41"/>
          <tpl fld="12" item="3"/>
          <tpl hier="40" item="2"/>
          <tpl fld="17" item="0"/>
        </tpls>
      </n>
      <n v="2473050">
        <tpls c="6">
          <tpl fld="10" item="0"/>
          <tpl hier="31" item="0"/>
          <tpl fld="9" item="41"/>
          <tpl fld="12" item="3"/>
          <tpl hier="40" item="2"/>
          <tpl fld="17" item="0"/>
        </tpls>
      </n>
      <n v="197230">
        <tpls c="7">
          <tpl fld="3" item="0"/>
          <tpl fld="16" item="5"/>
          <tpl hier="31" item="3"/>
          <tpl fld="9" item="31"/>
          <tpl fld="12" item="2"/>
          <tpl hier="40" item="2"/>
          <tpl fld="17" item="0"/>
        </tpls>
      </n>
      <m>
        <tpls c="3">
          <tpl fld="6" item="13"/>
          <tpl fld="4" item="3"/>
          <tpl fld="17" item="1"/>
        </tpls>
      </m>
      <n v="18000">
        <tpls c="7">
          <tpl fld="3" item="1"/>
          <tpl fld="16" item="7"/>
          <tpl hier="31" item="1"/>
          <tpl fld="9" item="11"/>
          <tpl fld="12" item="3"/>
          <tpl hier="40" item="2"/>
          <tpl fld="17" item="0"/>
        </tpls>
      </n>
      <m>
        <tpls c="3">
          <tpl fld="4" item="3"/>
          <tpl fld="5" item="3"/>
          <tpl fld="17" item="1"/>
        </tpls>
      </m>
      <n v="3741815">
        <tpls c="7">
          <tpl fld="3" item="0"/>
          <tpl hier="10" item="4294967295"/>
          <tpl hier="31" item="3"/>
          <tpl fld="9" item="9"/>
          <tpl fld="12" item="6"/>
          <tpl hier="40" item="2"/>
          <tpl fld="17" item="0"/>
        </tpls>
      </n>
      <n v="122889">
        <tpls c="7">
          <tpl fld="3" item="1"/>
          <tpl fld="16" item="8"/>
          <tpl hier="31" item="1"/>
          <tpl fld="9" item="29"/>
          <tpl fld="12" item="2"/>
          <tpl hier="40" item="2"/>
          <tpl fld="17" item="0"/>
        </tpls>
      </n>
      <n v="145922832">
        <tpls c="6">
          <tpl fld="10" item="1"/>
          <tpl hier="31" item="1"/>
          <tpl fld="9" item="5"/>
          <tpl fld="8" item="0"/>
          <tpl hier="40" item="2"/>
          <tpl fld="17" item="0"/>
        </tpls>
      </n>
      <n v="21805">
        <tpls c="7">
          <tpl fld="3" item="0"/>
          <tpl fld="16" item="2"/>
          <tpl hier="31" item="3"/>
          <tpl fld="9" item="21"/>
          <tpl fld="12" item="3"/>
          <tpl hier="40" item="2"/>
          <tpl fld="17" item="0"/>
        </tpls>
      </n>
      <n v="250002">
        <tpls c="6">
          <tpl fld="10" item="0"/>
          <tpl hier="31" item="0"/>
          <tpl fld="9" item="53"/>
          <tpl fld="12" item="2"/>
          <tpl hier="40" item="2"/>
          <tpl fld="17" item="0"/>
        </tpls>
      </n>
      <n v="1666667">
        <tpls c="7">
          <tpl fld="3" item="1"/>
          <tpl fld="16" item="1"/>
          <tpl hier="31" item="1"/>
          <tpl fld="9" item="18"/>
          <tpl fld="12" item="2"/>
          <tpl hier="40" item="2"/>
          <tpl fld="17" item="0"/>
        </tpls>
      </n>
      <m>
        <tpls c="3">
          <tpl fld="6" item="19"/>
          <tpl fld="4" item="3"/>
          <tpl fld="17" item="1"/>
        </tpls>
      </m>
      <n v="0">
        <tpls c="7">
          <tpl fld="3" item="0"/>
          <tpl fld="16" item="2"/>
          <tpl hier="31" item="3"/>
          <tpl fld="9" item="22"/>
          <tpl fld="12" item="2"/>
          <tpl hier="40" item="2"/>
          <tpl fld="17" item="0"/>
        </tpls>
      </n>
      <n v="106386">
        <tpls c="6">
          <tpl fld="2" item="1"/>
          <tpl fld="0" item="1"/>
          <tpl fld="9" item="44"/>
          <tpl fld="8" item="0"/>
          <tpl hier="40" item="2"/>
          <tpl fld="17" item="0"/>
        </tpls>
      </n>
      <n v="1500">
        <tpls c="6">
          <tpl fld="10" item="0"/>
          <tpl hier="31" item="1"/>
          <tpl fld="9" item="48"/>
          <tpl fld="8" item="2"/>
          <tpl hier="40" item="2"/>
          <tpl fld="17" item="0"/>
        </tpls>
      </n>
      <n v="4167">
        <tpls c="7">
          <tpl fld="3" item="1"/>
          <tpl fld="16" item="10"/>
          <tpl hier="31" item="1"/>
          <tpl fld="9" item="20"/>
          <tpl fld="12" item="2"/>
          <tpl hier="40" item="2"/>
          <tpl fld="17" item="0"/>
        </tpls>
      </n>
      <n v="285569">
        <tpls c="7">
          <tpl fld="3" item="1"/>
          <tpl fld="16" item="1"/>
          <tpl hier="31" item="1"/>
          <tpl fld="9" item="31"/>
          <tpl fld="12" item="2"/>
          <tpl hier="40" item="2"/>
          <tpl fld="17" item="0"/>
        </tpls>
      </n>
      <n v="83334">
        <tpls c="7">
          <tpl fld="3" item="1"/>
          <tpl fld="16" item="3"/>
          <tpl hier="31" item="1"/>
          <tpl fld="9" item="53"/>
          <tpl fld="12" item="2"/>
          <tpl hier="40" item="2"/>
          <tpl fld="17" item="0"/>
        </tpls>
      </n>
      <n v="392981">
        <tpls c="7">
          <tpl fld="3" item="1"/>
          <tpl fld="16" item="1"/>
          <tpl hier="31" item="1"/>
          <tpl fld="9" item="38"/>
          <tpl fld="12" item="5"/>
          <tpl hier="40" item="2"/>
          <tpl fld="17" item="0"/>
        </tpls>
      </n>
      <m>
        <tpls c="3">
          <tpl fld="4" item="9"/>
          <tpl fld="5" item="0"/>
          <tpl fld="17" item="1"/>
        </tpls>
      </m>
      <m>
        <tpls c="3">
          <tpl fld="6" item="7"/>
          <tpl fld="4" item="2"/>
          <tpl fld="17" item="1"/>
        </tpls>
      </m>
      <m>
        <tpls c="3">
          <tpl fld="6" item="7"/>
          <tpl fld="4" item="6"/>
          <tpl fld="17" item="1"/>
        </tpls>
      </m>
      <m>
        <tpls c="3">
          <tpl fld="4" item="4"/>
          <tpl fld="5" item="2"/>
          <tpl fld="17" item="1"/>
        </tpls>
      </m>
      <m>
        <tpls c="7">
          <tpl fld="3" item="1"/>
          <tpl fld="16" item="0"/>
          <tpl hier="31" item="1"/>
          <tpl fld="9" item="14"/>
          <tpl fld="12" item="3"/>
          <tpl hier="40" item="2"/>
          <tpl fld="17" item="0"/>
        </tpls>
      </m>
      <m>
        <tpls c="3">
          <tpl fld="6" item="15"/>
          <tpl fld="4" item="5"/>
          <tpl fld="17" item="1"/>
        </tpls>
      </m>
      <n v="11825000" in="0">
        <tpls c="3">
          <tpl fld="4" item="8"/>
          <tpl hier="22" item="4294967295"/>
          <tpl fld="17" item="1"/>
        </tpls>
      </n>
      <n v="14605360">
        <tpls c="5">
          <tpl fld="10" item="2"/>
          <tpl hier="31" item="0"/>
          <tpl fld="12" item="3"/>
          <tpl hier="40" item="2"/>
          <tpl fld="17" item="0"/>
        </tpls>
      </n>
      <n v="5000">
        <tpls c="7">
          <tpl fld="3" item="1"/>
          <tpl fld="16" item="0"/>
          <tpl hier="31" item="1"/>
          <tpl fld="9" item="44"/>
          <tpl fld="12" item="2"/>
          <tpl hier="40" item="2"/>
          <tpl fld="17" item="0"/>
        </tpls>
      </n>
      <n v="914120">
        <tpls c="7">
          <tpl fld="3" item="0"/>
          <tpl fld="16" item="4"/>
          <tpl hier="31" item="3"/>
          <tpl fld="9" item="18"/>
          <tpl fld="12" item="2"/>
          <tpl hier="40" item="2"/>
          <tpl fld="17" item="0"/>
        </tpls>
      </n>
      <n v="77990">
        <tpls c="7">
          <tpl fld="3" item="0"/>
          <tpl fld="16" item="3"/>
          <tpl hier="31" item="3"/>
          <tpl fld="9" item="53"/>
          <tpl fld="12" item="2"/>
          <tpl hier="40" item="2"/>
          <tpl fld="17" item="0"/>
        </tpls>
      </n>
      <n v="2672095">
        <tpls c="7">
          <tpl fld="3" item="0"/>
          <tpl hier="10" item="4294967295"/>
          <tpl hier="31" item="3"/>
          <tpl fld="9" item="2"/>
          <tpl fld="12" item="1"/>
          <tpl hier="40" item="2"/>
          <tpl fld="17" item="0"/>
        </tpls>
      </n>
      <m>
        <tpls c="6">
          <tpl fld="10" item="1"/>
          <tpl hier="31" item="1"/>
          <tpl fld="9" item="27"/>
          <tpl fld="8" item="2"/>
          <tpl hier="40" item="2"/>
          <tpl fld="17" item="0"/>
        </tpls>
      </m>
      <n v="83500">
        <tpls c="7">
          <tpl fld="3" item="1"/>
          <tpl fld="16" item="9"/>
          <tpl hier="31" item="1"/>
          <tpl fld="9" item="52"/>
          <tpl fld="12" item="3"/>
          <tpl hier="40" item="2"/>
          <tpl fld="17" item="0"/>
        </tpls>
      </n>
      <n v="50004">
        <tpls c="6">
          <tpl fld="2" item="0"/>
          <tpl fld="0" item="0"/>
          <tpl fld="9" item="20"/>
          <tpl fld="8" item="0"/>
          <tpl hier="40" item="2"/>
          <tpl fld="17" item="0"/>
        </tpls>
      </n>
      <n v="4715772">
        <tpls c="6">
          <tpl fld="2" item="1"/>
          <tpl fld="0" item="1"/>
          <tpl fld="9" item="38"/>
          <tpl fld="8" item="2"/>
          <tpl hier="40" item="2"/>
          <tpl fld="17" item="0"/>
        </tpls>
      </n>
      <n v="181867">
        <tpls c="7">
          <tpl fld="3" item="1"/>
          <tpl fld="16" item="0"/>
          <tpl hier="31" item="1"/>
          <tpl fld="9" item="31"/>
          <tpl fld="12" item="2"/>
          <tpl hier="40" item="2"/>
          <tpl fld="17" item="0"/>
        </tpls>
      </n>
      <m>
        <tpls c="7">
          <tpl fld="3" item="0"/>
          <tpl fld="16" item="3"/>
          <tpl hier="31" item="3"/>
          <tpl fld="9" item="22"/>
          <tpl fld="12" item="2"/>
          <tpl hier="40" item="2"/>
          <tpl fld="17" item="0"/>
        </tpls>
      </m>
      <m>
        <tpls c="3">
          <tpl fld="6" item="19"/>
          <tpl fld="4" item="1"/>
          <tpl fld="17" item="1"/>
        </tpls>
      </m>
      <m>
        <tpls c="3">
          <tpl fld="6" item="12"/>
          <tpl fld="4" item="7"/>
          <tpl fld="17" item="1"/>
        </tpls>
      </m>
      <n v="0">
        <tpls c="7">
          <tpl fld="3" item="0"/>
          <tpl fld="16" item="10"/>
          <tpl hier="31" item="3"/>
          <tpl fld="9" item="14"/>
          <tpl fld="12" item="3"/>
          <tpl hier="40" item="2"/>
          <tpl fld="17" item="0"/>
        </tpls>
      </n>
      <m>
        <tpls c="7">
          <tpl fld="3" item="1"/>
          <tpl fld="16" item="7"/>
          <tpl hier="31" item="1"/>
          <tpl fld="9" item="7"/>
          <tpl fld="12" item="3"/>
          <tpl hier="40" item="2"/>
          <tpl fld="17" item="0"/>
        </tpls>
      </m>
      <m>
        <tpls c="6">
          <tpl fld="10" item="0"/>
          <tpl hier="31" item="0"/>
          <tpl fld="9" item="36"/>
          <tpl fld="12" item="3"/>
          <tpl hier="40" item="2"/>
          <tpl fld="17" item="0"/>
        </tpls>
      </m>
      <n v="57250">
        <tpls c="6">
          <tpl fld="2" item="2"/>
          <tpl fld="0" item="2"/>
          <tpl fld="9" item="11"/>
          <tpl fld="12" item="3"/>
          <tpl hier="40" item="2"/>
          <tpl fld="17" item="0"/>
        </tpls>
      </n>
      <n v="833">
        <tpls c="7">
          <tpl fld="3" item="1"/>
          <tpl fld="16" item="1"/>
          <tpl hier="31" item="1"/>
          <tpl fld="9" item="3"/>
          <tpl fld="12" item="2"/>
          <tpl hier="40" item="2"/>
          <tpl fld="17" item="0"/>
        </tpls>
      </n>
      <n v="230846283">
        <tpls c="6">
          <tpl fld="2" item="2"/>
          <tpl fld="0" item="2"/>
          <tpl fld="9" item="45"/>
          <tpl fld="12" item="13"/>
          <tpl hier="40" item="2"/>
          <tpl fld="17" item="0"/>
        </tpls>
      </n>
      <m>
        <tpls c="3">
          <tpl fld="6" item="16"/>
          <tpl fld="4" item="9"/>
          <tpl fld="17" item="1"/>
        </tpls>
      </m>
      <n v="1666667">
        <tpls c="7">
          <tpl fld="3" item="1"/>
          <tpl fld="16" item="2"/>
          <tpl hier="31" item="1"/>
          <tpl fld="9" item="18"/>
          <tpl fld="12" item="2"/>
          <tpl hier="40" item="2"/>
          <tpl fld="17" item="0"/>
        </tpls>
      </n>
      <n v="71286">
        <tpls c="7">
          <tpl fld="3" item="0"/>
          <tpl fld="16" item="7"/>
          <tpl hier="31" item="3"/>
          <tpl fld="9" item="29"/>
          <tpl fld="12" item="2"/>
          <tpl hier="40" item="2"/>
          <tpl fld="17" item="0"/>
        </tpls>
      </n>
      <n v="5305772">
        <tpls c="6">
          <tpl fld="2" item="0"/>
          <tpl fld="0" item="0"/>
          <tpl fld="9" item="38"/>
          <tpl fld="12" item="5"/>
          <tpl hier="40" item="2"/>
          <tpl fld="17" item="0"/>
        </tpls>
      </n>
      <n v="0">
        <tpls c="6">
          <tpl fld="2" item="0"/>
          <tpl fld="0" item="0"/>
          <tpl fld="9" item="22"/>
          <tpl fld="8" item="0"/>
          <tpl hier="40" item="2"/>
          <tpl fld="17" item="0"/>
        </tpls>
      </n>
      <n v="4416">
        <tpls c="7">
          <tpl fld="3" item="0"/>
          <tpl hier="10" item="4294967295"/>
          <tpl hier="31" item="3"/>
          <tpl fld="9" item="6"/>
          <tpl fld="12" item="1"/>
          <tpl hier="40" item="2"/>
          <tpl fld="17" item="0"/>
        </tpls>
      </n>
      <n v="257278">
        <tpls c="6">
          <tpl fld="10" item="0"/>
          <tpl hier="31" item="1"/>
          <tpl fld="9" item="29"/>
          <tpl fld="8" item="0"/>
          <tpl hier="40" item="2"/>
          <tpl fld="17" item="0"/>
        </tpls>
      </n>
      <m>
        <tpls c="3">
          <tpl fld="6" item="13"/>
          <tpl fld="4" item="4"/>
          <tpl fld="17" item="1"/>
        </tpls>
      </m>
      <n v="80000">
        <tpls c="6">
          <tpl fld="2" item="0"/>
          <tpl fld="0" item="0"/>
          <tpl fld="9" item="2"/>
          <tpl fld="12" item="1"/>
          <tpl hier="40" item="2"/>
          <tpl fld="17" item="0"/>
        </tpls>
      </n>
      <n v="39196">
        <tpls c="6">
          <tpl fld="2" item="2"/>
          <tpl fld="0" item="2"/>
          <tpl fld="9" item="20"/>
          <tpl fld="12" item="2"/>
          <tpl hier="40" item="2"/>
          <tpl fld="17" item="0"/>
        </tpls>
      </n>
      <m>
        <tpls c="6">
          <tpl fld="10" item="1"/>
          <tpl hier="31" item="0"/>
          <tpl fld="9" item="32"/>
          <tpl fld="12" item="5"/>
          <tpl hier="40" item="2"/>
          <tpl fld="17" item="0"/>
        </tpls>
      </m>
      <n v="4743915">
        <tpls c="5">
          <tpl fld="2" item="2"/>
          <tpl fld="0" item="2"/>
          <tpl fld="12" item="5"/>
          <tpl hier="40" item="2"/>
          <tpl fld="17" item="0"/>
        </tpls>
      </n>
      <n v="10314">
        <tpls c="6">
          <tpl fld="10" item="1"/>
          <tpl hier="31" item="0"/>
          <tpl fld="9" item="10"/>
          <tpl fld="12" item="6"/>
          <tpl hier="40" item="2"/>
          <tpl fld="17" item="0"/>
        </tpls>
      </n>
      <n v="0">
        <tpls c="7">
          <tpl fld="3" item="0"/>
          <tpl fld="16" item="0"/>
          <tpl hier="31" item="3"/>
          <tpl fld="9" item="3"/>
          <tpl fld="12" item="2"/>
          <tpl hier="40" item="2"/>
          <tpl fld="17" item="0"/>
        </tpls>
      </n>
      <m>
        <tpls c="3">
          <tpl fld="6" item="5"/>
          <tpl fld="4" item="1"/>
          <tpl fld="17" item="1"/>
        </tpls>
      </m>
      <m>
        <tpls c="3">
          <tpl fld="4" item="3"/>
          <tpl fld="5" item="0"/>
          <tpl fld="17" item="1"/>
        </tpls>
      </m>
      <m>
        <tpls c="7">
          <tpl fld="3" item="0"/>
          <tpl fld="16" item="3"/>
          <tpl hier="31" item="3"/>
          <tpl fld="9" item="27"/>
          <tpl fld="12" item="5"/>
          <tpl hier="40" item="2"/>
          <tpl fld="17" item="0"/>
        </tpls>
      </m>
      <n v="0">
        <tpls c="7">
          <tpl fld="3" item="0"/>
          <tpl fld="16" item="6"/>
          <tpl hier="31" item="3"/>
          <tpl fld="9" item="10"/>
          <tpl fld="12" item="6"/>
          <tpl hier="40" item="2"/>
          <tpl fld="17" item="0"/>
        </tpls>
      </n>
      <n v="-1918355">
        <tpls c="7">
          <tpl fld="2" item="1"/>
          <tpl fld="16" item="1"/>
          <tpl fld="0" item="1"/>
          <tpl fld="9" item="30"/>
          <tpl fld="12" item="15"/>
          <tpl fld="1" item="1"/>
          <tpl fld="17" item="0"/>
        </tpls>
      </n>
      <n v="1915000">
        <tpls c="6">
          <tpl fld="2" item="0"/>
          <tpl fld="0" item="0"/>
          <tpl fld="9" item="35"/>
          <tpl fld="12" item="3"/>
          <tpl hier="40" item="2"/>
          <tpl fld="17" item="0"/>
        </tpls>
      </n>
      <m>
        <tpls c="3">
          <tpl fld="4" item="9"/>
          <tpl fld="5" item="2"/>
          <tpl fld="17" item="1"/>
        </tpls>
      </m>
      <n v="392981">
        <tpls c="7">
          <tpl fld="3" item="0"/>
          <tpl fld="16" item="7"/>
          <tpl hier="31" item="3"/>
          <tpl fld="9" item="38"/>
          <tpl fld="12" item="5"/>
          <tpl hier="40" item="2"/>
          <tpl fld="17" item="0"/>
        </tpls>
      </n>
      <n v="392981">
        <tpls c="7">
          <tpl fld="3" item="1"/>
          <tpl fld="16" item="7"/>
          <tpl hier="31" item="1"/>
          <tpl fld="9" item="38"/>
          <tpl fld="12" item="5"/>
          <tpl hier="40" item="2"/>
          <tpl fld="17" item="0"/>
        </tpls>
      </n>
      <m>
        <tpls c="3">
          <tpl fld="6" item="2"/>
          <tpl fld="4" item="0"/>
          <tpl fld="17" item="1"/>
        </tpls>
      </m>
      <m>
        <tpls c="3">
          <tpl fld="6" item="18"/>
          <tpl fld="4" item="0"/>
          <tpl fld="17" item="1"/>
        </tpls>
      </m>
      <n v="573666">
        <tpls c="7">
          <tpl fld="3" item="0"/>
          <tpl fld="16" item="9"/>
          <tpl hier="31" item="3"/>
          <tpl fld="9" item="41"/>
          <tpl fld="12" item="3"/>
          <tpl hier="40" item="2"/>
          <tpl fld="17" item="0"/>
        </tpls>
      </n>
      <n v="5290">
        <tpls c="7">
          <tpl fld="3" item="0"/>
          <tpl fld="16" item="3"/>
          <tpl hier="31" item="3"/>
          <tpl fld="9" item="44"/>
          <tpl fld="12" item="2"/>
          <tpl hier="40" item="2"/>
          <tpl fld="17" item="0"/>
        </tpls>
      </n>
      <m>
        <tpls c="3">
          <tpl fld="6" item="4"/>
          <tpl fld="4" item="3"/>
          <tpl fld="17" item="1"/>
        </tpls>
      </m>
      <n v="991296">
        <tpls c="6">
          <tpl fld="2" item="0"/>
          <tpl fld="0" item="0"/>
          <tpl fld="9" item="33"/>
          <tpl fld="12" item="6"/>
          <tpl hier="40" item="2"/>
          <tpl fld="17" item="0"/>
        </tpls>
      </n>
      <n v="4139034">
        <tpls c="6">
          <tpl fld="3" item="1"/>
          <tpl fld="16" item="8"/>
          <tpl hier="31" item="1"/>
          <tpl fld="12" item="9"/>
          <tpl hier="40" item="2"/>
          <tpl fld="17" item="0"/>
        </tpls>
      </n>
      <n v="3939366">
        <tpls c="6">
          <tpl fld="10" item="1"/>
          <tpl hier="31" item="1"/>
          <tpl fld="9" item="4"/>
          <tpl fld="8" item="1"/>
          <tpl hier="40" item="2"/>
          <tpl fld="17" item="0"/>
        </tpls>
      </n>
      <m>
        <tpls c="3">
          <tpl fld="7" item="1"/>
          <tpl fld="5" item="0"/>
          <tpl fld="17" item="1"/>
        </tpls>
      </m>
      <m>
        <tpls c="3">
          <tpl fld="6" item="4"/>
          <tpl fld="4" item="9"/>
          <tpl fld="17" item="1"/>
        </tpls>
      </m>
      <m>
        <tpls c="3">
          <tpl fld="6" item="1"/>
          <tpl fld="4" item="0"/>
          <tpl fld="17" item="1"/>
        </tpls>
      </m>
      <n v="68833">
        <tpls c="3">
          <tpl fld="11" item="6"/>
          <tpl fld="15" item="2"/>
          <tpl fld="17" item="2"/>
        </tpls>
      </n>
      <n v="63564">
        <tpls c="6">
          <tpl fld="10" item="1"/>
          <tpl hier="31" item="0"/>
          <tpl fld="9" item="21"/>
          <tpl fld="12" item="3"/>
          <tpl hier="40" item="2"/>
          <tpl fld="17" item="0"/>
        </tpls>
      </n>
      <n v="1258402">
        <tpls c="7">
          <tpl fld="3" item="0"/>
          <tpl fld="16" item="0"/>
          <tpl hier="31" item="3"/>
          <tpl fld="9" item="5"/>
          <tpl fld="12" item="2"/>
          <tpl hier="40" item="2"/>
          <tpl fld="17" item="0"/>
        </tpls>
      </n>
      <n v="0">
        <tpls c="7">
          <tpl fld="3" item="0"/>
          <tpl fld="16" item="3"/>
          <tpl hier="31" item="3"/>
          <tpl fld="9" item="10"/>
          <tpl fld="12" item="6"/>
          <tpl hier="40" item="2"/>
          <tpl fld="17" item="0"/>
        </tpls>
      </n>
      <n v="9819066">
        <tpls c="6">
          <tpl fld="2" item="2"/>
          <tpl fld="0" item="2"/>
          <tpl fld="9" item="18"/>
          <tpl fld="12" item="2"/>
          <tpl hier="40" item="2"/>
          <tpl fld="17" item="0"/>
        </tpls>
      </n>
      <n v="60000">
        <tpls c="6">
          <tpl fld="2" item="0"/>
          <tpl fld="0" item="0"/>
          <tpl fld="9" item="44"/>
          <tpl fld="8" item="0"/>
          <tpl hier="40" item="2"/>
          <tpl fld="17" item="0"/>
        </tpls>
      </n>
      <n v="10884">
        <tpls c="7">
          <tpl fld="3" item="0"/>
          <tpl fld="16" item="10"/>
          <tpl hier="31" item="3"/>
          <tpl fld="9" item="44"/>
          <tpl fld="12" item="2"/>
          <tpl hier="40" item="2"/>
          <tpl fld="17" item="0"/>
        </tpls>
      </n>
      <m>
        <tpls c="3">
          <tpl fld="6" item="15"/>
          <tpl fld="4" item="8"/>
          <tpl fld="17" item="1"/>
        </tpls>
      </m>
      <m>
        <tpls c="3">
          <tpl fld="6" item="0"/>
          <tpl fld="4" item="0"/>
          <tpl fld="17" item="1"/>
        </tpls>
      </m>
      <n v="18943946">
        <tpls c="6">
          <tpl fld="3" item="0"/>
          <tpl fld="16" item="3"/>
          <tpl hier="31" item="3"/>
          <tpl fld="12" item="13"/>
          <tpl hier="40" item="2"/>
          <tpl fld="17" item="0"/>
        </tpls>
      </n>
      <n v="75108">
        <tpls c="7">
          <tpl fld="3" item="1"/>
          <tpl fld="16" item="0"/>
          <tpl hier="31" item="1"/>
          <tpl fld="9" item="33"/>
          <tpl fld="12" item="6"/>
          <tpl hier="40" item="2"/>
          <tpl fld="17" item="0"/>
        </tpls>
      </n>
      <n v="1150000">
        <tpls c="6">
          <tpl fld="2" item="0"/>
          <tpl fld="0" item="0"/>
          <tpl fld="9" item="52"/>
          <tpl fld="8" item="1"/>
          <tpl hier="40" item="2"/>
          <tpl fld="17" item="0"/>
        </tpls>
      </n>
      <m>
        <tpls c="3">
          <tpl fld="7" item="1"/>
          <tpl fld="5" item="1"/>
          <tpl fld="17" item="1"/>
        </tpls>
      </m>
      <n v="37074011">
        <tpls c="5">
          <tpl fld="2" item="1"/>
          <tpl fld="0" item="1"/>
          <tpl fld="12" item="3"/>
          <tpl hier="40" item="2"/>
          <tpl fld="17" item="0"/>
        </tpls>
      </n>
      <n v="0">
        <tpls c="7">
          <tpl fld="3" item="0"/>
          <tpl fld="16" item="6"/>
          <tpl hier="31" item="3"/>
          <tpl fld="9" item="19"/>
          <tpl fld="12" item="5"/>
          <tpl hier="40" item="2"/>
          <tpl fld="17" item="0"/>
        </tpls>
      </n>
      <n v="225324">
        <tpls c="6">
          <tpl fld="10" item="3"/>
          <tpl hier="31" item="0"/>
          <tpl fld="9" item="33"/>
          <tpl fld="12" item="6"/>
          <tpl hier="40" item="2"/>
          <tpl fld="17" item="0"/>
        </tpls>
      </n>
      <n v="48000">
        <tpls c="7">
          <tpl fld="3" item="1"/>
          <tpl fld="16" item="9"/>
          <tpl hier="31" item="1"/>
          <tpl fld="9" item="11"/>
          <tpl fld="12" item="3"/>
          <tpl hier="40" item="2"/>
          <tpl fld="17" item="0"/>
        </tpls>
      </n>
      <n v="626553">
        <tpls c="6">
          <tpl fld="3" item="0"/>
          <tpl fld="16" item="1"/>
          <tpl hier="31" item="3"/>
          <tpl fld="12" item="6"/>
          <tpl hier="40" item="2"/>
          <tpl fld="17" item="0"/>
        </tpls>
      </n>
      <n v="188354">
        <tpls c="6">
          <tpl fld="2" item="1"/>
          <tpl fld="0" item="1"/>
          <tpl fld="9" item="17"/>
          <tpl fld="8" item="0"/>
          <tpl hier="40" item="2"/>
          <tpl fld="17" item="0"/>
        </tpls>
      </n>
      <n v="4167">
        <tpls c="7">
          <tpl fld="3" item="1"/>
          <tpl fld="16" item="8"/>
          <tpl hier="31" item="1"/>
          <tpl fld="9" item="20"/>
          <tpl fld="12" item="2"/>
          <tpl hier="40" item="2"/>
          <tpl fld="17" item="0"/>
        </tpls>
      </n>
      <n v="769263">
        <tpls c="6">
          <tpl fld="10" item="2"/>
          <tpl hier="31" item="1"/>
          <tpl fld="9" item="24"/>
          <tpl fld="8" item="1"/>
          <tpl hier="40" item="2"/>
          <tpl fld="17" item="0"/>
        </tpls>
      </n>
      <n v="82906">
        <tpls c="7">
          <tpl fld="3" item="0"/>
          <tpl fld="16" item="1"/>
          <tpl hier="31" item="3"/>
          <tpl fld="9" item="29"/>
          <tpl fld="12" item="2"/>
          <tpl hier="40" item="2"/>
          <tpl fld="17" item="0"/>
        </tpls>
      </n>
      <n v="0">
        <tpls c="7">
          <tpl fld="3" item="0"/>
          <tpl fld="16" item="0"/>
          <tpl hier="31" item="3"/>
          <tpl fld="9" item="2"/>
          <tpl fld="12" item="1"/>
          <tpl hier="40" item="2"/>
          <tpl fld="17" item="0"/>
        </tpls>
      </n>
      <m>
        <tpls c="3">
          <tpl fld="6" item="2"/>
          <tpl fld="4" item="6"/>
          <tpl fld="17" item="1"/>
        </tpls>
      </m>
      <m>
        <tpls c="3">
          <tpl fld="6" item="10"/>
          <tpl fld="4" item="9"/>
          <tpl fld="17" item="1"/>
        </tpls>
      </m>
      <n v="5000000" in="0">
        <tpls c="3">
          <tpl fld="6" item="20"/>
          <tpl fld="4" item="8"/>
          <tpl fld="17" item="1"/>
        </tpls>
      </n>
      <m>
        <tpls c="3">
          <tpl fld="6" item="12"/>
          <tpl fld="4" item="8"/>
          <tpl fld="17" item="1"/>
        </tpls>
      </m>
      <m>
        <tpls c="6">
          <tpl fld="10" item="2"/>
          <tpl hier="31" item="1"/>
          <tpl fld="9" item="14"/>
          <tpl fld="8" item="3"/>
          <tpl hier="40" item="2"/>
          <tpl fld="17" item="0"/>
        </tpls>
      </m>
      <m>
        <tpls c="6">
          <tpl fld="2" item="2"/>
          <tpl fld="0" item="2"/>
          <tpl fld="9" item="0"/>
          <tpl fld="8" item="0"/>
          <tpl hier="40" item="2"/>
          <tpl fld="17" item="0"/>
        </tpls>
      </m>
      <m>
        <tpls c="3">
          <tpl fld="4" item="7"/>
          <tpl fld="5" item="3"/>
          <tpl fld="17" item="1"/>
        </tpls>
      </m>
      <m>
        <tpls c="3">
          <tpl fld="6" item="11"/>
          <tpl fld="4" item="0"/>
          <tpl fld="17" item="1"/>
        </tpls>
      </m>
      <n v="183">
        <tpls c="6">
          <tpl fld="3" item="0"/>
          <tpl fld="16" item="0"/>
          <tpl hier="31" item="3"/>
          <tpl fld="12" item="22"/>
          <tpl hier="40" item="2"/>
          <tpl fld="17" item="0"/>
        </tpls>
      </n>
      <m>
        <tpls c="3">
          <tpl fld="4" item="0"/>
          <tpl fld="5" item="3"/>
          <tpl fld="17" item="1"/>
        </tpls>
      </m>
      <m>
        <tpls c="3">
          <tpl fld="6" item="9"/>
          <tpl fld="4" item="7"/>
          <tpl fld="17" item="1"/>
        </tpls>
      </m>
      <m>
        <tpls c="3">
          <tpl fld="6" item="9"/>
          <tpl fld="4" item="9"/>
          <tpl fld="17" item="1"/>
        </tpls>
      </m>
      <m>
        <tpls c="3">
          <tpl fld="6" item="20"/>
          <tpl fld="4" item="3"/>
          <tpl fld="17" item="1"/>
        </tpls>
      </m>
      <n v="509520">
        <tpls c="6">
          <tpl fld="10" item="3"/>
          <tpl hier="31" item="1"/>
          <tpl fld="9" item="31"/>
          <tpl fld="8" item="0"/>
          <tpl hier="40" item="2"/>
          <tpl fld="17" item="0"/>
        </tpls>
      </n>
      <n v="35000000" in="0">
        <tpls c="3">
          <tpl fld="6" item="19"/>
          <tpl fld="4" item="0"/>
          <tpl fld="17" item="1"/>
        </tpls>
      </n>
      <n v="15375000" in="0">
        <tpls c="3">
          <tpl fld="6" item="9"/>
          <tpl fld="4" item="6"/>
          <tpl fld="17" item="1"/>
        </tpls>
      </n>
      <m>
        <tpls c="3">
          <tpl fld="6" item="12"/>
          <tpl fld="4" item="3"/>
          <tpl fld="17" item="1"/>
        </tpls>
      </m>
      <n v="4167">
        <tpls c="7">
          <tpl fld="3" item="1"/>
          <tpl fld="16" item="0"/>
          <tpl hier="31" item="1"/>
          <tpl fld="9" item="20"/>
          <tpl fld="12" item="2"/>
          <tpl hier="40" item="2"/>
          <tpl fld="17" item="0"/>
        </tpls>
      </n>
      <n v="1653327">
        <tpls c="7">
          <tpl fld="3" item="1"/>
          <tpl fld="16" item="7"/>
          <tpl hier="31" item="1"/>
          <tpl fld="9" item="15"/>
          <tpl fld="12" item="3"/>
          <tpl hier="40" item="2"/>
          <tpl fld="17" item="0"/>
        </tpls>
      </n>
      <n v="68085">
        <tpls c="7">
          <tpl fld="3" item="0"/>
          <tpl fld="16" item="0"/>
          <tpl hier="31" item="3"/>
          <tpl fld="9" item="52"/>
          <tpl fld="12" item="3"/>
          <tpl hier="40" item="2"/>
          <tpl fld="17" item="0"/>
        </tpls>
      </n>
      <n v="343250">
        <tpls c="7">
          <tpl fld="3" item="0"/>
          <tpl fld="16" item="4"/>
          <tpl hier="31" item="3"/>
          <tpl fld="9" item="41"/>
          <tpl fld="12" item="3"/>
          <tpl hier="40" item="2"/>
          <tpl fld="17" item="0"/>
        </tpls>
      </n>
      <n v="52500">
        <tpls c="6">
          <tpl fld="10" item="1"/>
          <tpl hier="31" item="1"/>
          <tpl fld="9" item="17"/>
          <tpl fld="8" item="0"/>
          <tpl hier="40" item="2"/>
          <tpl fld="17" item="0"/>
        </tpls>
      </n>
      <n v="1313122">
        <tpls c="7">
          <tpl fld="3" item="1"/>
          <tpl fld="16" item="10"/>
          <tpl hier="31" item="1"/>
          <tpl fld="9" item="4"/>
          <tpl fld="12" item="3"/>
          <tpl hier="40" item="2"/>
          <tpl fld="17" item="0"/>
        </tpls>
      </n>
      <m>
        <tpls c="6">
          <tpl fld="2" item="2"/>
          <tpl fld="0" item="2"/>
          <tpl fld="9" item="27"/>
          <tpl fld="12" item="5"/>
          <tpl hier="40" item="2"/>
          <tpl fld="17" item="0"/>
        </tpls>
      </m>
      <n v="3438">
        <tpls c="7">
          <tpl fld="3" item="1"/>
          <tpl fld="16" item="7"/>
          <tpl hier="31" item="1"/>
          <tpl fld="9" item="10"/>
          <tpl fld="12" item="6"/>
          <tpl hier="40" item="2"/>
          <tpl fld="17" item="0"/>
        </tpls>
      </n>
      <n v="10333">
        <tpls c="7">
          <tpl fld="3" item="0"/>
          <tpl fld="16" item="11"/>
          <tpl hier="31" item="3"/>
          <tpl fld="9" item="40"/>
          <tpl fld="12" item="3"/>
          <tpl hier="40" item="2"/>
          <tpl fld="17" item="0"/>
        </tpls>
      </n>
      <m>
        <tpls c="6">
          <tpl fld="10" item="3"/>
          <tpl hier="31" item="1"/>
          <tpl fld="9" item="32"/>
          <tpl fld="8" item="2"/>
          <tpl hier="40" item="2"/>
          <tpl fld="17" item="0"/>
        </tpls>
      </m>
      <m>
        <tpls c="7">
          <tpl fld="3" item="0"/>
          <tpl fld="16" item="4"/>
          <tpl hier="31" item="3"/>
          <tpl fld="9" item="32"/>
          <tpl fld="12" item="5"/>
          <tpl hier="40" item="2"/>
          <tpl fld="17" item="0"/>
        </tpls>
      </m>
      <m>
        <tpls c="3">
          <tpl fld="6" item="20"/>
          <tpl fld="4" item="7"/>
          <tpl fld="17" item="1"/>
        </tpls>
      </m>
      <n v="0">
        <tpls c="7">
          <tpl fld="3" item="0"/>
          <tpl fld="16" item="11"/>
          <tpl hier="31" item="3"/>
          <tpl fld="9" item="13"/>
          <tpl fld="12" item="3"/>
          <tpl hier="40" item="2"/>
          <tpl fld="17" item="0"/>
        </tpls>
      </n>
      <m>
        <tpls c="7">
          <tpl fld="3" item="1"/>
          <tpl fld="16" item="7"/>
          <tpl hier="31" item="1"/>
          <tpl fld="9" item="14"/>
          <tpl fld="12" item="3"/>
          <tpl hier="40" item="2"/>
          <tpl fld="17" item="0"/>
        </tpls>
      </m>
      <n v="4244">
        <tpls c="7">
          <tpl fld="3" item="0"/>
          <tpl fld="16" item="4"/>
          <tpl hier="31" item="3"/>
          <tpl fld="9" item="36"/>
          <tpl fld="12" item="3"/>
          <tpl hier="40" item="2"/>
          <tpl fld="17" item="0"/>
        </tpls>
      </n>
      <n v="0">
        <tpls c="6">
          <tpl fld="2" item="1"/>
          <tpl fld="16" item="6"/>
          <tpl fld="0" item="1"/>
          <tpl fld="12" item="14"/>
          <tpl fld="1" item="1"/>
          <tpl fld="17" item="0"/>
        </tpls>
      </n>
      <n v="52500">
        <tpls c="6">
          <tpl fld="10" item="2"/>
          <tpl hier="31" item="1"/>
          <tpl fld="9" item="17"/>
          <tpl fld="8" item="0"/>
          <tpl hier="40" item="2"/>
          <tpl fld="17" item="0"/>
        </tpls>
      </n>
      <n v="1385409">
        <tpls c="6">
          <tpl fld="3" item="1"/>
          <tpl fld="16" item="3"/>
          <tpl hier="31" item="1"/>
          <tpl fld="12" item="6"/>
          <tpl hier="40" item="2"/>
          <tpl fld="17" item="0"/>
        </tpls>
      </n>
      <n v="4167">
        <tpls c="7">
          <tpl fld="3" item="1"/>
          <tpl fld="16" item="1"/>
          <tpl hier="31" item="1"/>
          <tpl fld="9" item="20"/>
          <tpl fld="12" item="2"/>
          <tpl hier="40" item="2"/>
          <tpl fld="17" item="0"/>
        </tpls>
      </n>
      <n v="1666667">
        <tpls c="7">
          <tpl fld="3" item="1"/>
          <tpl fld="16" item="3"/>
          <tpl hier="31" item="1"/>
          <tpl fld="9" item="18"/>
          <tpl fld="12" item="2"/>
          <tpl hier="40" item="2"/>
          <tpl fld="17" item="0"/>
        </tpls>
      </n>
      <n v="392981">
        <tpls c="6">
          <tpl fld="3" item="1"/>
          <tpl fld="16" item="1"/>
          <tpl hier="31" item="1"/>
          <tpl fld="12" item="5"/>
          <tpl hier="40" item="2"/>
          <tpl fld="17" item="0"/>
        </tpls>
      </n>
      <n v="-5064010">
        <tpls c="7">
          <tpl fld="2" item="1"/>
          <tpl fld="16" item="0"/>
          <tpl fld="0" item="1"/>
          <tpl fld="9" item="56"/>
          <tpl fld="12" item="8"/>
          <tpl fld="1" item="1"/>
          <tpl fld="17" item="0"/>
        </tpls>
      </n>
      <n v="0">
        <tpls c="7">
          <tpl fld="2" item="1"/>
          <tpl fld="16" item="2"/>
          <tpl fld="0" item="1"/>
          <tpl fld="9" item="39"/>
          <tpl fld="12" item="0"/>
          <tpl fld="1" item="1"/>
          <tpl fld="17" item="0"/>
        </tpls>
      </n>
      <n v="0">
        <tpls c="7">
          <tpl fld="3" item="0"/>
          <tpl fld="16" item="1"/>
          <tpl hier="31" item="3"/>
          <tpl fld="9" item="33"/>
          <tpl fld="12" item="6"/>
          <tpl hier="40" item="2"/>
          <tpl fld="17" item="0"/>
        </tpls>
      </n>
      <n v="76946432">
        <tpls c="7">
          <tpl fld="2" item="1"/>
          <tpl fld="16" item="11"/>
          <tpl fld="0" item="1"/>
          <tpl fld="9" item="56"/>
          <tpl fld="12" item="8"/>
          <tpl fld="1" item="1"/>
          <tpl fld="17" item="0"/>
        </tpls>
      </n>
      <n v="13060974">
        <tpls c="6">
          <tpl fld="10" item="2"/>
          <tpl hier="31" item="1"/>
          <tpl fld="9" item="8"/>
          <tpl fld="8" item="1"/>
          <tpl hier="40" item="2"/>
          <tpl fld="17" item="0"/>
        </tpls>
      </n>
      <m>
        <tpls c="3">
          <tpl fld="6" item="20"/>
          <tpl fld="4" item="5"/>
          <tpl fld="17" item="1"/>
        </tpls>
      </m>
      <n v="225324">
        <tpls c="6">
          <tpl fld="10" item="1"/>
          <tpl hier="31" item="1"/>
          <tpl fld="9" item="33"/>
          <tpl fld="8" item="1"/>
          <tpl hier="40" item="2"/>
          <tpl fld="17" item="0"/>
        </tpls>
      </n>
      <n v="13240231">
        <tpls c="5">
          <tpl fld="10" item="0"/>
          <tpl hier="31" item="0"/>
          <tpl fld="12" item="3"/>
          <tpl hier="40" item="2"/>
          <tpl fld="17" item="0"/>
        </tpls>
      </n>
      <n v="79167">
        <tpls c="3">
          <tpl fld="11" item="11"/>
          <tpl fld="15" item="4"/>
          <tpl fld="17" item="2"/>
        </tpls>
      </n>
      <n v="117585">
        <tpls c="7">
          <tpl fld="3" item="1"/>
          <tpl fld="16" item="0"/>
          <tpl hier="31" item="1"/>
          <tpl fld="9" item="29"/>
          <tpl fld="12" item="2"/>
          <tpl hier="40" item="2"/>
          <tpl fld="17" item="0"/>
        </tpls>
      </n>
      <n v="0">
        <tpls c="7">
          <tpl fld="2" item="1"/>
          <tpl fld="16" item="0"/>
          <tpl fld="0" item="1"/>
          <tpl fld="9" item="61"/>
          <tpl fld="12" item="0"/>
          <tpl fld="1" item="1"/>
          <tpl fld="17" item="0"/>
        </tpls>
      </n>
      <n v="-630806">
        <tpls c="7">
          <tpl fld="2" item="1"/>
          <tpl fld="16" item="6"/>
          <tpl fld="0" item="1"/>
          <tpl fld="9" item="28"/>
          <tpl fld="12" item="15"/>
          <tpl fld="1" item="1"/>
          <tpl fld="17" item="0"/>
        </tpls>
      </n>
      <n v="19024630">
        <tpls c="7">
          <tpl fld="3" item="1"/>
          <tpl fld="16" item="2"/>
          <tpl hier="31" item="1"/>
          <tpl fld="9" item="45"/>
          <tpl fld="12" item="13"/>
          <tpl hier="40" item="2"/>
          <tpl fld="17" item="0"/>
        </tpls>
      </n>
      <n v="2247849">
        <tpls c="6">
          <tpl fld="2" item="2"/>
          <tpl fld="0" item="2"/>
          <tpl fld="9" item="31"/>
          <tpl fld="12" item="2"/>
          <tpl hier="40" item="2"/>
          <tpl fld="17" item="0"/>
        </tpls>
      </n>
      <n v="250002">
        <tpls c="6">
          <tpl fld="10" item="2"/>
          <tpl hier="31" item="0"/>
          <tpl fld="9" item="53"/>
          <tpl fld="12" item="2"/>
          <tpl hier="40" item="2"/>
          <tpl fld="17" item="0"/>
        </tpls>
      </n>
      <n v="484291">
        <tpls c="7">
          <tpl fld="3" item="0"/>
          <tpl fld="16" item="3"/>
          <tpl hier="31" item="3"/>
          <tpl fld="9" item="7"/>
          <tpl fld="12" item="3"/>
          <tpl hier="40" item="2"/>
          <tpl fld="17" item="0"/>
        </tpls>
      </n>
      <n v="-191355">
        <tpls c="7">
          <tpl fld="2" item="1"/>
          <tpl fld="16" item="5"/>
          <tpl fld="0" item="1"/>
          <tpl fld="9" item="64"/>
          <tpl fld="12" item="17"/>
          <tpl fld="1" item="1"/>
          <tpl fld="17" item="0"/>
        </tpls>
      </n>
      <m>
        <tpls c="3">
          <tpl fld="6" item="17"/>
          <tpl fld="4" item="1"/>
          <tpl fld="17" item="1"/>
        </tpls>
      </m>
      <m>
        <tpls c="6">
          <tpl fld="2" item="0"/>
          <tpl fld="0" item="0"/>
          <tpl fld="9" item="19"/>
          <tpl fld="12" item="5"/>
          <tpl hier="40" item="2"/>
          <tpl fld="17" item="0"/>
        </tpls>
      </m>
      <m>
        <tpls c="6">
          <tpl fld="10" item="0"/>
          <tpl hier="31" item="1"/>
          <tpl fld="9" item="27"/>
          <tpl fld="8" item="2"/>
          <tpl hier="40" item="2"/>
          <tpl fld="17" item="0"/>
        </tpls>
      </m>
      <n v="910845">
        <tpls c="7">
          <tpl fld="3" item="0"/>
          <tpl fld="16" item="0"/>
          <tpl hier="31" item="3"/>
          <tpl fld="9" item="15"/>
          <tpl fld="12" item="3"/>
          <tpl hier="40" item="2"/>
          <tpl fld="17" item="0"/>
        </tpls>
      </n>
      <n v="0">
        <tpls c="7">
          <tpl fld="3" item="0"/>
          <tpl fld="16" item="0"/>
          <tpl hier="31" item="3"/>
          <tpl fld="9" item="7"/>
          <tpl fld="12" item="3"/>
          <tpl hier="40" item="2"/>
          <tpl fld="17" item="0"/>
        </tpls>
      </n>
      <n v="134916">
        <tpls c="7">
          <tpl fld="2" item="1"/>
          <tpl hier="10" item="4294967295"/>
          <tpl fld="0" item="1"/>
          <tpl fld="9" item="46"/>
          <tpl fld="12" item="0"/>
          <tpl fld="1" item="1"/>
          <tpl fld="17" item="0"/>
        </tpls>
      </n>
      <n v="0">
        <tpls c="6">
          <tpl fld="2" item="2"/>
          <tpl fld="0" item="2"/>
          <tpl fld="9" item="32"/>
          <tpl fld="12" item="5"/>
          <tpl hier="40" item="2"/>
          <tpl fld="17" item="0"/>
        </tpls>
      </n>
      <n v="5168967">
        <tpls c="6">
          <tpl fld="10" item="2"/>
          <tpl hier="31" item="1"/>
          <tpl fld="9" item="15"/>
          <tpl fld="8" item="1"/>
          <tpl hier="40" item="2"/>
          <tpl fld="17" item="0"/>
        </tpls>
      </n>
      <n v="68833">
        <tpls c="3">
          <tpl fld="11" item="1"/>
          <tpl fld="15" item="2"/>
          <tpl fld="17" item="2"/>
        </tpls>
      </n>
      <n v="2158469">
        <tpls c="7">
          <tpl fld="3" item="0"/>
          <tpl fld="16" item="2"/>
          <tpl hier="31" item="3"/>
          <tpl fld="9" item="18"/>
          <tpl fld="12" item="2"/>
          <tpl hier="40" item="2"/>
          <tpl fld="17" item="0"/>
        </tpls>
      </n>
      <n v="0">
        <tpls c="7">
          <tpl fld="2" item="1"/>
          <tpl fld="16" item="9"/>
          <tpl fld="0" item="1"/>
          <tpl fld="9" item="51"/>
          <tpl fld="12" item="7"/>
          <tpl fld="1" item="1"/>
          <tpl fld="17" item="0"/>
        </tpls>
      </n>
      <m>
        <tpls c="7">
          <tpl fld="3" item="1"/>
          <tpl fld="16" item="10"/>
          <tpl hier="31" item="1"/>
          <tpl fld="9" item="1"/>
          <tpl fld="12" item="1"/>
          <tpl hier="40" item="2"/>
          <tpl fld="17" item="0"/>
        </tpls>
      </m>
      <n v="381">
        <tpls c="7">
          <tpl fld="3" item="0"/>
          <tpl hier="10" item="4294967295"/>
          <tpl hier="31" item="3"/>
          <tpl fld="9" item="14"/>
          <tpl fld="12" item="3"/>
          <tpl hier="40" item="2"/>
          <tpl fld="17" item="0"/>
        </tpls>
      </n>
      <n v="1137">
        <tpls c="6">
          <tpl fld="2" item="2"/>
          <tpl fld="0" item="2"/>
          <tpl fld="9" item="43"/>
          <tpl fld="8" item="2"/>
          <tpl hier="40" item="2"/>
          <tpl fld="17" item="0"/>
        </tpls>
      </n>
      <m>
        <tpls c="3">
          <tpl fld="7" item="0"/>
          <tpl fld="5" item="5"/>
          <tpl fld="17" item="1"/>
        </tpls>
      </m>
      <n v="7768506">
        <tpls c="6">
          <tpl fld="2" item="1"/>
          <tpl fld="0" item="1"/>
          <tpl fld="9" item="15"/>
          <tpl fld="12" item="3"/>
          <tpl hier="40" item="2"/>
          <tpl fld="17" item="0"/>
        </tpls>
      </n>
      <n v="2458776">
        <tpls c="6">
          <tpl fld="10" item="0"/>
          <tpl hier="31" item="1"/>
          <tpl fld="9" item="9"/>
          <tpl fld="8" item="1"/>
          <tpl hier="40" item="2"/>
          <tpl fld="17" item="0"/>
        </tpls>
      </n>
      <n v="-126978">
        <tpls c="7">
          <tpl fld="2" item="1"/>
          <tpl fld="16" item="1"/>
          <tpl fld="0" item="1"/>
          <tpl fld="9" item="66"/>
          <tpl fld="12" item="4"/>
          <tpl fld="1" item="1"/>
          <tpl fld="17" item="0"/>
        </tpls>
      </n>
      <n v="0">
        <tpls c="7">
          <tpl fld="2" item="1"/>
          <tpl fld="16" item="10"/>
          <tpl fld="0" item="1"/>
          <tpl fld="9" item="68"/>
          <tpl fld="12" item="18"/>
          <tpl fld="1" item="1"/>
          <tpl fld="17" item="0"/>
        </tpls>
      </n>
      <n v="-392981">
        <tpls c="6">
          <tpl fld="2" item="1"/>
          <tpl fld="16" item="1"/>
          <tpl fld="0" item="1"/>
          <tpl fld="12" item="11"/>
          <tpl fld="1" item="1"/>
          <tpl fld="17" item="0"/>
        </tpls>
      </n>
      <n v="-173856">
        <tpls c="7">
          <tpl fld="2" item="1"/>
          <tpl fld="16" item="9"/>
          <tpl fld="0" item="1"/>
          <tpl fld="9" item="34"/>
          <tpl fld="12" item="17"/>
          <tpl fld="1" item="1"/>
          <tpl fld="17" item="0"/>
        </tpls>
      </n>
      <n v="1500">
        <tpls c="6">
          <tpl fld="10" item="2"/>
          <tpl hier="31" item="1"/>
          <tpl fld="9" item="48"/>
          <tpl fld="8" item="2"/>
          <tpl hier="40" item="2"/>
          <tpl fld="17" item="0"/>
        </tpls>
      </n>
      <n v="1666667">
        <tpls c="7">
          <tpl fld="3" item="1"/>
          <tpl fld="16" item="9"/>
          <tpl hier="31" item="1"/>
          <tpl fld="9" item="18"/>
          <tpl fld="12" item="2"/>
          <tpl hier="40" item="2"/>
          <tpl fld="17" item="0"/>
        </tpls>
      </n>
      <n v="861232">
        <tpls c="6">
          <tpl fld="2" item="1"/>
          <tpl fld="0" item="1"/>
          <tpl fld="9" item="29"/>
          <tpl fld="12" item="2"/>
          <tpl hier="40" item="2"/>
          <tpl fld="17" item="0"/>
        </tpls>
      </n>
      <n v="100000">
        <tpls c="6">
          <tpl fld="2" item="0"/>
          <tpl fld="0" item="0"/>
          <tpl fld="9" item="12"/>
          <tpl fld="8" item="2"/>
          <tpl hier="40" item="2"/>
          <tpl fld="17" item="0"/>
        </tpls>
      </n>
      <m>
        <tpls c="3">
          <tpl fld="6" item="0"/>
          <tpl fld="4" item="8"/>
          <tpl fld="17" item="1"/>
        </tpls>
      </m>
      <n v="234390">
        <tpls c="7">
          <tpl fld="3" item="1"/>
          <tpl fld="16" item="3"/>
          <tpl hier="31" item="1"/>
          <tpl fld="9" item="40"/>
          <tpl fld="12" item="3"/>
          <tpl hier="40" item="2"/>
          <tpl fld="17" item="0"/>
        </tpls>
      </n>
      <n v="149531">
        <tpls c="6">
          <tpl fld="2" item="2"/>
          <tpl fld="0" item="2"/>
          <tpl fld="9" item="17"/>
          <tpl fld="12" item="2"/>
          <tpl hier="40" item="2"/>
          <tpl fld="17" item="0"/>
        </tpls>
      </n>
      <n v="5000">
        <tpls c="7">
          <tpl fld="3" item="1"/>
          <tpl fld="16" item="9"/>
          <tpl hier="31" item="1"/>
          <tpl fld="9" item="44"/>
          <tpl fld="12" item="2"/>
          <tpl hier="40" item="2"/>
          <tpl fld="17" item="0"/>
        </tpls>
      </n>
      <n v="32786000" in="0">
        <tpls c="3">
          <tpl fld="4" item="6"/>
          <tpl hier="22" item="4294967295"/>
          <tpl fld="17" item="1"/>
        </tpls>
      </n>
      <n v="60205595">
        <tpls c="7">
          <tpl fld="2" item="1"/>
          <tpl fld="16" item="1"/>
          <tpl fld="0" item="1"/>
          <tpl fld="9" item="56"/>
          <tpl fld="12" item="8"/>
          <tpl fld="1" item="1"/>
          <tpl fld="17" item="0"/>
        </tpls>
      </n>
      <n v="4416">
        <tpls c="6">
          <tpl fld="2" item="1"/>
          <tpl fld="0" item="1"/>
          <tpl fld="9" item="6"/>
          <tpl fld="12" item="1"/>
          <tpl hier="40" item="2"/>
          <tpl fld="17" item="0"/>
        </tpls>
      </n>
      <n v="0">
        <tpls c="6">
          <tpl fld="2" item="2"/>
          <tpl fld="0" item="2"/>
          <tpl fld="9" item="67"/>
          <tpl fld="12" item="16"/>
          <tpl fld="1" item="1"/>
          <tpl fld="17" item="0"/>
        </tpls>
      </n>
      <n v="3939366">
        <tpls c="6">
          <tpl fld="10" item="2"/>
          <tpl hier="31" item="1"/>
          <tpl fld="9" item="4"/>
          <tpl fld="8" item="1"/>
          <tpl hier="40" item="2"/>
          <tpl fld="17" item="0"/>
        </tpls>
      </n>
      <n v="18633568">
        <tpls c="6">
          <tpl fld="3" item="0"/>
          <tpl fld="16" item="4"/>
          <tpl hier="31" item="3"/>
          <tpl fld="12" item="13"/>
          <tpl hier="40" item="2"/>
          <tpl fld="17" item="0"/>
        </tpls>
      </n>
      <n v="-630806">
        <tpls c="6">
          <tpl fld="2" item="1"/>
          <tpl fld="16" item="6"/>
          <tpl fld="0" item="1"/>
          <tpl fld="12" item="15"/>
          <tpl fld="1" item="1"/>
          <tpl fld="17" item="0"/>
        </tpls>
      </n>
      <m>
        <tpls c="3">
          <tpl fld="6" item="7"/>
          <tpl fld="4" item="4"/>
          <tpl fld="17" item="1"/>
        </tpls>
      </m>
      <n v="0">
        <tpls c="6">
          <tpl fld="2" item="2"/>
          <tpl fld="0" item="2"/>
          <tpl fld="9" item="3"/>
          <tpl fld="8" item="0"/>
          <tpl hier="40" item="2"/>
          <tpl fld="17" item="0"/>
        </tpls>
      </n>
      <n v="201210">
        <tpls c="6">
          <tpl fld="2" item="2"/>
          <tpl fld="0" item="2"/>
          <tpl fld="9" item="46"/>
          <tpl fld="12" item="0"/>
          <tpl fld="1" item="1"/>
          <tpl fld="17" item="0"/>
        </tpls>
      </n>
      <n v="0">
        <tpls c="6">
          <tpl fld="2" item="1"/>
          <tpl fld="16" item="7"/>
          <tpl fld="0" item="1"/>
          <tpl fld="12" item="14"/>
          <tpl fld="1" item="1"/>
          <tpl fld="17" item="0"/>
        </tpls>
      </n>
      <m>
        <tpls c="6">
          <tpl fld="10" item="2"/>
          <tpl hier="31" item="1"/>
          <tpl fld="9" item="27"/>
          <tpl fld="8" item="2"/>
          <tpl hier="40" item="2"/>
          <tpl fld="17" item="0"/>
        </tpls>
      </m>
      <n v="0">
        <tpls c="7">
          <tpl fld="3" item="0"/>
          <tpl fld="16" item="2"/>
          <tpl hier="31" item="3"/>
          <tpl fld="9" item="10"/>
          <tpl fld="12" item="6"/>
          <tpl hier="40" item="2"/>
          <tpl fld="17" item="0"/>
        </tpls>
      </n>
      <n v="250">
        <tpls c="7">
          <tpl fld="3" item="0"/>
          <tpl fld="16" item="4"/>
          <tpl hier="31" item="3"/>
          <tpl fld="9" item="10"/>
          <tpl fld="12" item="6"/>
          <tpl hier="40" item="2"/>
          <tpl fld="17" item="0"/>
        </tpls>
      </n>
      <n v="110513">
        <tpls c="7">
          <tpl fld="3" item="1"/>
          <tpl fld="16" item="1"/>
          <tpl hier="31" item="1"/>
          <tpl fld="9" item="29"/>
          <tpl fld="12" item="2"/>
          <tpl hier="40" item="2"/>
          <tpl fld="17" item="0"/>
        </tpls>
      </n>
      <m>
        <tpls c="3">
          <tpl fld="6" item="16"/>
          <tpl fld="4" item="5"/>
          <tpl fld="17" item="1"/>
        </tpls>
      </m>
      <n v="719198">
        <tpls c="6">
          <tpl fld="2" item="3"/>
          <tpl fld="0" item="2"/>
          <tpl fld="9" item="47"/>
          <tpl fld="12" item="17"/>
          <tpl fld="1" item="1"/>
          <tpl fld="17" item="0"/>
        </tpls>
      </n>
      <n v="19024630">
        <tpls c="6">
          <tpl fld="3" item="1"/>
          <tpl fld="16" item="2"/>
          <tpl hier="31" item="1"/>
          <tpl fld="12" item="13"/>
          <tpl hier="40" item="2"/>
          <tpl fld="17" item="0"/>
        </tpls>
      </n>
      <n v="195">
        <tpls c="6">
          <tpl fld="3" item="0"/>
          <tpl fld="16" item="4"/>
          <tpl hier="31" item="3"/>
          <tpl fld="12" item="22"/>
          <tpl hier="40" item="2"/>
          <tpl fld="17" item="0"/>
        </tpls>
      </n>
      <n v="0">
        <tpls c="7">
          <tpl fld="3" item="0"/>
          <tpl fld="16" item="7"/>
          <tpl hier="31" item="3"/>
          <tpl fld="9" item="44"/>
          <tpl fld="12" item="2"/>
          <tpl hier="40" item="2"/>
          <tpl fld="17" item="0"/>
        </tpls>
      </n>
      <n v="2912680">
        <tpls c="6">
          <tpl fld="2" item="0"/>
          <tpl fld="0" item="0"/>
          <tpl fld="9" item="40"/>
          <tpl fld="12" item="3"/>
          <tpl hier="40" item="2"/>
          <tpl fld="17" item="0"/>
        </tpls>
      </n>
      <n v="112844829">
        <tpls c="6">
          <tpl fld="2" item="2"/>
          <tpl fld="0" item="2"/>
          <tpl fld="9" item="23"/>
          <tpl fld="8" item="0"/>
          <tpl hier="40" item="2"/>
          <tpl fld="17" item="0"/>
        </tpls>
      </n>
      <n v="0">
        <tpls c="6">
          <tpl fld="2" item="3"/>
          <tpl fld="0" item="2"/>
          <tpl fld="9" item="59"/>
          <tpl fld="12" item="4"/>
          <tpl fld="1" item="1"/>
          <tpl fld="17" item="0"/>
        </tpls>
      </n>
      <n v="520000">
        <tpls c="6">
          <tpl fld="10" item="0"/>
          <tpl hier="31" item="1"/>
          <tpl fld="9" item="35"/>
          <tpl fld="8" item="1"/>
          <tpl hier="40" item="2"/>
          <tpl fld="17" item="0"/>
        </tpls>
      </n>
      <m>
        <tpls c="7">
          <tpl fld="3" item="0"/>
          <tpl fld="16" item="10"/>
          <tpl hier="31" item="3"/>
          <tpl fld="9" item="27"/>
          <tpl fld="12" item="5"/>
          <tpl hier="40" item="2"/>
          <tpl fld="17" item="0"/>
        </tpls>
      </m>
      <m>
        <tpls c="3">
          <tpl fld="6" item="21"/>
          <tpl fld="4" item="9"/>
          <tpl fld="17" item="1"/>
        </tpls>
      </m>
      <n v="250002">
        <tpls c="6">
          <tpl fld="10" item="1"/>
          <tpl hier="31" item="1"/>
          <tpl fld="9" item="53"/>
          <tpl fld="8" item="0"/>
          <tpl hier="40" item="2"/>
          <tpl fld="17" item="0"/>
        </tpls>
      </n>
      <m>
        <tpls c="3">
          <tpl fld="6" item="1"/>
          <tpl fld="4" item="5"/>
          <tpl fld="17" item="1"/>
        </tpls>
      </m>
      <n v="36551571">
        <tpls c="6">
          <tpl fld="10" item="3"/>
          <tpl hier="31" item="0"/>
          <tpl fld="9" item="23"/>
          <tpl fld="12" item="2"/>
          <tpl hier="40" item="2"/>
          <tpl fld="17" item="0"/>
        </tpls>
      </n>
      <n v="0">
        <tpls c="6">
          <tpl fld="2" item="2"/>
          <tpl fld="0" item="2"/>
          <tpl fld="9" item="19"/>
          <tpl fld="8" item="2"/>
          <tpl hier="40" item="2"/>
          <tpl fld="17" item="0"/>
        </tpls>
      </n>
      <n v="0">
        <tpls c="7">
          <tpl fld="3" item="0"/>
          <tpl fld="16" item="0"/>
          <tpl hier="31" item="3"/>
          <tpl fld="9" item="22"/>
          <tpl fld="12" item="2"/>
          <tpl hier="40" item="2"/>
          <tpl fld="17" item="0"/>
        </tpls>
      </n>
      <m>
        <tpls c="3">
          <tpl fld="6" item="8"/>
          <tpl fld="4" item="5"/>
          <tpl fld="17" item="1"/>
        </tpls>
      </m>
      <n v="55457659">
        <tpls c="5">
          <tpl fld="2" item="0"/>
          <tpl fld="0" item="0"/>
          <tpl fld="12" item="3"/>
          <tpl hier="40" item="2"/>
          <tpl fld="17" item="0"/>
        </tpls>
      </n>
      <n v="0">
        <tpls c="7">
          <tpl fld="3" item="0"/>
          <tpl fld="16" item="3"/>
          <tpl hier="31" item="3"/>
          <tpl fld="9" item="3"/>
          <tpl fld="12" item="2"/>
          <tpl hier="40" item="2"/>
          <tpl fld="17" item="0"/>
        </tpls>
      </n>
      <m>
        <tpls c="6">
          <tpl fld="10" item="1"/>
          <tpl hier="31" item="1"/>
          <tpl fld="9" item="6"/>
          <tpl fld="8" item="3"/>
          <tpl hier="40" item="2"/>
          <tpl fld="17" item="0"/>
        </tpls>
      </m>
      <n v="106386">
        <tpls c="7">
          <tpl fld="3" item="0"/>
          <tpl hier="10" item="4294967295"/>
          <tpl hier="31" item="3"/>
          <tpl fld="9" item="44"/>
          <tpl fld="12" item="2"/>
          <tpl hier="40" item="2"/>
          <tpl fld="17" item="0"/>
        </tpls>
      </n>
      <n v="22144">
        <tpls c="7">
          <tpl fld="3" item="0"/>
          <tpl fld="16" item="4"/>
          <tpl hier="31" item="3"/>
          <tpl fld="9" item="21"/>
          <tpl fld="12" item="3"/>
          <tpl hier="40" item="2"/>
          <tpl fld="17" item="0"/>
        </tpls>
      </n>
      <n v="32674">
        <tpls c="7">
          <tpl fld="3" item="0"/>
          <tpl fld="16" item="2"/>
          <tpl hier="31" item="3"/>
          <tpl fld="9" item="36"/>
          <tpl fld="12" item="3"/>
          <tpl hier="40" item="2"/>
          <tpl fld="17" item="0"/>
        </tpls>
      </n>
      <m>
        <tpls c="3">
          <tpl fld="6" item="6"/>
          <tpl fld="4" item="7"/>
          <tpl fld="17" item="1"/>
        </tpls>
      </m>
      <n v="0">
        <tpls c="7">
          <tpl fld="3" item="0"/>
          <tpl fld="16" item="6"/>
          <tpl hier="31" item="3"/>
          <tpl fld="9" item="2"/>
          <tpl fld="12" item="1"/>
          <tpl hier="40" item="2"/>
          <tpl fld="17" item="0"/>
        </tpls>
      </n>
      <n v="142887601">
        <tpls c="6">
          <tpl fld="2" item="1"/>
          <tpl fld="0" item="1"/>
          <tpl fld="9" item="23"/>
          <tpl fld="12" item="2"/>
          <tpl hier="40" item="2"/>
          <tpl fld="17" item="0"/>
        </tpls>
      </n>
      <n v="4167">
        <tpls c="3">
          <tpl fld="11" item="6"/>
          <tpl fld="15" item="0"/>
          <tpl fld="17" item="2"/>
        </tpls>
      </n>
      <n v="18678858">
        <tpls c="6">
          <tpl fld="3" item="0"/>
          <tpl fld="16" item="2"/>
          <tpl hier="31" item="3"/>
          <tpl fld="12" item="13"/>
          <tpl hier="40" item="2"/>
          <tpl fld="17" item="0"/>
        </tpls>
      </n>
      <n v="3364649">
        <tpls c="7">
          <tpl fld="3" item="0"/>
          <tpl fld="16" item="3"/>
          <tpl hier="31" item="3"/>
          <tpl fld="9" item="41"/>
          <tpl fld="12" item="3"/>
          <tpl hier="40" item="2"/>
          <tpl fld="17" item="0"/>
        </tpls>
      </n>
      <n v="28143">
        <tpls c="6">
          <tpl fld="2" item="2"/>
          <tpl fld="0" item="2"/>
          <tpl fld="9" item="12"/>
          <tpl fld="12" item="5"/>
          <tpl hier="40" item="2"/>
          <tpl fld="17" item="0"/>
        </tpls>
      </n>
      <n v="4715772">
        <tpls c="6">
          <tpl fld="2" item="2"/>
          <tpl fld="0" item="2"/>
          <tpl fld="9" item="38"/>
          <tpl fld="8" item="2"/>
          <tpl hier="40" item="2"/>
          <tpl fld="17" item="0"/>
        </tpls>
      </n>
      <n v="88773">
        <tpls c="7">
          <tpl fld="3" item="0"/>
          <tpl fld="16" item="0"/>
          <tpl hier="31" item="3"/>
          <tpl fld="9" item="29"/>
          <tpl fld="12" item="2"/>
          <tpl hier="40" item="2"/>
          <tpl fld="17" item="0"/>
        </tpls>
      </n>
      <m>
        <tpls c="3">
          <tpl fld="7" item="7"/>
          <tpl fld="5" item="3"/>
          <tpl fld="17" item="1"/>
        </tpls>
      </m>
      <n v="118000">
        <tpls c="7">
          <tpl fld="3" item="1"/>
          <tpl fld="16" item="9"/>
          <tpl hier="31" item="1"/>
          <tpl fld="9" item="13"/>
          <tpl fld="12" item="3"/>
          <tpl hier="40" item="2"/>
          <tpl fld="17" item="0"/>
        </tpls>
      </n>
      <n v="1403327">
        <tpls c="7">
          <tpl fld="3" item="1"/>
          <tpl fld="16" item="0"/>
          <tpl hier="31" item="1"/>
          <tpl fld="9" item="15"/>
          <tpl fld="12" item="3"/>
          <tpl hier="40" item="2"/>
          <tpl fld="17" item="0"/>
        </tpls>
      </n>
      <n v="798967">
        <tpls c="7">
          <tpl fld="3" item="0"/>
          <tpl fld="16" item="3"/>
          <tpl hier="31" item="3"/>
          <tpl fld="9" item="15"/>
          <tpl fld="12" item="3"/>
          <tpl hier="40" item="2"/>
          <tpl fld="17" item="0"/>
        </tpls>
      </n>
      <n v="1180000" in="0">
        <tpls c="3">
          <tpl fld="7" item="6"/>
          <tpl fld="5" item="4"/>
          <tpl fld="17" item="1"/>
        </tpls>
      </n>
      <n v="1625">
        <tpls c="7">
          <tpl fld="3" item="0"/>
          <tpl fld="16" item="7"/>
          <tpl hier="31" item="3"/>
          <tpl fld="9" item="20"/>
          <tpl fld="12" item="2"/>
          <tpl hier="40" item="2"/>
          <tpl fld="17" item="0"/>
        </tpls>
      </n>
      <n v="157458441">
        <tpls c="7">
          <tpl fld="3" item="0"/>
          <tpl hier="10" item="4294967295"/>
          <tpl hier="31" item="3"/>
          <tpl fld="9" item="5"/>
          <tpl fld="12" item="2"/>
          <tpl hier="40" item="2"/>
          <tpl fld="17" item="0"/>
        </tpls>
      </n>
      <n v="-392981">
        <tpls c="7">
          <tpl fld="2" item="1"/>
          <tpl fld="16" item="1"/>
          <tpl fld="0" item="1"/>
          <tpl fld="9" item="16"/>
          <tpl fld="12" item="11"/>
          <tpl fld="1" item="1"/>
          <tpl fld="17" item="0"/>
        </tpls>
      </n>
      <n v="18719810">
        <tpls c="6">
          <tpl fld="3" item="0"/>
          <tpl fld="16" item="6"/>
          <tpl hier="31" item="3"/>
          <tpl fld="12" item="13"/>
          <tpl hier="40" item="2"/>
          <tpl fld="17" item="0"/>
        </tpls>
      </n>
      <n v="21775129">
        <tpls c="6">
          <tpl fld="2" item="2"/>
          <tpl fld="0" item="2"/>
          <tpl fld="9" item="28"/>
          <tpl fld="12" item="15"/>
          <tpl fld="1" item="1"/>
          <tpl fld="17" item="0"/>
        </tpls>
      </n>
      <n v="824350">
        <tpls c="7">
          <tpl fld="3" item="1"/>
          <tpl fld="16" item="2"/>
          <tpl hier="31" item="1"/>
          <tpl fld="9" item="41"/>
          <tpl fld="12" item="3"/>
          <tpl hier="40" item="2"/>
          <tpl fld="17" item="0"/>
        </tpls>
      </n>
      <n v="29500">
        <tpls c="3">
          <tpl fld="11" item="1"/>
          <tpl fld="15" item="1"/>
          <tpl fld="17" item="2"/>
        </tpls>
      </n>
      <m>
        <tpls c="3">
          <tpl fld="6" item="3"/>
          <tpl fld="4" item="3"/>
          <tpl fld="17" item="1"/>
        </tpls>
      </m>
      <n v="0">
        <tpls c="7">
          <tpl fld="2" item="1"/>
          <tpl fld="16" item="1"/>
          <tpl fld="0" item="1"/>
          <tpl fld="9" item="67"/>
          <tpl fld="12" item="16"/>
          <tpl fld="1" item="1"/>
          <tpl fld="17" item="0"/>
        </tpls>
      </n>
      <n v="0">
        <tpls c="7">
          <tpl fld="3" item="1"/>
          <tpl fld="16" item="10"/>
          <tpl hier="31" item="1"/>
          <tpl fld="9" item="12"/>
          <tpl fld="12" item="5"/>
          <tpl hier="40" item="2"/>
          <tpl fld="17" item="0"/>
        </tpls>
      </n>
      <n v="21188">
        <tpls c="7">
          <tpl fld="3" item="1"/>
          <tpl fld="16" item="3"/>
          <tpl hier="31" item="1"/>
          <tpl fld="9" item="21"/>
          <tpl fld="12" item="3"/>
          <tpl hier="40" item="2"/>
          <tpl fld="17" item="0"/>
        </tpls>
      </n>
      <n v="1313122">
        <tpls c="7">
          <tpl fld="3" item="1"/>
          <tpl fld="16" item="8"/>
          <tpl hier="31" item="1"/>
          <tpl fld="9" item="4"/>
          <tpl fld="12" item="3"/>
          <tpl hier="40" item="2"/>
          <tpl fld="17" item="0"/>
        </tpls>
      </n>
      <n v="0">
        <tpls c="7">
          <tpl fld="3" item="0"/>
          <tpl fld="16" item="11"/>
          <tpl hier="31" item="3"/>
          <tpl fld="9" item="36"/>
          <tpl fld="12" item="3"/>
          <tpl hier="40" item="2"/>
          <tpl fld="17" item="0"/>
        </tpls>
      </n>
      <n v="59">
        <tpls c="7">
          <tpl fld="3" item="0"/>
          <tpl fld="16" item="7"/>
          <tpl hier="31" item="3"/>
          <tpl fld="9" item="14"/>
          <tpl fld="12" item="3"/>
          <tpl hier="40" item="2"/>
          <tpl fld="17" item="0"/>
        </tpls>
      </n>
      <n v="354054178">
        <tpls c="5">
          <tpl fld="2" item="1"/>
          <tpl fld="0" item="1"/>
          <tpl fld="12" item="2"/>
          <tpl hier="40" item="2"/>
          <tpl fld="17" item="0"/>
        </tpls>
      </n>
      <n v="2000000" in="0">
        <tpls c="3">
          <tpl fld="7" item="3"/>
          <tpl fld="5" item="3"/>
          <tpl fld="17" item="1"/>
        </tpls>
      </n>
      <n v="-236267">
        <tpls c="6">
          <tpl fld="2" item="1"/>
          <tpl fld="16" item="1"/>
          <tpl fld="0" item="1"/>
          <tpl fld="12" item="16"/>
          <tpl fld="1" item="1"/>
          <tpl fld="17" item="0"/>
        </tpls>
      </n>
      <n v="84000">
        <tpls c="6">
          <tpl fld="10" item="2"/>
          <tpl hier="31" item="0"/>
          <tpl fld="9" item="11"/>
          <tpl fld="12" item="3"/>
          <tpl hier="40" item="2"/>
          <tpl fld="17" item="0"/>
        </tpls>
      </n>
      <n v="34645388">
        <tpls c="6">
          <tpl fld="2" item="2"/>
          <tpl fld="0" item="2"/>
          <tpl fld="9" item="8"/>
          <tpl fld="8" item="1"/>
          <tpl hier="40" item="2"/>
          <tpl fld="17" item="0"/>
        </tpls>
      </n>
      <n v="0">
        <tpls c="7">
          <tpl fld="3" item="0"/>
          <tpl fld="16" item="2"/>
          <tpl hier="31" item="3"/>
          <tpl fld="9" item="19"/>
          <tpl fld="12" item="5"/>
          <tpl hier="40" item="2"/>
          <tpl fld="17" item="0"/>
        </tpls>
      </n>
      <n v="12501">
        <tpls c="6">
          <tpl fld="10" item="1"/>
          <tpl hier="31" item="0"/>
          <tpl fld="9" item="20"/>
          <tpl fld="12" item="2"/>
          <tpl hier="40" item="2"/>
          <tpl fld="17" item="0"/>
        </tpls>
      </n>
      <m>
        <tpls c="3">
          <tpl fld="7" item="5"/>
          <tpl fld="5" item="4"/>
          <tpl fld="17" item="1"/>
        </tpls>
      </m>
      <n v="1058">
        <tpls c="7">
          <tpl fld="3" item="0"/>
          <tpl fld="16" item="8"/>
          <tpl hier="31" item="3"/>
          <tpl fld="9" item="44"/>
          <tpl fld="12" item="2"/>
          <tpl hier="40" item="2"/>
          <tpl fld="17" item="0"/>
        </tpls>
      </n>
      <n v="16310877">
        <tpls c="6">
          <tpl fld="3" item="1"/>
          <tpl fld="16" item="2"/>
          <tpl hier="31" item="1"/>
          <tpl fld="12" item="2"/>
          <tpl hier="40" item="2"/>
          <tpl fld="17" item="0"/>
        </tpls>
      </n>
      <n v="-1678">
        <tpls c="7">
          <tpl fld="2" item="1"/>
          <tpl fld="16" item="6"/>
          <tpl fld="0" item="1"/>
          <tpl fld="9" item="46"/>
          <tpl fld="12" item="0"/>
          <tpl fld="1" item="1"/>
          <tpl fld="17" item="0"/>
        </tpls>
      </n>
      <n v="1500">
        <tpls c="6">
          <tpl fld="10" item="3"/>
          <tpl hier="31" item="1"/>
          <tpl fld="9" item="43"/>
          <tpl fld="8" item="2"/>
          <tpl hier="40" item="2"/>
          <tpl fld="17" item="0"/>
        </tpls>
      </n>
      <m>
        <tpls c="3">
          <tpl fld="4" item="7"/>
          <tpl fld="5" item="0"/>
          <tpl fld="17" item="1"/>
        </tpls>
      </m>
      <m>
        <tpls c="7">
          <tpl fld="3" item="1"/>
          <tpl fld="16" item="2"/>
          <tpl hier="31" item="1"/>
          <tpl fld="9" item="19"/>
          <tpl fld="12" item="5"/>
          <tpl hier="40" item="2"/>
          <tpl fld="17" item="0"/>
        </tpls>
      </m>
      <n v="18290743">
        <tpls c="6">
          <tpl fld="3" item="0"/>
          <tpl fld="16" item="11"/>
          <tpl hier="31" item="3"/>
          <tpl fld="12" item="13"/>
          <tpl hier="40" item="2"/>
          <tpl fld="17" item="0"/>
        </tpls>
      </n>
      <n v="0">
        <tpls c="7">
          <tpl fld="2" item="1"/>
          <tpl fld="16" item="7"/>
          <tpl fld="0" item="1"/>
          <tpl fld="9" item="62"/>
          <tpl fld="12" item="12"/>
          <tpl fld="1" item="1"/>
          <tpl fld="17" item="0"/>
        </tpls>
      </n>
      <m>
        <tpls c="3">
          <tpl fld="6" item="18"/>
          <tpl fld="4" item="5"/>
          <tpl fld="17" item="1"/>
        </tpls>
      </m>
      <n v="0">
        <tpls c="6">
          <tpl fld="2" item="1"/>
          <tpl fld="16" item="2"/>
          <tpl fld="0" item="1"/>
          <tpl fld="12" item="19"/>
          <tpl fld="1" item="1"/>
          <tpl fld="17" item="0"/>
        </tpls>
      </n>
      <n v="0">
        <tpls c="7">
          <tpl fld="2" item="1"/>
          <tpl fld="16" item="10"/>
          <tpl fld="0" item="1"/>
          <tpl fld="9" item="58"/>
          <tpl fld="12" item="19"/>
          <tpl fld="1" item="1"/>
          <tpl fld="17" item="0"/>
        </tpls>
      </n>
      <n v="7281">
        <tpls c="7">
          <tpl fld="3" item="0"/>
          <tpl hier="10" item="4294967295"/>
          <tpl hier="31" item="3"/>
          <tpl fld="9" item="10"/>
          <tpl fld="12" item="6"/>
          <tpl hier="40" item="2"/>
          <tpl fld="17" item="0"/>
        </tpls>
      </n>
      <n v="189321">
        <tpls c="7">
          <tpl fld="3" item="0"/>
          <tpl fld="16" item="1"/>
          <tpl hier="31" item="3"/>
          <tpl fld="9" item="24"/>
          <tpl fld="12" item="6"/>
          <tpl hier="40" item="2"/>
          <tpl fld="17" item="0"/>
        </tpls>
      </n>
      <n v="1935306">
        <tpls c="6">
          <tpl fld="3" item="0"/>
          <tpl fld="16" item="11"/>
          <tpl hier="31" item="3"/>
          <tpl fld="12" item="5"/>
          <tpl hier="40" item="2"/>
          <tpl fld="17" item="0"/>
        </tpls>
      </n>
      <m>
        <tpls c="3">
          <tpl fld="6" item="9"/>
          <tpl fld="4" item="1"/>
          <tpl fld="17" item="1"/>
        </tpls>
      </m>
      <n v="36986">
        <tpls c="7">
          <tpl fld="2" item="1"/>
          <tpl fld="16" item="6"/>
          <tpl fld="0" item="1"/>
          <tpl fld="9" item="66"/>
          <tpl fld="12" item="4"/>
          <tpl fld="1" item="1"/>
          <tpl fld="17" item="0"/>
        </tpls>
      </n>
      <n v="1500">
        <tpls c="6">
          <tpl fld="10" item="1"/>
          <tpl hier="31" item="1"/>
          <tpl fld="9" item="43"/>
          <tpl fld="8" item="2"/>
          <tpl hier="40" item="2"/>
          <tpl fld="17" item="0"/>
        </tpls>
      </n>
      <n v="622633">
        <tpls c="7">
          <tpl fld="3" item="0"/>
          <tpl fld="16" item="0"/>
          <tpl hier="31" item="3"/>
          <tpl fld="9" item="41"/>
          <tpl fld="12" item="3"/>
          <tpl hier="40" item="2"/>
          <tpl fld="17" item="0"/>
        </tpls>
      </n>
      <n v="234390">
        <tpls c="7">
          <tpl fld="3" item="1"/>
          <tpl fld="16" item="10"/>
          <tpl hier="31" item="1"/>
          <tpl fld="9" item="40"/>
          <tpl fld="12" item="3"/>
          <tpl hier="40" item="2"/>
          <tpl fld="17" item="0"/>
        </tpls>
      </n>
      <n v="1264030">
        <tpls c="7">
          <tpl fld="3" item="0"/>
          <tpl fld="16" item="4"/>
          <tpl hier="31" item="3"/>
          <tpl fld="9" item="5"/>
          <tpl fld="12" item="2"/>
          <tpl hier="40" item="2"/>
          <tpl fld="17" item="0"/>
        </tpls>
      </n>
      <m>
        <tpls c="3">
          <tpl fld="7" item="3"/>
          <tpl fld="5" item="2"/>
          <tpl fld="17" item="1"/>
        </tpls>
      </m>
      <n v="439665">
        <tpls c="6">
          <tpl fld="3" item="0"/>
          <tpl fld="16" item="0"/>
          <tpl hier="31" item="3"/>
          <tpl fld="12" item="6"/>
          <tpl hier="40" item="2"/>
          <tpl fld="17" item="0"/>
        </tpls>
      </n>
      <n v="16512">
        <tpls c="7">
          <tpl fld="2" item="1"/>
          <tpl fld="16" item="1"/>
          <tpl fld="0" item="1"/>
          <tpl fld="9" item="46"/>
          <tpl fld="12" item="0"/>
          <tpl fld="1" item="1"/>
          <tpl fld="17" item="0"/>
        </tpls>
      </n>
      <n v="220857">
        <tpls c="7">
          <tpl fld="3" item="0"/>
          <tpl fld="16" item="3"/>
          <tpl hier="31" item="3"/>
          <tpl fld="9" item="31"/>
          <tpl fld="12" item="2"/>
          <tpl hier="40" item="2"/>
          <tpl fld="17" item="0"/>
        </tpls>
      </n>
      <m>
        <tpls c="3">
          <tpl fld="7" item="4"/>
          <tpl fld="5" item="2"/>
          <tpl fld="17" item="1"/>
        </tpls>
      </m>
      <n v="2086000" in="0">
        <tpls c="3">
          <tpl fld="7" item="2"/>
          <tpl fld="5" item="1"/>
          <tpl fld="17" item="1"/>
        </tpls>
      </n>
      <n v="250002">
        <tpls c="6">
          <tpl fld="10" item="2"/>
          <tpl hier="31" item="1"/>
          <tpl fld="9" item="53"/>
          <tpl fld="8" item="0"/>
          <tpl hier="40" item="2"/>
          <tpl fld="17" item="0"/>
        </tpls>
      </n>
      <n v="298780">
        <tpls c="7">
          <tpl fld="2" item="1"/>
          <tpl fld="16" item="9"/>
          <tpl fld="0" item="1"/>
          <tpl fld="9" item="63"/>
          <tpl fld="12" item="16"/>
          <tpl fld="1" item="1"/>
          <tpl fld="17" item="0"/>
        </tpls>
      </n>
      <n v="4777714">
        <tpls c="6">
          <tpl fld="3" item="1"/>
          <tpl fld="16" item="2"/>
          <tpl hier="31" item="1"/>
          <tpl fld="12" item="9"/>
          <tpl hier="40" item="2"/>
          <tpl fld="17" item="0"/>
        </tpls>
      </n>
      <n v="552449">
        <tpls c="7">
          <tpl fld="3" item="0"/>
          <tpl fld="16" item="9"/>
          <tpl hier="31" item="3"/>
          <tpl fld="9" item="4"/>
          <tpl fld="12" item="3"/>
          <tpl hier="40" item="2"/>
          <tpl fld="17" item="0"/>
        </tpls>
      </n>
      <n v="4803727">
        <tpls c="5">
          <tpl fld="10" item="1"/>
          <tpl hier="31" item="0"/>
          <tpl fld="12" item="6"/>
          <tpl hier="40" item="2"/>
          <tpl fld="17" item="0"/>
        </tpls>
      </n>
      <n v="225324">
        <tpls c="6">
          <tpl fld="10" item="3"/>
          <tpl hier="31" item="1"/>
          <tpl fld="9" item="33"/>
          <tpl fld="8" item="1"/>
          <tpl hier="40" item="2"/>
          <tpl fld="17" item="0"/>
        </tpls>
      </n>
      <n v="12123900">
        <tpls c="6">
          <tpl fld="10" item="2"/>
          <tpl hier="31" item="0"/>
          <tpl fld="9" item="5"/>
          <tpl fld="12" item="2"/>
          <tpl hier="40" item="2"/>
          <tpl fld="17" item="0"/>
        </tpls>
      </n>
      <n v="6321653">
        <tpls c="5">
          <tpl fld="2" item="1"/>
          <tpl fld="0" item="1"/>
          <tpl fld="12" item="5"/>
          <tpl hier="40" item="2"/>
          <tpl fld="17" item="0"/>
        </tpls>
      </n>
      <n v="12501">
        <tpls c="6">
          <tpl fld="10" item="1"/>
          <tpl hier="31" item="1"/>
          <tpl fld="9" item="20"/>
          <tpl fld="8" item="0"/>
          <tpl hier="40" item="2"/>
          <tpl fld="17" item="0"/>
        </tpls>
      </n>
      <n v="921566">
        <tpls c="7">
          <tpl fld="3" item="0"/>
          <tpl hier="10" item="4294967295"/>
          <tpl hier="31" item="3"/>
          <tpl fld="9" item="13"/>
          <tpl fld="12" item="3"/>
          <tpl hier="40" item="2"/>
          <tpl fld="17" item="0"/>
        </tpls>
      </n>
      <n v="10314">
        <tpls c="6">
          <tpl fld="10" item="3"/>
          <tpl hier="31" item="0"/>
          <tpl fld="9" item="10"/>
          <tpl fld="12" item="6"/>
          <tpl hier="40" item="2"/>
          <tpl fld="17" item="0"/>
        </tpls>
      </n>
      <n v="5388967">
        <tpls c="6">
          <tpl fld="10" item="1"/>
          <tpl hier="31" item="1"/>
          <tpl fld="9" item="15"/>
          <tpl fld="8" item="1"/>
          <tpl hier="40" item="2"/>
          <tpl fld="17" item="0"/>
        </tpls>
      </n>
      <n v="5000001">
        <tpls c="6">
          <tpl fld="10" item="2"/>
          <tpl hier="31" item="1"/>
          <tpl fld="9" item="18"/>
          <tpl fld="8" item="0"/>
          <tpl hier="40" item="2"/>
          <tpl fld="17" item="0"/>
        </tpls>
      </n>
      <m>
        <tpls c="6">
          <tpl fld="10" item="2"/>
          <tpl hier="31" item="0"/>
          <tpl fld="9" item="1"/>
          <tpl fld="12" item="1"/>
          <tpl hier="40" item="2"/>
          <tpl fld="17" item="0"/>
        </tpls>
      </m>
      <m>
        <tpls c="6">
          <tpl fld="10" item="0"/>
          <tpl hier="31" item="0"/>
          <tpl fld="9" item="32"/>
          <tpl fld="12" item="5"/>
          <tpl hier="40" item="2"/>
          <tpl fld="17" item="0"/>
        </tpls>
      </m>
      <n v="4317">
        <tpls c="6">
          <tpl fld="2" item="1"/>
          <tpl fld="0" item="1"/>
          <tpl fld="9" item="43"/>
          <tpl fld="12" item="22"/>
          <tpl hier="40" item="2"/>
          <tpl fld="17" item="0"/>
        </tpls>
      </n>
      <n v="695117">
        <tpls c="7">
          <tpl fld="3" item="0"/>
          <tpl fld="16" item="9"/>
          <tpl hier="31" item="3"/>
          <tpl fld="9" item="15"/>
          <tpl fld="12" item="3"/>
          <tpl hier="40" item="2"/>
          <tpl fld="17" item="0"/>
        </tpls>
      </n>
      <m>
        <tpls c="3">
          <tpl fld="6" item="18"/>
          <tpl fld="4" item="3"/>
          <tpl fld="17" item="1"/>
        </tpls>
      </m>
      <n v="1106634">
        <tpls c="6">
          <tpl fld="3" item="1"/>
          <tpl fld="16" item="9"/>
          <tpl hier="31" item="1"/>
          <tpl fld="12" item="6"/>
          <tpl hier="40" item="2"/>
          <tpl fld="17" item="0"/>
        </tpls>
      </n>
      <m>
        <tpls c="3">
          <tpl fld="6" item="9"/>
          <tpl fld="4" item="4"/>
          <tpl fld="17" item="1"/>
        </tpls>
      </m>
      <m>
        <tpls c="6">
          <tpl fld="10" item="3"/>
          <tpl hier="31" item="1"/>
          <tpl fld="9" item="6"/>
          <tpl fld="8" item="3"/>
          <tpl hier="40" item="2"/>
          <tpl fld="17" item="0"/>
        </tpls>
      </m>
      <n v="1054180">
        <tpls c="6">
          <tpl fld="2" item="2"/>
          <tpl fld="0" item="2"/>
          <tpl fld="9" item="29"/>
          <tpl fld="12" item="2"/>
          <tpl hier="40" item="2"/>
          <tpl fld="17" item="0"/>
        </tpls>
      </n>
      <n v="1975200">
        <tpls c="6">
          <tpl fld="2" item="1"/>
          <tpl fld="0" item="1"/>
          <tpl fld="9" item="31"/>
          <tpl fld="12" item="2"/>
          <tpl hier="40" item="2"/>
          <tpl fld="17" item="0"/>
        </tpls>
      </n>
      <n v="13487824">
        <tpls c="6">
          <tpl fld="2" item="2"/>
          <tpl fld="0" item="2"/>
          <tpl fld="9" item="4"/>
          <tpl fld="12" item="3"/>
          <tpl hier="40" item="2"/>
          <tpl fld="17" item="0"/>
        </tpls>
      </n>
      <n v="68833">
        <tpls c="3">
          <tpl fld="11" item="8"/>
          <tpl fld="15" item="2"/>
          <tpl fld="17" item="2"/>
        </tpls>
      </n>
      <n v="21779378">
        <tpls c="6">
          <tpl fld="2" item="3"/>
          <tpl fld="0" item="2"/>
          <tpl fld="9" item="28"/>
          <tpl fld="12" item="15"/>
          <tpl fld="1" item="1"/>
          <tpl fld="17" item="0"/>
        </tpls>
      </n>
      <n v="3031179">
        <tpls c="6">
          <tpl fld="3" item="0"/>
          <tpl fld="16" item="5"/>
          <tpl hier="31" item="3"/>
          <tpl fld="12" item="9"/>
          <tpl hier="40" item="2"/>
          <tpl fld="17" item="0"/>
        </tpls>
      </n>
      <n v="50004">
        <tpls c="6">
          <tpl fld="2" item="0"/>
          <tpl fld="0" item="0"/>
          <tpl fld="9" item="20"/>
          <tpl fld="12" item="2"/>
          <tpl hier="40" item="2"/>
          <tpl fld="17" item="0"/>
        </tpls>
      </n>
      <n v="101180">
        <tpls c="6">
          <tpl fld="2" item="1"/>
          <tpl fld="0" item="1"/>
          <tpl fld="9" item="35"/>
          <tpl fld="12" item="3"/>
          <tpl hier="40" item="2"/>
          <tpl fld="17" item="0"/>
        </tpls>
      </n>
      <n v="7064373">
        <tpls c="7">
          <tpl fld="3" item="0"/>
          <tpl fld="16" item="6"/>
          <tpl hier="31" item="3"/>
          <tpl fld="9" item="5"/>
          <tpl fld="12" item="2"/>
          <tpl hier="40" item="2"/>
          <tpl fld="17" item="0"/>
        </tpls>
      </n>
      <n v="3438">
        <tpls c="7">
          <tpl fld="3" item="1"/>
          <tpl fld="16" item="8"/>
          <tpl hier="31" item="1"/>
          <tpl fld="9" item="10"/>
          <tpl fld="12" item="6"/>
          <tpl hier="40" item="2"/>
          <tpl fld="17" item="0"/>
        </tpls>
      </n>
      <m>
        <tpls c="3">
          <tpl fld="6" item="5"/>
          <tpl fld="4" item="5"/>
          <tpl fld="17" item="1"/>
        </tpls>
      </m>
      <n v="18000">
        <tpls c="7">
          <tpl fld="3" item="1"/>
          <tpl fld="16" item="8"/>
          <tpl hier="31" item="1"/>
          <tpl fld="9" item="11"/>
          <tpl fld="12" item="3"/>
          <tpl hier="40" item="2"/>
          <tpl fld="17" item="0"/>
        </tpls>
      </n>
      <n v="0">
        <tpls c="7">
          <tpl fld="3" item="0"/>
          <tpl fld="16" item="10"/>
          <tpl hier="31" item="3"/>
          <tpl fld="9" item="10"/>
          <tpl fld="12" item="6"/>
          <tpl hier="40" item="2"/>
          <tpl fld="17" item="0"/>
        </tpls>
      </n>
      <n v="1151243">
        <tpls c="6">
          <tpl fld="2" item="0"/>
          <tpl fld="0" item="0"/>
          <tpl fld="9" item="36"/>
          <tpl fld="12" item="3"/>
          <tpl hier="40" item="2"/>
          <tpl fld="17" item="0"/>
        </tpls>
      </n>
      <m>
        <tpls c="7">
          <tpl fld="3" item="1"/>
          <tpl fld="16" item="4"/>
          <tpl hier="31" item="1"/>
          <tpl fld="9" item="7"/>
          <tpl fld="12" item="3"/>
          <tpl hier="40" item="2"/>
          <tpl fld="17" item="0"/>
        </tpls>
      </m>
      <n v="191418">
        <tpls c="6">
          <tpl fld="10" item="2"/>
          <tpl hier="31" item="0"/>
          <tpl fld="9" item="29"/>
          <tpl fld="12" item="2"/>
          <tpl hier="40" item="2"/>
          <tpl fld="17" item="0"/>
        </tpls>
      </n>
      <n v="283038">
        <tpls c="7">
          <tpl fld="3" item="1"/>
          <tpl fld="16" item="8"/>
          <tpl hier="31" item="1"/>
          <tpl fld="9" item="31"/>
          <tpl fld="12" item="2"/>
          <tpl hier="40" item="2"/>
          <tpl fld="17" item="0"/>
        </tpls>
      </n>
      <n v="44118">
        <tpls c="7">
          <tpl fld="3" item="0"/>
          <tpl fld="16" item="4"/>
          <tpl hier="31" item="3"/>
          <tpl fld="9" item="33"/>
          <tpl fld="12" item="6"/>
          <tpl hier="40" item="2"/>
          <tpl fld="17" item="0"/>
        </tpls>
      </n>
      <n v="841457">
        <tpls c="7">
          <tpl fld="3" item="0"/>
          <tpl fld="16" item="2"/>
          <tpl hier="31" item="3"/>
          <tpl fld="9" item="15"/>
          <tpl fld="12" item="3"/>
          <tpl hier="40" item="2"/>
          <tpl fld="17" item="0"/>
        </tpls>
      </n>
      <n v="111944">
        <tpls c="7">
          <tpl fld="3" item="1"/>
          <tpl fld="16" item="3"/>
          <tpl hier="31" item="1"/>
          <tpl fld="9" item="3"/>
          <tpl fld="12" item="2"/>
          <tpl hier="40" item="2"/>
          <tpl fld="17" item="0"/>
        </tpls>
      </n>
      <m>
        <tpls c="3">
          <tpl fld="4" item="8"/>
          <tpl fld="5" item="2"/>
          <tpl fld="17" item="1"/>
        </tpls>
      </m>
      <n v="833">
        <tpls c="7">
          <tpl fld="3" item="1"/>
          <tpl fld="16" item="0"/>
          <tpl hier="31" item="1"/>
          <tpl fld="9" item="3"/>
          <tpl fld="12" item="2"/>
          <tpl hier="40" item="2"/>
          <tpl fld="17" item="0"/>
        </tpls>
      </n>
      <n v="0">
        <tpls c="7">
          <tpl fld="3" item="0"/>
          <tpl fld="16" item="4"/>
          <tpl hier="31" item="3"/>
          <tpl fld="9" item="7"/>
          <tpl fld="12" item="3"/>
          <tpl hier="40" item="2"/>
          <tpl fld="17" item="0"/>
        </tpls>
      </n>
      <n v="4380391">
        <tpls c="6">
          <tpl fld="3" item="1"/>
          <tpl fld="16" item="9"/>
          <tpl hier="31" item="1"/>
          <tpl fld="12" item="9"/>
          <tpl hier="40" item="2"/>
          <tpl fld="17" item="0"/>
        </tpls>
      </n>
      <n v="4167">
        <tpls c="7">
          <tpl fld="3" item="1"/>
          <tpl fld="16" item="3"/>
          <tpl hier="31" item="1"/>
          <tpl fld="9" item="20"/>
          <tpl fld="12" item="2"/>
          <tpl hier="40" item="2"/>
          <tpl fld="17" item="0"/>
        </tpls>
      </n>
      <n v="1172920">
        <tpls c="6">
          <tpl fld="2" item="0"/>
          <tpl fld="0" item="0"/>
          <tpl fld="9" item="13"/>
          <tpl fld="12" item="3"/>
          <tpl hier="40" item="2"/>
          <tpl fld="17" item="0"/>
        </tpls>
      </n>
      <n v="0">
        <tpls c="7">
          <tpl fld="3" item="1"/>
          <tpl fld="16" item="2"/>
          <tpl hier="31" item="1"/>
          <tpl fld="9" item="12"/>
          <tpl fld="12" item="5"/>
          <tpl hier="40" item="2"/>
          <tpl fld="17" item="0"/>
        </tpls>
      </n>
      <n v="1591572">
        <tpls c="6">
          <tpl fld="2" item="1"/>
          <tpl fld="0" item="1"/>
          <tpl fld="9" item="12"/>
          <tpl fld="12" item="5"/>
          <tpl hier="40" item="2"/>
          <tpl fld="17" item="0"/>
        </tpls>
      </n>
      <n v="210000">
        <tpls c="6">
          <tpl fld="2" item="0"/>
          <tpl fld="0" item="0"/>
          <tpl fld="9" item="17"/>
          <tpl fld="12" item="2"/>
          <tpl hier="40" item="2"/>
          <tpl fld="17" item="0"/>
        </tpls>
      </n>
      <n v="-173856">
        <tpls c="7">
          <tpl fld="2" item="1"/>
          <tpl fld="16" item="5"/>
          <tpl fld="0" item="1"/>
          <tpl fld="9" item="34"/>
          <tpl fld="12" item="17"/>
          <tpl fld="1" item="1"/>
          <tpl fld="17" item="0"/>
        </tpls>
      </n>
      <n v="221775">
        <tpls c="7">
          <tpl fld="3" item="1"/>
          <tpl fld="16" item="3"/>
          <tpl hier="31" item="1"/>
          <tpl fld="9" item="31"/>
          <tpl fld="12" item="2"/>
          <tpl hier="40" item="2"/>
          <tpl fld="17" item="0"/>
        </tpls>
      </n>
      <m>
        <tpls c="3">
          <tpl fld="7" item="3"/>
          <tpl fld="5" item="0"/>
          <tpl fld="17" item="1"/>
        </tpls>
      </m>
      <n v="-1146557">
        <tpls c="6">
          <tpl fld="2" item="1"/>
          <tpl fld="16" item="7"/>
          <tpl fld="0" item="1"/>
          <tpl fld="12" item="17"/>
          <tpl fld="1" item="1"/>
          <tpl fld="17" item="0"/>
        </tpls>
      </n>
      <n v="523">
        <tpls c="7">
          <tpl fld="3" item="0"/>
          <tpl fld="16" item="9"/>
          <tpl hier="31" item="3"/>
          <tpl fld="9" item="6"/>
          <tpl fld="12" item="1"/>
          <tpl hier="40" item="2"/>
          <tpl fld="17" item="0"/>
        </tpls>
      </n>
      <n v="822747">
        <tpls c="6">
          <tpl fld="2" item="2"/>
          <tpl fld="0" item="2"/>
          <tpl fld="9" item="52"/>
          <tpl fld="8" item="1"/>
          <tpl hier="40" item="2"/>
          <tpl fld="17" item="0"/>
        </tpls>
      </n>
      <m>
        <tpls c="7">
          <tpl fld="3" item="1"/>
          <tpl fld="16" item="10"/>
          <tpl hier="31" item="1"/>
          <tpl fld="9" item="13"/>
          <tpl fld="12" item="3"/>
          <tpl hier="40" item="2"/>
          <tpl fld="17" item="0"/>
        </tpls>
      </m>
      <m>
        <tpls c="6">
          <tpl fld="2" item="0"/>
          <tpl fld="0" item="0"/>
          <tpl fld="9" item="19"/>
          <tpl fld="8" item="2"/>
          <tpl hier="40" item="2"/>
          <tpl fld="17" item="0"/>
        </tpls>
      </m>
      <n v="6811000" in="0">
        <tpls c="3">
          <tpl fld="4" item="6"/>
          <tpl fld="5" item="4"/>
          <tpl fld="17" item="1"/>
        </tpls>
      </n>
      <n v="1000">
        <tpls c="6">
          <tpl fld="3" item="1"/>
          <tpl fld="16" item="9"/>
          <tpl hier="31" item="1"/>
          <tpl fld="12" item="22"/>
          <tpl hier="40" item="2"/>
          <tpl fld="17" item="0"/>
        </tpls>
      </n>
      <n v="54522">
        <tpls c="7">
          <tpl fld="3" item="0"/>
          <tpl fld="16" item="7"/>
          <tpl hier="31" item="3"/>
          <tpl fld="9" item="52"/>
          <tpl fld="12" item="3"/>
          <tpl hier="40" item="2"/>
          <tpl fld="17" item="0"/>
        </tpls>
      </n>
      <n v="0">
        <tpls c="6">
          <tpl fld="2" item="1"/>
          <tpl fld="0" item="1"/>
          <tpl fld="9" item="32"/>
          <tpl fld="12" item="5"/>
          <tpl hier="40" item="2"/>
          <tpl fld="17" item="0"/>
        </tpls>
      </n>
      <m>
        <tpls c="3">
          <tpl fld="6" item="18"/>
          <tpl fld="4" item="6"/>
          <tpl fld="17" item="1"/>
        </tpls>
      </m>
      <n v="83334">
        <tpls c="7">
          <tpl fld="3" item="1"/>
          <tpl fld="16" item="10"/>
          <tpl hier="31" item="1"/>
          <tpl fld="9" item="53"/>
          <tpl fld="12" item="2"/>
          <tpl hier="40" item="2"/>
          <tpl fld="17" item="0"/>
        </tpls>
      </n>
      <n v="492981">
        <tpls c="6">
          <tpl fld="3" item="1"/>
          <tpl fld="16" item="11"/>
          <tpl hier="31" item="1"/>
          <tpl fld="12" item="5"/>
          <tpl hier="40" item="2"/>
          <tpl fld="17" item="0"/>
        </tpls>
      </n>
      <n v="0">
        <tpls c="7">
          <tpl fld="3" item="0"/>
          <tpl fld="16" item="5"/>
          <tpl hier="31" item="3"/>
          <tpl fld="9" item="44"/>
          <tpl fld="12" item="2"/>
          <tpl hier="40" item="2"/>
          <tpl fld="17" item="0"/>
        </tpls>
      </n>
      <n v="-630806">
        <tpls c="6">
          <tpl fld="2" item="1"/>
          <tpl fld="16" item="10"/>
          <tpl fld="0" item="1"/>
          <tpl fld="12" item="15"/>
          <tpl fld="1" item="1"/>
          <tpl fld="17" item="0"/>
        </tpls>
      </n>
      <n v="87506">
        <tpls c="7">
          <tpl fld="3" item="0"/>
          <tpl fld="16" item="9"/>
          <tpl hier="31" item="3"/>
          <tpl fld="9" item="53"/>
          <tpl fld="12" item="2"/>
          <tpl hier="40" item="2"/>
          <tpl fld="17" item="0"/>
        </tpls>
      </n>
      <m>
        <tpls c="3">
          <tpl fld="6" item="9"/>
          <tpl fld="4" item="3"/>
          <tpl fld="17" item="1"/>
        </tpls>
      </m>
      <n v="27497">
        <tpls c="7">
          <tpl fld="3" item="0"/>
          <tpl fld="16" item="3"/>
          <tpl hier="31" item="3"/>
          <tpl fld="9" item="12"/>
          <tpl fld="12" item="5"/>
          <tpl hier="40" item="2"/>
          <tpl fld="17" item="0"/>
        </tpls>
      </n>
      <n v="210729">
        <tpls c="3">
          <tpl fld="11" item="9"/>
          <tpl fld="15" item="2"/>
          <tpl fld="17" item="2"/>
        </tpls>
      </n>
      <m>
        <tpls c="6">
          <tpl fld="10" item="3"/>
          <tpl hier="31" item="0"/>
          <tpl fld="9" item="27"/>
          <tpl fld="12" item="5"/>
          <tpl hier="40" item="2"/>
          <tpl fld="17" item="0"/>
        </tpls>
      </m>
      <n v="12501">
        <tpls c="6">
          <tpl fld="10" item="3"/>
          <tpl hier="31" item="0"/>
          <tpl fld="9" item="20"/>
          <tpl fld="12" item="2"/>
          <tpl hier="40" item="2"/>
          <tpl fld="17" item="0"/>
        </tpls>
      </n>
      <n v="58191734">
        <tpls c="5">
          <tpl fld="2" item="2"/>
          <tpl fld="0" item="2"/>
          <tpl fld="12" item="15"/>
          <tpl fld="1" item="1"/>
          <tpl fld="17" item="0"/>
        </tpls>
      </n>
      <n v="678578">
        <tpls c="7">
          <tpl fld="3" item="0"/>
          <tpl fld="16" item="6"/>
          <tpl hier="31" item="3"/>
          <tpl fld="9" item="4"/>
          <tpl fld="12" item="3"/>
          <tpl hier="40" item="2"/>
          <tpl fld="17" item="0"/>
        </tpls>
      </n>
      <n v="749276">
        <tpls c="7">
          <tpl fld="3" item="0"/>
          <tpl fld="16" item="5"/>
          <tpl hier="31" item="3"/>
          <tpl fld="9" item="41"/>
          <tpl fld="12" item="3"/>
          <tpl hier="40" item="2"/>
          <tpl fld="17" item="0"/>
        </tpls>
      </n>
      <n v="20007791">
        <tpls c="6">
          <tpl fld="3" item="1"/>
          <tpl fld="16" item="9"/>
          <tpl hier="31" item="1"/>
          <tpl fld="12" item="13"/>
          <tpl hier="40" item="2"/>
          <tpl fld="17" item="0"/>
        </tpls>
      </n>
      <n v="8">
        <tpls c="7">
          <tpl fld="3" item="0"/>
          <tpl fld="16" item="4"/>
          <tpl hier="31" item="3"/>
          <tpl fld="9" item="6"/>
          <tpl fld="12" item="1"/>
          <tpl hier="40" item="2"/>
          <tpl fld="17" item="0"/>
        </tpls>
      </n>
      <n v="833">
        <tpls c="7">
          <tpl fld="3" item="1"/>
          <tpl fld="16" item="8"/>
          <tpl hier="31" item="1"/>
          <tpl fld="9" item="3"/>
          <tpl fld="12" item="2"/>
          <tpl hier="40" item="2"/>
          <tpl fld="17" item="0"/>
        </tpls>
      </n>
      <n v="1591572">
        <tpls c="6">
          <tpl fld="2" item="1"/>
          <tpl fld="0" item="1"/>
          <tpl fld="9" item="12"/>
          <tpl fld="8" item="2"/>
          <tpl hier="40" item="2"/>
          <tpl fld="17" item="0"/>
        </tpls>
      </n>
      <m>
        <tpls c="3">
          <tpl fld="6" item="12"/>
          <tpl fld="4" item="9"/>
          <tpl fld="17" item="1"/>
        </tpls>
      </m>
      <n v="1026600">
        <tpls c="6">
          <tpl fld="10" item="0"/>
          <tpl hier="31" item="0"/>
          <tpl fld="9" item="13"/>
          <tpl fld="12" item="3"/>
          <tpl hier="40" item="2"/>
          <tpl fld="17" item="0"/>
        </tpls>
      </n>
      <n v="21188">
        <tpls c="7">
          <tpl fld="3" item="1"/>
          <tpl fld="16" item="7"/>
          <tpl hier="31" item="1"/>
          <tpl fld="9" item="21"/>
          <tpl fld="12" item="3"/>
          <tpl hier="40" item="2"/>
          <tpl fld="17" item="0"/>
        </tpls>
      </n>
      <n v="2499">
        <tpls c="6">
          <tpl fld="10" item="2"/>
          <tpl hier="31" item="0"/>
          <tpl fld="9" item="3"/>
          <tpl fld="12" item="2"/>
          <tpl hier="40" item="2"/>
          <tpl fld="17" item="0"/>
        </tpls>
      </n>
      <n v="392981">
        <tpls c="7">
          <tpl fld="3" item="1"/>
          <tpl fld="16" item="10"/>
          <tpl hier="31" item="1"/>
          <tpl fld="9" item="38"/>
          <tpl fld="12" item="5"/>
          <tpl hier="40" item="2"/>
          <tpl fld="17" item="0"/>
        </tpls>
      </n>
      <m>
        <tpls c="3">
          <tpl fld="6" item="4"/>
          <tpl fld="4" item="4"/>
          <tpl fld="17" item="1"/>
        </tpls>
      </m>
      <n v="256421">
        <tpls c="7">
          <tpl fld="3" item="1"/>
          <tpl fld="16" item="11"/>
          <tpl hier="31" item="1"/>
          <tpl fld="9" item="24"/>
          <tpl fld="12" item="6"/>
          <tpl hier="40" item="2"/>
          <tpl fld="17" item="0"/>
        </tpls>
      </n>
      <n v="-191355">
        <tpls c="7">
          <tpl fld="2" item="1"/>
          <tpl fld="16" item="6"/>
          <tpl fld="0" item="1"/>
          <tpl fld="9" item="64"/>
          <tpl fld="12" item="17"/>
          <tpl fld="1" item="1"/>
          <tpl fld="17" item="0"/>
        </tpls>
      </n>
      <n v="1063540">
        <tpls c="7">
          <tpl fld="3" item="0"/>
          <tpl fld="16" item="5"/>
          <tpl hier="31" item="3"/>
          <tpl fld="9" item="25"/>
          <tpl fld="12" item="2"/>
          <tpl hier="40" item="2"/>
          <tpl fld="17" item="0"/>
        </tpls>
      </n>
      <n v="10162536">
        <tpls c="7">
          <tpl fld="3" item="0"/>
          <tpl hier="10" item="4294967295"/>
          <tpl hier="31" item="3"/>
          <tpl fld="9" item="41"/>
          <tpl fld="12" item="3"/>
          <tpl hier="40" item="2"/>
          <tpl fld="17" item="0"/>
        </tpls>
      </n>
      <n v="0">
        <tpls c="7">
          <tpl fld="3" item="0"/>
          <tpl fld="16" item="6"/>
          <tpl hier="31" item="3"/>
          <tpl fld="9" item="3"/>
          <tpl fld="12" item="2"/>
          <tpl hier="40" item="2"/>
          <tpl fld="17" item="0"/>
        </tpls>
      </n>
      <m>
        <tpls c="3">
          <tpl fld="6" item="17"/>
          <tpl fld="4" item="7"/>
          <tpl fld="17" item="1"/>
        </tpls>
      </m>
      <n v="28143">
        <tpls c="6">
          <tpl fld="2" item="2"/>
          <tpl fld="0" item="2"/>
          <tpl fld="9" item="12"/>
          <tpl fld="8" item="2"/>
          <tpl hier="40" item="2"/>
          <tpl fld="17" item="0"/>
        </tpls>
      </n>
      <n v="9992200">
        <tpls c="6">
          <tpl fld="2" item="0"/>
          <tpl fld="0" item="0"/>
          <tpl fld="9" item="41"/>
          <tpl fld="8" item="1"/>
          <tpl hier="40" item="2"/>
          <tpl fld="17" item="0"/>
        </tpls>
      </n>
      <n v="-173856">
        <tpls c="7">
          <tpl fld="2" item="1"/>
          <tpl fld="16" item="2"/>
          <tpl fld="0" item="1"/>
          <tpl fld="9" item="34"/>
          <tpl fld="12" item="17"/>
          <tpl fld="1" item="1"/>
          <tpl fld="17" item="0"/>
        </tpls>
      </n>
      <n v="3000">
        <tpls c="5">
          <tpl fld="10" item="1"/>
          <tpl hier="31" item="0"/>
          <tpl fld="12" item="22"/>
          <tpl hier="40" item="2"/>
          <tpl fld="17" item="0"/>
        </tpls>
      </n>
      <n v="191797">
        <tpls c="7">
          <tpl fld="3" item="0"/>
          <tpl fld="16" item="1"/>
          <tpl hier="31" item="3"/>
          <tpl fld="9" item="31"/>
          <tpl fld="12" item="2"/>
          <tpl hier="40" item="2"/>
          <tpl fld="17" item="0"/>
        </tpls>
      </n>
      <n v="3199998">
        <tpls c="6">
          <tpl fld="10" item="2"/>
          <tpl hier="31" item="0"/>
          <tpl fld="9" item="0"/>
          <tpl fld="12" item="2"/>
          <tpl hier="40" item="2"/>
          <tpl fld="17" item="0"/>
        </tpls>
      </n>
      <n v="91540">
        <tpls c="7">
          <tpl fld="3" item="0"/>
          <tpl fld="16" item="7"/>
          <tpl hier="31" item="3"/>
          <tpl fld="9" item="53"/>
          <tpl fld="12" item="2"/>
          <tpl hier="40" item="2"/>
          <tpl fld="17" item="0"/>
        </tpls>
      </n>
      <m>
        <tpls c="3">
          <tpl fld="6" item="19"/>
          <tpl fld="4" item="7"/>
          <tpl fld="17" item="1"/>
        </tpls>
      </m>
      <n v="45371">
        <tpls c="7">
          <tpl fld="2" item="1"/>
          <tpl fld="16" item="5"/>
          <tpl fld="0" item="1"/>
          <tpl fld="9" item="46"/>
          <tpl fld="12" item="0"/>
          <tpl fld="1" item="1"/>
          <tpl fld="17" item="0"/>
        </tpls>
      </n>
      <n v="999">
        <tpls c="7">
          <tpl fld="3" item="0"/>
          <tpl fld="16" item="0"/>
          <tpl hier="31" item="3"/>
          <tpl fld="9" item="20"/>
          <tpl fld="12" item="2"/>
          <tpl hier="40" item="2"/>
          <tpl fld="17" item="0"/>
        </tpls>
      </n>
      <n v="3927851">
        <tpls c="5">
          <tpl fld="2" item="3"/>
          <tpl fld="0" item="2"/>
          <tpl fld="12" item="0"/>
          <tpl fld="1" item="1"/>
          <tpl fld="17" item="0"/>
        </tpls>
      </n>
      <n v="824350">
        <tpls c="7">
          <tpl fld="3" item="1"/>
          <tpl fld="16" item="7"/>
          <tpl hier="31" item="1"/>
          <tpl fld="9" item="41"/>
          <tpl fld="12" item="3"/>
          <tpl hier="40" item="2"/>
          <tpl fld="17" item="0"/>
        </tpls>
      </n>
      <n v="19039396">
        <tpls c="6">
          <tpl fld="3" item="1"/>
          <tpl fld="16" item="7"/>
          <tpl hier="31" item="1"/>
          <tpl fld="12" item="13"/>
          <tpl hier="40" item="2"/>
          <tpl fld="17" item="0"/>
        </tpls>
      </n>
      <n v="465000">
        <tpls c="6">
          <tpl fld="10" item="3"/>
          <tpl hier="31" item="0"/>
          <tpl fld="9" item="35"/>
          <tpl fld="12" item="3"/>
          <tpl hier="40" item="2"/>
          <tpl fld="17" item="0"/>
        </tpls>
      </n>
      <n v="392981">
        <tpls c="7">
          <tpl fld="3" item="0"/>
          <tpl fld="16" item="1"/>
          <tpl hier="31" item="3"/>
          <tpl fld="9" item="38"/>
          <tpl fld="12" item="5"/>
          <tpl hier="40" item="2"/>
          <tpl fld="17" item="0"/>
        </tpls>
      </n>
      <n v="0">
        <tpls c="7">
          <tpl fld="2" item="1"/>
          <tpl fld="16" item="5"/>
          <tpl fld="0" item="1"/>
          <tpl fld="9" item="30"/>
          <tpl fld="12" item="15"/>
          <tpl fld="1" item="1"/>
          <tpl fld="17" item="0"/>
        </tpls>
      </n>
      <n v="392981">
        <tpls c="7">
          <tpl fld="3" item="0"/>
          <tpl fld="16" item="8"/>
          <tpl hier="31" item="3"/>
          <tpl fld="9" item="38"/>
          <tpl fld="12" item="5"/>
          <tpl hier="40" item="2"/>
          <tpl fld="17" item="0"/>
        </tpls>
      </n>
      <n v="392981">
        <tpls c="6">
          <tpl fld="3" item="1"/>
          <tpl fld="16" item="0"/>
          <tpl hier="31" item="1"/>
          <tpl fld="12" item="5"/>
          <tpl hier="40" item="2"/>
          <tpl fld="17" item="0"/>
        </tpls>
      </n>
      <m>
        <tpls c="7">
          <tpl fld="3" item="1"/>
          <tpl fld="16" item="2"/>
          <tpl hier="31" item="1"/>
          <tpl fld="9" item="27"/>
          <tpl fld="12" item="5"/>
          <tpl hier="40" item="2"/>
          <tpl fld="17" item="0"/>
        </tpls>
      </m>
      <n v="0">
        <tpls c="7">
          <tpl fld="3" item="0"/>
          <tpl fld="16" item="8"/>
          <tpl hier="31" item="3"/>
          <tpl fld="9" item="49"/>
          <tpl fld="12" item="3"/>
          <tpl hier="40" item="2"/>
          <tpl fld="17" item="0"/>
        </tpls>
      </n>
      <n v="2691">
        <tpls c="7">
          <tpl fld="3" item="0"/>
          <tpl fld="16" item="5"/>
          <tpl hier="31" item="3"/>
          <tpl fld="9" item="20"/>
          <tpl fld="12" item="2"/>
          <tpl hier="40" item="2"/>
          <tpl fld="17" item="0"/>
        </tpls>
      </n>
      <n v="60023373">
        <tpls c="6">
          <tpl fld="10" item="1"/>
          <tpl hier="31" item="1"/>
          <tpl fld="9" item="45"/>
          <tpl fld="8" item="1"/>
          <tpl hier="40" item="2"/>
          <tpl fld="17" item="0"/>
        </tpls>
      </n>
      <n v="91134">
        <tpls c="6">
          <tpl fld="3" item="0"/>
          <tpl fld="16" item="11"/>
          <tpl hier="31" item="3"/>
          <tpl fld="12" item="6"/>
          <tpl hier="40" item="2"/>
          <tpl fld="17" item="0"/>
        </tpls>
      </n>
      <n v="79167">
        <tpls c="3">
          <tpl fld="11" item="9"/>
          <tpl fld="15" item="4"/>
          <tpl fld="17" item="2"/>
        </tpls>
      </n>
      <n v="392981">
        <tpls c="7">
          <tpl fld="3" item="0"/>
          <tpl fld="16" item="10"/>
          <tpl hier="31" item="3"/>
          <tpl fld="9" item="38"/>
          <tpl fld="12" item="5"/>
          <tpl hier="40" item="2"/>
          <tpl fld="17" item="0"/>
        </tpls>
      </n>
      <n v="0">
        <tpls c="6">
          <tpl fld="2" item="2"/>
          <tpl fld="0" item="2"/>
          <tpl fld="9" item="32"/>
          <tpl fld="8" item="2"/>
          <tpl hier="40" item="2"/>
          <tpl fld="17" item="0"/>
        </tpls>
      </n>
      <m>
        <tpls c="7">
          <tpl fld="3" item="1"/>
          <tpl fld="16" item="2"/>
          <tpl hier="31" item="1"/>
          <tpl fld="9" item="22"/>
          <tpl fld="12" item="2"/>
          <tpl hier="40" item="2"/>
          <tpl fld="17" item="0"/>
        </tpls>
      </m>
      <n v="885876">
        <tpls c="6">
          <tpl fld="2" item="3"/>
          <tpl fld="0" item="2"/>
          <tpl fld="9" item="39"/>
          <tpl fld="12" item="0"/>
          <tpl fld="1" item="1"/>
          <tpl fld="17" item="0"/>
        </tpls>
      </n>
      <n v="8025911">
        <tpls c="6">
          <tpl fld="3" item="0"/>
          <tpl fld="16" item="3"/>
          <tpl hier="31" item="3"/>
          <tpl fld="12" item="3"/>
          <tpl hier="40" item="2"/>
          <tpl fld="17" item="0"/>
        </tpls>
      </n>
      <n v="13456026">
        <tpls c="6">
          <tpl fld="2" item="1"/>
          <tpl fld="0" item="1"/>
          <tpl fld="9" item="25"/>
          <tpl fld="12" item="2"/>
          <tpl hier="40" item="2"/>
          <tpl fld="17" item="0"/>
        </tpls>
      </n>
      <n v="2473050">
        <tpls c="6">
          <tpl fld="10" item="3"/>
          <tpl hier="31" item="1"/>
          <tpl fld="9" item="41"/>
          <tpl fld="8" item="1"/>
          <tpl hier="40" item="2"/>
          <tpl fld="17" item="0"/>
        </tpls>
      </n>
      <m>
        <tpls c="7">
          <tpl fld="3" item="0"/>
          <tpl fld="16" item="4"/>
          <tpl hier="31" item="3"/>
          <tpl fld="9" item="19"/>
          <tpl fld="12" item="5"/>
          <tpl hier="40" item="2"/>
          <tpl fld="17" item="0"/>
        </tpls>
      </m>
      <n v="0">
        <tpls c="7">
          <tpl fld="3" item="0"/>
          <tpl hier="10" item="4294967295"/>
          <tpl hier="31" item="3"/>
          <tpl fld="9" item="11"/>
          <tpl fld="12" item="3"/>
          <tpl hier="40" item="2"/>
          <tpl fld="17" item="0"/>
        </tpls>
      </n>
      <n v="769263">
        <tpls c="6">
          <tpl fld="10" item="3"/>
          <tpl hier="31" item="0"/>
          <tpl fld="9" item="24"/>
          <tpl fld="12" item="6"/>
          <tpl hier="40" item="2"/>
          <tpl fld="17" item="0"/>
        </tpls>
      </n>
      <n v="5000">
        <tpls c="6">
          <tpl fld="10" item="0"/>
          <tpl hier="31" item="0"/>
          <tpl fld="9" item="6"/>
          <tpl fld="12" item="1"/>
          <tpl hier="40" item="2"/>
          <tpl fld="17" item="0"/>
        </tpls>
      </n>
      <n v="0">
        <tpls c="6">
          <tpl fld="2" item="2"/>
          <tpl fld="0" item="2"/>
          <tpl fld="9" item="49"/>
          <tpl fld="8" item="1"/>
          <tpl hier="40" item="2"/>
          <tpl fld="17" item="0"/>
        </tpls>
      </n>
      <n v="230245237">
        <tpls c="6">
          <tpl fld="2" item="1"/>
          <tpl fld="0" item="1"/>
          <tpl fld="9" item="45"/>
          <tpl fld="12" item="13"/>
          <tpl hier="40" item="2"/>
          <tpl fld="17" item="0"/>
        </tpls>
      </n>
      <n v="2321761">
        <tpls c="7">
          <tpl fld="3" item="0"/>
          <tpl fld="16" item="5"/>
          <tpl hier="31" item="3"/>
          <tpl fld="9" item="4"/>
          <tpl fld="12" item="3"/>
          <tpl hier="40" item="2"/>
          <tpl fld="17" item="0"/>
        </tpls>
      </n>
      <n v="246000">
        <tpls c="7">
          <tpl fld="3" item="1"/>
          <tpl hier="10" item="4294967295"/>
          <tpl hier="31" item="1"/>
          <tpl fld="9" item="11"/>
          <tpl fld="12" item="3"/>
          <tpl hier="40" item="2"/>
          <tpl fld="17" item="0"/>
        </tpls>
      </n>
      <n v="6825000" in="0">
        <tpls c="3">
          <tpl fld="4" item="8"/>
          <tpl fld="5" item="1"/>
          <tpl fld="17" item="1"/>
        </tpls>
      </n>
      <n v="14103437">
        <tpls c="5">
          <tpl fld="10" item="1"/>
          <tpl hier="31" item="0"/>
          <tpl fld="12" item="3"/>
          <tpl hier="40" item="2"/>
          <tpl fld="17" item="0"/>
        </tpls>
      </n>
      <n v="0">
        <tpls c="7">
          <tpl fld="3" item="0"/>
          <tpl fld="16" item="8"/>
          <tpl hier="31" item="3"/>
          <tpl fld="9" item="3"/>
          <tpl fld="12" item="2"/>
          <tpl hier="40" item="2"/>
          <tpl fld="17" item="0"/>
        </tpls>
      </n>
      <n v="0">
        <tpls c="7">
          <tpl fld="3" item="0"/>
          <tpl fld="16" item="0"/>
          <tpl hier="31" item="3"/>
          <tpl fld="9" item="1"/>
          <tpl fld="12" item="1"/>
          <tpl hier="40" item="2"/>
          <tpl fld="17" item="0"/>
        </tpls>
      </n>
      <n v="0">
        <tpls c="7">
          <tpl fld="3" item="0"/>
          <tpl fld="16" item="8"/>
          <tpl hier="31" item="3"/>
          <tpl fld="9" item="36"/>
          <tpl fld="12" item="3"/>
          <tpl hier="40" item="2"/>
          <tpl fld="17" item="0"/>
        </tpls>
      </n>
      <m>
        <tpls c="3">
          <tpl fld="6" item="15"/>
          <tpl fld="4" item="1"/>
          <tpl fld="17" item="1"/>
        </tpls>
      </m>
      <n v="0">
        <tpls c="7">
          <tpl fld="2" item="1"/>
          <tpl fld="16" item="7"/>
          <tpl fld="0" item="1"/>
          <tpl fld="9" item="51"/>
          <tpl fld="12" item="7"/>
          <tpl fld="1" item="1"/>
          <tpl fld="17" item="0"/>
        </tpls>
      </n>
      <n v="963593">
        <tpls c="7">
          <tpl fld="3" item="1"/>
          <tpl fld="16" item="0"/>
          <tpl hier="31" item="1"/>
          <tpl fld="9" item="25"/>
          <tpl fld="12" item="2"/>
          <tpl hier="40" item="2"/>
          <tpl fld="17" item="0"/>
        </tpls>
      </n>
      <n v="18511073">
        <tpls c="7">
          <tpl fld="3" item="0"/>
          <tpl fld="16" item="1"/>
          <tpl hier="31" item="3"/>
          <tpl fld="9" item="45"/>
          <tpl fld="12" item="13"/>
          <tpl hier="40" item="2"/>
          <tpl fld="17" item="0"/>
        </tpls>
      </n>
      <m>
        <tpls c="7">
          <tpl fld="3" item="1"/>
          <tpl fld="16" item="2"/>
          <tpl hier="31" item="1"/>
          <tpl fld="9" item="36"/>
          <tpl fld="12" item="3"/>
          <tpl hier="40" item="2"/>
          <tpl fld="17" item="0"/>
        </tpls>
      </m>
      <n v="0">
        <tpls c="7">
          <tpl fld="2" item="1"/>
          <tpl fld="16" item="2"/>
          <tpl fld="0" item="1"/>
          <tpl fld="9" item="65"/>
          <tpl fld="12" item="14"/>
          <tpl fld="1" item="1"/>
          <tpl fld="17" item="0"/>
        </tpls>
      </n>
      <n v="40617">
        <tpls c="6">
          <tpl fld="2" item="1"/>
          <tpl fld="0" item="1"/>
          <tpl fld="9" item="20"/>
          <tpl fld="8" item="0"/>
          <tpl hier="40" item="2"/>
          <tpl fld="17" item="0"/>
        </tpls>
      </n>
      <n v="166208">
        <tpls c="7">
          <tpl fld="3" item="0"/>
          <tpl fld="16" item="5"/>
          <tpl hier="31" item="3"/>
          <tpl fld="9" item="9"/>
          <tpl fld="12" item="6"/>
          <tpl hier="40" item="2"/>
          <tpl fld="17" item="0"/>
        </tpls>
      </n>
      <n v="9835104">
        <tpls c="7">
          <tpl fld="3" item="1"/>
          <tpl hier="10" item="4294967295"/>
          <tpl hier="31" item="1"/>
          <tpl fld="9" item="9"/>
          <tpl fld="12" item="6"/>
          <tpl hier="40" item="2"/>
          <tpl fld="17" item="0"/>
        </tpls>
      </n>
      <n v="14160000" in="0">
        <tpls c="3">
          <tpl fld="6" item="21"/>
          <tpl fld="4" item="7"/>
          <tpl fld="17" item="1"/>
        </tpls>
      </n>
      <n v="0">
        <tpls c="7">
          <tpl fld="3" item="0"/>
          <tpl fld="16" item="7"/>
          <tpl hier="31" item="3"/>
          <tpl fld="9" item="32"/>
          <tpl fld="12" item="5"/>
          <tpl hier="40" item="2"/>
          <tpl fld="17" item="0"/>
        </tpls>
      </n>
      <n v="1551763">
        <tpls c="6">
          <tpl fld="10" item="1"/>
          <tpl hier="31" item="0"/>
          <tpl fld="9" item="24"/>
          <tpl fld="12" item="6"/>
          <tpl hier="40" item="2"/>
          <tpl fld="17" item="0"/>
        </tpls>
      </n>
      <n v="2499">
        <tpls c="6">
          <tpl fld="10" item="3"/>
          <tpl hier="31" item="0"/>
          <tpl fld="9" item="3"/>
          <tpl fld="12" item="2"/>
          <tpl hier="40" item="2"/>
          <tpl fld="17" item="0"/>
        </tpls>
      </n>
      <n v="-173856">
        <tpls c="7">
          <tpl fld="2" item="1"/>
          <tpl fld="16" item="10"/>
          <tpl fld="0" item="1"/>
          <tpl fld="9" item="34"/>
          <tpl fld="12" item="17"/>
          <tpl fld="1" item="1"/>
          <tpl fld="17" item="0"/>
        </tpls>
      </n>
      <n v="2704">
        <tpls c="7">
          <tpl fld="3" item="0"/>
          <tpl fld="16" item="3"/>
          <tpl hier="31" item="3"/>
          <tpl fld="9" item="20"/>
          <tpl fld="12" item="2"/>
          <tpl hier="40" item="2"/>
          <tpl fld="17" item="0"/>
        </tpls>
      </n>
      <n v="244148">
        <tpls c="6">
          <tpl fld="2" item="3"/>
          <tpl fld="0" item="2"/>
          <tpl fld="9" item="50"/>
          <tpl fld="12" item="16"/>
          <tpl fld="1" item="1"/>
          <tpl fld="17" item="0"/>
        </tpls>
      </n>
      <n v="254256">
        <tpls c="6">
          <tpl fld="2" item="0"/>
          <tpl fld="0" item="0"/>
          <tpl fld="9" item="21"/>
          <tpl fld="12" item="3"/>
          <tpl hier="40" item="2"/>
          <tpl fld="17" item="0"/>
        </tpls>
      </n>
      <m>
        <tpls c="3">
          <tpl fld="6" item="3"/>
          <tpl fld="4" item="0"/>
          <tpl fld="17" item="1"/>
        </tpls>
      </m>
      <n v="0">
        <tpls c="7">
          <tpl fld="3" item="0"/>
          <tpl fld="16" item="6"/>
          <tpl hier="31" item="3"/>
          <tpl fld="9" item="12"/>
          <tpl fld="12" item="5"/>
          <tpl hier="40" item="2"/>
          <tpl fld="17" item="0"/>
        </tpls>
      </n>
      <n v="210729">
        <tpls c="3">
          <tpl fld="11" item="11"/>
          <tpl fld="15" item="2"/>
          <tpl fld="17" item="2"/>
        </tpls>
      </n>
      <m>
        <tpls c="3">
          <tpl fld="4" item="2"/>
          <tpl fld="5" item="1"/>
          <tpl fld="17" item="1"/>
        </tpls>
      </m>
      <n v="79">
        <tpls c="7">
          <tpl fld="3" item="0"/>
          <tpl fld="16" item="2"/>
          <tpl hier="31" item="3"/>
          <tpl fld="9" item="44"/>
          <tpl fld="12" item="2"/>
          <tpl hier="40" item="2"/>
          <tpl fld="17" item="0"/>
        </tpls>
      </n>
      <n v="0">
        <tpls c="6">
          <tpl fld="2" item="1"/>
          <tpl fld="16" item="0"/>
          <tpl fld="0" item="1"/>
          <tpl fld="12" item="19"/>
          <tpl fld="1" item="1"/>
          <tpl fld="17" item="0"/>
        </tpls>
      </n>
      <n v="0">
        <tpls c="7">
          <tpl fld="3" item="0"/>
          <tpl fld="16" item="11"/>
          <tpl hier="31" item="3"/>
          <tpl fld="9" item="11"/>
          <tpl fld="12" item="3"/>
          <tpl hier="40" item="2"/>
          <tpl fld="17" item="0"/>
        </tpls>
      </n>
      <n v="-179418">
        <tpls c="6">
          <tpl fld="2" item="1"/>
          <tpl fld="16" item="2"/>
          <tpl fld="0" item="1"/>
          <tpl fld="12" item="4"/>
          <tpl fld="1" item="1"/>
          <tpl fld="17" item="0"/>
        </tpls>
      </n>
      <n v="60023373">
        <tpls c="6">
          <tpl fld="10" item="1"/>
          <tpl hier="31" item="0"/>
          <tpl fld="9" item="45"/>
          <tpl fld="12" item="13"/>
          <tpl hier="40" item="2"/>
          <tpl fld="17" item="0"/>
        </tpls>
      </n>
      <n v="0">
        <tpls c="7">
          <tpl fld="3" item="0"/>
          <tpl fld="16" item="2"/>
          <tpl hier="31" item="3"/>
          <tpl fld="9" item="14"/>
          <tpl fld="12" item="3"/>
          <tpl hier="40" item="2"/>
          <tpl fld="17" item="0"/>
        </tpls>
      </n>
      <n v="0">
        <tpls c="6">
          <tpl fld="2" item="3"/>
          <tpl fld="0" item="2"/>
          <tpl fld="9" item="68"/>
          <tpl fld="12" item="18"/>
          <tpl fld="1" item="1"/>
          <tpl fld="17" item="0"/>
        </tpls>
      </n>
      <m>
        <tpls c="3">
          <tpl fld="6" item="2"/>
          <tpl fld="4" item="3"/>
          <tpl fld="17" item="1"/>
        </tpls>
      </m>
      <n v="-392981">
        <tpls c="6">
          <tpl fld="2" item="1"/>
          <tpl fld="16" item="9"/>
          <tpl fld="0" item="1"/>
          <tpl fld="12" item="11"/>
          <tpl fld="1" item="1"/>
          <tpl fld="17" item="0"/>
        </tpls>
      </n>
      <m>
        <tpls c="7">
          <tpl fld="3" item="1"/>
          <tpl fld="16" item="3"/>
          <tpl hier="31" item="1"/>
          <tpl fld="9" item="32"/>
          <tpl fld="12" item="5"/>
          <tpl hier="40" item="2"/>
          <tpl fld="17" item="0"/>
        </tpls>
      </m>
      <n v="0">
        <tpls c="7">
          <tpl fld="2" item="1"/>
          <tpl fld="16" item="1"/>
          <tpl fld="0" item="1"/>
          <tpl fld="9" item="61"/>
          <tpl fld="12" item="0"/>
          <tpl fld="1" item="1"/>
          <tpl fld="17" item="0"/>
        </tpls>
      </n>
      <n v="0">
        <tpls c="7">
          <tpl fld="2" item="1"/>
          <tpl fld="16" item="10"/>
          <tpl fld="0" item="1"/>
          <tpl fld="9" item="42"/>
          <tpl fld="12" item="17"/>
          <tpl fld="1" item="1"/>
          <tpl fld="17" item="0"/>
        </tpls>
      </n>
      <m>
        <tpls c="3">
          <tpl fld="6" item="2"/>
          <tpl fld="4" item="2"/>
          <tpl fld="17" item="1"/>
        </tpls>
      </m>
      <n v="0">
        <tpls c="7">
          <tpl fld="2" item="1"/>
          <tpl fld="16" item="7"/>
          <tpl fld="0" item="1"/>
          <tpl fld="9" item="59"/>
          <tpl fld="12" item="4"/>
          <tpl fld="1" item="1"/>
          <tpl fld="17" item="0"/>
        </tpls>
      </n>
      <n v="1000">
        <tpls c="6">
          <tpl fld="3" item="1"/>
          <tpl fld="16" item="3"/>
          <tpl hier="31" item="1"/>
          <tpl fld="12" item="22"/>
          <tpl hier="40" item="2"/>
          <tpl fld="17" item="0"/>
        </tpls>
      </n>
      <n v="1061634">
        <tpls c="6">
          <tpl fld="3" item="1"/>
          <tpl fld="16" item="10"/>
          <tpl hier="31" item="1"/>
          <tpl fld="12" item="6"/>
          <tpl hier="40" item="2"/>
          <tpl fld="17" item="0"/>
        </tpls>
      </n>
      <n v="21401884">
        <tpls c="6">
          <tpl fld="3" item="0"/>
          <tpl fld="16" item="5"/>
          <tpl hier="31" item="3"/>
          <tpl fld="12" item="2"/>
          <tpl hier="40" item="2"/>
          <tpl fld="17" item="0"/>
        </tpls>
      </n>
      <n v="91402">
        <tpls c="7">
          <tpl fld="3" item="0"/>
          <tpl fld="16" item="5"/>
          <tpl hier="31" item="3"/>
          <tpl fld="9" item="29"/>
          <tpl fld="12" item="2"/>
          <tpl hier="40" item="2"/>
          <tpl fld="17" item="0"/>
        </tpls>
      </n>
      <n v="-630806">
        <tpls c="7">
          <tpl fld="2" item="1"/>
          <tpl fld="16" item="5"/>
          <tpl fld="0" item="1"/>
          <tpl fld="9" item="28"/>
          <tpl fld="12" item="15"/>
          <tpl fld="1" item="1"/>
          <tpl fld="17" item="0"/>
        </tpls>
      </n>
      <n v="1935">
        <tpls c="7">
          <tpl fld="2" item="1"/>
          <tpl fld="16" item="10"/>
          <tpl fld="0" item="1"/>
          <tpl fld="9" item="46"/>
          <tpl fld="12" item="0"/>
          <tpl fld="1" item="1"/>
          <tpl fld="17" item="0"/>
        </tpls>
      </n>
      <n v="2065865">
        <tpls c="6">
          <tpl fld="3" item="0"/>
          <tpl fld="16" item="3"/>
          <tpl hier="31" item="3"/>
          <tpl fld="12" item="6"/>
          <tpl hier="40" item="2"/>
          <tpl fld="17" item="0"/>
        </tpls>
      </n>
      <n v="17157239">
        <tpls c="6">
          <tpl fld="3" item="1"/>
          <tpl fld="16" item="3"/>
          <tpl hier="31" item="1"/>
          <tpl fld="12" item="2"/>
          <tpl hier="40" item="2"/>
          <tpl fld="17" item="0"/>
        </tpls>
      </n>
      <n v="2116">
        <tpls c="7">
          <tpl fld="3" item="0"/>
          <tpl fld="16" item="1"/>
          <tpl hier="31" item="3"/>
          <tpl fld="9" item="44"/>
          <tpl fld="12" item="2"/>
          <tpl hier="40" item="2"/>
          <tpl fld="17" item="0"/>
        </tpls>
      </n>
      <n v="0">
        <tpls c="7">
          <tpl fld="3" item="0"/>
          <tpl fld="16" item="5"/>
          <tpl hier="31" item="3"/>
          <tpl fld="9" item="33"/>
          <tpl fld="12" item="6"/>
          <tpl hier="40" item="2"/>
          <tpl fld="17" item="0"/>
        </tpls>
      </n>
      <n v="0">
        <tpls c="5">
          <tpl fld="2" item="2"/>
          <tpl fld="0" item="2"/>
          <tpl fld="12" item="18"/>
          <tpl fld="1" item="1"/>
          <tpl fld="17" item="0"/>
        </tpls>
      </n>
      <n v="2665095">
        <tpls c="7">
          <tpl fld="3" item="0"/>
          <tpl fld="16" item="11"/>
          <tpl hier="31" item="3"/>
          <tpl fld="9" item="2"/>
          <tpl fld="12" item="1"/>
          <tpl hier="40" item="2"/>
          <tpl fld="17" item="0"/>
        </tpls>
      </n>
      <n v="2458776">
        <tpls c="6">
          <tpl fld="10" item="0"/>
          <tpl hier="31" item="0"/>
          <tpl fld="9" item="9"/>
          <tpl fld="12" item="6"/>
          <tpl hier="40" item="2"/>
          <tpl fld="17" item="0"/>
        </tpls>
      </n>
      <n v="240424089">
        <tpls c="6">
          <tpl fld="2" item="0"/>
          <tpl fld="0" item="0"/>
          <tpl fld="9" item="45"/>
          <tpl fld="8" item="1"/>
          <tpl hier="40" item="2"/>
          <tpl fld="17" item="0"/>
        </tpls>
      </n>
      <n v="1500">
        <tpls c="6">
          <tpl fld="10" item="1"/>
          <tpl hier="31" item="1"/>
          <tpl fld="9" item="48"/>
          <tpl fld="8" item="2"/>
          <tpl hier="40" item="2"/>
          <tpl fld="17" item="0"/>
        </tpls>
      </n>
      <m>
        <tpls c="3">
          <tpl fld="7" item="1"/>
          <tpl fld="5" item="2"/>
          <tpl fld="17" item="1"/>
        </tpls>
      </m>
      <n v="0">
        <tpls c="7">
          <tpl fld="3" item="0"/>
          <tpl fld="16" item="7"/>
          <tpl hier="31" item="3"/>
          <tpl fld="9" item="3"/>
          <tpl fld="12" item="2"/>
          <tpl hier="40" item="2"/>
          <tpl fld="17" item="0"/>
        </tpls>
      </n>
      <n v="1500">
        <tpls c="6">
          <tpl fld="10" item="2"/>
          <tpl hier="31" item="0"/>
          <tpl fld="9" item="48"/>
          <tpl fld="12" item="22"/>
          <tpl hier="40" item="2"/>
          <tpl fld="17" item="0"/>
        </tpls>
      </n>
      <n v="0">
        <tpls c="7">
          <tpl fld="3" item="0"/>
          <tpl fld="16" item="10"/>
          <tpl hier="31" item="3"/>
          <tpl fld="9" item="2"/>
          <tpl fld="12" item="1"/>
          <tpl hier="40" item="2"/>
          <tpl fld="17" item="0"/>
        </tpls>
      </n>
      <m>
        <tpls c="6">
          <tpl fld="10" item="1"/>
          <tpl hier="31" item="1"/>
          <tpl fld="9" item="14"/>
          <tpl fld="8" item="3"/>
          <tpl hier="40" item="2"/>
          <tpl fld="17" item="0"/>
        </tpls>
      </m>
      <n v="63564">
        <tpls c="6">
          <tpl fld="10" item="2"/>
          <tpl hier="31" item="1"/>
          <tpl fld="9" item="21"/>
          <tpl fld="8" item="1"/>
          <tpl hier="40" item="2"/>
          <tpl fld="17" item="0"/>
        </tpls>
      </n>
      <n v="10018">
        <tpls c="7">
          <tpl fld="2" item="1"/>
          <tpl fld="16" item="9"/>
          <tpl fld="0" item="1"/>
          <tpl fld="9" item="70"/>
          <tpl fld="12" item="8"/>
          <tpl fld="1" item="1"/>
          <tpl fld="17" item="0"/>
        </tpls>
      </n>
      <m>
        <tpls c="3">
          <tpl fld="6" item="1"/>
          <tpl fld="4" item="8"/>
          <tpl fld="17" item="1"/>
        </tpls>
      </m>
      <n v="287367650">
        <tpls c="6">
          <tpl fld="2" item="3"/>
          <tpl fld="0" item="2"/>
          <tpl fld="9" item="58"/>
          <tpl fld="12" item="19"/>
          <tpl fld="1" item="1"/>
          <tpl fld="17" item="0"/>
        </tpls>
      </n>
      <n v="0">
        <tpls c="6">
          <tpl fld="10" item="3"/>
          <tpl hier="31" item="0"/>
          <tpl fld="9" item="12"/>
          <tpl fld="12" item="5"/>
          <tpl hier="40" item="2"/>
          <tpl fld="17" item="0"/>
        </tpls>
      </n>
      <n v="361061273">
        <tpls c="6">
          <tpl fld="3" item="1"/>
          <tpl hier="10" item="4294967295"/>
          <tpl hier="31" item="1"/>
          <tpl fld="12" item="2"/>
          <tpl hier="40" item="2"/>
          <tpl fld="17" item="0"/>
        </tpls>
      </n>
      <n v="99462">
        <tpls c="7">
          <tpl fld="3" item="1"/>
          <tpl fld="16" item="11"/>
          <tpl hier="31" item="1"/>
          <tpl fld="9" item="29"/>
          <tpl fld="12" item="2"/>
          <tpl hier="40" item="2"/>
          <tpl fld="17" item="0"/>
        </tpls>
      </n>
      <n v="86079840">
        <tpls c="6">
          <tpl fld="2" item="2"/>
          <tpl fld="0" item="2"/>
          <tpl fld="9" item="69"/>
          <tpl fld="12" item="10"/>
          <tpl fld="1" item="1"/>
          <tpl fld="17" item="0"/>
        </tpls>
      </n>
      <m>
        <tpls c="6">
          <tpl fld="10" item="1"/>
          <tpl hier="31" item="0"/>
          <tpl fld="9" item="36"/>
          <tpl fld="12" item="3"/>
          <tpl hier="40" item="2"/>
          <tpl fld="17" item="0"/>
        </tpls>
      </m>
      <n v="126859046">
        <tpls c="6">
          <tpl fld="2" item="1"/>
          <tpl fld="16" item="11"/>
          <tpl fld="0" item="1"/>
          <tpl fld="12" item="21"/>
          <tpl fld="1" item="1"/>
          <tpl fld="17" item="0"/>
        </tpls>
      </n>
      <m>
        <tpls c="3">
          <tpl fld="7" item="4"/>
          <tpl fld="5" item="4"/>
          <tpl fld="17" item="1"/>
        </tpls>
      </m>
      <n v="118000">
        <tpls c="6">
          <tpl fld="10" item="2"/>
          <tpl hier="31" item="1"/>
          <tpl fld="9" item="13"/>
          <tpl fld="8" item="1"/>
          <tpl hier="40" item="2"/>
          <tpl fld="17" item="0"/>
        </tpls>
      </n>
      <n v="240424089">
        <tpls c="6">
          <tpl fld="3" item="1"/>
          <tpl hier="10" item="4294967295"/>
          <tpl hier="31" item="1"/>
          <tpl fld="12" item="13"/>
          <tpl hier="40" item="2"/>
          <tpl fld="17" item="0"/>
        </tpls>
      </n>
      <n v="-392981">
        <tpls c="6">
          <tpl fld="2" item="1"/>
          <tpl fld="16" item="0"/>
          <tpl fld="0" item="1"/>
          <tpl fld="12" item="11"/>
          <tpl fld="1" item="1"/>
          <tpl fld="17" item="0"/>
        </tpls>
      </n>
      <m>
        <tpls c="6">
          <tpl fld="10" item="3"/>
          <tpl hier="31" item="1"/>
          <tpl fld="9" item="7"/>
          <tpl fld="8" item="1"/>
          <tpl hier="40" item="2"/>
          <tpl fld="17" item="0"/>
        </tpls>
      </m>
      <m>
        <tpls c="6">
          <tpl fld="10" item="2"/>
          <tpl hier="31" item="1"/>
          <tpl fld="9" item="2"/>
          <tpl fld="8" item="3"/>
          <tpl hier="40" item="2"/>
          <tpl fld="17" item="0"/>
        </tpls>
      </m>
      <n v="0">
        <tpls c="7">
          <tpl fld="3" item="0"/>
          <tpl fld="16" item="1"/>
          <tpl hier="31" item="3"/>
          <tpl fld="9" item="49"/>
          <tpl fld="12" item="3"/>
          <tpl hier="40" item="2"/>
          <tpl fld="17" item="0"/>
        </tpls>
      </n>
      <m>
        <tpls c="3">
          <tpl fld="6" item="7"/>
          <tpl fld="4" item="9"/>
          <tpl fld="17" item="1"/>
        </tpls>
      </m>
      <m>
        <tpls c="3">
          <tpl fld="4" item="5"/>
          <tpl fld="5" item="0"/>
          <tpl fld="17" item="1"/>
        </tpls>
      </m>
      <n v="0">
        <tpls c="6">
          <tpl fld="2" item="3"/>
          <tpl fld="0" item="2"/>
          <tpl fld="9" item="51"/>
          <tpl fld="12" item="7"/>
          <tpl fld="1" item="1"/>
          <tpl fld="17" item="0"/>
        </tpls>
      </n>
      <n v="1337458">
        <tpls c="7">
          <tpl fld="3" item="1"/>
          <tpl fld="16" item="7"/>
          <tpl hier="31" item="1"/>
          <tpl fld="9" item="5"/>
          <tpl fld="12" item="2"/>
          <tpl hier="40" item="2"/>
          <tpl fld="17" item="0"/>
        </tpls>
      </n>
      <m>
        <tpls c="3">
          <tpl fld="7" item="4"/>
          <tpl fld="5" item="1"/>
          <tpl fld="17" item="1"/>
        </tpls>
      </m>
      <n v="-343851">
        <tpls c="6">
          <tpl fld="2" item="3"/>
          <tpl fld="0" item="2"/>
          <tpl fld="9" item="54"/>
          <tpl fld="12" item="16"/>
          <tpl fld="1" item="1"/>
          <tpl fld="17" item="0"/>
        </tpls>
      </n>
      <n v="92265">
        <tpls c="6">
          <tpl fld="2" item="2"/>
          <tpl fld="0" item="2"/>
          <tpl fld="9" item="37"/>
          <tpl fld="8" item="3"/>
          <tpl hier="40" item="2"/>
          <tpl fld="17" item="0"/>
        </tpls>
      </n>
      <n v="687981">
        <tpls c="7">
          <tpl fld="3" item="1"/>
          <tpl fld="16" item="3"/>
          <tpl hier="31" item="1"/>
          <tpl fld="9" item="38"/>
          <tpl fld="12" item="5"/>
          <tpl hier="40" item="2"/>
          <tpl fld="17" item="0"/>
        </tpls>
      </n>
      <n v="697807">
        <tpls c="7">
          <tpl fld="2" item="1"/>
          <tpl fld="16" item="11"/>
          <tpl fld="0" item="1"/>
          <tpl fld="9" item="47"/>
          <tpl fld="12" item="17"/>
          <tpl fld="1" item="1"/>
          <tpl fld="17" item="0"/>
        </tpls>
      </n>
      <n v="581650282">
        <tpls c="5">
          <tpl fld="2" item="3"/>
          <tpl fld="0" item="2"/>
          <tpl fld="12" item="17"/>
          <tpl fld="1" item="1"/>
          <tpl fld="17" item="0"/>
        </tpls>
      </n>
      <m>
        <tpls c="7">
          <tpl fld="3" item="1"/>
          <tpl hier="10" item="4294967295"/>
          <tpl hier="31" item="1"/>
          <tpl fld="9" item="27"/>
          <tpl fld="12" item="5"/>
          <tpl hier="40" item="2"/>
          <tpl fld="17" item="0"/>
        </tpls>
      </m>
      <m>
        <tpls c="3">
          <tpl fld="6" item="16"/>
          <tpl fld="4" item="0"/>
          <tpl fld="17" item="1"/>
        </tpls>
      </m>
      <m>
        <tpls c="7">
          <tpl fld="3" item="1"/>
          <tpl fld="16" item="2"/>
          <tpl hier="31" item="1"/>
          <tpl fld="9" item="6"/>
          <tpl fld="12" item="1"/>
          <tpl hier="40" item="2"/>
          <tpl fld="17" item="0"/>
        </tpls>
      </m>
      <n v="234390">
        <tpls c="7">
          <tpl fld="3" item="1"/>
          <tpl fld="16" item="4"/>
          <tpl hier="31" item="1"/>
          <tpl fld="9" item="40"/>
          <tpl fld="12" item="3"/>
          <tpl hier="40" item="2"/>
          <tpl fld="17" item="0"/>
        </tpls>
      </n>
      <n v="-12822054">
        <tpls c="7">
          <tpl fld="2" item="1"/>
          <tpl fld="16" item="10"/>
          <tpl fld="0" item="1"/>
          <tpl fld="9" item="56"/>
          <tpl fld="12" item="8"/>
          <tpl fld="1" item="1"/>
          <tpl fld="17" item="0"/>
        </tpls>
      </n>
      <n v="0">
        <tpls c="7">
          <tpl fld="2" item="1"/>
          <tpl fld="16" item="7"/>
          <tpl fld="0" item="1"/>
          <tpl fld="9" item="61"/>
          <tpl fld="12" item="0"/>
          <tpl fld="1" item="1"/>
          <tpl fld="17" item="0"/>
        </tpls>
      </n>
      <n v="1100000">
        <tpls c="6">
          <tpl fld="2" item="0"/>
          <tpl fld="0" item="0"/>
          <tpl fld="9" item="49"/>
          <tpl fld="8" item="1"/>
          <tpl hier="40" item="2"/>
          <tpl fld="17" item="0"/>
        </tpls>
      </n>
      <m>
        <tpls c="5">
          <tpl fld="10" item="3"/>
          <tpl hier="31" item="0"/>
          <tpl fld="12" item="20"/>
          <tpl hier="40" item="2"/>
          <tpl fld="17" item="0"/>
        </tpls>
      </m>
      <n v="394044">
        <tpls c="6">
          <tpl fld="3" item="0"/>
          <tpl fld="16" item="2"/>
          <tpl hier="31" item="3"/>
          <tpl fld="12" item="5"/>
          <tpl hier="40" item="2"/>
          <tpl fld="17" item="0"/>
        </tpls>
      </n>
      <n v="15757464">
        <tpls c="7">
          <tpl fld="3" item="1"/>
          <tpl hier="10" item="4294967295"/>
          <tpl hier="31" item="1"/>
          <tpl fld="9" item="4"/>
          <tpl fld="12" item="3"/>
          <tpl hier="40" item="2"/>
          <tpl fld="17" item="0"/>
        </tpls>
      </n>
      <n v="0">
        <tpls c="7">
          <tpl fld="3" item="0"/>
          <tpl fld="16" item="4"/>
          <tpl hier="31" item="3"/>
          <tpl fld="9" item="13"/>
          <tpl fld="12" item="3"/>
          <tpl hier="40" item="2"/>
          <tpl fld="17" item="0"/>
        </tpls>
      </n>
      <m>
        <tpls c="3">
          <tpl fld="6" item="9"/>
          <tpl fld="4" item="5"/>
          <tpl fld="17" item="1"/>
        </tpls>
      </m>
      <m>
        <tpls c="6">
          <tpl fld="10" item="1"/>
          <tpl hier="31" item="1"/>
          <tpl fld="9" item="19"/>
          <tpl fld="8" item="2"/>
          <tpl hier="40" item="2"/>
          <tpl fld="17" item="0"/>
        </tpls>
      </m>
      <m>
        <tpls c="7">
          <tpl fld="3" item="1"/>
          <tpl fld="16" item="0"/>
          <tpl hier="31" item="1"/>
          <tpl fld="9" item="22"/>
          <tpl fld="12" item="2"/>
          <tpl hier="40" item="2"/>
          <tpl fld="17" item="0"/>
        </tpls>
      </m>
      <n v="91459">
        <tpls c="7">
          <tpl fld="3" item="0"/>
          <tpl fld="16" item="8"/>
          <tpl hier="31" item="3"/>
          <tpl fld="9" item="9"/>
          <tpl fld="12" item="6"/>
          <tpl hier="40" item="2"/>
          <tpl fld="17" item="0"/>
        </tpls>
      </n>
      <n v="75108">
        <tpls c="7">
          <tpl fld="3" item="1"/>
          <tpl fld="16" item="7"/>
          <tpl hier="31" item="1"/>
          <tpl fld="9" item="33"/>
          <tpl fld="12" item="6"/>
          <tpl hier="40" item="2"/>
          <tpl fld="17" item="0"/>
        </tpls>
      </n>
      <n v="4343">
        <tpls c="7">
          <tpl fld="2" item="1"/>
          <tpl fld="16" item="2"/>
          <tpl fld="0" item="1"/>
          <tpl fld="9" item="66"/>
          <tpl fld="12" item="4"/>
          <tpl fld="1" item="1"/>
          <tpl fld="17" item="0"/>
        </tpls>
      </n>
      <m>
        <tpls c="3">
          <tpl fld="6" item="21"/>
          <tpl fld="4" item="4"/>
          <tpl fld="17" item="1"/>
        </tpls>
      </m>
      <n v="391250">
        <tpls c="7">
          <tpl fld="3" item="0"/>
          <tpl fld="16" item="10"/>
          <tpl hier="31" item="3"/>
          <tpl fld="9" item="4"/>
          <tpl fld="12" item="3"/>
          <tpl hier="40" item="2"/>
          <tpl fld="17" item="0"/>
        </tpls>
      </n>
      <m>
        <tpls c="7">
          <tpl fld="3" item="1"/>
          <tpl fld="16" item="3"/>
          <tpl hier="31" item="1"/>
          <tpl fld="9" item="49"/>
          <tpl fld="12" item="3"/>
          <tpl hier="40" item="2"/>
          <tpl fld="17" item="0"/>
        </tpls>
      </m>
      <n v="251464">
        <tpls c="7">
          <tpl fld="3" item="0"/>
          <tpl fld="16" item="4"/>
          <tpl hier="31" item="3"/>
          <tpl fld="9" item="9"/>
          <tpl fld="12" item="6"/>
          <tpl hier="40" item="2"/>
          <tpl fld="17" item="0"/>
        </tpls>
      </n>
      <n v="0">
        <tpls c="7">
          <tpl fld="2" item="1"/>
          <tpl fld="16" item="6"/>
          <tpl fld="0" item="1"/>
          <tpl fld="9" item="58"/>
          <tpl fld="12" item="19"/>
          <tpl fld="1" item="1"/>
          <tpl fld="17" item="0"/>
        </tpls>
      </n>
      <n v="0">
        <tpls c="7">
          <tpl fld="3" item="0"/>
          <tpl fld="16" item="8"/>
          <tpl hier="31" item="3"/>
          <tpl fld="9" item="7"/>
          <tpl fld="12" item="3"/>
          <tpl hier="40" item="2"/>
          <tpl fld="17" item="0"/>
        </tpls>
      </n>
      <m>
        <tpls c="3">
          <tpl fld="7" item="7"/>
          <tpl fld="5" item="4"/>
          <tpl fld="17" item="1"/>
        </tpls>
      </m>
      <n v="-2482620">
        <tpls c="6">
          <tpl fld="2" item="1"/>
          <tpl fld="16" item="0"/>
          <tpl fld="0" item="1"/>
          <tpl fld="12" item="17"/>
          <tpl fld="1" item="1"/>
          <tpl fld="17" item="0"/>
        </tpls>
      </n>
      <m>
        <tpls c="3">
          <tpl fld="6" item="5"/>
          <tpl fld="4" item="7"/>
          <tpl fld="17" item="1"/>
        </tpls>
      </m>
      <n v="0">
        <tpls c="7">
          <tpl fld="3" item="0"/>
          <tpl fld="16" item="7"/>
          <tpl hier="31" item="3"/>
          <tpl fld="9" item="11"/>
          <tpl fld="12" item="3"/>
          <tpl hier="40" item="2"/>
          <tpl fld="17" item="0"/>
        </tpls>
      </n>
      <n v="230245237">
        <tpls c="6">
          <tpl fld="3" item="0"/>
          <tpl hier="10" item="4294967295"/>
          <tpl hier="31" item="3"/>
          <tpl fld="12" item="13"/>
          <tpl hier="40" item="2"/>
          <tpl fld="17" item="0"/>
        </tpls>
      </n>
      <n v="75108">
        <tpls c="7">
          <tpl fld="3" item="1"/>
          <tpl fld="16" item="10"/>
          <tpl hier="31" item="1"/>
          <tpl fld="9" item="33"/>
          <tpl fld="12" item="6"/>
          <tpl hier="40" item="2"/>
          <tpl fld="17" item="0"/>
        </tpls>
      </n>
      <m>
        <tpls c="3">
          <tpl fld="6" item="2"/>
          <tpl fld="4" item="7"/>
          <tpl fld="17" item="1"/>
        </tpls>
      </m>
      <m>
        <tpls c="3">
          <tpl fld="6" item="11"/>
          <tpl fld="4" item="9"/>
          <tpl fld="17" item="1"/>
        </tpls>
      </m>
      <n v="270324">
        <tpls c="6">
          <tpl fld="10" item="2"/>
          <tpl hier="31" item="0"/>
          <tpl fld="9" item="33"/>
          <tpl fld="12" item="6"/>
          <tpl hier="40" item="2"/>
          <tpl fld="17" item="0"/>
        </tpls>
      </n>
      <n v="4715772">
        <tpls c="7">
          <tpl fld="3" item="0"/>
          <tpl hier="10" item="4294967295"/>
          <tpl hier="31" item="3"/>
          <tpl fld="9" item="38"/>
          <tpl fld="12" item="5"/>
          <tpl hier="40" item="2"/>
          <tpl fld="17" item="0"/>
        </tpls>
      </n>
      <n v="-392981">
        <tpls c="7">
          <tpl fld="2" item="1"/>
          <tpl fld="16" item="7"/>
          <tpl fld="0" item="1"/>
          <tpl fld="9" item="16"/>
          <tpl fld="12" item="11"/>
          <tpl fld="1" item="1"/>
          <tpl fld="17" item="0"/>
        </tpls>
      </n>
      <n v="-10806701">
        <tpls c="6">
          <tpl fld="2" item="1"/>
          <tpl fld="16" item="6"/>
          <tpl fld="0" item="1"/>
          <tpl fld="12" item="8"/>
          <tpl fld="1" item="1"/>
          <tpl fld="17" item="0"/>
        </tpls>
      </n>
      <n v="52177460">
        <tpls c="7">
          <tpl fld="2" item="1"/>
          <tpl fld="16" item="11"/>
          <tpl fld="0" item="1"/>
          <tpl fld="9" item="26"/>
          <tpl fld="12" item="14"/>
          <tpl fld="1" item="1"/>
          <tpl fld="17" item="0"/>
        </tpls>
      </n>
      <n v="392981">
        <tpls c="7">
          <tpl fld="3" item="0"/>
          <tpl fld="16" item="4"/>
          <tpl hier="31" item="3"/>
          <tpl fld="9" item="38"/>
          <tpl fld="12" item="5"/>
          <tpl hier="40" item="2"/>
          <tpl fld="17" item="0"/>
        </tpls>
      </n>
      <n v="-85671">
        <tpls c="6">
          <tpl fld="2" item="1"/>
          <tpl fld="16" item="7"/>
          <tpl fld="0" item="1"/>
          <tpl fld="12" item="4"/>
          <tpl fld="1" item="1"/>
          <tpl fld="17" item="0"/>
        </tpls>
      </n>
      <n v="29">
        <tpls c="7">
          <tpl fld="3" item="0"/>
          <tpl fld="16" item="7"/>
          <tpl hier="31" item="3"/>
          <tpl fld="9" item="6"/>
          <tpl fld="12" item="1"/>
          <tpl hier="40" item="2"/>
          <tpl fld="17" item="0"/>
        </tpls>
      </n>
      <n v="0">
        <tpls c="6">
          <tpl fld="2" item="1"/>
          <tpl fld="16" item="9"/>
          <tpl fld="0" item="1"/>
          <tpl fld="12" item="12"/>
          <tpl fld="1" item="1"/>
          <tpl fld="17" item="0"/>
        </tpls>
      </n>
      <n v="392981">
        <tpls c="7">
          <tpl fld="3" item="0"/>
          <tpl fld="16" item="6"/>
          <tpl hier="31" item="3"/>
          <tpl fld="9" item="38"/>
          <tpl fld="12" item="5"/>
          <tpl hier="40" item="2"/>
          <tpl fld="17" item="0"/>
        </tpls>
      </n>
      <n v="696289">
        <tpls c="6">
          <tpl fld="2" item="2"/>
          <tpl fld="0" item="2"/>
          <tpl fld="9" item="7"/>
          <tpl fld="8" item="1"/>
          <tpl hier="40" item="2"/>
          <tpl fld="17" item="0"/>
        </tpls>
      </n>
      <m>
        <tpls c="7">
          <tpl fld="3" item="1"/>
          <tpl fld="16" item="11"/>
          <tpl hier="31" item="1"/>
          <tpl fld="9" item="1"/>
          <tpl fld="12" item="1"/>
          <tpl hier="40" item="2"/>
          <tpl fld="17" item="0"/>
        </tpls>
      </m>
      <n v="20668635">
        <tpls c="6">
          <tpl fld="3" item="0"/>
          <tpl fld="16" item="3"/>
          <tpl hier="31" item="3"/>
          <tpl fld="12" item="2"/>
          <tpl hier="40" item="2"/>
          <tpl fld="17" item="0"/>
        </tpls>
      </n>
      <n v="119193">
        <tpls c="7">
          <tpl fld="3" item="0"/>
          <tpl fld="16" item="10"/>
          <tpl hier="31" item="3"/>
          <tpl fld="9" item="40"/>
          <tpl fld="12" item="3"/>
          <tpl hier="40" item="2"/>
          <tpl fld="17" item="0"/>
        </tpls>
      </n>
      <n v="0">
        <tpls c="6">
          <tpl fld="2" item="2"/>
          <tpl fld="0" item="2"/>
          <tpl fld="9" item="22"/>
          <tpl fld="12" item="2"/>
          <tpl hier="40" item="2"/>
          <tpl fld="17" item="0"/>
        </tpls>
      </n>
      <n v="0">
        <tpls c="7">
          <tpl fld="3" item="0"/>
          <tpl fld="16" item="9"/>
          <tpl hier="31" item="3"/>
          <tpl fld="9" item="19"/>
          <tpl fld="12" item="5"/>
          <tpl hier="40" item="2"/>
          <tpl fld="17" item="0"/>
        </tpls>
      </n>
      <n v="-6234040">
        <tpls c="7">
          <tpl fld="2" item="1"/>
          <tpl fld="16" item="6"/>
          <tpl fld="0" item="1"/>
          <tpl fld="9" item="54"/>
          <tpl fld="12" item="16"/>
          <tpl fld="1" item="1"/>
          <tpl fld="17" item="0"/>
        </tpls>
      </n>
      <n v="83334">
        <tpls c="7">
          <tpl fld="3" item="1"/>
          <tpl fld="16" item="11"/>
          <tpl hier="31" item="1"/>
          <tpl fld="9" item="53"/>
          <tpl fld="12" item="2"/>
          <tpl hier="40" item="2"/>
          <tpl fld="17" item="0"/>
        </tpls>
      </n>
      <n v="4209981">
        <tpls c="6">
          <tpl fld="10" item="0"/>
          <tpl hier="31" item="0"/>
          <tpl fld="9" item="15"/>
          <tpl fld="12" item="3"/>
          <tpl hier="40" item="2"/>
          <tpl fld="17" item="0"/>
        </tpls>
      </n>
      <m>
        <tpls c="3">
          <tpl fld="6" item="11"/>
          <tpl fld="4" item="7"/>
          <tpl fld="17" item="1"/>
        </tpls>
      </m>
      <n v="71882890">
        <tpls c="6">
          <tpl fld="2" item="3"/>
          <tpl fld="0" item="2"/>
          <tpl fld="9" item="65"/>
          <tpl fld="12" item="14"/>
          <tpl fld="1" item="1"/>
          <tpl fld="17" item="0"/>
        </tpls>
      </n>
      <n v="787508">
        <tpls c="6">
          <tpl fld="10" item="1"/>
          <tpl hier="31" item="1"/>
          <tpl fld="9" item="31"/>
          <tpl fld="8" item="0"/>
          <tpl hier="40" item="2"/>
          <tpl fld="17" item="0"/>
        </tpls>
      </n>
      <n v="270324">
        <tpls c="6">
          <tpl fld="10" item="0"/>
          <tpl hier="31" item="0"/>
          <tpl fld="9" item="33"/>
          <tpl fld="12" item="6"/>
          <tpl hier="40" item="2"/>
          <tpl fld="17" item="0"/>
        </tpls>
      </n>
      <m>
        <tpls c="7">
          <tpl fld="3" item="1"/>
          <tpl fld="16" item="8"/>
          <tpl hier="31" item="1"/>
          <tpl fld="9" item="19"/>
          <tpl fld="12" item="5"/>
          <tpl hier="40" item="2"/>
          <tpl fld="17" item="0"/>
        </tpls>
      </m>
      <m>
        <tpls c="7">
          <tpl fld="3" item="1"/>
          <tpl fld="16" item="1"/>
          <tpl hier="31" item="1"/>
          <tpl fld="9" item="32"/>
          <tpl fld="12" item="5"/>
          <tpl hier="40" item="2"/>
          <tpl fld="17" item="0"/>
        </tpls>
      </m>
      <n v="-191355">
        <tpls c="7">
          <tpl fld="2" item="1"/>
          <tpl fld="16" item="10"/>
          <tpl fld="0" item="1"/>
          <tpl fld="9" item="64"/>
          <tpl fld="12" item="17"/>
          <tpl fld="1" item="1"/>
          <tpl fld="17" item="0"/>
        </tpls>
      </n>
      <m>
        <tpls c="7">
          <tpl fld="3" item="1"/>
          <tpl fld="16" item="9"/>
          <tpl hier="31" item="1"/>
          <tpl fld="9" item="14"/>
          <tpl fld="12" item="3"/>
          <tpl hier="40" item="2"/>
          <tpl fld="17" item="0"/>
        </tpls>
      </m>
      <n v="832563">
        <tpls c="5">
          <tpl fld="2" item="3"/>
          <tpl fld="0" item="2"/>
          <tpl fld="12" item="4"/>
          <tpl fld="1" item="1"/>
          <tpl fld="17" item="0"/>
        </tpls>
      </n>
      <m>
        <tpls c="6">
          <tpl fld="10" item="3"/>
          <tpl hier="31" item="1"/>
          <tpl fld="9" item="14"/>
          <tpl fld="8" item="3"/>
          <tpl hier="40" item="2"/>
          <tpl fld="17" item="0"/>
        </tpls>
      </m>
      <n v="0">
        <tpls c="7">
          <tpl fld="2" item="1"/>
          <tpl fld="16" item="6"/>
          <tpl fld="0" item="1"/>
          <tpl fld="9" item="62"/>
          <tpl fld="12" item="12"/>
          <tpl fld="1" item="1"/>
          <tpl fld="17" item="0"/>
        </tpls>
      </n>
      <n v="0">
        <tpls c="7">
          <tpl fld="3" item="0"/>
          <tpl fld="16" item="11"/>
          <tpl hier="31" item="3"/>
          <tpl fld="9" item="32"/>
          <tpl fld="12" item="5"/>
          <tpl hier="40" item="2"/>
          <tpl fld="17" item="0"/>
        </tpls>
      </n>
      <n v="0">
        <tpls c="6">
          <tpl fld="2" item="1"/>
          <tpl fld="16" item="5"/>
          <tpl fld="0" item="1"/>
          <tpl fld="12" item="10"/>
          <tpl fld="1" item="1"/>
          <tpl fld="17" item="0"/>
        </tpls>
      </n>
      <n v="14923142">
        <tpls c="6">
          <tpl fld="10" item="0"/>
          <tpl hier="31" item="1"/>
          <tpl fld="9" item="8"/>
          <tpl fld="8" item="1"/>
          <tpl hier="40" item="2"/>
          <tpl fld="17" item="0"/>
        </tpls>
      </n>
      <n v="3784729">
        <tpls c="6">
          <tpl fld="10" item="3"/>
          <tpl hier="31" item="0"/>
          <tpl fld="9" item="5"/>
          <tpl fld="12" item="2"/>
          <tpl hier="40" item="2"/>
          <tpl fld="17" item="0"/>
        </tpls>
      </n>
      <m>
        <tpls c="7">
          <tpl fld="3" item="0"/>
          <tpl fld="16" item="4"/>
          <tpl hier="31" item="3"/>
          <tpl fld="9" item="22"/>
          <tpl fld="12" item="2"/>
          <tpl hier="40" item="2"/>
          <tpl fld="17" item="0"/>
        </tpls>
      </m>
      <n v="111935">
        <tpls c="7">
          <tpl fld="3" item="0"/>
          <tpl fld="16" item="10"/>
          <tpl hier="31" item="3"/>
          <tpl fld="9" item="31"/>
          <tpl fld="12" item="2"/>
          <tpl hier="40" item="2"/>
          <tpl fld="17" item="0"/>
        </tpls>
      </n>
      <m>
        <tpls c="3">
          <tpl fld="6" item="13"/>
          <tpl fld="4" item="9"/>
          <tpl fld="17" item="1"/>
        </tpls>
      </m>
      <n v="1080190">
        <tpls c="6">
          <tpl fld="2" item="1"/>
          <tpl hier="10" item="4294967295"/>
          <tpl fld="0" item="1"/>
          <tpl fld="12" item="4"/>
          <tpl fld="1" item="1"/>
          <tpl fld="17" item="0"/>
        </tpls>
      </n>
      <n v="88500">
        <tpls c="6">
          <tpl fld="10" item="2"/>
          <tpl hier="31" item="0"/>
          <tpl fld="9" item="7"/>
          <tpl fld="12" item="3"/>
          <tpl hier="40" item="2"/>
          <tpl fld="17" item="0"/>
        </tpls>
      </n>
      <n v="13456026">
        <tpls c="7">
          <tpl fld="3" item="0"/>
          <tpl hier="10" item="4294967295"/>
          <tpl hier="31" item="3"/>
          <tpl fld="9" item="25"/>
          <tpl fld="12" item="2"/>
          <tpl hier="40" item="2"/>
          <tpl fld="17" item="0"/>
        </tpls>
      </n>
      <n v="422578">
        <tpls c="6">
          <tpl fld="3" item="0"/>
          <tpl fld="16" item="4"/>
          <tpl hier="31" item="3"/>
          <tpl fld="12" item="5"/>
          <tpl hier="40" item="2"/>
          <tpl fld="17" item="0"/>
        </tpls>
      </n>
      <n v="215">
        <tpls c="6">
          <tpl fld="3" item="0"/>
          <tpl fld="16" item="3"/>
          <tpl hier="31" item="3"/>
          <tpl fld="12" item="22"/>
          <tpl hier="40" item="2"/>
          <tpl fld="17" item="0"/>
        </tpls>
      </n>
      <n v="0">
        <tpls c="7">
          <tpl fld="2" item="1"/>
          <tpl fld="16" item="5"/>
          <tpl fld="0" item="1"/>
          <tpl fld="9" item="26"/>
          <tpl fld="12" item="14"/>
          <tpl fld="1" item="1"/>
          <tpl fld="17" item="0"/>
        </tpls>
      </n>
      <n v="0">
        <tpls c="7">
          <tpl fld="3" item="0"/>
          <tpl fld="16" item="6"/>
          <tpl hier="31" item="3"/>
          <tpl fld="9" item="49"/>
          <tpl fld="12" item="3"/>
          <tpl hier="40" item="2"/>
          <tpl fld="17" item="0"/>
        </tpls>
      </n>
      <n v="350750">
        <tpls c="3">
          <tpl fld="11" item="11"/>
          <tpl fld="15" item="1"/>
          <tpl fld="17" item="2"/>
        </tpls>
      </n>
      <n v="0">
        <tpls c="7">
          <tpl fld="2" item="1"/>
          <tpl fld="16" item="7"/>
          <tpl fld="0" item="1"/>
          <tpl fld="9" item="26"/>
          <tpl fld="12" item="14"/>
          <tpl fld="1" item="1"/>
          <tpl fld="17" item="0"/>
        </tpls>
      </n>
      <n v="4167">
        <tpls c="3">
          <tpl fld="11" item="9"/>
          <tpl fld="15" item="0"/>
          <tpl fld="17" item="2"/>
        </tpls>
      </n>
      <n v="2665095">
        <tpls c="6">
          <tpl fld="2" item="2"/>
          <tpl fld="0" item="2"/>
          <tpl fld="9" item="42"/>
          <tpl fld="12" item="17"/>
          <tpl fld="1" item="1"/>
          <tpl fld="17" item="0"/>
        </tpls>
      </n>
      <n v="3438">
        <tpls c="7">
          <tpl fld="3" item="1"/>
          <tpl fld="16" item="2"/>
          <tpl hier="31" item="1"/>
          <tpl fld="9" item="10"/>
          <tpl fld="12" item="6"/>
          <tpl hier="40" item="2"/>
          <tpl fld="17" item="0"/>
        </tpls>
      </n>
      <n v="-1440">
        <tpls c="7">
          <tpl fld="2" item="1"/>
          <tpl fld="16" item="2"/>
          <tpl fld="0" item="1"/>
          <tpl fld="9" item="57"/>
          <tpl fld="12" item="8"/>
          <tpl fld="1" item="1"/>
          <tpl fld="17" item="0"/>
        </tpls>
      </n>
      <n v="1403327">
        <tpls c="7">
          <tpl fld="3" item="1"/>
          <tpl fld="16" item="3"/>
          <tpl hier="31" item="1"/>
          <tpl fld="9" item="15"/>
          <tpl fld="12" item="3"/>
          <tpl hier="40" item="2"/>
          <tpl fld="17" item="0"/>
        </tpls>
      </n>
      <n v="4320465">
        <tpls c="6">
          <tpl fld="2" item="2"/>
          <tpl fld="0" item="2"/>
          <tpl fld="9" item="9"/>
          <tpl fld="12" item="6"/>
          <tpl hier="40" item="2"/>
          <tpl fld="17" item="0"/>
        </tpls>
      </n>
      <n v="0">
        <tpls c="6">
          <tpl fld="2" item="1"/>
          <tpl fld="16" item="10"/>
          <tpl fld="0" item="1"/>
          <tpl fld="12" item="10"/>
          <tpl fld="1" item="1"/>
          <tpl fld="17" item="0"/>
        </tpls>
      </n>
      <n v="9819066">
        <tpls c="6">
          <tpl fld="2" item="2"/>
          <tpl fld="0" item="2"/>
          <tpl fld="9" item="18"/>
          <tpl fld="8" item="0"/>
          <tpl hier="40" item="2"/>
          <tpl fld="17" item="0"/>
        </tpls>
      </n>
      <n v="18876781">
        <tpls c="6">
          <tpl fld="2" item="1"/>
          <tpl fld="16" item="9"/>
          <tpl fld="0" item="1"/>
          <tpl fld="12" item="16"/>
          <tpl fld="1" item="1"/>
          <tpl fld="17" item="0"/>
        </tpls>
      </n>
      <n v="2599537">
        <tpls c="6">
          <tpl fld="3" item="0"/>
          <tpl fld="16" item="9"/>
          <tpl hier="31" item="3"/>
          <tpl fld="12" item="3"/>
          <tpl hier="40" item="2"/>
          <tpl fld="17" item="0"/>
        </tpls>
      </n>
      <m>
        <tpls c="3">
          <tpl fld="6" item="13"/>
          <tpl fld="4" item="8"/>
          <tpl fld="17" item="1"/>
        </tpls>
      </m>
      <n v="1260000" in="0">
        <tpls c="3">
          <tpl fld="7" item="5"/>
          <tpl fld="5" item="5"/>
          <tpl fld="17" item="1"/>
        </tpls>
      </n>
      <n v="0">
        <tpls c="6">
          <tpl fld="2" item="1"/>
          <tpl fld="16" item="10"/>
          <tpl fld="0" item="1"/>
          <tpl fld="12" item="12"/>
          <tpl fld="1" item="1"/>
          <tpl fld="17" item="0"/>
        </tpls>
      </n>
      <n v="1078904">
        <tpls c="7">
          <tpl fld="3" item="1"/>
          <tpl fld="16" item="10"/>
          <tpl hier="31" item="1"/>
          <tpl fld="9" item="5"/>
          <tpl fld="12" item="2"/>
          <tpl hier="40" item="2"/>
          <tpl fld="17" item="0"/>
        </tpls>
      </n>
      <n v="1747950">
        <tpls c="6">
          <tpl fld="10" item="1"/>
          <tpl hier="31" item="0"/>
          <tpl fld="9" item="0"/>
          <tpl fld="12" item="2"/>
          <tpl hier="40" item="2"/>
          <tpl fld="17" item="0"/>
        </tpls>
      </n>
      <n v="38081796">
        <tpls c="6">
          <tpl fld="2" item="3"/>
          <tpl fld="0" item="2"/>
          <tpl fld="9" item="26"/>
          <tpl fld="12" item="14"/>
          <tpl fld="1" item="1"/>
          <tpl fld="17" item="0"/>
        </tpls>
      </n>
      <n v="0">
        <tpls c="6">
          <tpl fld="2" item="2"/>
          <tpl fld="0" item="2"/>
          <tpl fld="9" item="22"/>
          <tpl fld="8" item="0"/>
          <tpl hier="40" item="2"/>
          <tpl fld="17" item="0"/>
        </tpls>
      </n>
      <n v="2299995">
        <tpls c="7">
          <tpl fld="3" item="1"/>
          <tpl hier="10" item="4294967295"/>
          <tpl hier="31" item="1"/>
          <tpl fld="9" item="31"/>
          <tpl fld="12" item="2"/>
          <tpl hier="40" item="2"/>
          <tpl fld="17" item="0"/>
        </tpls>
      </n>
      <n v="79167">
        <tpls c="3">
          <tpl fld="11" item="6"/>
          <tpl fld="15" item="4"/>
          <tpl fld="17" item="2"/>
        </tpls>
      </n>
      <n v="0">
        <tpls c="7">
          <tpl fld="3" item="0"/>
          <tpl fld="16" item="10"/>
          <tpl hier="31" item="3"/>
          <tpl fld="9" item="7"/>
          <tpl fld="12" item="3"/>
          <tpl hier="40" item="2"/>
          <tpl fld="17" item="0"/>
        </tpls>
      </n>
      <m>
        <tpls c="7">
          <tpl fld="3" item="1"/>
          <tpl hier="10" item="4294967295"/>
          <tpl hier="31" item="1"/>
          <tpl fld="9" item="14"/>
          <tpl fld="12" item="3"/>
          <tpl hier="40" item="2"/>
          <tpl fld="17" item="0"/>
        </tpls>
      </m>
      <n v="4246940">
        <tpls c="6">
          <tpl fld="2" item="1"/>
          <tpl fld="16" item="11"/>
          <tpl fld="0" item="1"/>
          <tpl fld="12" item="0"/>
          <tpl fld="1" item="1"/>
          <tpl fld="17" item="0"/>
        </tpls>
      </n>
      <m>
        <tpls c="6">
          <tpl fld="10" item="0"/>
          <tpl hier="31" item="1"/>
          <tpl fld="9" item="14"/>
          <tpl fld="8" item="3"/>
          <tpl hier="40" item="2"/>
          <tpl fld="17" item="0"/>
        </tpls>
      </m>
      <n v="18000">
        <tpls c="7">
          <tpl fld="3" item="1"/>
          <tpl fld="16" item="0"/>
          <tpl hier="31" item="1"/>
          <tpl fld="9" item="11"/>
          <tpl fld="12" item="3"/>
          <tpl hier="40" item="2"/>
          <tpl fld="17" item="0"/>
        </tpls>
      </n>
      <n v="1000">
        <tpls c="6">
          <tpl fld="3" item="1"/>
          <tpl fld="16" item="11"/>
          <tpl hier="31" item="1"/>
          <tpl fld="12" item="22"/>
          <tpl hier="40" item="2"/>
          <tpl fld="17" item="0"/>
        </tpls>
      </n>
      <n v="6000000" in="0">
        <tpls c="3">
          <tpl fld="6" item="4"/>
          <tpl fld="4" item="1"/>
          <tpl fld="17" item="1"/>
        </tpls>
      </n>
      <n v="970277">
        <tpls c="7">
          <tpl fld="3" item="0"/>
          <tpl fld="16" item="9"/>
          <tpl hier="31" item="3"/>
          <tpl fld="9" item="25"/>
          <tpl fld="12" item="2"/>
          <tpl hier="40" item="2"/>
          <tpl fld="17" item="0"/>
        </tpls>
      </n>
      <n v="12000">
        <tpls c="5">
          <tpl fld="2" item="0"/>
          <tpl fld="0" item="0"/>
          <tpl fld="12" item="22"/>
          <tpl hier="40" item="2"/>
          <tpl fld="17" item="0"/>
        </tpls>
      </n>
      <m>
        <tpls c="7">
          <tpl fld="3" item="1"/>
          <tpl fld="16" item="11"/>
          <tpl hier="31" item="1"/>
          <tpl fld="9" item="22"/>
          <tpl fld="12" item="2"/>
          <tpl hier="40" item="2"/>
          <tpl fld="17" item="0"/>
        </tpls>
      </m>
      <n v="35584">
        <tpls c="7">
          <tpl fld="3" item="0"/>
          <tpl fld="16" item="10"/>
          <tpl hier="31" item="3"/>
          <tpl fld="9" item="24"/>
          <tpl fld="12" item="6"/>
          <tpl hier="40" item="2"/>
          <tpl fld="17" item="0"/>
        </tpls>
      </n>
      <n v="1424476">
        <tpls c="7">
          <tpl fld="3" item="1"/>
          <tpl fld="16" item="1"/>
          <tpl hier="31" item="1"/>
          <tpl fld="9" item="25"/>
          <tpl fld="12" item="2"/>
          <tpl hier="40" item="2"/>
          <tpl fld="17" item="0"/>
        </tpls>
      </n>
      <n v="-41250">
        <tpls c="7">
          <tpl fld="2" item="1"/>
          <tpl fld="16" item="9"/>
          <tpl fld="0" item="1"/>
          <tpl fld="9" item="46"/>
          <tpl fld="12" item="0"/>
          <tpl fld="1" item="1"/>
          <tpl fld="17" item="0"/>
        </tpls>
      </n>
      <n v="41256">
        <tpls c="6">
          <tpl fld="2" item="0"/>
          <tpl fld="0" item="0"/>
          <tpl fld="9" item="10"/>
          <tpl fld="8" item="1"/>
          <tpl hier="40" item="2"/>
          <tpl fld="17" item="0"/>
        </tpls>
      </n>
      <n v="13250229">
        <tpls c="6">
          <tpl fld="2" item="1"/>
          <tpl fld="0" item="1"/>
          <tpl fld="9" item="4"/>
          <tpl fld="12" item="3"/>
          <tpl hier="40" item="2"/>
          <tpl fld="17" item="0"/>
        </tpls>
      </n>
      <n v="1100000">
        <tpls c="7">
          <tpl fld="3" item="1"/>
          <tpl fld="16" item="0"/>
          <tpl hier="31" item="1"/>
          <tpl fld="9" item="49"/>
          <tpl fld="12" item="3"/>
          <tpl hier="40" item="2"/>
          <tpl fld="17" item="0"/>
        </tpls>
      </n>
      <n v="0">
        <tpls c="6">
          <tpl fld="2" item="1"/>
          <tpl fld="16" item="7"/>
          <tpl fld="0" item="1"/>
          <tpl fld="12" item="10"/>
          <tpl fld="1" item="1"/>
          <tpl fld="17" item="0"/>
        </tpls>
      </n>
      <m>
        <tpls c="3">
          <tpl fld="6" item="21"/>
          <tpl fld="4" item="5"/>
          <tpl fld="17" item="1"/>
        </tpls>
      </m>
      <m>
        <tpls c="3">
          <tpl fld="6" item="19"/>
          <tpl fld="4" item="8"/>
          <tpl fld="17" item="1"/>
        </tpls>
      </m>
      <m>
        <tpls c="3">
          <tpl fld="7" item="5"/>
          <tpl fld="5" item="1"/>
          <tpl fld="17" item="1"/>
        </tpls>
      </m>
      <n v="1005442">
        <tpls c="7">
          <tpl fld="3" item="1"/>
          <tpl fld="16" item="1"/>
          <tpl hier="31" item="1"/>
          <tpl fld="9" item="9"/>
          <tpl fld="12" item="6"/>
          <tpl hier="40" item="2"/>
          <tpl fld="17" item="0"/>
        </tpls>
      </n>
      <n v="0">
        <tpls c="6">
          <tpl fld="2" item="1"/>
          <tpl fld="16" item="2"/>
          <tpl fld="0" item="1"/>
          <tpl fld="12" item="12"/>
          <tpl fld="1" item="1"/>
          <tpl fld="17" item="0"/>
        </tpls>
      </n>
      <n v="15000">
        <tpls c="6">
          <tpl fld="10" item="3"/>
          <tpl hier="31" item="1"/>
          <tpl fld="9" item="44"/>
          <tpl fld="8" item="0"/>
          <tpl hier="40" item="2"/>
          <tpl fld="17" item="0"/>
        </tpls>
      </n>
      <n v="4107877">
        <tpls c="6">
          <tpl fld="3" item="1"/>
          <tpl fld="16" item="3"/>
          <tpl hier="31" item="1"/>
          <tpl fld="12" item="3"/>
          <tpl hier="40" item="2"/>
          <tpl fld="17" item="0"/>
        </tpls>
      </n>
      <n v="5305772">
        <tpls c="6">
          <tpl fld="2" item="0"/>
          <tpl fld="0" item="0"/>
          <tpl fld="9" item="38"/>
          <tpl fld="8" item="2"/>
          <tpl hier="40" item="2"/>
          <tpl fld="17" item="0"/>
        </tpls>
      </n>
      <n v="3000">
        <tpls c="5">
          <tpl fld="10" item="2"/>
          <tpl hier="31" item="0"/>
          <tpl fld="12" item="22"/>
          <tpl hier="40" item="2"/>
          <tpl fld="17" item="0"/>
        </tpls>
      </n>
      <m>
        <tpls c="7">
          <tpl fld="3" item="0"/>
          <tpl fld="16" item="8"/>
          <tpl hier="31" item="3"/>
          <tpl fld="9" item="27"/>
          <tpl fld="12" item="5"/>
          <tpl hier="40" item="2"/>
          <tpl fld="17" item="0"/>
        </tpls>
      </m>
      <n v="250002">
        <tpls c="6">
          <tpl fld="10" item="1"/>
          <tpl hier="31" item="0"/>
          <tpl fld="9" item="53"/>
          <tpl fld="12" item="2"/>
          <tpl hier="40" item="2"/>
          <tpl fld="17" item="0"/>
        </tpls>
      </n>
      <n v="256421">
        <tpls c="7">
          <tpl fld="3" item="1"/>
          <tpl fld="16" item="7"/>
          <tpl hier="31" item="1"/>
          <tpl fld="9" item="24"/>
          <tpl fld="12" item="6"/>
          <tpl hier="40" item="2"/>
          <tpl fld="17" item="0"/>
        </tpls>
      </n>
      <n v="4814152">
        <tpls c="6">
          <tpl fld="10" item="1"/>
          <tpl hier="31" item="0"/>
          <tpl fld="9" item="25"/>
          <tpl fld="12" item="2"/>
          <tpl hier="40" item="2"/>
          <tpl fld="17" item="0"/>
        </tpls>
      </n>
      <m>
        <tpls c="3">
          <tpl fld="6" item="18"/>
          <tpl fld="4" item="1"/>
          <tpl fld="17" item="1"/>
        </tpls>
      </m>
      <m>
        <tpls c="3">
          <tpl fld="6" item="19"/>
          <tpl fld="4" item="9"/>
          <tpl fld="17" item="1"/>
        </tpls>
      </m>
      <n v="1890000" in="0">
        <tpls c="3">
          <tpl fld="6" item="15"/>
          <tpl fld="4" item="0"/>
          <tpl fld="17" item="1"/>
        </tpls>
      </n>
      <n v="0">
        <tpls c="7">
          <tpl fld="3" item="0"/>
          <tpl fld="16" item="1"/>
          <tpl hier="31" item="3"/>
          <tpl fld="9" item="36"/>
          <tpl fld="12" item="3"/>
          <tpl hier="40" item="2"/>
          <tpl fld="17" item="0"/>
        </tpls>
      </n>
      <n v="2247849">
        <tpls c="6">
          <tpl fld="2" item="2"/>
          <tpl fld="0" item="2"/>
          <tpl fld="9" item="31"/>
          <tpl fld="8" item="0"/>
          <tpl hier="40" item="2"/>
          <tpl fld="17" item="0"/>
        </tpls>
      </n>
      <n v="87639">
        <tpls c="7">
          <tpl fld="3" item="0"/>
          <tpl fld="16" item="11"/>
          <tpl hier="31" item="3"/>
          <tpl fld="9" item="9"/>
          <tpl fld="12" item="6"/>
          <tpl hier="40" item="2"/>
          <tpl fld="17" item="0"/>
        </tpls>
      </n>
      <n v="143505">
        <tpls c="6">
          <tpl fld="2" item="1"/>
          <tpl fld="0" item="1"/>
          <tpl fld="9" item="36"/>
          <tpl fld="12" item="3"/>
          <tpl hier="40" item="2"/>
          <tpl fld="17" item="0"/>
        </tpls>
      </n>
      <m>
        <tpls c="3">
          <tpl fld="7" item="7"/>
          <tpl fld="5" item="5"/>
          <tpl fld="17" item="1"/>
        </tpls>
      </m>
      <n v="0">
        <tpls c="5">
          <tpl fld="2" item="2"/>
          <tpl fld="0" item="2"/>
          <tpl fld="12" item="12"/>
          <tpl fld="1" item="1"/>
          <tpl fld="17" item="0"/>
        </tpls>
      </n>
      <n v="-630806">
        <tpls c="6">
          <tpl fld="2" item="1"/>
          <tpl fld="16" item="9"/>
          <tpl fld="0" item="1"/>
          <tpl fld="12" item="15"/>
          <tpl fld="1" item="1"/>
          <tpl fld="17" item="0"/>
        </tpls>
      </n>
      <n v="0">
        <tpls c="7">
          <tpl fld="3" item="0"/>
          <tpl fld="16" item="10"/>
          <tpl hier="31" item="3"/>
          <tpl fld="9" item="22"/>
          <tpl fld="12" item="2"/>
          <tpl hier="40" item="2"/>
          <tpl fld="17" item="0"/>
        </tpls>
      </n>
      <n v="1110003">
        <tpls c="6">
          <tpl fld="2" item="0"/>
          <tpl fld="0" item="0"/>
          <tpl fld="9" item="29"/>
          <tpl fld="12" item="2"/>
          <tpl hier="40" item="2"/>
          <tpl fld="17" item="0"/>
        </tpls>
      </n>
      <m>
        <tpls c="7">
          <tpl fld="3" item="1"/>
          <tpl fld="16" item="7"/>
          <tpl hier="31" item="1"/>
          <tpl fld="9" item="19"/>
          <tpl fld="12" item="5"/>
          <tpl hier="40" item="2"/>
          <tpl fld="17" item="0"/>
        </tpls>
      </m>
      <n v="-8910">
        <tpls c="7">
          <tpl fld="3" item="0"/>
          <tpl fld="16" item="8"/>
          <tpl hier="31" item="3"/>
          <tpl fld="9" item="12"/>
          <tpl fld="12" item="5"/>
          <tpl hier="40" item="2"/>
          <tpl fld="17" item="0"/>
        </tpls>
      </n>
      <n v="41256">
        <tpls c="6">
          <tpl fld="2" item="0"/>
          <tpl fld="0" item="0"/>
          <tpl fld="9" item="10"/>
          <tpl fld="12" item="6"/>
          <tpl hier="40" item="2"/>
          <tpl fld="17" item="0"/>
        </tpls>
      </n>
      <n v="250002">
        <tpls c="6">
          <tpl fld="10" item="3"/>
          <tpl hier="31" item="1"/>
          <tpl fld="9" item="53"/>
          <tpl fld="8" item="0"/>
          <tpl hier="40" item="2"/>
          <tpl fld="17" item="0"/>
        </tpls>
      </n>
      <n v="9500000" in="0">
        <tpls c="3">
          <tpl fld="4" item="1"/>
          <tpl hier="22" item="4294967295"/>
          <tpl fld="17" item="1"/>
        </tpls>
      </n>
      <n v="210729">
        <tpls c="3">
          <tpl fld="11" item="3"/>
          <tpl fld="15" item="2"/>
          <tpl fld="17" item="2"/>
        </tpls>
      </n>
      <n v="392981">
        <tpls c="6">
          <tpl fld="3" item="0"/>
          <tpl fld="16" item="6"/>
          <tpl hier="31" item="3"/>
          <tpl fld="12" item="5"/>
          <tpl hier="40" item="2"/>
          <tpl fld="17" item="0"/>
        </tpls>
      </n>
      <n v="7100000" in="0">
        <tpls c="3">
          <tpl fld="6" item="14"/>
          <tpl fld="4" item="6"/>
          <tpl fld="17" item="1"/>
        </tpls>
      </n>
      <n v="0">
        <tpls c="6">
          <tpl fld="10" item="2"/>
          <tpl hier="31" item="0"/>
          <tpl fld="9" item="12"/>
          <tpl fld="12" item="5"/>
          <tpl hier="40" item="2"/>
          <tpl fld="17" item="0"/>
        </tpls>
      </n>
      <n v="2335540">
        <tpls c="7">
          <tpl fld="3" item="0"/>
          <tpl fld="16" item="5"/>
          <tpl hier="31" item="3"/>
          <tpl fld="9" item="18"/>
          <tpl fld="12" item="2"/>
          <tpl hier="40" item="2"/>
          <tpl fld="17" item="0"/>
        </tpls>
      </n>
      <n v="5468534">
        <tpls c="6">
          <tpl fld="10" item="0"/>
          <tpl hier="31" item="0"/>
          <tpl fld="9" item="5"/>
          <tpl fld="12" item="2"/>
          <tpl hier="40" item="2"/>
          <tpl fld="17" item="0"/>
        </tpls>
      </n>
      <n v="34781521">
        <tpls c="6">
          <tpl fld="10" item="0"/>
          <tpl hier="31" item="0"/>
          <tpl fld="9" item="23"/>
          <tpl fld="12" item="2"/>
          <tpl hier="40" item="2"/>
          <tpl fld="17" item="0"/>
        </tpls>
      </n>
      <n v="3249123">
        <tpls c="6">
          <tpl fld="2" item="3"/>
          <tpl fld="0" item="2"/>
          <tpl fld="9" item="64"/>
          <tpl fld="12" item="17"/>
          <tpl fld="1" item="1"/>
          <tpl fld="17" item="0"/>
        </tpls>
      </n>
      <n v="83334">
        <tpls c="7">
          <tpl fld="3" item="1"/>
          <tpl fld="16" item="8"/>
          <tpl hier="31" item="1"/>
          <tpl fld="9" item="53"/>
          <tpl fld="12" item="2"/>
          <tpl hier="40" item="2"/>
          <tpl fld="17" item="0"/>
        </tpls>
      </n>
      <n v="-630000">
        <tpls c="7">
          <tpl fld="2" item="1"/>
          <tpl fld="16" item="7"/>
          <tpl fld="0" item="1"/>
          <tpl fld="9" item="30"/>
          <tpl fld="12" item="15"/>
          <tpl fld="1" item="1"/>
          <tpl fld="17" item="0"/>
        </tpls>
      </n>
      <n v="55750">
        <tpls c="3">
          <tpl fld="11" item="5"/>
          <tpl fld="15" item="1"/>
          <tpl fld="17" item="2"/>
        </tpls>
      </n>
      <n v="5405772">
        <tpls c="5">
          <tpl fld="2" item="0"/>
          <tpl fld="0" item="0"/>
          <tpl fld="12" item="5"/>
          <tpl hier="40" item="2"/>
          <tpl fld="17" item="0"/>
        </tpls>
      </n>
      <n v="0">
        <tpls c="7">
          <tpl fld="3" item="0"/>
          <tpl fld="16" item="1"/>
          <tpl hier="31" item="3"/>
          <tpl fld="9" item="12"/>
          <tpl fld="12" item="5"/>
          <tpl hier="40" item="2"/>
          <tpl fld="17" item="0"/>
        </tpls>
      </n>
      <n v="1123800">
        <tpls c="7">
          <tpl fld="3" item="0"/>
          <tpl fld="16" item="3"/>
          <tpl hier="31" item="3"/>
          <tpl fld="9" item="18"/>
          <tpl fld="12" item="2"/>
          <tpl hier="40" item="2"/>
          <tpl fld="17" item="0"/>
        </tpls>
      </n>
      <n v="0">
        <tpls c="7">
          <tpl fld="2" item="1"/>
          <tpl fld="16" item="1"/>
          <tpl fld="0" item="1"/>
          <tpl fld="9" item="58"/>
          <tpl fld="12" item="19"/>
          <tpl fld="1" item="1"/>
          <tpl fld="17" item="0"/>
        </tpls>
      </n>
      <n v="3229902">
        <tpls c="5">
          <tpl fld="10" item="2"/>
          <tpl hier="31" item="0"/>
          <tpl fld="12" item="6"/>
          <tpl hier="40" item="2"/>
          <tpl fld="17" item="0"/>
        </tpls>
      </n>
      <n v="0">
        <tpls c="6">
          <tpl fld="2" item="1"/>
          <tpl fld="16" item="1"/>
          <tpl fld="0" item="1"/>
          <tpl fld="12" item="19"/>
          <tpl fld="1" item="1"/>
          <tpl fld="17" item="0"/>
        </tpls>
      </n>
      <n v="392981">
        <tpls c="7">
          <tpl fld="3" item="1"/>
          <tpl fld="16" item="8"/>
          <tpl hier="31" item="1"/>
          <tpl fld="9" item="38"/>
          <tpl fld="12" item="5"/>
          <tpl hier="40" item="2"/>
          <tpl fld="17" item="0"/>
        </tpls>
      </n>
      <n v="308605">
        <tpls c="6">
          <tpl fld="2" item="1"/>
          <tpl fld="0" item="1"/>
          <tpl fld="9" item="33"/>
          <tpl fld="12" item="6"/>
          <tpl hier="40" item="2"/>
          <tpl fld="17" item="0"/>
        </tpls>
      </n>
      <n v="4467380">
        <tpls c="6">
          <tpl fld="3" item="1"/>
          <tpl fld="16" item="10"/>
          <tpl hier="31" item="1"/>
          <tpl fld="12" item="9"/>
          <tpl hier="40" item="2"/>
          <tpl fld="17" item="0"/>
        </tpls>
      </n>
      <m>
        <tpls c="6">
          <tpl fld="10" item="1"/>
          <tpl hier="31" item="0"/>
          <tpl fld="9" item="2"/>
          <tpl fld="12" item="1"/>
          <tpl hier="40" item="2"/>
          <tpl fld="17" item="0"/>
        </tpls>
      </m>
      <n v="240424089">
        <tpls c="5">
          <tpl fld="2" item="0"/>
          <tpl fld="0" item="0"/>
          <tpl fld="12" item="13"/>
          <tpl hier="40" item="2"/>
          <tpl fld="17" item="0"/>
        </tpls>
      </n>
      <n v="0">
        <tpls c="7">
          <tpl fld="3" item="0"/>
          <tpl fld="16" item="0"/>
          <tpl hier="31" item="3"/>
          <tpl fld="9" item="12"/>
          <tpl fld="12" item="5"/>
          <tpl hier="40" item="2"/>
          <tpl fld="17" item="0"/>
        </tpls>
      </n>
      <n v="1000008">
        <tpls c="6">
          <tpl fld="2" item="0"/>
          <tpl fld="0" item="0"/>
          <tpl fld="9" item="53"/>
          <tpl fld="12" item="2"/>
          <tpl hier="40" item="2"/>
          <tpl fld="17" item="0"/>
        </tpls>
      </n>
      <m>
        <tpls c="7">
          <tpl fld="3" item="1"/>
          <tpl fld="16" item="1"/>
          <tpl hier="31" item="1"/>
          <tpl fld="9" item="14"/>
          <tpl fld="12" item="3"/>
          <tpl hier="40" item="2"/>
          <tpl fld="17" item="0"/>
        </tpls>
      </m>
      <n v="0">
        <tpls c="7">
          <tpl fld="3" item="0"/>
          <tpl fld="16" item="5"/>
          <tpl hier="31" item="3"/>
          <tpl fld="9" item="11"/>
          <tpl fld="12" item="3"/>
          <tpl hier="40" item="2"/>
          <tpl fld="17" item="0"/>
        </tpls>
      </n>
      <n v="500">
        <tpls c="7">
          <tpl fld="3" item="1"/>
          <tpl fld="16" item="4"/>
          <tpl hier="31" item="1"/>
          <tpl fld="9" item="48"/>
          <tpl fld="12" item="22"/>
          <tpl hier="40" item="2"/>
          <tpl fld="17" item="0"/>
        </tpls>
      </n>
      <m>
        <tpls c="3">
          <tpl fld="4" item="1"/>
          <tpl fld="5" item="4"/>
          <tpl fld="17" item="1"/>
        </tpls>
      </m>
      <n v="16655547">
        <tpls c="6">
          <tpl fld="3" item="0"/>
          <tpl fld="16" item="9"/>
          <tpl hier="31" item="3"/>
          <tpl fld="12" item="2"/>
          <tpl hier="40" item="2"/>
          <tpl fld="17" item="0"/>
        </tpls>
      </n>
      <n v="1130">
        <tpls c="7">
          <tpl fld="3" item="0"/>
          <tpl fld="16" item="8"/>
          <tpl hier="31" item="3"/>
          <tpl fld="9" item="20"/>
          <tpl fld="12" item="2"/>
          <tpl hier="40" item="2"/>
          <tpl fld="17" item="0"/>
        </tpls>
      </n>
      <m>
        <tpls c="7">
          <tpl fld="3" item="1"/>
          <tpl fld="16" item="1"/>
          <tpl hier="31" item="1"/>
          <tpl fld="9" item="22"/>
          <tpl fld="12" item="2"/>
          <tpl hier="40" item="2"/>
          <tpl fld="17" item="0"/>
        </tpls>
      </m>
      <m>
        <tpls c="3">
          <tpl fld="6" item="18"/>
          <tpl fld="4" item="8"/>
          <tpl fld="17" item="1"/>
        </tpls>
      </m>
      <n v="4076032">
        <tpls c="6">
          <tpl fld="3" item="0"/>
          <tpl fld="16" item="7"/>
          <tpl hier="31" item="3"/>
          <tpl fld="12" item="9"/>
          <tpl hier="40" item="2"/>
          <tpl fld="17" item="0"/>
        </tpls>
      </n>
      <n v="0">
        <tpls c="7">
          <tpl fld="2" item="1"/>
          <tpl fld="16" item="11"/>
          <tpl fld="0" item="1"/>
          <tpl fld="9" item="62"/>
          <tpl fld="12" item="12"/>
          <tpl fld="1" item="1"/>
          <tpl fld="17" item="0"/>
        </tpls>
      </n>
      <n v="54000">
        <tpls c="6">
          <tpl fld="10" item="0"/>
          <tpl hier="31" item="1"/>
          <tpl fld="9" item="11"/>
          <tpl fld="8" item="1"/>
          <tpl hier="40" item="2"/>
          <tpl fld="17" item="0"/>
        </tpls>
      </n>
      <n v="113610">
        <tpls c="6">
          <tpl fld="10" item="0"/>
          <tpl hier="31" item="1"/>
          <tpl fld="9" item="3"/>
          <tpl fld="8" item="0"/>
          <tpl hier="40" item="2"/>
          <tpl fld="17" item="0"/>
        </tpls>
      </n>
      <n v="2122909">
        <tpls c="6">
          <tpl fld="3" item="1"/>
          <tpl fld="16" item="1"/>
          <tpl hier="31" item="1"/>
          <tpl fld="12" item="6"/>
          <tpl hier="40" item="2"/>
          <tpl fld="17" item="0"/>
        </tpls>
      </n>
      <n v="19152488">
        <tpls c="7">
          <tpl fld="3" item="0"/>
          <tpl fld="16" item="9"/>
          <tpl hier="31" item="3"/>
          <tpl fld="9" item="45"/>
          <tpl fld="12" item="13"/>
          <tpl hier="40" item="2"/>
          <tpl fld="17" item="0"/>
        </tpls>
      </n>
      <n v="1935">
        <tpls c="6">
          <tpl fld="2" item="1"/>
          <tpl fld="16" item="10"/>
          <tpl fld="0" item="1"/>
          <tpl fld="12" item="0"/>
          <tpl fld="1" item="1"/>
          <tpl fld="17" item="0"/>
        </tpls>
      </n>
      <n v="50004">
        <tpls c="7">
          <tpl fld="3" item="1"/>
          <tpl hier="10" item="4294967295"/>
          <tpl hier="31" item="1"/>
          <tpl fld="9" item="20"/>
          <tpl fld="12" item="2"/>
          <tpl hier="40" item="2"/>
          <tpl fld="17" item="0"/>
        </tpls>
      </n>
      <n v="5000001">
        <tpls c="6">
          <tpl fld="10" item="1"/>
          <tpl hier="31" item="1"/>
          <tpl fld="9" item="18"/>
          <tpl fld="8" item="0"/>
          <tpl hier="40" item="2"/>
          <tpl fld="17" item="0"/>
        </tpls>
      </n>
      <n v="1061634">
        <tpls c="6">
          <tpl fld="3" item="1"/>
          <tpl fld="16" item="4"/>
          <tpl hier="31" item="1"/>
          <tpl fld="12" item="6"/>
          <tpl hier="40" item="2"/>
          <tpl fld="17" item="0"/>
        </tpls>
      </n>
      <n v="0">
        <tpls c="7">
          <tpl fld="2" item="1"/>
          <tpl fld="16" item="0"/>
          <tpl fld="0" item="1"/>
          <tpl fld="9" item="39"/>
          <tpl fld="12" item="0"/>
          <tpl fld="1" item="1"/>
          <tpl fld="17" item="0"/>
        </tpls>
      </n>
      <n v="824350">
        <tpls c="7">
          <tpl fld="3" item="1"/>
          <tpl fld="16" item="4"/>
          <tpl hier="31" item="1"/>
          <tpl fld="9" item="41"/>
          <tpl fld="12" item="3"/>
          <tpl hier="40" item="2"/>
          <tpl fld="17" item="0"/>
        </tpls>
      </n>
      <n v="83688183">
        <tpls c="6">
          <tpl fld="3" item="0"/>
          <tpl fld="16" item="1"/>
          <tpl hier="31" item="3"/>
          <tpl fld="12" item="2"/>
          <tpl hier="40" item="2"/>
          <tpl fld="17" item="0"/>
        </tpls>
      </n>
      <n v="10314">
        <tpls c="6">
          <tpl fld="10" item="2"/>
          <tpl hier="31" item="0"/>
          <tpl fld="9" item="10"/>
          <tpl fld="12" item="6"/>
          <tpl hier="40" item="2"/>
          <tpl fld="17" item="0"/>
        </tpls>
      </n>
      <n v="687981">
        <tpls c="6">
          <tpl fld="3" item="1"/>
          <tpl fld="16" item="4"/>
          <tpl hier="31" item="1"/>
          <tpl fld="12" item="5"/>
          <tpl hier="40" item="2"/>
          <tpl fld="17" item="0"/>
        </tpls>
      </n>
      <n v="2499">
        <tpls c="6">
          <tpl fld="10" item="2"/>
          <tpl hier="31" item="1"/>
          <tpl fld="9" item="3"/>
          <tpl fld="8" item="0"/>
          <tpl hier="40" item="2"/>
          <tpl fld="17" item="0"/>
        </tpls>
      </n>
      <n v="57276">
        <tpls c="7">
          <tpl fld="3" item="0"/>
          <tpl fld="16" item="8"/>
          <tpl hier="31" item="3"/>
          <tpl fld="9" item="52"/>
          <tpl fld="12" item="3"/>
          <tpl hier="40" item="2"/>
          <tpl fld="17" item="0"/>
        </tpls>
      </n>
      <m>
        <tpls c="7">
          <tpl fld="3" item="1"/>
          <tpl fld="16" item="10"/>
          <tpl hier="31" item="1"/>
          <tpl fld="9" item="27"/>
          <tpl fld="12" item="5"/>
          <tpl hier="40" item="2"/>
          <tpl fld="17" item="0"/>
        </tpls>
      </m>
      <n v="0">
        <tpls c="7">
          <tpl fld="3" item="0"/>
          <tpl fld="16" item="7"/>
          <tpl hier="31" item="3"/>
          <tpl fld="9" item="13"/>
          <tpl fld="12" item="3"/>
          <tpl hier="40" item="2"/>
          <tpl fld="17" item="0"/>
        </tpls>
      </n>
      <n v="188354">
        <tpls c="6">
          <tpl fld="2" item="1"/>
          <tpl fld="0" item="1"/>
          <tpl fld="9" item="17"/>
          <tpl fld="12" item="2"/>
          <tpl hier="40" item="2"/>
          <tpl fld="17" item="0"/>
        </tpls>
      </n>
      <n v="120108">
        <tpls c="7">
          <tpl fld="3" item="1"/>
          <tpl fld="16" item="3"/>
          <tpl hier="31" item="1"/>
          <tpl fld="9" item="33"/>
          <tpl fld="12" item="6"/>
          <tpl hier="40" item="2"/>
          <tpl fld="17" item="0"/>
        </tpls>
      </n>
      <m>
        <tpls c="6">
          <tpl fld="10" item="1"/>
          <tpl hier="31" item="1"/>
          <tpl fld="9" item="60"/>
          <tpl fld="8" item="2"/>
          <tpl hier="40" item="2"/>
          <tpl fld="17" item="0"/>
        </tpls>
      </m>
      <m>
        <tpls c="3">
          <tpl fld="6" item="5"/>
          <tpl fld="4" item="8"/>
          <tpl fld="17" item="1"/>
        </tpls>
      </m>
      <n v="5072714">
        <tpls c="6">
          <tpl fld="3" item="1"/>
          <tpl fld="16" item="4"/>
          <tpl hier="31" item="1"/>
          <tpl fld="12" item="9"/>
          <tpl hier="40" item="2"/>
          <tpl fld="17" item="0"/>
        </tpls>
      </n>
      <n v="4179126">
        <tpls c="6">
          <tpl fld="2" item="1"/>
          <tpl hier="10" item="4294967295"/>
          <tpl fld="0" item="1"/>
          <tpl fld="12" item="0"/>
          <tpl fld="1" item="1"/>
          <tpl fld="17" item="0"/>
        </tpls>
      </n>
      <n v="392981">
        <tpls c="6">
          <tpl fld="3" item="0"/>
          <tpl fld="16" item="9"/>
          <tpl hier="31" item="3"/>
          <tpl fld="12" item="5"/>
          <tpl hier="40" item="2"/>
          <tpl fld="17" item="0"/>
        </tpls>
      </n>
      <m>
        <tpls c="3">
          <tpl fld="6" item="5"/>
          <tpl fld="4" item="0"/>
          <tpl fld="17" item="1"/>
        </tpls>
      </m>
      <n v="-392981">
        <tpls c="6">
          <tpl fld="2" item="1"/>
          <tpl fld="16" item="10"/>
          <tpl fld="0" item="1"/>
          <tpl fld="12" item="11"/>
          <tpl fld="1" item="1"/>
          <tpl fld="17" item="0"/>
        </tpls>
      </n>
      <n v="6650000" in="0">
        <tpls c="3">
          <tpl fld="4" item="4"/>
          <tpl hier="22" item="4294967295"/>
          <tpl fld="17" item="1"/>
        </tpls>
      </n>
      <n v="1178943">
        <tpls c="5">
          <tpl fld="10" item="2"/>
          <tpl hier="31" item="0"/>
          <tpl fld="12" item="5"/>
          <tpl hier="40" item="2"/>
          <tpl fld="17" item="0"/>
        </tpls>
      </n>
      <n v="3300">
        <tpls c="7">
          <tpl fld="3" item="0"/>
          <tpl fld="16" item="4"/>
          <tpl hier="31" item="3"/>
          <tpl fld="9" item="20"/>
          <tpl fld="12" item="2"/>
          <tpl hier="40" item="2"/>
          <tpl fld="17" item="0"/>
        </tpls>
      </n>
      <n v="1913813">
        <tpls c="6">
          <tpl fld="3" item="0"/>
          <tpl fld="16" item="6"/>
          <tpl hier="31" item="3"/>
          <tpl fld="12" item="3"/>
          <tpl hier="40" item="2"/>
          <tpl fld="17" item="0"/>
        </tpls>
      </n>
      <n v="4317">
        <tpls c="6">
          <tpl fld="2" item="1"/>
          <tpl fld="0" item="1"/>
          <tpl fld="9" item="43"/>
          <tpl fld="8" item="2"/>
          <tpl hier="40" item="2"/>
          <tpl fld="17" item="0"/>
        </tpls>
      </n>
      <n v="7">
        <tpls c="7">
          <tpl fld="2" item="1"/>
          <tpl fld="16" item="1"/>
          <tpl fld="0" item="1"/>
          <tpl fld="9" item="59"/>
          <tpl fld="12" item="4"/>
          <tpl fld="1" item="1"/>
          <tpl fld="17" item="0"/>
        </tpls>
      </n>
      <n v="54000">
        <tpls c="6">
          <tpl fld="10" item="3"/>
          <tpl hier="31" item="1"/>
          <tpl fld="9" item="11"/>
          <tpl fld="8" item="1"/>
          <tpl hier="40" item="2"/>
          <tpl fld="17" item="0"/>
        </tpls>
      </n>
      <n v="123932851">
        <tpls c="5">
          <tpl fld="2" item="3"/>
          <tpl fld="0" item="2"/>
          <tpl fld="12" item="8"/>
          <tpl fld="1" item="1"/>
          <tpl fld="17" item="0"/>
        </tpls>
      </n>
      <n v="168432">
        <tpls c="6">
          <tpl fld="2" item="2"/>
          <tpl fld="0" item="2"/>
          <tpl fld="9" item="71"/>
          <tpl fld="12" item="16"/>
          <tpl fld="1" item="1"/>
          <tpl fld="17" item="0"/>
        </tpls>
      </n>
      <n v="8895">
        <tpls c="7">
          <tpl fld="2" item="1"/>
          <tpl fld="16" item="11"/>
          <tpl fld="0" item="1"/>
          <tpl fld="9" item="57"/>
          <tpl fld="12" item="8"/>
          <tpl fld="1" item="1"/>
          <tpl fld="17" item="0"/>
        </tpls>
      </n>
      <n v="79167">
        <tpls c="3">
          <tpl fld="11" item="1"/>
          <tpl fld="15" item="4"/>
          <tpl fld="17" item="2"/>
        </tpls>
      </n>
      <n v="167299995">
        <tpls c="6">
          <tpl fld="2" item="0"/>
          <tpl fld="0" item="0"/>
          <tpl fld="9" item="5"/>
          <tpl fld="8" item="0"/>
          <tpl hier="40" item="2"/>
          <tpl fld="17" item="0"/>
        </tpls>
      </n>
      <m>
        <tpls c="3">
          <tpl fld="6" item="2"/>
          <tpl fld="4" item="8"/>
          <tpl fld="17" item="1"/>
        </tpls>
      </m>
      <n v="3000">
        <tpls c="5">
          <tpl fld="10" item="0"/>
          <tpl hier="31" item="0"/>
          <tpl fld="12" item="22"/>
          <tpl hier="40" item="2"/>
          <tpl fld="17" item="0"/>
        </tpls>
      </n>
      <n v="12501">
        <tpls c="6">
          <tpl fld="10" item="2"/>
          <tpl hier="31" item="0"/>
          <tpl fld="9" item="20"/>
          <tpl fld="12" item="2"/>
          <tpl hier="40" item="2"/>
          <tpl fld="17" item="0"/>
        </tpls>
      </n>
      <n v="0">
        <tpls c="7">
          <tpl fld="3" item="0"/>
          <tpl fld="16" item="5"/>
          <tpl hier="31" item="3"/>
          <tpl fld="9" item="22"/>
          <tpl fld="12" item="2"/>
          <tpl hier="40" item="2"/>
          <tpl fld="17" item="0"/>
        </tpls>
      </n>
      <m>
        <tpls c="3">
          <tpl fld="6" item="18"/>
          <tpl fld="4" item="4"/>
          <tpl fld="17" item="1"/>
        </tpls>
      </m>
      <n v="0">
        <tpls c="7">
          <tpl fld="3" item="0"/>
          <tpl fld="16" item="5"/>
          <tpl hier="31" item="3"/>
          <tpl fld="9" item="32"/>
          <tpl fld="12" item="5"/>
          <tpl hier="40" item="2"/>
          <tpl fld="17" item="0"/>
        </tpls>
      </n>
      <n v="1151243">
        <tpls c="7">
          <tpl fld="3" item="1"/>
          <tpl hier="10" item="4294967295"/>
          <tpl hier="31" item="1"/>
          <tpl fld="9" item="36"/>
          <tpl fld="12" item="3"/>
          <tpl hier="40" item="2"/>
          <tpl fld="17" item="0"/>
        </tpls>
      </n>
      <n v="2897620">
        <tpls c="6">
          <tpl fld="2" item="3"/>
          <tpl fld="0" item="2"/>
          <tpl fld="9" item="61"/>
          <tpl fld="12" item="0"/>
          <tpl fld="1" item="1"/>
          <tpl fld="17" item="0"/>
        </tpls>
      </n>
      <n v="0">
        <tpls c="6">
          <tpl fld="2" item="2"/>
          <tpl fld="0" item="2"/>
          <tpl fld="9" item="1"/>
          <tpl fld="12" item="1"/>
          <tpl hier="40" item="2"/>
          <tpl fld="17" item="0"/>
        </tpls>
      </n>
      <n v="0">
        <tpls c="6">
          <tpl fld="2" item="1"/>
          <tpl fld="0" item="1"/>
          <tpl fld="9" item="22"/>
          <tpl fld="8" item="0"/>
          <tpl hier="40" item="2"/>
          <tpl fld="17" item="0"/>
        </tpls>
      </n>
      <n v="23095106">
        <tpls c="5">
          <tpl fld="2" item="2"/>
          <tpl fld="0" item="2"/>
          <tpl fld="12" item="16"/>
          <tpl fld="1" item="1"/>
          <tpl fld="17" item="0"/>
        </tpls>
      </n>
      <m>
        <tpls c="3">
          <tpl fld="6" item="3"/>
          <tpl fld="4" item="5"/>
          <tpl fld="17" item="1"/>
        </tpls>
      </m>
      <m>
        <tpls c="3">
          <tpl fld="6" item="19"/>
          <tpl fld="4" item="2"/>
          <tpl fld="17" item="1"/>
        </tpls>
      </m>
      <m>
        <tpls c="3">
          <tpl fld="6" item="3"/>
          <tpl fld="4" item="2"/>
          <tpl fld="17" item="1"/>
        </tpls>
      </m>
      <m>
        <tpls c="6">
          <tpl fld="10" item="2"/>
          <tpl hier="31" item="1"/>
          <tpl fld="9" item="22"/>
          <tpl fld="8" item="0"/>
          <tpl hier="40" item="2"/>
          <tpl fld="17" item="0"/>
        </tpls>
      </m>
      <m>
        <tpls c="3">
          <tpl fld="6" item="8"/>
          <tpl fld="4" item="7"/>
          <tpl fld="17" item="1"/>
        </tpls>
      </m>
      <n v="-392981">
        <tpls c="7">
          <tpl fld="2" item="1"/>
          <tpl fld="16" item="6"/>
          <tpl fld="0" item="1"/>
          <tpl fld="9" item="16"/>
          <tpl fld="12" item="11"/>
          <tpl fld="1" item="1"/>
          <tpl fld="17" item="0"/>
        </tpls>
      </n>
      <n v="0">
        <tpls c="6">
          <tpl fld="2" item="1"/>
          <tpl fld="16" item="7"/>
          <tpl fld="0" item="1"/>
          <tpl fld="12" item="21"/>
          <tpl fld="1" item="1"/>
          <tpl fld="17" item="0"/>
        </tpls>
      </n>
      <n v="0">
        <tpls c="7">
          <tpl fld="2" item="1"/>
          <tpl fld="16" item="11"/>
          <tpl fld="0" item="1"/>
          <tpl fld="9" item="59"/>
          <tpl fld="12" item="4"/>
          <tpl fld="1" item="1"/>
          <tpl fld="17" item="0"/>
        </tpls>
      </n>
      <n v="19067352">
        <tpls c="6">
          <tpl fld="3" item="1"/>
          <tpl fld="16" item="10"/>
          <tpl hier="31" item="1"/>
          <tpl fld="12" item="13"/>
          <tpl hier="40" item="2"/>
          <tpl fld="17" item="0"/>
        </tpls>
      </n>
      <m>
        <tpls c="3">
          <tpl fld="6" item="8"/>
          <tpl fld="4" item="2"/>
          <tpl fld="17" item="1"/>
        </tpls>
      </m>
      <n v="20007791">
        <tpls c="7">
          <tpl fld="3" item="1"/>
          <tpl fld="16" item="11"/>
          <tpl hier="31" item="1"/>
          <tpl fld="9" item="45"/>
          <tpl fld="12" item="13"/>
          <tpl hier="40" item="2"/>
          <tpl fld="17" item="0"/>
        </tpls>
      </n>
      <n v="0">
        <tpls c="7">
          <tpl fld="3" item="0"/>
          <tpl fld="16" item="7"/>
          <tpl hier="31" item="3"/>
          <tpl fld="9" item="49"/>
          <tpl fld="12" item="3"/>
          <tpl hier="40" item="2"/>
          <tpl fld="17" item="0"/>
        </tpls>
      </n>
      <n v="77990">
        <tpls c="7">
          <tpl fld="3" item="0"/>
          <tpl fld="16" item="4"/>
          <tpl hier="31" item="3"/>
          <tpl fld="9" item="53"/>
          <tpl fld="12" item="2"/>
          <tpl hier="40" item="2"/>
          <tpl fld="17" item="0"/>
        </tpls>
      </n>
      <n v="102965817">
        <tpls c="7">
          <tpl fld="2" item="1"/>
          <tpl fld="16" item="11"/>
          <tpl fld="0" item="1"/>
          <tpl fld="9" item="16"/>
          <tpl fld="12" item="11"/>
          <tpl fld="1" item="1"/>
          <tpl fld="17" item="0"/>
        </tpls>
      </n>
      <m>
        <tpls c="3">
          <tpl fld="6" item="8"/>
          <tpl fld="4" item="0"/>
          <tpl fld="17" item="1"/>
        </tpls>
      </m>
      <n v="96237">
        <tpls c="6">
          <tpl fld="3" item="0"/>
          <tpl fld="16" item="8"/>
          <tpl hier="31" item="3"/>
          <tpl fld="12" item="6"/>
          <tpl hier="40" item="2"/>
          <tpl fld="17" item="0"/>
        </tpls>
      </n>
      <m>
        <tpls c="7">
          <tpl fld="3" item="1"/>
          <tpl fld="16" item="3"/>
          <tpl hier="31" item="1"/>
          <tpl fld="9" item="19"/>
          <tpl fld="12" item="5"/>
          <tpl hier="40" item="2"/>
          <tpl fld="17" item="0"/>
        </tpls>
      </m>
      <m>
        <tpls c="3">
          <tpl fld="4" item="2"/>
          <tpl fld="5" item="0"/>
          <tpl fld="17" item="1"/>
        </tpls>
      </m>
      <n v="0">
        <tpls c="7">
          <tpl fld="2" item="1"/>
          <tpl fld="16" item="6"/>
          <tpl fld="0" item="1"/>
          <tpl fld="9" item="39"/>
          <tpl fld="12" item="0"/>
          <tpl fld="1" item="1"/>
          <tpl fld="17" item="0"/>
        </tpls>
      </n>
      <n v="0">
        <tpls c="7">
          <tpl fld="3" item="0"/>
          <tpl fld="16" item="9"/>
          <tpl hier="31" item="3"/>
          <tpl fld="9" item="3"/>
          <tpl fld="12" item="2"/>
          <tpl hier="40" item="2"/>
          <tpl fld="17" item="0"/>
        </tpls>
      </n>
      <m>
        <tpls c="6">
          <tpl fld="2" item="2"/>
          <tpl fld="0" item="2"/>
          <tpl fld="9" item="27"/>
          <tpl fld="8" item="2"/>
          <tpl hier="40" item="2"/>
          <tpl fld="17" item="0"/>
        </tpls>
      </m>
      <n v="0">
        <tpls c="7">
          <tpl fld="3" item="0"/>
          <tpl fld="16" item="10"/>
          <tpl hier="31" item="3"/>
          <tpl fld="9" item="3"/>
          <tpl fld="12" item="2"/>
          <tpl hier="40" item="2"/>
          <tpl fld="17" item="0"/>
        </tpls>
      </n>
      <n v="66170973">
        <tpls c="5">
          <tpl fld="10" item="2"/>
          <tpl hier="31" item="0"/>
          <tpl fld="12" item="13"/>
          <tpl hier="40" item="2"/>
          <tpl fld="17" item="0"/>
        </tpls>
      </n>
      <m>
        <tpls c="3">
          <tpl fld="7" item="5"/>
          <tpl fld="5" item="0"/>
          <tpl fld="17" item="1"/>
        </tpls>
      </m>
      <n v="63">
        <tpls c="7">
          <tpl fld="3" item="0"/>
          <tpl fld="16" item="10"/>
          <tpl hier="31" item="3"/>
          <tpl fld="9" item="6"/>
          <tpl fld="12" item="1"/>
          <tpl hier="40" item="2"/>
          <tpl fld="17" item="0"/>
        </tpls>
      </n>
      <n v="1378846">
        <tpls c="7">
          <tpl fld="3" item="0"/>
          <tpl fld="16" item="8"/>
          <tpl hier="31" item="3"/>
          <tpl fld="9" item="25"/>
          <tpl fld="12" item="2"/>
          <tpl hier="40" item="2"/>
          <tpl fld="17" item="0"/>
        </tpls>
      </n>
      <n v="10154137">
        <tpls c="6">
          <tpl fld="2" item="2"/>
          <tpl fld="0" item="2"/>
          <tpl fld="9" item="15"/>
          <tpl fld="8" item="1"/>
          <tpl hier="40" item="2"/>
          <tpl fld="17" item="0"/>
        </tpls>
      </n>
      <m>
        <tpls c="6">
          <tpl fld="10" item="3"/>
          <tpl hier="31" item="0"/>
          <tpl fld="9" item="1"/>
          <tpl fld="12" item="1"/>
          <tpl hier="40" item="2"/>
          <tpl fld="17" item="0"/>
        </tpls>
      </m>
      <m>
        <tpls c="3">
          <tpl fld="4" item="0"/>
          <tpl fld="5" item="2"/>
          <tpl fld="17" item="1"/>
        </tpls>
      </m>
      <n v="270324">
        <tpls c="6">
          <tpl fld="10" item="0"/>
          <tpl hier="31" item="1"/>
          <tpl fld="9" item="33"/>
          <tpl fld="8" item="1"/>
          <tpl hier="40" item="2"/>
          <tpl fld="17" item="0"/>
        </tpls>
      </n>
      <n v="787508">
        <tpls c="6">
          <tpl fld="10" item="1"/>
          <tpl hier="31" item="0"/>
          <tpl fld="9" item="31"/>
          <tpl fld="12" item="2"/>
          <tpl hier="40" item="2"/>
          <tpl fld="17" item="0"/>
        </tpls>
      </n>
      <n v="0">
        <tpls c="7">
          <tpl fld="2" item="1"/>
          <tpl fld="16" item="9"/>
          <tpl fld="0" item="1"/>
          <tpl fld="9" item="39"/>
          <tpl fld="12" item="0"/>
          <tpl fld="1" item="1"/>
          <tpl fld="17" item="0"/>
        </tpls>
      </n>
      <m>
        <tpls c="5">
          <tpl fld="2" item="0"/>
          <tpl fld="0" item="0"/>
          <tpl fld="12" item="20"/>
          <tpl hier="40" item="2"/>
          <tpl fld="17" item="0"/>
        </tpls>
      </m>
      <n v="0">
        <tpls c="6">
          <tpl fld="2" item="1"/>
          <tpl fld="0" item="1"/>
          <tpl fld="9" item="11"/>
          <tpl fld="12" item="3"/>
          <tpl hier="40" item="2"/>
          <tpl fld="17" item="0"/>
        </tpls>
      </n>
      <n v="0">
        <tpls c="6">
          <tpl fld="2" item="2"/>
          <tpl fld="0" item="2"/>
          <tpl fld="9" item="50"/>
          <tpl fld="12" item="16"/>
          <tpl fld="1" item="1"/>
          <tpl fld="17" item="0"/>
        </tpls>
      </n>
      <n v="0">
        <tpls c="6">
          <tpl fld="2" item="1"/>
          <tpl fld="16" item="5"/>
          <tpl fld="0" item="1"/>
          <tpl fld="12" item="19"/>
          <tpl fld="1" item="1"/>
          <tpl fld="17" item="0"/>
        </tpls>
      </n>
      <n v="0">
        <tpls c="7">
          <tpl fld="2" item="1"/>
          <tpl fld="16" item="9"/>
          <tpl fld="0" item="1"/>
          <tpl fld="9" item="62"/>
          <tpl fld="12" item="12"/>
          <tpl fld="1" item="1"/>
          <tpl fld="17" item="0"/>
        </tpls>
      </n>
      <n v="28320">
        <tpls c="6">
          <tpl fld="10" item="1"/>
          <tpl hier="31" item="1"/>
          <tpl fld="9" item="13"/>
          <tpl fld="8" item="1"/>
          <tpl hier="40" item="2"/>
          <tpl fld="17" item="0"/>
        </tpls>
      </n>
      <n v="12660">
        <tpls c="7">
          <tpl fld="3" item="0"/>
          <tpl fld="16" item="11"/>
          <tpl hier="31" item="3"/>
          <tpl fld="9" item="21"/>
          <tpl fld="12" item="3"/>
          <tpl hier="40" item="2"/>
          <tpl fld="17" item="0"/>
        </tpls>
      </n>
      <n v="833">
        <tpls c="7">
          <tpl fld="3" item="1"/>
          <tpl fld="16" item="4"/>
          <tpl hier="31" item="1"/>
          <tpl fld="9" item="3"/>
          <tpl fld="12" item="2"/>
          <tpl hier="40" item="2"/>
          <tpl fld="17" item="0"/>
        </tpls>
      </n>
      <n v="0">
        <tpls c="7">
          <tpl fld="3" item="0"/>
          <tpl fld="16" item="8"/>
          <tpl hier="31" item="3"/>
          <tpl fld="9" item="22"/>
          <tpl fld="12" item="2"/>
          <tpl hier="40" item="2"/>
          <tpl fld="17" item="0"/>
        </tpls>
      </n>
      <n v="-173856">
        <tpls c="7">
          <tpl fld="2" item="1"/>
          <tpl fld="16" item="6"/>
          <tpl fld="0" item="1"/>
          <tpl fld="9" item="34"/>
          <tpl fld="12" item="17"/>
          <tpl fld="1" item="1"/>
          <tpl fld="17" item="0"/>
        </tpls>
      </n>
      <n v="45371">
        <tpls c="6">
          <tpl fld="2" item="1"/>
          <tpl fld="16" item="5"/>
          <tpl fld="0" item="1"/>
          <tpl fld="12" item="0"/>
          <tpl fld="1" item="1"/>
          <tpl fld="17" item="0"/>
        </tpls>
      </n>
      <n v="315148617">
        <tpls c="5">
          <tpl fld="2" item="2"/>
          <tpl fld="0" item="2"/>
          <tpl fld="12" item="2"/>
          <tpl hier="40" item="2"/>
          <tpl fld="17" item="0"/>
        </tpls>
      </n>
      <m>
        <tpls c="3">
          <tpl fld="6" item="2"/>
          <tpl fld="4" item="5"/>
          <tpl fld="17" item="1"/>
        </tpls>
      </m>
      <n v="250500">
        <tpls c="6">
          <tpl fld="10" item="3"/>
          <tpl hier="31" item="0"/>
          <tpl fld="9" item="52"/>
          <tpl fld="12" item="3"/>
          <tpl hier="40" item="2"/>
          <tpl fld="17" item="0"/>
        </tpls>
      </n>
      <n v="0">
        <tpls c="7">
          <tpl fld="2" item="1"/>
          <tpl fld="16" item="0"/>
          <tpl fld="0" item="1"/>
          <tpl fld="9" item="42"/>
          <tpl fld="12" item="17"/>
          <tpl fld="1" item="1"/>
          <tpl fld="17" item="0"/>
        </tpls>
      </n>
      <n v="250546">
        <tpls c="7">
          <tpl fld="3" item="0"/>
          <tpl fld="16" item="0"/>
          <tpl hier="31" item="3"/>
          <tpl fld="9" item="40"/>
          <tpl fld="12" item="3"/>
          <tpl hier="40" item="2"/>
          <tpl fld="17" item="0"/>
        </tpls>
      </n>
      <n v="115557">
        <tpls c="7">
          <tpl fld="3" item="0"/>
          <tpl fld="16" item="11"/>
          <tpl hier="31" item="3"/>
          <tpl fld="9" item="31"/>
          <tpl fld="12" item="2"/>
          <tpl hier="40" item="2"/>
          <tpl fld="17" item="0"/>
        </tpls>
      </n>
      <n v="0">
        <tpls c="7">
          <tpl fld="2" item="1"/>
          <tpl fld="16" item="7"/>
          <tpl fld="0" item="1"/>
          <tpl fld="9" item="50"/>
          <tpl fld="12" item="16"/>
          <tpl fld="1" item="1"/>
          <tpl fld="17" item="0"/>
        </tpls>
      </n>
      <n v="0">
        <tpls c="7">
          <tpl fld="2" item="1"/>
          <tpl hier="10" item="4294967295"/>
          <tpl fld="0" item="1"/>
          <tpl fld="9" item="67"/>
          <tpl fld="12" item="16"/>
          <tpl fld="1" item="1"/>
          <tpl fld="17" item="0"/>
        </tpls>
      </n>
      <n v="-97187">
        <tpls c="7">
          <tpl fld="2" item="1"/>
          <tpl fld="16" item="0"/>
          <tpl fld="0" item="1"/>
          <tpl fld="9" item="71"/>
          <tpl fld="12" item="16"/>
          <tpl fld="1" item="1"/>
          <tpl fld="17" item="0"/>
        </tpls>
      </n>
      <n v="54000">
        <tpls c="6">
          <tpl fld="10" item="1"/>
          <tpl hier="31" item="0"/>
          <tpl fld="9" item="11"/>
          <tpl fld="12" item="3"/>
          <tpl hier="40" item="2"/>
          <tpl fld="17" item="0"/>
        </tpls>
      </n>
      <n v="-969">
        <tpls c="7">
          <tpl fld="2" item="1"/>
          <tpl fld="16" item="0"/>
          <tpl fld="0" item="1"/>
          <tpl fld="9" item="70"/>
          <tpl fld="12" item="8"/>
          <tpl fld="1" item="1"/>
          <tpl fld="17" item="0"/>
        </tpls>
      </n>
      <n v="0">
        <tpls c="7">
          <tpl fld="2" item="1"/>
          <tpl fld="16" item="11"/>
          <tpl fld="0" item="1"/>
          <tpl fld="9" item="51"/>
          <tpl fld="12" item="7"/>
          <tpl fld="1" item="1"/>
          <tpl fld="17" item="0"/>
        </tpls>
      </n>
      <m>
        <tpls c="3">
          <tpl fld="6" item="12"/>
          <tpl fld="4" item="1"/>
          <tpl fld="17" item="1"/>
        </tpls>
      </m>
      <n v="0">
        <tpls c="7">
          <tpl fld="2" item="1"/>
          <tpl hier="10" item="4294967295"/>
          <tpl fld="0" item="1"/>
          <tpl fld="9" item="42"/>
          <tpl fld="12" item="17"/>
          <tpl fld="1" item="1"/>
          <tpl fld="17" item="0"/>
        </tpls>
      </n>
      <m>
        <tpls c="7">
          <tpl fld="3" item="0"/>
          <tpl fld="16" item="3"/>
          <tpl hier="31" item="3"/>
          <tpl fld="9" item="14"/>
          <tpl fld="12" item="3"/>
          <tpl hier="40" item="2"/>
          <tpl fld="17" item="0"/>
        </tpls>
      </m>
      <m>
        <tpls c="3">
          <tpl fld="6" item="21"/>
          <tpl fld="4" item="2"/>
          <tpl fld="17" item="1"/>
        </tpls>
      </m>
      <n v="0">
        <tpls c="7">
          <tpl fld="3" item="0"/>
          <tpl fld="16" item="7"/>
          <tpl hier="31" item="3"/>
          <tpl fld="9" item="1"/>
          <tpl fld="12" item="1"/>
          <tpl hier="40" item="2"/>
          <tpl fld="17" item="0"/>
        </tpls>
      </n>
      <n v="1005442">
        <tpls c="7">
          <tpl fld="3" item="1"/>
          <tpl fld="16" item="11"/>
          <tpl hier="31" item="1"/>
          <tpl fld="9" item="9"/>
          <tpl fld="12" item="6"/>
          <tpl hier="40" item="2"/>
          <tpl fld="17" item="0"/>
        </tpls>
      </n>
      <n v="0">
        <tpls c="7">
          <tpl fld="3" item="0"/>
          <tpl fld="16" item="6"/>
          <tpl hier="31" item="3"/>
          <tpl fld="9" item="44"/>
          <tpl fld="12" item="2"/>
          <tpl hier="40" item="2"/>
          <tpl fld="17" item="0"/>
        </tpls>
      </n>
      <m>
        <tpls c="3">
          <tpl fld="6" item="14"/>
          <tpl fld="4" item="8"/>
          <tpl fld="17" item="1"/>
        </tpls>
      </m>
      <m>
        <tpls c="3">
          <tpl fld="6" item="8"/>
          <tpl fld="4" item="4"/>
          <tpl fld="17" item="1"/>
        </tpls>
      </m>
      <n v="3660">
        <tpls c="7">
          <tpl fld="3" item="0"/>
          <tpl fld="16" item="6"/>
          <tpl hier="31" item="3"/>
          <tpl fld="9" item="35"/>
          <tpl fld="12" item="3"/>
          <tpl hier="40" item="2"/>
          <tpl fld="17" item="0"/>
        </tpls>
      </n>
      <n v="150697">
        <tpls c="7">
          <tpl fld="3" item="1"/>
          <tpl fld="16" item="10"/>
          <tpl hier="31" item="1"/>
          <tpl fld="9" item="31"/>
          <tpl fld="12" item="2"/>
          <tpl hier="40" item="2"/>
          <tpl fld="17" item="0"/>
        </tpls>
      </n>
      <n v="5000000" in="0">
        <tpls c="3">
          <tpl fld="4" item="8"/>
          <tpl fld="5" item="5"/>
          <tpl fld="17" item="1"/>
        </tpls>
      </n>
      <m>
        <tpls c="6">
          <tpl fld="2" item="0"/>
          <tpl fld="0" item="0"/>
          <tpl fld="9" item="32"/>
          <tpl fld="8" item="2"/>
          <tpl hier="40" item="2"/>
          <tpl fld="17" item="0"/>
        </tpls>
      </m>
      <n v="-1678">
        <tpls c="6">
          <tpl fld="2" item="1"/>
          <tpl fld="16" item="6"/>
          <tpl fld="0" item="1"/>
          <tpl fld="12" item="0"/>
          <tpl fld="1" item="1"/>
          <tpl fld="17" item="0"/>
        </tpls>
      </n>
      <n v="0">
        <tpls c="7">
          <tpl fld="2" item="1"/>
          <tpl fld="16" item="6"/>
          <tpl fld="0" item="1"/>
          <tpl fld="9" item="68"/>
          <tpl fld="12" item="18"/>
          <tpl fld="1" item="1"/>
          <tpl fld="17" item="0"/>
        </tpls>
      </n>
      <n v="0">
        <tpls c="7">
          <tpl fld="2" item="1"/>
          <tpl fld="16" item="6"/>
          <tpl fld="0" item="1"/>
          <tpl fld="9" item="55"/>
          <tpl fld="12" item="14"/>
          <tpl fld="1" item="1"/>
          <tpl fld="17" item="0"/>
        </tpls>
      </n>
      <n v="828698">
        <tpls c="6">
          <tpl fld="2" item="2"/>
          <tpl fld="0" item="2"/>
          <tpl fld="9" item="66"/>
          <tpl fld="12" item="4"/>
          <tpl fld="1" item="1"/>
          <tpl fld="17" item="0"/>
        </tpls>
      </n>
      <n v="5168967">
        <tpls c="6">
          <tpl fld="10" item="2"/>
          <tpl hier="31" item="0"/>
          <tpl fld="9" item="15"/>
          <tpl fld="12" item="3"/>
          <tpl hier="40" item="2"/>
          <tpl fld="17" item="0"/>
        </tpls>
      </n>
      <m>
        <tpls c="3">
          <tpl fld="6" item="10"/>
          <tpl fld="4" item="4"/>
          <tpl fld="17" item="1"/>
        </tpls>
      </m>
      <n v="83500">
        <tpls c="7">
          <tpl fld="3" item="1"/>
          <tpl fld="16" item="3"/>
          <tpl hier="31" item="1"/>
          <tpl fld="9" item="52"/>
          <tpl fld="12" item="3"/>
          <tpl hier="40" item="2"/>
          <tpl fld="17" item="0"/>
        </tpls>
      </n>
      <n v="125">
        <tpls c="7">
          <tpl fld="3" item="0"/>
          <tpl fld="16" item="11"/>
          <tpl hier="31" item="3"/>
          <tpl fld="9" item="20"/>
          <tpl fld="12" item="2"/>
          <tpl hier="40" item="2"/>
          <tpl fld="17" item="0"/>
        </tpls>
      </n>
      <n v="155000">
        <tpls c="7">
          <tpl fld="3" item="1"/>
          <tpl fld="16" item="11"/>
          <tpl hier="31" item="1"/>
          <tpl fld="9" item="35"/>
          <tpl fld="12" item="3"/>
          <tpl hier="40" item="2"/>
          <tpl fld="17" item="0"/>
        </tpls>
      </n>
      <n v="168451">
        <tpls c="6">
          <tpl fld="2" item="1"/>
          <tpl fld="16" item="2"/>
          <tpl fld="0" item="1"/>
          <tpl fld="12" item="16"/>
          <tpl fld="1" item="1"/>
          <tpl fld="17" item="0"/>
        </tpls>
      </n>
      <m>
        <tpls c="3">
          <tpl fld="7" item="5"/>
          <tpl fld="5" item="3"/>
          <tpl fld="17" item="1"/>
        </tpls>
      </m>
      <n v="0">
        <tpls c="7">
          <tpl fld="2" item="1"/>
          <tpl fld="16" item="10"/>
          <tpl fld="0" item="1"/>
          <tpl fld="9" item="57"/>
          <tpl fld="12" item="8"/>
          <tpl fld="1" item="1"/>
          <tpl fld="17" item="0"/>
        </tpls>
      </n>
      <n v="1768943">
        <tpls c="6">
          <tpl fld="10" item="0"/>
          <tpl hier="31" item="0"/>
          <tpl fld="9" item="38"/>
          <tpl fld="12" item="5"/>
          <tpl hier="40" item="2"/>
          <tpl fld="17" item="0"/>
        </tpls>
      </n>
      <m>
        <tpls c="6">
          <tpl fld="10" item="2"/>
          <tpl hier="31" item="0"/>
          <tpl fld="9" item="2"/>
          <tpl fld="12" item="1"/>
          <tpl hier="40" item="2"/>
          <tpl fld="17" item="0"/>
        </tpls>
      </m>
      <m>
        <tpls c="7">
          <tpl fld="3" item="1"/>
          <tpl fld="16" item="4"/>
          <tpl hier="31" item="1"/>
          <tpl fld="9" item="36"/>
          <tpl fld="12" item="3"/>
          <tpl hier="40" item="2"/>
          <tpl fld="17" item="0"/>
        </tpls>
      </m>
      <n v="6207331">
        <tpls c="7">
          <tpl fld="2" item="1"/>
          <tpl fld="16" item="11"/>
          <tpl fld="0" item="1"/>
          <tpl fld="9" item="54"/>
          <tpl fld="12" item="16"/>
          <tpl fld="1" item="1"/>
          <tpl fld="17" item="0"/>
        </tpls>
      </n>
      <n v="218901">
        <tpls c="7">
          <tpl fld="3" item="1"/>
          <tpl fld="16" item="11"/>
          <tpl hier="31" item="1"/>
          <tpl fld="9" item="31"/>
          <tpl fld="12" item="2"/>
          <tpl hier="40" item="2"/>
          <tpl fld="17" item="0"/>
        </tpls>
      </n>
      <n v="500">
        <tpls c="7">
          <tpl fld="3" item="1"/>
          <tpl fld="16" item="1"/>
          <tpl hier="31" item="1"/>
          <tpl fld="9" item="48"/>
          <tpl fld="12" item="22"/>
          <tpl hier="40" item="2"/>
          <tpl fld="17" item="0"/>
        </tpls>
      </n>
      <n v="-630806">
        <tpls c="7">
          <tpl fld="2" item="1"/>
          <tpl fld="16" item="9"/>
          <tpl fld="0" item="1"/>
          <tpl fld="9" item="28"/>
          <tpl fld="12" item="15"/>
          <tpl fld="1" item="1"/>
          <tpl fld="17" item="0"/>
        </tpls>
      </n>
      <m>
        <tpls c="3">
          <tpl fld="6" item="20"/>
          <tpl fld="4" item="1"/>
          <tpl fld="17" item="1"/>
        </tpls>
      </m>
      <n v="3859552">
        <tpls c="6">
          <tpl fld="2" item="0"/>
          <tpl fld="0" item="0"/>
          <tpl fld="9" item="24"/>
          <tpl fld="12" item="6"/>
          <tpl hier="40" item="2"/>
          <tpl fld="17" item="0"/>
        </tpls>
      </n>
      <m>
        <tpls c="7">
          <tpl fld="3" item="1"/>
          <tpl fld="16" item="4"/>
          <tpl hier="31" item="1"/>
          <tpl fld="9" item="27"/>
          <tpl fld="12" item="5"/>
          <tpl hier="40" item="2"/>
          <tpl fld="17" item="0"/>
        </tpls>
      </m>
      <n v="13884732">
        <tpls c="6">
          <tpl fld="3" item="0"/>
          <tpl fld="16" item="10"/>
          <tpl hier="31" item="3"/>
          <tpl fld="12" item="2"/>
          <tpl hier="40" item="2"/>
          <tpl fld="17" item="0"/>
        </tpls>
      </n>
      <n v="0">
        <tpls c="6">
          <tpl fld="2" item="1"/>
          <tpl fld="16" item="2"/>
          <tpl fld="0" item="1"/>
          <tpl fld="12" item="10"/>
          <tpl fld="1" item="1"/>
          <tpl fld="17" item="0"/>
        </tpls>
      </n>
      <n v="4167">
        <tpls c="3">
          <tpl fld="11" item="5"/>
          <tpl fld="15" item="0"/>
          <tpl fld="17" item="2"/>
        </tpls>
      </n>
      <n v="407290">
        <tpls c="6">
          <tpl fld="3" item="0"/>
          <tpl fld="16" item="0"/>
          <tpl hier="31" item="3"/>
          <tpl fld="12" item="5"/>
          <tpl hier="40" item="2"/>
          <tpl fld="17" item="0"/>
        </tpls>
      </n>
      <n v="103358798">
        <tpls c="6">
          <tpl fld="2" item="2"/>
          <tpl fld="0" item="2"/>
          <tpl fld="9" item="16"/>
          <tpl fld="12" item="11"/>
          <tpl fld="1" item="1"/>
          <tpl fld="17" item="0"/>
        </tpls>
      </n>
      <n v="210729">
        <tpls c="3">
          <tpl fld="11" item="5"/>
          <tpl fld="15" item="2"/>
          <tpl fld="17" item="2"/>
        </tpls>
      </n>
      <n v="3806072">
        <tpls c="6">
          <tpl fld="10" item="0"/>
          <tpl hier="31" item="0"/>
          <tpl fld="9" item="25"/>
          <tpl fld="12" item="2"/>
          <tpl hier="40" item="2"/>
          <tpl fld="17" item="0"/>
        </tpls>
      </n>
      <n v="0">
        <tpls c="7">
          <tpl fld="3" item="0"/>
          <tpl fld="16" item="6"/>
          <tpl hier="31" item="3"/>
          <tpl fld="9" item="7"/>
          <tpl fld="12" item="3"/>
          <tpl hier="40" item="2"/>
          <tpl fld="17" item="0"/>
        </tpls>
      </n>
      <n v="944973">
        <tpls c="7">
          <tpl fld="3" item="0"/>
          <tpl hier="10" item="4294967295"/>
          <tpl hier="31" item="3"/>
          <tpl fld="9" item="49"/>
          <tpl fld="12" item="3"/>
          <tpl hier="40" item="2"/>
          <tpl fld="17" item="0"/>
        </tpls>
      </n>
      <n v="75108">
        <tpls c="7">
          <tpl fld="3" item="1"/>
          <tpl fld="16" item="2"/>
          <tpl hier="31" item="1"/>
          <tpl fld="9" item="33"/>
          <tpl fld="12" item="6"/>
          <tpl hier="40" item="2"/>
          <tpl fld="17" item="0"/>
        </tpls>
      </n>
      <n v="465000">
        <tpls c="6">
          <tpl fld="10" item="1"/>
          <tpl hier="31" item="0"/>
          <tpl fld="9" item="35"/>
          <tpl fld="12" item="3"/>
          <tpl hier="40" item="2"/>
          <tpl fld="17" item="0"/>
        </tpls>
      </n>
      <m>
        <tpls c="3">
          <tpl fld="4" item="8"/>
          <tpl fld="5" item="3"/>
          <tpl fld="17" item="1"/>
        </tpls>
      </m>
      <n v="-5069079">
        <tpls c="6">
          <tpl fld="2" item="1"/>
          <tpl fld="16" item="0"/>
          <tpl fld="0" item="1"/>
          <tpl fld="12" item="8"/>
          <tpl fld="1" item="1"/>
          <tpl fld="17" item="0"/>
        </tpls>
      </n>
      <n v="1551763">
        <tpls c="6">
          <tpl fld="10" item="1"/>
          <tpl hier="31" item="1"/>
          <tpl fld="9" item="24"/>
          <tpl fld="8" item="1"/>
          <tpl hier="40" item="2"/>
          <tpl fld="17" item="0"/>
        </tpls>
      </n>
      <n v="0">
        <tpls c="7">
          <tpl fld="2" item="1"/>
          <tpl fld="16" item="9"/>
          <tpl fld="0" item="1"/>
          <tpl fld="9" item="50"/>
          <tpl fld="12" item="16"/>
          <tpl fld="1" item="1"/>
          <tpl fld="17" item="0"/>
        </tpls>
      </n>
      <n v="3939366">
        <tpls c="6">
          <tpl fld="10" item="0"/>
          <tpl hier="31" item="0"/>
          <tpl fld="9" item="4"/>
          <tpl fld="12" item="3"/>
          <tpl hier="40" item="2"/>
          <tpl fld="17" item="0"/>
        </tpls>
      </n>
      <n v="3153335">
        <tpls c="7">
          <tpl fld="2" item="1"/>
          <tpl fld="16" item="11"/>
          <tpl fld="0" item="1"/>
          <tpl fld="9" item="61"/>
          <tpl fld="12" item="0"/>
          <tpl fld="1" item="1"/>
          <tpl fld="17" item="0"/>
        </tpls>
      </n>
      <n v="0">
        <tpls c="6">
          <tpl fld="2" item="1"/>
          <tpl hier="10" item="4294967295"/>
          <tpl fld="0" item="1"/>
          <tpl fld="12" item="18"/>
          <tpl fld="1" item="1"/>
          <tpl fld="17" item="0"/>
        </tpls>
      </n>
      <n v="12000">
        <tpls c="6">
          <tpl fld="3" item="1"/>
          <tpl hier="10" item="4294967295"/>
          <tpl hier="31" item="1"/>
          <tpl fld="12" item="22"/>
          <tpl hier="40" item="2"/>
          <tpl fld="17" item="0"/>
        </tpls>
      </n>
      <n v="83500">
        <tpls c="7">
          <tpl fld="3" item="1"/>
          <tpl fld="16" item="0"/>
          <tpl hier="31" item="1"/>
          <tpl fld="9" item="52"/>
          <tpl fld="12" item="3"/>
          <tpl hier="40" item="2"/>
          <tpl fld="17" item="0"/>
        </tpls>
      </n>
      <n v="0">
        <tpls c="7">
          <tpl fld="3" item="0"/>
          <tpl fld="16" item="3"/>
          <tpl hier="31" item="3"/>
          <tpl fld="9" item="11"/>
          <tpl fld="12" item="3"/>
          <tpl hier="40" item="2"/>
          <tpl fld="17" item="0"/>
        </tpls>
      </n>
      <n v="18755795">
        <tpls c="6">
          <tpl fld="3" item="0"/>
          <tpl fld="16" item="0"/>
          <tpl hier="31" item="3"/>
          <tpl fld="12" item="13"/>
          <tpl hier="40" item="2"/>
          <tpl fld="17" item="0"/>
        </tpls>
      </n>
      <n v="83500">
        <tpls c="7">
          <tpl fld="3" item="1"/>
          <tpl fld="16" item="7"/>
          <tpl hier="31" item="1"/>
          <tpl fld="9" item="52"/>
          <tpl fld="12" item="3"/>
          <tpl hier="40" item="2"/>
          <tpl fld="17" item="0"/>
        </tpls>
      </n>
      <n v="18991617">
        <tpls c="6">
          <tpl fld="3" item="1"/>
          <tpl fld="16" item="0"/>
          <tpl hier="31" item="1"/>
          <tpl fld="12" item="13"/>
          <tpl hier="40" item="2"/>
          <tpl fld="17" item="0"/>
        </tpls>
      </n>
      <n v="0">
        <tpls c="6">
          <tpl fld="2" item="3"/>
          <tpl fld="0" item="2"/>
          <tpl fld="9" item="67"/>
          <tpl fld="12" item="16"/>
          <tpl fld="1" item="1"/>
          <tpl fld="17" item="0"/>
        </tpls>
      </n>
      <m>
        <tpls c="6">
          <tpl fld="2" item="0"/>
          <tpl fld="0" item="0"/>
          <tpl fld="9" item="14"/>
          <tpl fld="8" item="3"/>
          <tpl hier="40" item="2"/>
          <tpl fld="17" item="0"/>
        </tpls>
      </m>
      <n v="39196">
        <tpls c="6">
          <tpl fld="2" item="2"/>
          <tpl fld="0" item="2"/>
          <tpl fld="9" item="20"/>
          <tpl fld="8" item="0"/>
          <tpl hier="40" item="2"/>
          <tpl fld="17" item="0"/>
        </tpls>
      </n>
      <m>
        <tpls c="6">
          <tpl fld="10" item="0"/>
          <tpl hier="31" item="0"/>
          <tpl fld="9" item="19"/>
          <tpl fld="12" item="5"/>
          <tpl hier="40" item="2"/>
          <tpl fld="17" item="0"/>
        </tpls>
      </m>
      <n v="0">
        <tpls c="7">
          <tpl fld="2" item="1"/>
          <tpl fld="16" item="5"/>
          <tpl fld="0" item="1"/>
          <tpl fld="9" item="65"/>
          <tpl fld="12" item="14"/>
          <tpl fld="1" item="1"/>
          <tpl fld="17" item="0"/>
        </tpls>
      </n>
      <m>
        <tpls c="7">
          <tpl fld="3" item="1"/>
          <tpl fld="16" item="0"/>
          <tpl hier="31" item="1"/>
          <tpl fld="9" item="32"/>
          <tpl fld="12" item="5"/>
          <tpl hier="40" item="2"/>
          <tpl fld="17" item="0"/>
        </tpls>
      </m>
      <m>
        <tpls c="3">
          <tpl fld="6" item="5"/>
          <tpl fld="4" item="2"/>
          <tpl fld="17" item="1"/>
        </tpls>
      </m>
      <n v="3499998">
        <tpls c="6">
          <tpl fld="10" item="0"/>
          <tpl hier="31" item="0"/>
          <tpl fld="9" item="0"/>
          <tpl fld="12" item="2"/>
          <tpl hier="40" item="2"/>
          <tpl fld="17" item="0"/>
        </tpls>
      </n>
      <n v="11647944">
        <tpls c="6">
          <tpl fld="2" item="0"/>
          <tpl fld="0" item="0"/>
          <tpl fld="9" item="0"/>
          <tpl fld="12" item="2"/>
          <tpl hier="40" item="2"/>
          <tpl fld="17" item="0"/>
        </tpls>
      </n>
      <n v="60467">
        <tpls c="7">
          <tpl fld="3" item="0"/>
          <tpl fld="16" item="5"/>
          <tpl hier="31" item="3"/>
          <tpl fld="9" item="52"/>
          <tpl fld="12" item="3"/>
          <tpl hier="40" item="2"/>
          <tpl fld="17" item="0"/>
        </tpls>
      </n>
      <n v="0">
        <tpls c="7">
          <tpl fld="2" item="1"/>
          <tpl fld="16" item="11"/>
          <tpl fld="0" item="1"/>
          <tpl fld="9" item="42"/>
          <tpl fld="12" item="17"/>
          <tpl fld="1" item="1"/>
          <tpl fld="17" item="0"/>
        </tpls>
      </n>
      <m>
        <tpls c="6">
          <tpl fld="2" item="0"/>
          <tpl fld="0" item="0"/>
          <tpl fld="9" item="27"/>
          <tpl fld="8" item="2"/>
          <tpl hier="40" item="2"/>
          <tpl fld="17" item="0"/>
        </tpls>
      </m>
      <n v="-691">
        <tpls c="7">
          <tpl fld="2" item="1"/>
          <tpl fld="16" item="6"/>
          <tpl fld="0" item="1"/>
          <tpl fld="9" item="57"/>
          <tpl fld="12" item="8"/>
          <tpl fld="1" item="1"/>
          <tpl fld="17" item="0"/>
        </tpls>
      </n>
      <m>
        <tpls c="7">
          <tpl fld="3" item="1"/>
          <tpl fld="16" item="11"/>
          <tpl hier="31" item="1"/>
          <tpl fld="9" item="36"/>
          <tpl fld="12" item="3"/>
          <tpl hier="40" item="2"/>
          <tpl fld="17" item="0"/>
        </tpls>
      </m>
      <m>
        <tpls c="7">
          <tpl fld="3" item="1"/>
          <tpl fld="16" item="10"/>
          <tpl hier="31" item="1"/>
          <tpl fld="9" item="2"/>
          <tpl fld="12" item="1"/>
          <tpl hier="40" item="2"/>
          <tpl fld="17" item="0"/>
        </tpls>
      </m>
      <n v="0">
        <tpls c="7">
          <tpl fld="2" item="1"/>
          <tpl fld="16" item="5"/>
          <tpl fld="0" item="1"/>
          <tpl fld="9" item="61"/>
          <tpl fld="12" item="0"/>
          <tpl fld="1" item="1"/>
          <tpl fld="17" item="0"/>
        </tpls>
      </n>
      <n v="18633568">
        <tpls c="7">
          <tpl fld="3" item="0"/>
          <tpl fld="16" item="4"/>
          <tpl hier="31" item="3"/>
          <tpl fld="9" item="45"/>
          <tpl fld="12" item="13"/>
          <tpl hier="40" item="2"/>
          <tpl fld="17" item="0"/>
        </tpls>
      </n>
      <n v="0">
        <tpls c="7">
          <tpl fld="2" item="1"/>
          <tpl fld="16" item="2"/>
          <tpl fld="0" item="1"/>
          <tpl fld="9" item="51"/>
          <tpl fld="12" item="7"/>
          <tpl fld="1" item="1"/>
          <tpl fld="17" item="0"/>
        </tpls>
      </n>
      <n v="4139034">
        <tpls c="6">
          <tpl fld="3" item="1"/>
          <tpl fld="16" item="1"/>
          <tpl hier="31" item="1"/>
          <tpl fld="12" item="9"/>
          <tpl hier="40" item="2"/>
          <tpl fld="17" item="0"/>
        </tpls>
      </n>
      <n v="1172920">
        <tpls c="6">
          <tpl fld="2" item="0"/>
          <tpl fld="0" item="0"/>
          <tpl fld="9" item="13"/>
          <tpl fld="8" item="1"/>
          <tpl hier="40" item="2"/>
          <tpl fld="17" item="0"/>
        </tpls>
      </n>
      <n v="100000">
        <tpls c="6">
          <tpl fld="10" item="1"/>
          <tpl hier="31" item="0"/>
          <tpl fld="9" item="12"/>
          <tpl fld="12" item="5"/>
          <tpl hier="40" item="2"/>
          <tpl fld="17" item="0"/>
        </tpls>
      </n>
      <m>
        <tpls c="3">
          <tpl fld="6" item="7"/>
          <tpl fld="4" item="1"/>
          <tpl fld="17" item="1"/>
        </tpls>
      </m>
      <m>
        <tpls c="3">
          <tpl fld="6" item="0"/>
          <tpl fld="4" item="6"/>
          <tpl fld="17" item="1"/>
        </tpls>
      </m>
      <n v="70881">
        <tpls c="7">
          <tpl fld="3" item="0"/>
          <tpl fld="16" item="1"/>
          <tpl hier="31" item="3"/>
          <tpl fld="9" item="53"/>
          <tpl fld="12" item="2"/>
          <tpl hier="40" item="2"/>
          <tpl fld="17" item="0"/>
        </tpls>
      </n>
      <n v="392981">
        <tpls c="7">
          <tpl fld="3" item="1"/>
          <tpl fld="16" item="0"/>
          <tpl hier="31" item="1"/>
          <tpl fld="9" item="38"/>
          <tpl fld="12" item="5"/>
          <tpl hier="40" item="2"/>
          <tpl fld="17" item="0"/>
        </tpls>
      </n>
      <m>
        <tpls c="3">
          <tpl fld="6" item="3"/>
          <tpl fld="4" item="6"/>
          <tpl fld="17" item="1"/>
        </tpls>
      </m>
      <m>
        <tpls c="3">
          <tpl fld="6" item="6"/>
          <tpl fld="4" item="4"/>
          <tpl fld="17" item="1"/>
        </tpls>
      </m>
      <n v="21">
        <tpls c="7">
          <tpl fld="3" item="0"/>
          <tpl fld="16" item="3"/>
          <tpl hier="31" item="3"/>
          <tpl fld="9" item="6"/>
          <tpl fld="12" item="1"/>
          <tpl hier="40" item="2"/>
          <tpl fld="17" item="0"/>
        </tpls>
      </n>
      <n v="2672095">
        <tpls c="6">
          <tpl fld="2" item="1"/>
          <tpl fld="0" item="1"/>
          <tpl fld="9" item="2"/>
          <tpl fld="12" item="1"/>
          <tpl hier="40" item="2"/>
          <tpl fld="17" item="0"/>
        </tpls>
      </n>
      <n v="570561">
        <tpls c="6">
          <tpl fld="2" item="1"/>
          <tpl fld="16" item="7"/>
          <tpl fld="0" item="1"/>
          <tpl fld="12" item="16"/>
          <tpl fld="1" item="1"/>
          <tpl fld="17" item="0"/>
        </tpls>
      </n>
      <n v="52500">
        <tpls c="6">
          <tpl fld="10" item="1"/>
          <tpl hier="31" item="0"/>
          <tpl fld="9" item="17"/>
          <tpl fld="12" item="2"/>
          <tpl hier="40" item="2"/>
          <tpl fld="17" item="0"/>
        </tpls>
      </n>
      <n v="4760000" in="0">
        <tpls c="3">
          <tpl fld="4" item="4"/>
          <tpl fld="5" item="5"/>
          <tpl fld="17" item="1"/>
        </tpls>
      </n>
      <n v="10112">
        <tpls c="6">
          <tpl fld="2" item="2"/>
          <tpl fld="0" item="2"/>
          <tpl fld="9" item="10"/>
          <tpl fld="8" item="1"/>
          <tpl hier="40" item="2"/>
          <tpl fld="17" item="0"/>
        </tpls>
      </n>
      <n v="6433511">
        <tpls c="7">
          <tpl fld="2" item="1"/>
          <tpl fld="16" item="9"/>
          <tpl fld="0" item="1"/>
          <tpl fld="9" item="54"/>
          <tpl fld="12" item="16"/>
          <tpl fld="1" item="1"/>
          <tpl fld="17" item="0"/>
        </tpls>
      </n>
      <n v="1313122">
        <tpls c="7">
          <tpl fld="3" item="1"/>
          <tpl fld="16" item="9"/>
          <tpl hier="31" item="1"/>
          <tpl fld="9" item="4"/>
          <tpl fld="12" item="3"/>
          <tpl hier="40" item="2"/>
          <tpl fld="17" item="0"/>
        </tpls>
      </n>
      <n v="1200000" in="0">
        <tpls c="3">
          <tpl fld="6" item="10"/>
          <tpl fld="4" item="3"/>
          <tpl fld="17" item="1"/>
        </tpls>
      </n>
      <n v="14727208">
        <tpls c="6">
          <tpl fld="3" item="1"/>
          <tpl hier="10" item="4294967295"/>
          <tpl hier="31" item="1"/>
          <tpl fld="12" item="6"/>
          <tpl hier="40" item="2"/>
          <tpl fld="17" item="0"/>
        </tpls>
      </n>
      <n v="0">
        <tpls c="6">
          <tpl fld="2" item="2"/>
          <tpl fld="0" item="2"/>
          <tpl fld="9" item="59"/>
          <tpl fld="12" item="4"/>
          <tpl fld="1" item="1"/>
          <tpl fld="17" item="0"/>
        </tpls>
      </n>
      <n v="-1528">
        <tpls c="7">
          <tpl fld="2" item="1"/>
          <tpl fld="16" item="1"/>
          <tpl fld="0" item="1"/>
          <tpl fld="9" item="47"/>
          <tpl fld="12" item="17"/>
          <tpl fld="1" item="1"/>
          <tpl fld="17" item="0"/>
        </tpls>
      </n>
      <m>
        <tpls c="3">
          <tpl fld="6" item="6"/>
          <tpl fld="4" item="1"/>
          <tpl fld="17" item="1"/>
        </tpls>
      </m>
      <n v="0">
        <tpls c="6">
          <tpl fld="2" item="1"/>
          <tpl fld="16" item="6"/>
          <tpl fld="0" item="1"/>
          <tpl fld="12" item="12"/>
          <tpl fld="1" item="1"/>
          <tpl fld="17" item="0"/>
        </tpls>
      </n>
      <n v="155000">
        <tpls c="7">
          <tpl fld="3" item="1"/>
          <tpl fld="16" item="7"/>
          <tpl hier="31" item="1"/>
          <tpl fld="9" item="35"/>
          <tpl fld="12" item="3"/>
          <tpl hier="40" item="2"/>
          <tpl fld="17" item="0"/>
        </tpls>
      </n>
      <n v="0">
        <tpls c="7">
          <tpl fld="3" item="0"/>
          <tpl fld="16" item="1"/>
          <tpl hier="31" item="3"/>
          <tpl fld="9" item="7"/>
          <tpl fld="12" item="3"/>
          <tpl hier="40" item="2"/>
          <tpl fld="17" item="0"/>
        </tpls>
      </n>
      <m>
        <tpls c="3">
          <tpl fld="4" item="4"/>
          <tpl fld="5" item="3"/>
          <tpl fld="17" item="1"/>
        </tpls>
      </m>
      <n v="1151243">
        <tpls c="6">
          <tpl fld="10" item="2"/>
          <tpl hier="31" item="1"/>
          <tpl fld="9" item="36"/>
          <tpl fld="8" item="1"/>
          <tpl hier="40" item="2"/>
          <tpl fld="17" item="0"/>
        </tpls>
      </n>
      <n v="578000">
        <tpls c="6">
          <tpl fld="2" item="0"/>
          <tpl fld="0" item="0"/>
          <tpl fld="9" item="7"/>
          <tpl fld="8" item="1"/>
          <tpl hier="40" item="2"/>
          <tpl fld="17" item="0"/>
        </tpls>
      </n>
      <n v="890875">
        <tpls c="7">
          <tpl fld="2" item="1"/>
          <tpl hier="10" item="4294967295"/>
          <tpl fld="0" item="1"/>
          <tpl fld="9" item="39"/>
          <tpl fld="12" item="0"/>
          <tpl fld="1" item="1"/>
          <tpl fld="17" item="0"/>
        </tpls>
      </n>
      <n v="520000">
        <tpls c="6">
          <tpl fld="10" item="0"/>
          <tpl hier="31" item="0"/>
          <tpl fld="9" item="35"/>
          <tpl fld="12" item="3"/>
          <tpl hier="40" item="2"/>
          <tpl fld="17" item="0"/>
        </tpls>
      </n>
      <n v="10154137">
        <tpls c="6">
          <tpl fld="2" item="2"/>
          <tpl fld="0" item="2"/>
          <tpl fld="9" item="15"/>
          <tpl fld="12" item="3"/>
          <tpl hier="40" item="2"/>
          <tpl fld="17" item="0"/>
        </tpls>
      </n>
      <m>
        <tpls c="7">
          <tpl fld="3" item="0"/>
          <tpl fld="16" item="3"/>
          <tpl hier="31" item="3"/>
          <tpl fld="9" item="1"/>
          <tpl fld="12" item="1"/>
          <tpl hier="40" item="2"/>
          <tpl fld="17" item="0"/>
        </tpls>
      </m>
      <m>
        <tpls c="3">
          <tpl fld="6" item="5"/>
          <tpl fld="4" item="6"/>
          <tpl fld="17" item="1"/>
        </tpls>
      </m>
      <n v="42188998">
        <tpls c="6">
          <tpl fld="10" item="1"/>
          <tpl hier="31" item="0"/>
          <tpl fld="9" item="23"/>
          <tpl fld="12" item="2"/>
          <tpl hier="40" item="2"/>
          <tpl fld="17" item="0"/>
        </tpls>
      </n>
      <n v="0">
        <tpls c="6">
          <tpl fld="2" item="1"/>
          <tpl fld="16" item="11"/>
          <tpl fld="0" item="1"/>
          <tpl fld="12" item="12"/>
          <tpl fld="1" item="1"/>
          <tpl fld="17" item="0"/>
        </tpls>
      </n>
      <n v="0">
        <tpls c="6">
          <tpl fld="2" item="1"/>
          <tpl fld="16" item="7"/>
          <tpl fld="0" item="1"/>
          <tpl fld="12" item="19"/>
          <tpl fld="1" item="1"/>
          <tpl fld="17" item="0"/>
        </tpls>
      </n>
      <n v="183906">
        <tpls c="7">
          <tpl fld="3" item="0"/>
          <tpl fld="16" item="2"/>
          <tpl hier="31" item="3"/>
          <tpl fld="9" item="9"/>
          <tpl fld="12" item="6"/>
          <tpl hier="40" item="2"/>
          <tpl fld="17" item="0"/>
        </tpls>
      </n>
      <n v="4299624">
        <tpls c="6">
          <tpl fld="2" item="2"/>
          <tpl fld="0" item="2"/>
          <tpl fld="9" item="24"/>
          <tpl fld="12" item="6"/>
          <tpl hier="40" item="2"/>
          <tpl fld="17" item="0"/>
        </tpls>
      </n>
      <n v="49694">
        <tpls c="7">
          <tpl fld="3" item="0"/>
          <tpl fld="16" item="10"/>
          <tpl hier="31" item="3"/>
          <tpl fld="9" item="52"/>
          <tpl fld="12" item="3"/>
          <tpl hier="40" item="2"/>
          <tpl fld="17" item="0"/>
        </tpls>
      </n>
      <n v="1178943">
        <tpls c="6">
          <tpl fld="10" item="1"/>
          <tpl hier="31" item="0"/>
          <tpl fld="9" item="38"/>
          <tpl fld="12" item="5"/>
          <tpl hier="40" item="2"/>
          <tpl fld="17" item="0"/>
        </tpls>
      </n>
      <n v="10134688">
        <tpls c="7">
          <tpl fld="2" item="1"/>
          <tpl hier="10" item="4294967295"/>
          <tpl fld="0" item="1"/>
          <tpl fld="9" item="55"/>
          <tpl fld="12" item="14"/>
          <tpl fld="1" item="1"/>
          <tpl fld="17" item="0"/>
        </tpls>
      </n>
      <m>
        <tpls c="3">
          <tpl fld="6" item="4"/>
          <tpl fld="4" item="0"/>
          <tpl fld="17" item="1"/>
        </tpls>
      </m>
      <n v="199">
        <tpls c="7">
          <tpl fld="3" item="0"/>
          <tpl fld="16" item="3"/>
          <tpl hier="31" item="3"/>
          <tpl fld="9" item="48"/>
          <tpl fld="12" item="22"/>
          <tpl hier="40" item="2"/>
          <tpl fld="17" item="0"/>
        </tpls>
      </n>
      <n v="0">
        <tpls c="7">
          <tpl fld="2" item="1"/>
          <tpl fld="16" item="6"/>
          <tpl fld="0" item="1"/>
          <tpl fld="9" item="67"/>
          <tpl fld="12" item="16"/>
          <tpl fld="1" item="1"/>
          <tpl fld="17" item="0"/>
        </tpls>
      </n>
      <n v="738">
        <tpls c="6">
          <tpl fld="3" item="0"/>
          <tpl fld="16" item="5"/>
          <tpl hier="31" item="3"/>
          <tpl fld="12" item="22"/>
          <tpl hier="40" item="2"/>
          <tpl fld="17" item="0"/>
        </tpls>
      </n>
      <n v="1975200">
        <tpls c="6">
          <tpl fld="2" item="1"/>
          <tpl fld="0" item="1"/>
          <tpl fld="9" item="31"/>
          <tpl fld="8" item="0"/>
          <tpl hier="40" item="2"/>
          <tpl fld="17" item="0"/>
        </tpls>
      </n>
      <m>
        <tpls c="7">
          <tpl fld="3" item="1"/>
          <tpl hier="10" item="4294967295"/>
          <tpl hier="31" item="1"/>
          <tpl fld="9" item="32"/>
          <tpl fld="12" item="5"/>
          <tpl hier="40" item="2"/>
          <tpl fld="17" item="0"/>
        </tpls>
      </m>
      <n v="5072714">
        <tpls c="6">
          <tpl fld="3" item="1"/>
          <tpl fld="16" item="3"/>
          <tpl hier="31" item="1"/>
          <tpl fld="12" item="9"/>
          <tpl hier="40" item="2"/>
          <tpl fld="17" item="0"/>
        </tpls>
      </n>
      <m>
        <tpls c="7">
          <tpl fld="3" item="1"/>
          <tpl fld="16" item="0"/>
          <tpl hier="31" item="1"/>
          <tpl fld="9" item="13"/>
          <tpl fld="12" item="3"/>
          <tpl hier="40" item="2"/>
          <tpl fld="17" item="0"/>
        </tpls>
      </m>
      <n v="245393">
        <tpls c="6">
          <tpl fld="3" item="0"/>
          <tpl fld="16" item="10"/>
          <tpl hier="31" item="3"/>
          <tpl fld="12" item="6"/>
          <tpl hier="40" item="2"/>
          <tpl fld="17" item="0"/>
        </tpls>
      </n>
      <m>
        <tpls c="3">
          <tpl fld="6" item="14"/>
          <tpl fld="4" item="9"/>
          <tpl fld="17" item="1"/>
        </tpls>
      </m>
      <n v="392981">
        <tpls c="6">
          <tpl fld="3" item="0"/>
          <tpl fld="16" item="10"/>
          <tpl hier="31" item="3"/>
          <tpl fld="12" item="5"/>
          <tpl hier="40" item="2"/>
          <tpl fld="17" item="0"/>
        </tpls>
      </n>
      <n v="52179299">
        <tpls c="6">
          <tpl fld="2" item="1"/>
          <tpl hier="10" item="4294967295"/>
          <tpl fld="0" item="1"/>
          <tpl fld="12" item="15"/>
          <tpl fld="1" item="1"/>
          <tpl fld="17" item="0"/>
        </tpls>
      </n>
      <m>
        <tpls c="6">
          <tpl fld="2" item="0"/>
          <tpl fld="0" item="0"/>
          <tpl fld="9" item="1"/>
          <tpl fld="8" item="3"/>
          <tpl hier="40" item="2"/>
          <tpl fld="17" item="0"/>
        </tpls>
      </m>
      <n v="464948">
        <tpls c="6">
          <tpl fld="3" item="0"/>
          <tpl fld="16" item="6"/>
          <tpl hier="31" item="3"/>
          <tpl fld="12" item="6"/>
          <tpl hier="40" item="2"/>
          <tpl fld="17" item="0"/>
        </tpls>
      </n>
      <m>
        <tpls c="6">
          <tpl fld="2" item="0"/>
          <tpl fld="0" item="0"/>
          <tpl fld="9" item="32"/>
          <tpl fld="12" item="5"/>
          <tpl hier="40" item="2"/>
          <tpl fld="17" item="0"/>
        </tpls>
      </m>
      <n v="0">
        <tpls c="7">
          <tpl fld="2" item="1"/>
          <tpl fld="16" item="5"/>
          <tpl fld="0" item="1"/>
          <tpl fld="9" item="50"/>
          <tpl fld="12" item="16"/>
          <tpl fld="1" item="1"/>
          <tpl fld="17" item="0"/>
        </tpls>
      </n>
      <n v="80000">
        <tpls c="6">
          <tpl fld="2" item="0"/>
          <tpl fld="0" item="0"/>
          <tpl fld="9" item="2"/>
          <tpl fld="8" item="3"/>
          <tpl hier="40" item="2"/>
          <tpl fld="17" item="0"/>
        </tpls>
      </n>
      <n v="0">
        <tpls c="7">
          <tpl fld="2" item="1"/>
          <tpl fld="16" item="0"/>
          <tpl fld="0" item="1"/>
          <tpl fld="9" item="51"/>
          <tpl fld="12" item="7"/>
          <tpl fld="1" item="1"/>
          <tpl fld="17" item="0"/>
        </tpls>
      </n>
      <n v="256421">
        <tpls c="7">
          <tpl fld="3" item="1"/>
          <tpl fld="16" item="0"/>
          <tpl hier="31" item="1"/>
          <tpl fld="9" item="24"/>
          <tpl fld="12" item="6"/>
          <tpl hier="40" item="2"/>
          <tpl fld="17" item="0"/>
        </tpls>
      </n>
      <n v="-1528">
        <tpls c="7">
          <tpl fld="2" item="1"/>
          <tpl fld="16" item="7"/>
          <tpl fld="0" item="1"/>
          <tpl fld="9" item="47"/>
          <tpl fld="12" item="17"/>
          <tpl fld="1" item="1"/>
          <tpl fld="17" item="0"/>
        </tpls>
      </n>
      <m>
        <tpls c="7">
          <tpl fld="3" item="0"/>
          <tpl fld="16" item="11"/>
          <tpl hier="31" item="3"/>
          <tpl fld="9" item="27"/>
          <tpl fld="12" item="5"/>
          <tpl hier="40" item="2"/>
          <tpl fld="17" item="0"/>
        </tpls>
      </m>
      <n v="0">
        <tpls c="7">
          <tpl fld="2" item="1"/>
          <tpl fld="16" item="11"/>
          <tpl fld="0" item="1"/>
          <tpl fld="9" item="50"/>
          <tpl fld="12" item="16"/>
          <tpl fld="1" item="1"/>
          <tpl fld="17" item="0"/>
        </tpls>
      </n>
      <n v="308605">
        <tpls c="7">
          <tpl fld="3" item="0"/>
          <tpl hier="10" item="4294967295"/>
          <tpl hier="31" item="3"/>
          <tpl fld="9" item="33"/>
          <tpl fld="12" item="6"/>
          <tpl hier="40" item="2"/>
          <tpl fld="17" item="0"/>
        </tpls>
      </n>
      <n v="9835104">
        <tpls c="6">
          <tpl fld="2" item="0"/>
          <tpl fld="0" item="0"/>
          <tpl fld="9" item="9"/>
          <tpl fld="8" item="1"/>
          <tpl hier="40" item="2"/>
          <tpl fld="17" item="0"/>
        </tpls>
      </n>
      <n v="0">
        <tpls c="7">
          <tpl fld="2" item="1"/>
          <tpl fld="16" item="1"/>
          <tpl fld="0" item="1"/>
          <tpl fld="9" item="55"/>
          <tpl fld="12" item="14"/>
          <tpl fld="1" item="1"/>
          <tpl fld="17" item="0"/>
        </tpls>
      </n>
      <n v="3012199">
        <tpls c="6">
          <tpl fld="3" item="0"/>
          <tpl fld="16" item="1"/>
          <tpl hier="31" item="3"/>
          <tpl fld="12" item="9"/>
          <tpl hier="40" item="2"/>
          <tpl fld="17" item="0"/>
        </tpls>
      </n>
      <n v="117109">
        <tpls c="7">
          <tpl fld="3" item="0"/>
          <tpl fld="16" item="6"/>
          <tpl hier="31" item="3"/>
          <tpl fld="9" item="40"/>
          <tpl fld="12" item="3"/>
          <tpl hier="40" item="2"/>
          <tpl fld="17" item="0"/>
        </tpls>
      </n>
      <m>
        <tpls c="6">
          <tpl fld="10" item="2"/>
          <tpl hier="31" item="1"/>
          <tpl fld="9" item="1"/>
          <tpl fld="8" item="3"/>
          <tpl hier="40" item="2"/>
          <tpl fld="17" item="0"/>
        </tpls>
      </m>
      <n v="0">
        <tpls c="7">
          <tpl fld="2" item="1"/>
          <tpl fld="16" item="0"/>
          <tpl fld="0" item="1"/>
          <tpl fld="9" item="26"/>
          <tpl fld="12" item="14"/>
          <tpl fld="1" item="1"/>
          <tpl fld="17" item="0"/>
        </tpls>
      </n>
      <n v="0">
        <tpls c="7">
          <tpl fld="3" item="0"/>
          <tpl fld="16" item="2"/>
          <tpl hier="31" item="3"/>
          <tpl fld="9" item="11"/>
          <tpl fld="12" item="3"/>
          <tpl hier="40" item="2"/>
          <tpl fld="17" item="0"/>
        </tpls>
      </n>
      <n v="3939366">
        <tpls c="6">
          <tpl fld="10" item="1"/>
          <tpl hier="31" item="0"/>
          <tpl fld="9" item="4"/>
          <tpl fld="12" item="3"/>
          <tpl hier="40" item="2"/>
          <tpl fld="17" item="0"/>
        </tpls>
      </n>
      <n v="687981">
        <tpls c="7">
          <tpl fld="3" item="1"/>
          <tpl fld="16" item="4"/>
          <tpl hier="31" item="1"/>
          <tpl fld="9" item="38"/>
          <tpl fld="12" item="5"/>
          <tpl hier="40" item="2"/>
          <tpl fld="17" item="0"/>
        </tpls>
      </n>
      <n v="201126807">
        <tpls c="5">
          <tpl fld="10" item="1"/>
          <tpl hier="31" item="0"/>
          <tpl fld="12" item="2"/>
          <tpl hier="40" item="2"/>
          <tpl fld="17" item="0"/>
        </tpls>
      </n>
      <n v="0">
        <tpls c="7">
          <tpl fld="3" item="0"/>
          <tpl fld="16" item="0"/>
          <tpl hier="31" item="3"/>
          <tpl fld="9" item="35"/>
          <tpl fld="12" item="3"/>
          <tpl hier="40" item="2"/>
          <tpl fld="17" item="0"/>
        </tpls>
      </n>
      <n v="687515">
        <tpls c="7">
          <tpl fld="3" item="0"/>
          <tpl fld="16" item="8"/>
          <tpl hier="31" item="3"/>
          <tpl fld="9" item="15"/>
          <tpl fld="12" item="3"/>
          <tpl hier="40" item="2"/>
          <tpl fld="17" item="0"/>
        </tpls>
      </n>
      <n v="10112">
        <tpls c="6">
          <tpl fld="2" item="2"/>
          <tpl fld="0" item="2"/>
          <tpl fld="9" item="10"/>
          <tpl fld="12" item="6"/>
          <tpl hier="40" item="2"/>
          <tpl fld="17" item="0"/>
        </tpls>
      </n>
      <n v="4176328">
        <tpls c="6">
          <tpl fld="3" item="0"/>
          <tpl fld="16" item="5"/>
          <tpl hier="31" item="3"/>
          <tpl fld="12" item="3"/>
          <tpl hier="40" item="2"/>
          <tpl fld="17" item="0"/>
        </tpls>
      </n>
      <n v="1054180">
        <tpls c="6">
          <tpl fld="2" item="2"/>
          <tpl fld="0" item="2"/>
          <tpl fld="9" item="29"/>
          <tpl fld="8" item="0"/>
          <tpl hier="40" item="2"/>
          <tpl fld="17" item="0"/>
        </tpls>
      </n>
      <n v="261083">
        <tpls c="6">
          <tpl fld="2" item="2"/>
          <tpl fld="0" item="2"/>
          <tpl fld="9" item="21"/>
          <tpl fld="12" item="3"/>
          <tpl hier="40" item="2"/>
          <tpl fld="17" item="0"/>
        </tpls>
      </n>
      <n v="610503">
        <tpls c="7">
          <tpl fld="2" item="1"/>
          <tpl fld="16" item="2"/>
          <tpl fld="0" item="1"/>
          <tpl fld="9" item="64"/>
          <tpl fld="12" item="17"/>
          <tpl fld="1" item="1"/>
          <tpl fld="17" item="0"/>
        </tpls>
      </n>
      <n v="16839960">
        <tpls c="6">
          <tpl fld="3" item="0"/>
          <tpl fld="16" item="0"/>
          <tpl hier="31" item="3"/>
          <tpl fld="12" item="2"/>
          <tpl hier="40" item="2"/>
          <tpl fld="17" item="0"/>
        </tpls>
      </n>
      <n v="0">
        <tpls c="7">
          <tpl fld="3" item="0"/>
          <tpl fld="16" item="8"/>
          <tpl hier="31" item="3"/>
          <tpl fld="9" item="32"/>
          <tpl fld="12" item="5"/>
          <tpl hier="40" item="2"/>
          <tpl fld="17" item="0"/>
        </tpls>
      </n>
      <n v="-2206">
        <tpls c="7">
          <tpl fld="2" item="1"/>
          <tpl fld="16" item="5"/>
          <tpl fld="0" item="1"/>
          <tpl fld="9" item="57"/>
          <tpl fld="12" item="8"/>
          <tpl fld="1" item="1"/>
          <tpl fld="17" item="0"/>
        </tpls>
      </n>
      <n v="108467551">
        <tpls c="5">
          <tpl fld="2" item="3"/>
          <tpl fld="0" item="2"/>
          <tpl fld="12" item="11"/>
          <tpl fld="1" item="1"/>
          <tpl fld="17" item="0"/>
        </tpls>
      </n>
      <n v="1313122">
        <tpls c="7">
          <tpl fld="3" item="1"/>
          <tpl fld="16" item="3"/>
          <tpl hier="31" item="1"/>
          <tpl fld="9" item="4"/>
          <tpl fld="12" item="3"/>
          <tpl hier="40" item="2"/>
          <tpl fld="17" item="0"/>
        </tpls>
      </n>
      <n v="0">
        <tpls c="7">
          <tpl fld="3" item="0"/>
          <tpl fld="16" item="10"/>
          <tpl hier="31" item="3"/>
          <tpl fld="9" item="36"/>
          <tpl fld="12" item="3"/>
          <tpl hier="40" item="2"/>
          <tpl fld="17" item="0"/>
        </tpls>
      </n>
      <n v="1000">
        <tpls c="6">
          <tpl fld="3" item="1"/>
          <tpl fld="16" item="2"/>
          <tpl hier="31" item="1"/>
          <tpl fld="12" item="22"/>
          <tpl hier="40" item="2"/>
          <tpl fld="17" item="0"/>
        </tpls>
      </n>
      <n v="256421">
        <tpls c="7">
          <tpl fld="3" item="1"/>
          <tpl fld="16" item="3"/>
          <tpl hier="31" item="1"/>
          <tpl fld="9" item="24"/>
          <tpl fld="12" item="6"/>
          <tpl hier="40" item="2"/>
          <tpl fld="17" item="0"/>
        </tpls>
      </n>
      <n v="157458441">
        <tpls c="6">
          <tpl fld="2" item="1"/>
          <tpl fld="0" item="1"/>
          <tpl fld="9" item="5"/>
          <tpl fld="8" item="0"/>
          <tpl hier="40" item="2"/>
          <tpl fld="17" item="0"/>
        </tpls>
      </n>
      <m>
        <tpls c="3">
          <tpl fld="6" item="8"/>
          <tpl fld="4" item="1"/>
          <tpl fld="17" item="1"/>
        </tpls>
      </m>
      <n v="-392981">
        <tpls c="6">
          <tpl fld="2" item="1"/>
          <tpl fld="16" item="7"/>
          <tpl fld="0" item="1"/>
          <tpl fld="12" item="11"/>
          <tpl fld="1" item="1"/>
          <tpl fld="17" item="0"/>
        </tpls>
      </n>
      <m>
        <tpls c="7">
          <tpl fld="3" item="1"/>
          <tpl fld="16" item="1"/>
          <tpl hier="31" item="1"/>
          <tpl fld="9" item="36"/>
          <tpl fld="12" item="3"/>
          <tpl hier="40" item="2"/>
          <tpl fld="17" item="0"/>
        </tpls>
      </m>
      <n v="3199998">
        <tpls c="6">
          <tpl fld="10" item="3"/>
          <tpl hier="31" item="1"/>
          <tpl fld="9" item="0"/>
          <tpl fld="8" item="0"/>
          <tpl hier="40" item="2"/>
          <tpl fld="17" item="0"/>
        </tpls>
      </n>
      <n v="52177460">
        <tpls c="6">
          <tpl fld="2" item="2"/>
          <tpl fld="0" item="2"/>
          <tpl fld="9" item="26"/>
          <tpl fld="12" item="14"/>
          <tpl fld="1" item="1"/>
          <tpl fld="17" item="0"/>
        </tpls>
      </n>
      <m>
        <tpls c="3">
          <tpl fld="6" item="11"/>
          <tpl fld="4" item="8"/>
          <tpl fld="17" item="1"/>
        </tpls>
      </m>
      <n v="0">
        <tpls c="7">
          <tpl fld="2" item="1"/>
          <tpl fld="16" item="2"/>
          <tpl fld="0" item="1"/>
          <tpl fld="9" item="62"/>
          <tpl fld="12" item="12"/>
          <tpl fld="1" item="1"/>
          <tpl fld="17" item="0"/>
        </tpls>
      </n>
      <n v="-630806">
        <tpls c="6">
          <tpl fld="2" item="1"/>
          <tpl fld="16" item="0"/>
          <tpl fld="0" item="1"/>
          <tpl fld="12" item="15"/>
          <tpl fld="1" item="1"/>
          <tpl fld="17" item="0"/>
        </tpls>
      </n>
      <n v="63528979">
        <tpls c="6">
          <tpl fld="3" item="1"/>
          <tpl fld="16" item="1"/>
          <tpl hier="31" item="1"/>
          <tpl fld="12" item="2"/>
          <tpl hier="40" item="2"/>
          <tpl fld="17" item="0"/>
        </tpls>
      </n>
      <n v="0">
        <tpls c="7">
          <tpl fld="3" item="0"/>
          <tpl fld="16" item="6"/>
          <tpl hier="31" item="3"/>
          <tpl fld="9" item="11"/>
          <tpl fld="12" item="3"/>
          <tpl hier="40" item="2"/>
          <tpl fld="17" item="0"/>
        </tpls>
      </n>
      <m>
        <tpls c="3">
          <tpl fld="6" item="10"/>
          <tpl fld="4" item="1"/>
          <tpl fld="17" item="1"/>
        </tpls>
      </m>
      <n v="155742">
        <tpls c="7">
          <tpl fld="3" item="0"/>
          <tpl fld="16" item="4"/>
          <tpl hier="31" item="3"/>
          <tpl fld="9" item="31"/>
          <tpl fld="12" item="2"/>
          <tpl hier="40" item="2"/>
          <tpl fld="17" item="0"/>
        </tpls>
      </n>
      <n v="134">
        <tpls c="6">
          <tpl fld="3" item="0"/>
          <tpl fld="16" item="8"/>
          <tpl hier="31" item="3"/>
          <tpl fld="12" item="22"/>
          <tpl hier="40" item="2"/>
          <tpl fld="17" item="0"/>
        </tpls>
      </n>
      <n v="1819814">
        <tpls c="7">
          <tpl fld="3" item="0"/>
          <tpl fld="16" item="9"/>
          <tpl hier="31" item="3"/>
          <tpl fld="9" item="5"/>
          <tpl fld="12" item="2"/>
          <tpl hier="40" item="2"/>
          <tpl fld="17" item="0"/>
        </tpls>
      </n>
      <m>
        <tpls c="3">
          <tpl fld="7" item="0"/>
          <tpl fld="5" item="3"/>
          <tpl fld="17" item="1"/>
        </tpls>
      </m>
      <n v="234390">
        <tpls c="7">
          <tpl fld="3" item="1"/>
          <tpl fld="16" item="11"/>
          <tpl hier="31" item="1"/>
          <tpl fld="9" item="40"/>
          <tpl fld="12" item="3"/>
          <tpl hier="40" item="2"/>
          <tpl fld="17" item="0"/>
        </tpls>
      </n>
      <n v="17500">
        <tpls c="7">
          <tpl fld="3" item="1"/>
          <tpl fld="16" item="3"/>
          <tpl hier="31" item="1"/>
          <tpl fld="9" item="17"/>
          <tpl fld="12" item="2"/>
          <tpl hier="40" item="2"/>
          <tpl fld="17" item="0"/>
        </tpls>
      </n>
      <n v="0">
        <tpls c="7">
          <tpl fld="2" item="1"/>
          <tpl fld="16" item="1"/>
          <tpl fld="0" item="1"/>
          <tpl fld="9" item="26"/>
          <tpl fld="12" item="14"/>
          <tpl fld="1" item="1"/>
          <tpl fld="17" item="0"/>
        </tpls>
      </n>
      <n v="289558">
        <tpls c="7">
          <tpl fld="2" item="1"/>
          <tpl hier="10" item="4294967295"/>
          <tpl fld="0" item="1"/>
          <tpl fld="9" item="70"/>
          <tpl fld="12" item="8"/>
          <tpl fld="1" item="1"/>
          <tpl fld="17" item="0"/>
        </tpls>
      </n>
      <m>
        <tpls c="3">
          <tpl fld="6" item="1"/>
          <tpl fld="4" item="9"/>
          <tpl fld="17" item="1"/>
        </tpls>
      </m>
      <n v="1410638">
        <tpls c="7">
          <tpl fld="3" item="1"/>
          <tpl fld="16" item="3"/>
          <tpl hier="31" item="1"/>
          <tpl fld="9" item="25"/>
          <tpl fld="12" item="2"/>
          <tpl hier="40" item="2"/>
          <tpl fld="17" item="0"/>
        </tpls>
      </n>
      <n v="2573050">
        <tpls c="6">
          <tpl fld="10" item="1"/>
          <tpl hier="31" item="1"/>
          <tpl fld="9" item="41"/>
          <tpl fld="8" item="1"/>
          <tpl hier="40" item="2"/>
          <tpl fld="17" item="0"/>
        </tpls>
      </n>
      <n v="0">
        <tpls c="7">
          <tpl fld="2" item="1"/>
          <tpl fld="16" item="1"/>
          <tpl fld="0" item="1"/>
          <tpl fld="9" item="51"/>
          <tpl fld="12" item="7"/>
          <tpl fld="1" item="1"/>
          <tpl fld="17" item="0"/>
        </tpls>
      </n>
      <n v="500">
        <tpls c="7">
          <tpl fld="3" item="1"/>
          <tpl fld="16" item="2"/>
          <tpl hier="31" item="1"/>
          <tpl fld="9" item="48"/>
          <tpl fld="12" item="22"/>
          <tpl hier="40" item="2"/>
          <tpl fld="17" item="0"/>
        </tpls>
      </n>
      <m>
        <tpls c="7">
          <tpl fld="3" item="1"/>
          <tpl fld="16" item="8"/>
          <tpl hier="31" item="1"/>
          <tpl fld="9" item="36"/>
          <tpl fld="12" item="3"/>
          <tpl hier="40" item="2"/>
          <tpl fld="17" item="0"/>
        </tpls>
      </m>
      <m>
        <tpls c="3">
          <tpl fld="6" item="12"/>
          <tpl fld="4" item="0"/>
          <tpl fld="17" item="1"/>
        </tpls>
      </m>
      <n v="73196">
        <tpls c="7">
          <tpl fld="3" item="0"/>
          <tpl fld="16" item="9"/>
          <tpl hier="31" item="3"/>
          <tpl fld="9" item="29"/>
          <tpl fld="12" item="2"/>
          <tpl hier="40" item="2"/>
          <tpl fld="17" item="0"/>
        </tpls>
      </n>
      <m>
        <tpls c="3">
          <tpl fld="6" item="14"/>
          <tpl fld="4" item="1"/>
          <tpl fld="17" item="1"/>
        </tpls>
      </m>
      <n v="209">
        <tpls c="6">
          <tpl fld="3" item="0"/>
          <tpl fld="16" item="10"/>
          <tpl hier="31" item="3"/>
          <tpl fld="12" item="22"/>
          <tpl hier="40" item="2"/>
          <tpl fld="17" item="0"/>
        </tpls>
      </n>
      <n v="126859046">
        <tpls c="6">
          <tpl fld="2" item="1"/>
          <tpl hier="10" item="4294967295"/>
          <tpl fld="0" item="1"/>
          <tpl fld="12" item="21"/>
          <tpl fld="1" item="1"/>
          <tpl fld="17" item="0"/>
        </tpls>
      </n>
      <n v="-19126252">
        <tpls c="6">
          <tpl fld="2" item="1"/>
          <tpl fld="16" item="5"/>
          <tpl fld="0" item="1"/>
          <tpl fld="12" item="8"/>
          <tpl fld="1" item="1"/>
          <tpl fld="17" item="0"/>
        </tpls>
      </n>
      <n v="0">
        <tpls c="7">
          <tpl fld="3" item="0"/>
          <tpl fld="16" item="2"/>
          <tpl hier="31" item="3"/>
          <tpl fld="9" item="3"/>
          <tpl fld="12" item="2"/>
          <tpl hier="40" item="2"/>
          <tpl fld="17" item="0"/>
        </tpls>
      </n>
      <n v="18000">
        <tpls c="7">
          <tpl fld="3" item="1"/>
          <tpl fld="16" item="11"/>
          <tpl hier="31" item="1"/>
          <tpl fld="9" item="11"/>
          <tpl fld="12" item="3"/>
          <tpl hier="40" item="2"/>
          <tpl fld="17" item="0"/>
        </tpls>
      </n>
      <n v="236000" in="0">
        <tpls c="3">
          <tpl fld="6" item="7"/>
          <tpl fld="4" item="5"/>
          <tpl fld="17" item="1"/>
        </tpls>
      </n>
      <n v="-12811104">
        <tpls c="6">
          <tpl fld="2" item="1"/>
          <tpl fld="16" item="10"/>
          <tpl fld="0" item="1"/>
          <tpl fld="12" item="8"/>
          <tpl fld="1" item="1"/>
          <tpl fld="17" item="0"/>
        </tpls>
      </n>
      <n v="22894194">
        <tpls c="6">
          <tpl fld="2" item="2"/>
          <tpl fld="0" item="2"/>
          <tpl fld="9" item="63"/>
          <tpl fld="12" item="16"/>
          <tpl fld="1" item="1"/>
          <tpl fld="17" item="0"/>
        </tpls>
      </n>
      <n v="0">
        <tpls c="6">
          <tpl fld="2" item="1"/>
          <tpl fld="16" item="0"/>
          <tpl fld="0" item="1"/>
          <tpl fld="12" item="12"/>
          <tpl fld="1" item="1"/>
          <tpl fld="17" item="0"/>
        </tpls>
      </n>
      <n v="63564">
        <tpls c="6">
          <tpl fld="10" item="0"/>
          <tpl hier="31" item="0"/>
          <tpl fld="9" item="21"/>
          <tpl fld="12" item="3"/>
          <tpl hier="40" item="2"/>
          <tpl fld="17" item="0"/>
        </tpls>
      </n>
      <n v="0">
        <tpls c="7">
          <tpl fld="3" item="0"/>
          <tpl fld="16" item="10"/>
          <tpl hier="31" item="3"/>
          <tpl fld="9" item="33"/>
          <tpl fld="12" item="6"/>
          <tpl hier="40" item="2"/>
          <tpl fld="17" item="0"/>
        </tpls>
      </n>
      <m>
        <tpls c="3">
          <tpl fld="4" item="2"/>
          <tpl fld="5" item="4"/>
          <tpl fld="17" item="1"/>
        </tpls>
      </m>
      <n v="12501">
        <tpls c="6">
          <tpl fld="10" item="0"/>
          <tpl hier="31" item="1"/>
          <tpl fld="9" item="20"/>
          <tpl fld="8" item="0"/>
          <tpl hier="40" item="2"/>
          <tpl fld="17" item="0"/>
        </tpls>
      </n>
      <n v="10314">
        <tpls c="6">
          <tpl fld="10" item="0"/>
          <tpl hier="31" item="1"/>
          <tpl fld="9" item="10"/>
          <tpl fld="8" item="1"/>
          <tpl hier="40" item="2"/>
          <tpl fld="17" item="0"/>
        </tpls>
      </n>
      <n v="0">
        <tpls c="7">
          <tpl fld="3" item="0"/>
          <tpl fld="16" item="1"/>
          <tpl hier="31" item="3"/>
          <tpl fld="9" item="14"/>
          <tpl fld="12" item="3"/>
          <tpl hier="40" item="2"/>
          <tpl fld="17" item="0"/>
        </tpls>
      </n>
      <n v="0">
        <tpls c="7">
          <tpl fld="2" item="1"/>
          <tpl fld="16" item="2"/>
          <tpl fld="0" item="1"/>
          <tpl fld="9" item="55"/>
          <tpl fld="12" item="14"/>
          <tpl fld="1" item="1"/>
          <tpl fld="17" item="0"/>
        </tpls>
      </n>
      <n v="261083">
        <tpls c="6">
          <tpl fld="2" item="2"/>
          <tpl fld="0" item="2"/>
          <tpl fld="9" item="21"/>
          <tpl fld="8" item="1"/>
          <tpl hier="40" item="2"/>
          <tpl fld="17" item="0"/>
        </tpls>
      </n>
      <m>
        <tpls c="7">
          <tpl fld="3" item="0"/>
          <tpl fld="16" item="4"/>
          <tpl hier="31" item="3"/>
          <tpl fld="9" item="49"/>
          <tpl fld="12" item="3"/>
          <tpl hier="40" item="2"/>
          <tpl fld="17" item="0"/>
        </tpls>
      </m>
      <n v="32480">
        <tpls c="6">
          <tpl fld="2" item="2"/>
          <tpl fld="0" item="2"/>
          <tpl fld="9" item="54"/>
          <tpl fld="12" item="16"/>
          <tpl fld="1" item="1"/>
          <tpl fld="17" item="0"/>
        </tpls>
      </n>
      <n v="5000">
        <tpls c="7">
          <tpl fld="3" item="1"/>
          <tpl fld="16" item="10"/>
          <tpl hier="31" item="1"/>
          <tpl fld="9" item="44"/>
          <tpl fld="12" item="2"/>
          <tpl hier="40" item="2"/>
          <tpl fld="17" item="0"/>
        </tpls>
      </n>
      <n v="4560">
        <tpls c="7">
          <tpl fld="3" item="0"/>
          <tpl fld="16" item="8"/>
          <tpl hier="31" item="3"/>
          <tpl fld="9" item="35"/>
          <tpl fld="12" item="3"/>
          <tpl hier="40" item="2"/>
          <tpl fld="17" item="0"/>
        </tpls>
      </n>
      <n v="4224">
        <tpls c="7">
          <tpl fld="3" item="0"/>
          <tpl fld="16" item="11"/>
          <tpl hier="31" item="3"/>
          <tpl fld="9" item="44"/>
          <tpl fld="12" item="2"/>
          <tpl hier="40" item="2"/>
          <tpl fld="17" item="0"/>
        </tpls>
      </n>
      <n v="134618">
        <tpls c="7">
          <tpl fld="3" item="0"/>
          <tpl fld="16" item="7"/>
          <tpl hier="31" item="3"/>
          <tpl fld="9" item="24"/>
          <tpl fld="12" item="6"/>
          <tpl hier="40" item="2"/>
          <tpl fld="17" item="0"/>
        </tpls>
      </n>
      <n v="-1139797">
        <tpls c="7">
          <tpl fld="2" item="1"/>
          <tpl fld="16" item="6"/>
          <tpl fld="0" item="1"/>
          <tpl fld="9" item="63"/>
          <tpl fld="12" item="16"/>
          <tpl fld="1" item="1"/>
          <tpl fld="17" item="0"/>
        </tpls>
      </n>
      <n v="1178943">
        <tpls c="6">
          <tpl fld="10" item="3"/>
          <tpl hier="31" item="1"/>
          <tpl fld="9" item="38"/>
          <tpl fld="8" item="2"/>
          <tpl hier="40" item="2"/>
          <tpl fld="17" item="0"/>
        </tpls>
      </n>
      <n v="20924734">
        <tpls c="7">
          <tpl fld="3" item="0"/>
          <tpl fld="16" item="8"/>
          <tpl hier="31" item="3"/>
          <tpl fld="9" item="23"/>
          <tpl fld="12" item="2"/>
          <tpl hier="40" item="2"/>
          <tpl fld="17" item="0"/>
        </tpls>
      </n>
      <n v="3372650">
        <tpls c="6">
          <tpl fld="3" item="0"/>
          <tpl fld="16" item="10"/>
          <tpl hier="31" item="3"/>
          <tpl fld="12" item="9"/>
          <tpl hier="40" item="2"/>
          <tpl fld="17" item="0"/>
        </tpls>
      </n>
      <n v="61965">
        <tpls c="7">
          <tpl fld="3" item="0"/>
          <tpl fld="16" item="6"/>
          <tpl hier="31" item="3"/>
          <tpl fld="9" item="29"/>
          <tpl fld="12" item="2"/>
          <tpl hier="40" item="2"/>
          <tpl fld="17" item="0"/>
        </tpls>
      </n>
      <n v="-1528">
        <tpls c="7">
          <tpl fld="2" item="1"/>
          <tpl fld="16" item="5"/>
          <tpl fld="0" item="1"/>
          <tpl fld="9" item="47"/>
          <tpl fld="12" item="17"/>
          <tpl fld="1" item="1"/>
          <tpl fld="17" item="0"/>
        </tpls>
      </n>
      <n v="703170">
        <tpls c="6">
          <tpl fld="10" item="1"/>
          <tpl hier="31" item="0"/>
          <tpl fld="9" item="40"/>
          <tpl fld="12" item="3"/>
          <tpl hier="40" item="2"/>
          <tpl fld="17" item="0"/>
        </tpls>
      </n>
      <m>
        <tpls c="7">
          <tpl fld="3" item="1"/>
          <tpl fld="16" item="8"/>
          <tpl hier="31" item="1"/>
          <tpl fld="9" item="13"/>
          <tpl fld="12" item="3"/>
          <tpl hier="40" item="2"/>
          <tpl fld="17" item="0"/>
        </tpls>
      </m>
      <n v="9740376">
        <tpls c="7">
          <tpl fld="3" item="0"/>
          <tpl fld="16" item="0"/>
          <tpl hier="31" item="3"/>
          <tpl fld="9" item="23"/>
          <tpl fld="12" item="2"/>
          <tpl hier="40" item="2"/>
          <tpl fld="17" item="0"/>
        </tpls>
      </n>
      <n v="-67814">
        <tpls c="7">
          <tpl fld="2" item="1"/>
          <tpl fld="16" item="2"/>
          <tpl fld="0" item="1"/>
          <tpl fld="9" item="46"/>
          <tpl fld="12" item="0"/>
          <tpl fld="1" item="1"/>
          <tpl fld="17" item="0"/>
        </tpls>
      </n>
      <n v="190">
        <tpls c="6">
          <tpl fld="3" item="0"/>
          <tpl fld="16" item="1"/>
          <tpl hier="31" item="3"/>
          <tpl fld="12" item="22"/>
          <tpl hier="40" item="2"/>
          <tpl fld="17" item="0"/>
        </tpls>
      </n>
      <n v="142887601">
        <tpls c="7">
          <tpl fld="3" item="0"/>
          <tpl hier="10" item="4294967295"/>
          <tpl hier="31" item="3"/>
          <tpl fld="9" item="23"/>
          <tpl fld="12" item="2"/>
          <tpl hier="40" item="2"/>
          <tpl fld="17" item="0"/>
        </tpls>
      </n>
      <n v="-190381">
        <tpls c="6">
          <tpl fld="2" item="1"/>
          <tpl fld="16" item="9"/>
          <tpl fld="0" item="1"/>
          <tpl fld="12" item="4"/>
          <tpl fld="1" item="1"/>
          <tpl fld="17" item="0"/>
        </tpls>
      </n>
      <n v="2499">
        <tpls c="6">
          <tpl fld="10" item="1"/>
          <tpl hier="31" item="0"/>
          <tpl fld="9" item="3"/>
          <tpl fld="12" item="2"/>
          <tpl hier="40" item="2"/>
          <tpl fld="17" item="0"/>
        </tpls>
      </n>
      <n v="0">
        <tpls c="7">
          <tpl fld="3" item="0"/>
          <tpl fld="16" item="3"/>
          <tpl hier="31" item="3"/>
          <tpl fld="9" item="13"/>
          <tpl fld="12" item="3"/>
          <tpl hier="40" item="2"/>
          <tpl fld="17" item="0"/>
        </tpls>
      </n>
      <n v="4121">
        <tpls c="7">
          <tpl fld="3" item="0"/>
          <tpl fld="16" item="6"/>
          <tpl hier="31" item="3"/>
          <tpl fld="9" item="13"/>
          <tpl fld="12" item="3"/>
          <tpl hier="40" item="2"/>
          <tpl fld="17" item="0"/>
        </tpls>
      </n>
      <n v="4625600" in="0">
        <tpls c="3">
          <tpl fld="4" item="5"/>
          <tpl hier="22" item="4294967295"/>
          <tpl fld="17" item="1"/>
        </tpls>
      </n>
      <n v="10314">
        <tpls c="6">
          <tpl fld="10" item="3"/>
          <tpl hier="31" item="1"/>
          <tpl fld="9" item="10"/>
          <tpl fld="8" item="1"/>
          <tpl hier="40" item="2"/>
          <tpl fld="17" item="0"/>
        </tpls>
      </n>
      <m>
        <tpls c="6">
          <tpl fld="10" item="2"/>
          <tpl hier="31" item="0"/>
          <tpl fld="9" item="19"/>
          <tpl fld="12" item="5"/>
          <tpl hier="40" item="2"/>
          <tpl fld="17" item="0"/>
        </tpls>
      </m>
      <n v="10162536">
        <tpls c="6">
          <tpl fld="2" item="1"/>
          <tpl fld="0" item="1"/>
          <tpl fld="9" item="41"/>
          <tpl fld="8" item="1"/>
          <tpl hier="40" item="2"/>
          <tpl fld="17" item="0"/>
        </tpls>
      </n>
      <n v="0">
        <tpls c="7">
          <tpl fld="3" item="0"/>
          <tpl fld="16" item="7"/>
          <tpl hier="31" item="3"/>
          <tpl fld="9" item="2"/>
          <tpl fld="12" item="1"/>
          <tpl hier="40" item="2"/>
          <tpl fld="17" item="0"/>
        </tpls>
      </n>
      <n v="0">
        <tpls c="7">
          <tpl fld="2" item="1"/>
          <tpl fld="16" item="7"/>
          <tpl fld="0" item="1"/>
          <tpl fld="9" item="46"/>
          <tpl fld="12" item="0"/>
          <tpl fld="1" item="1"/>
          <tpl fld="17" item="0"/>
        </tpls>
      </n>
      <n v="1903">
        <tpls c="7">
          <tpl fld="2" item="1"/>
          <tpl fld="16" item="1"/>
          <tpl fld="0" item="1"/>
          <tpl fld="9" item="70"/>
          <tpl fld="12" item="8"/>
          <tpl fld="1" item="1"/>
          <tpl fld="17" item="0"/>
        </tpls>
      </n>
      <n v="155000">
        <tpls c="7">
          <tpl fld="3" item="1"/>
          <tpl fld="16" item="1"/>
          <tpl hier="31" item="1"/>
          <tpl fld="9" item="35"/>
          <tpl fld="12" item="3"/>
          <tpl hier="40" item="2"/>
          <tpl fld="17" item="0"/>
        </tpls>
      </n>
      <n v="0">
        <tpls c="7">
          <tpl fld="2" item="1"/>
          <tpl fld="16" item="1"/>
          <tpl fld="0" item="1"/>
          <tpl fld="9" item="73"/>
          <tpl fld="12" item="4"/>
          <tpl fld="1" item="1"/>
          <tpl fld="17" item="0"/>
        </tpls>
      </n>
      <m>
        <tpls c="3">
          <tpl fld="6" item="3"/>
          <tpl fld="4" item="4"/>
          <tpl fld="17" item="1"/>
        </tpls>
      </m>
      <m>
        <tpls c="5">
          <tpl fld="10" item="0"/>
          <tpl hier="31" item="0"/>
          <tpl fld="12" item="20"/>
          <tpl hier="40" item="2"/>
          <tpl fld="17" item="0"/>
        </tpls>
      </m>
      <n v="13456026">
        <tpls c="6">
          <tpl fld="2" item="1"/>
          <tpl fld="0" item="1"/>
          <tpl fld="9" item="25"/>
          <tpl fld="8" item="0"/>
          <tpl hier="40" item="2"/>
          <tpl fld="17" item="0"/>
        </tpls>
      </n>
      <n v="125542">
        <tpls c="7">
          <tpl fld="3" item="0"/>
          <tpl fld="16" item="5"/>
          <tpl hier="31" item="3"/>
          <tpl fld="9" item="24"/>
          <tpl fld="12" item="6"/>
          <tpl hier="40" item="2"/>
          <tpl fld="17" item="0"/>
        </tpls>
      </n>
      <m>
        <tpls c="3">
          <tpl fld="6" item="2"/>
          <tpl fld="4" item="9"/>
          <tpl fld="17" item="1"/>
        </tpls>
      </m>
      <n v="0">
        <tpls c="7">
          <tpl fld="3" item="0"/>
          <tpl fld="16" item="8"/>
          <tpl hier="31" item="3"/>
          <tpl fld="9" item="19"/>
          <tpl fld="12" item="5"/>
          <tpl hier="40" item="2"/>
          <tpl fld="17" item="0"/>
        </tpls>
      </n>
      <m>
        <tpls c="7">
          <tpl fld="3" item="1"/>
          <tpl fld="16" item="1"/>
          <tpl hier="31" item="1"/>
          <tpl fld="9" item="2"/>
          <tpl fld="12" item="1"/>
          <tpl hier="40" item="2"/>
          <tpl fld="17" item="0"/>
        </tpls>
      </m>
      <n v="0">
        <tpls c="6">
          <tpl fld="2" item="1"/>
          <tpl fld="16" item="6"/>
          <tpl fld="0" item="1"/>
          <tpl fld="12" item="19"/>
          <tpl fld="1" item="1"/>
          <tpl fld="17" item="0"/>
        </tpls>
      </n>
      <n v="22805">
        <tpls c="7">
          <tpl fld="3" item="0"/>
          <tpl fld="16" item="7"/>
          <tpl hier="31" item="3"/>
          <tpl fld="9" item="21"/>
          <tpl fld="12" item="3"/>
          <tpl hier="40" item="2"/>
          <tpl fld="17" item="0"/>
        </tpls>
      </n>
      <n v="99428988">
        <tpls c="6">
          <tpl fld="2" item="1"/>
          <tpl hier="10" item="4294967295"/>
          <tpl fld="0" item="1"/>
          <tpl fld="12" item="11"/>
          <tpl fld="1" item="1"/>
          <tpl fld="17" item="0"/>
        </tpls>
      </n>
      <m>
        <tpls c="7">
          <tpl fld="3" item="1"/>
          <tpl fld="16" item="7"/>
          <tpl hier="31" item="1"/>
          <tpl fld="9" item="22"/>
          <tpl fld="12" item="2"/>
          <tpl hier="40" item="2"/>
          <tpl fld="17" item="0"/>
        </tpls>
      </m>
      <n v="491082">
        <tpls c="7">
          <tpl fld="3" item="0"/>
          <tpl fld="16" item="6"/>
          <tpl hier="31" item="3"/>
          <tpl fld="9" item="15"/>
          <tpl fld="12" item="3"/>
          <tpl hier="40" item="2"/>
          <tpl fld="17" item="0"/>
        </tpls>
      </n>
      <n v="0">
        <tpls c="7">
          <tpl fld="3" item="0"/>
          <tpl fld="16" item="7"/>
          <tpl hier="31" item="3"/>
          <tpl fld="9" item="22"/>
          <tpl fld="12" item="2"/>
          <tpl hier="40" item="2"/>
          <tpl fld="17" item="0"/>
        </tpls>
      </n>
      <n v="250002">
        <tpls c="6">
          <tpl fld="10" item="3"/>
          <tpl hier="31" item="0"/>
          <tpl fld="9" item="53"/>
          <tpl fld="12" item="2"/>
          <tpl hier="40" item="2"/>
          <tpl fld="17" item="0"/>
        </tpls>
      </n>
      <m>
        <tpls c="7">
          <tpl fld="3" item="1"/>
          <tpl fld="16" item="3"/>
          <tpl hier="31" item="1"/>
          <tpl fld="9" item="27"/>
          <tpl fld="12" item="5"/>
          <tpl hier="40" item="2"/>
          <tpl fld="17" item="0"/>
        </tpls>
      </m>
      <n v="20007791">
        <tpls c="6">
          <tpl fld="3" item="1"/>
          <tpl fld="16" item="11"/>
          <tpl hier="31" item="1"/>
          <tpl fld="12" item="13"/>
          <tpl hier="40" item="2"/>
          <tpl fld="17" item="0"/>
        </tpls>
      </n>
      <n v="552836">
        <tpls c="6">
          <tpl fld="10" item="0"/>
          <tpl hier="31" item="1"/>
          <tpl fld="9" item="31"/>
          <tpl fld="8" item="0"/>
          <tpl hier="40" item="2"/>
          <tpl fld="17" item="0"/>
        </tpls>
      </n>
      <n v="12516340">
        <tpls c="7">
          <tpl fld="3" item="0"/>
          <tpl fld="16" item="3"/>
          <tpl hier="31" item="3"/>
          <tpl fld="9" item="23"/>
          <tpl fld="12" item="2"/>
          <tpl hier="40" item="2"/>
          <tpl fld="17" item="0"/>
        </tpls>
      </n>
      <n v="18000000" in="0">
        <tpls c="3">
          <tpl fld="6" item="8"/>
          <tpl fld="4" item="9"/>
          <tpl fld="17" item="1"/>
        </tpls>
      </n>
      <n v="778242">
        <tpls c="7">
          <tpl fld="3" item="0"/>
          <tpl fld="16" item="5"/>
          <tpl hier="31" item="3"/>
          <tpl fld="9" item="15"/>
          <tpl fld="12" item="3"/>
          <tpl hier="40" item="2"/>
          <tpl fld="17" item="0"/>
        </tpls>
      </n>
      <n v="5000">
        <tpls c="7">
          <tpl fld="3" item="1"/>
          <tpl fld="16" item="3"/>
          <tpl hier="31" item="1"/>
          <tpl fld="9" item="44"/>
          <tpl fld="12" item="2"/>
          <tpl hier="40" item="2"/>
          <tpl fld="17" item="0"/>
        </tpls>
      </n>
      <n v="18792897">
        <tpls c="6">
          <tpl fld="3" item="1"/>
          <tpl fld="16" item="7"/>
          <tpl hier="31" item="1"/>
          <tpl fld="12" item="2"/>
          <tpl hier="40" item="2"/>
          <tpl fld="17" item="0"/>
        </tpls>
      </n>
      <n v="6312440">
        <tpls c="6">
          <tpl fld="3" item="0"/>
          <tpl hier="10" item="4294967295"/>
          <tpl hier="31" item="3"/>
          <tpl fld="12" item="6"/>
          <tpl hier="40" item="2"/>
          <tpl fld="17" item="0"/>
        </tpls>
      </n>
      <n v="119753446">
        <tpls c="5">
          <tpl fld="2" item="3"/>
          <tpl fld="0" item="2"/>
          <tpl fld="12" item="14"/>
          <tpl fld="1" item="1"/>
          <tpl fld="17" item="0"/>
        </tpls>
      </n>
      <n v="154632801">
        <tpls c="6">
          <tpl fld="2" item="1"/>
          <tpl hier="10" item="4294967295"/>
          <tpl fld="0" item="1"/>
          <tpl fld="12" item="8"/>
          <tpl fld="1" item="1"/>
          <tpl fld="17" item="0"/>
        </tpls>
      </n>
      <n v="234390">
        <tpls c="7">
          <tpl fld="3" item="1"/>
          <tpl fld="16" item="9"/>
          <tpl hier="31" item="1"/>
          <tpl fld="9" item="40"/>
          <tpl fld="12" item="3"/>
          <tpl hier="40" item="2"/>
          <tpl fld="17" item="0"/>
        </tpls>
      </n>
      <n v="52177460">
        <tpls c="7">
          <tpl fld="2" item="1"/>
          <tpl hier="10" item="4294967295"/>
          <tpl fld="0" item="1"/>
          <tpl fld="9" item="26"/>
          <tpl fld="12" item="14"/>
          <tpl fld="1" item="1"/>
          <tpl fld="17" item="0"/>
        </tpls>
      </n>
      <n v="360636">
        <tpls c="3">
          <tpl fld="11" item="5"/>
          <tpl fld="15" item="3"/>
          <tpl fld="17" item="2"/>
        </tpls>
      </n>
      <n v="0">
        <tpls c="6">
          <tpl fld="2" item="1"/>
          <tpl fld="16" item="5"/>
          <tpl fld="0" item="1"/>
          <tpl fld="12" item="18"/>
          <tpl fld="1" item="1"/>
          <tpl fld="17" item="0"/>
        </tpls>
      </n>
      <m>
        <tpls c="7">
          <tpl fld="3" item="1"/>
          <tpl fld="16" item="11"/>
          <tpl hier="31" item="1"/>
          <tpl fld="9" item="32"/>
          <tpl fld="12" item="5"/>
          <tpl hier="40" item="2"/>
          <tpl fld="17" item="0"/>
        </tpls>
      </m>
      <n v="15757464">
        <tpls c="6">
          <tpl fld="2" item="0"/>
          <tpl fld="0" item="0"/>
          <tpl fld="9" item="4"/>
          <tpl fld="8" item="1"/>
          <tpl hier="40" item="2"/>
          <tpl fld="17" item="0"/>
        </tpls>
      </n>
      <n v="143762212">
        <tpls c="6">
          <tpl fld="2" item="0"/>
          <tpl fld="0" item="0"/>
          <tpl fld="9" item="23"/>
          <tpl fld="8" item="0"/>
          <tpl hier="40" item="2"/>
          <tpl fld="17" item="0"/>
        </tpls>
      </n>
      <n v="9835104">
        <tpls c="6">
          <tpl fld="2" item="0"/>
          <tpl fld="0" item="0"/>
          <tpl fld="9" item="9"/>
          <tpl fld="12" item="6"/>
          <tpl hier="40" item="2"/>
          <tpl fld="17" item="0"/>
        </tpls>
      </n>
      <n v="5000">
        <tpls c="7">
          <tpl fld="3" item="1"/>
          <tpl hier="10" item="4294967295"/>
          <tpl hier="31" item="1"/>
          <tpl fld="9" item="6"/>
          <tpl fld="12" item="1"/>
          <tpl hier="40" item="2"/>
          <tpl fld="17" item="0"/>
        </tpls>
      </n>
      <m>
        <tpls c="3">
          <tpl fld="6" item="11"/>
          <tpl fld="4" item="3"/>
          <tpl fld="17" item="1"/>
        </tpls>
      </m>
      <n v="0">
        <tpls c="7">
          <tpl fld="2" item="1"/>
          <tpl fld="16" item="0"/>
          <tpl fld="0" item="1"/>
          <tpl fld="9" item="50"/>
          <tpl fld="12" item="16"/>
          <tpl fld="1" item="1"/>
          <tpl fld="17" item="0"/>
        </tpls>
      </n>
      <m>
        <tpls c="3">
          <tpl fld="6" item="11"/>
          <tpl fld="4" item="6"/>
          <tpl fld="17" item="1"/>
        </tpls>
      </m>
      <n v="833">
        <tpls c="7">
          <tpl fld="3" item="1"/>
          <tpl fld="16" item="10"/>
          <tpl hier="31" item="1"/>
          <tpl fld="9" item="3"/>
          <tpl fld="12" item="2"/>
          <tpl hier="40" item="2"/>
          <tpl fld="17" item="0"/>
        </tpls>
      </n>
      <n v="304853">
        <tpls c="7">
          <tpl fld="3" item="0"/>
          <tpl fld="16" item="9"/>
          <tpl hier="31" item="3"/>
          <tpl fld="9" item="9"/>
          <tpl fld="12" item="6"/>
          <tpl hier="40" item="2"/>
          <tpl fld="17" item="0"/>
        </tpls>
      </n>
      <n v="30240122">
        <tpls c="6">
          <tpl fld="10" item="2"/>
          <tpl hier="31" item="0"/>
          <tpl fld="9" item="23"/>
          <tpl fld="12" item="2"/>
          <tpl hier="40" item="2"/>
          <tpl fld="17" item="0"/>
        </tpls>
      </n>
      <n v="2000000" in="0">
        <tpls c="3">
          <tpl fld="6" item="18"/>
          <tpl fld="4" item="2"/>
          <tpl fld="17" item="1"/>
        </tpls>
      </n>
      <n v="2665095">
        <tpls c="6">
          <tpl fld="2" item="3"/>
          <tpl fld="0" item="2"/>
          <tpl fld="9" item="42"/>
          <tpl fld="12" item="17"/>
          <tpl fld="1" item="1"/>
          <tpl fld="17" item="0"/>
        </tpls>
      </n>
      <n v="45310">
        <tpls c="7">
          <tpl fld="2" item="1"/>
          <tpl fld="16" item="9"/>
          <tpl fld="0" item="1"/>
          <tpl fld="9" item="57"/>
          <tpl fld="12" item="8"/>
          <tpl fld="1" item="1"/>
          <tpl fld="17" item="0"/>
        </tpls>
      </n>
      <n v="212538">
        <tpls c="7">
          <tpl fld="2" item="1"/>
          <tpl fld="16" item="2"/>
          <tpl fld="0" item="1"/>
          <tpl fld="9" item="63"/>
          <tpl fld="12" item="16"/>
          <tpl fld="1" item="1"/>
          <tpl fld="17" item="0"/>
        </tpls>
      </n>
      <n v="101180">
        <tpls c="6">
          <tpl fld="2" item="1"/>
          <tpl fld="0" item="1"/>
          <tpl fld="9" item="35"/>
          <tpl fld="8" item="1"/>
          <tpl hier="40" item="2"/>
          <tpl fld="17" item="0"/>
        </tpls>
      </n>
      <n v="2691052">
        <tpls c="7">
          <tpl fld="3" item="0"/>
          <tpl fld="16" item="3"/>
          <tpl hier="31" item="3"/>
          <tpl fld="9" item="4"/>
          <tpl fld="12" item="3"/>
          <tpl hier="40" item="2"/>
          <tpl fld="17" item="0"/>
        </tpls>
      </n>
      <n v="-9572541">
        <tpls c="6">
          <tpl fld="2" item="1"/>
          <tpl fld="16" item="2"/>
          <tpl fld="0" item="1"/>
          <tpl fld="12" item="8"/>
          <tpl fld="1" item="1"/>
          <tpl fld="17" item="0"/>
        </tpls>
      </n>
      <n v="187">
        <tpls c="7">
          <tpl fld="3" item="0"/>
          <tpl fld="16" item="4"/>
          <tpl hier="31" item="3"/>
          <tpl fld="9" item="48"/>
          <tpl fld="12" item="22"/>
          <tpl hier="40" item="2"/>
          <tpl fld="17" item="0"/>
        </tpls>
      </n>
      <n v="0">
        <tpls c="7">
          <tpl fld="2" item="1"/>
          <tpl fld="16" item="6"/>
          <tpl fld="0" item="1"/>
          <tpl fld="9" item="51"/>
          <tpl fld="12" item="7"/>
          <tpl fld="1" item="1"/>
          <tpl fld="17" item="0"/>
        </tpls>
      </n>
      <n v="703170">
        <tpls c="6">
          <tpl fld="10" item="0"/>
          <tpl hier="31" item="0"/>
          <tpl fld="9" item="40"/>
          <tpl fld="12" item="3"/>
          <tpl hier="40" item="2"/>
          <tpl fld="17" item="0"/>
        </tpls>
      </n>
      <n v="489500">
        <tpls c="7">
          <tpl fld="3" item="1"/>
          <tpl fld="16" item="1"/>
          <tpl hier="31" item="1"/>
          <tpl fld="9" item="7"/>
          <tpl fld="12" item="3"/>
          <tpl hier="40" item="2"/>
          <tpl fld="17" item="0"/>
        </tpls>
      </n>
      <n v="0">
        <tpls c="7">
          <tpl fld="3" item="0"/>
          <tpl fld="16" item="10"/>
          <tpl hier="31" item="3"/>
          <tpl fld="9" item="11"/>
          <tpl fld="12" item="3"/>
          <tpl hier="40" item="2"/>
          <tpl fld="17" item="0"/>
        </tpls>
      </n>
      <n v="0">
        <tpls c="7">
          <tpl fld="2" item="1"/>
          <tpl fld="16" item="9"/>
          <tpl fld="0" item="1"/>
          <tpl fld="9" item="59"/>
          <tpl fld="12" item="4"/>
          <tpl fld="1" item="1"/>
          <tpl fld="17" item="0"/>
        </tpls>
      </n>
      <m>
        <tpls c="6">
          <tpl fld="10" item="2"/>
          <tpl hier="31" item="1"/>
          <tpl fld="9" item="60"/>
          <tpl fld="8" item="2"/>
          <tpl hier="40" item="2"/>
          <tpl fld="17" item="0"/>
        </tpls>
      </m>
      <n v="86079840">
        <tpls c="6">
          <tpl fld="2" item="1"/>
          <tpl fld="16" item="11"/>
          <tpl fld="0" item="1"/>
          <tpl fld="12" item="10"/>
          <tpl fld="1" item="1"/>
          <tpl fld="17" item="0"/>
        </tpls>
      </n>
      <n v="0">
        <tpls c="7">
          <tpl fld="3" item="0"/>
          <tpl fld="16" item="7"/>
          <tpl hier="31" item="3"/>
          <tpl fld="9" item="7"/>
          <tpl fld="12" item="3"/>
          <tpl hier="40" item="2"/>
          <tpl fld="17" item="0"/>
        </tpls>
      </n>
      <n v="0">
        <tpls c="7">
          <tpl fld="3" item="0"/>
          <tpl fld="16" item="7"/>
          <tpl hier="31" item="3"/>
          <tpl fld="9" item="19"/>
          <tpl fld="12" item="5"/>
          <tpl hier="40" item="2"/>
          <tpl fld="17" item="0"/>
        </tpls>
      </n>
      <n v="2942">
        <tpls c="6">
          <tpl fld="2" item="3"/>
          <tpl fld="0" item="2"/>
          <tpl fld="9" item="57"/>
          <tpl fld="12" item="8"/>
          <tpl fld="1" item="1"/>
          <tpl fld="17" item="0"/>
        </tpls>
      </n>
      <m>
        <tpls c="3">
          <tpl fld="6" item="16"/>
          <tpl fld="4" item="7"/>
          <tpl fld="17" item="1"/>
        </tpls>
      </m>
      <n v="14160000" in="0">
        <tpls c="3">
          <tpl fld="4" item="7"/>
          <tpl hier="22" item="4294967295"/>
          <tpl fld="17" item="1"/>
        </tpls>
      </n>
      <n v="159362">
        <tpls c="7">
          <tpl fld="3" item="0"/>
          <tpl fld="16" item="2"/>
          <tpl hier="31" item="3"/>
          <tpl fld="9" item="31"/>
          <tpl fld="12" item="2"/>
          <tpl hier="40" item="2"/>
          <tpl fld="17" item="0"/>
        </tpls>
      </n>
      <n v="3741815">
        <tpls c="6">
          <tpl fld="2" item="1"/>
          <tpl fld="0" item="1"/>
          <tpl fld="9" item="9"/>
          <tpl fld="12" item="6"/>
          <tpl hier="40" item="2"/>
          <tpl fld="17" item="0"/>
        </tpls>
      </n>
      <n v="392981">
        <tpls c="7">
          <tpl fld="3" item="1"/>
          <tpl fld="16" item="9"/>
          <tpl hier="31" item="1"/>
          <tpl fld="9" item="38"/>
          <tpl fld="12" item="5"/>
          <tpl hier="40" item="2"/>
          <tpl fld="17" item="0"/>
        </tpls>
      </n>
      <n v="1976">
        <tpls c="6">
          <tpl fld="2" item="1"/>
          <tpl fld="0" item="1"/>
          <tpl fld="9" item="48"/>
          <tpl fld="12" item="22"/>
          <tpl hier="40" item="2"/>
          <tpl fld="17" item="0"/>
        </tpls>
      </n>
      <n v="19082118">
        <tpls c="7">
          <tpl fld="3" item="1"/>
          <tpl fld="16" item="4"/>
          <tpl hier="31" item="1"/>
          <tpl fld="9" item="45"/>
          <tpl fld="12" item="13"/>
          <tpl hier="40" item="2"/>
          <tpl fld="17" item="0"/>
        </tpls>
      </n>
      <n v="0">
        <tpls c="7">
          <tpl fld="2" item="1"/>
          <tpl fld="16" item="7"/>
          <tpl fld="0" item="1"/>
          <tpl fld="9" item="65"/>
          <tpl fld="12" item="14"/>
          <tpl fld="1" item="1"/>
          <tpl fld="17" item="0"/>
        </tpls>
      </n>
      <m>
        <tpls c="3">
          <tpl fld="6" item="13"/>
          <tpl fld="4" item="1"/>
          <tpl fld="17" item="1"/>
        </tpls>
      </m>
      <n v="864220">
        <tpls c="7">
          <tpl fld="3" item="0"/>
          <tpl fld="16" item="1"/>
          <tpl hier="31" item="3"/>
          <tpl fld="9" item="13"/>
          <tpl fld="12" item="3"/>
          <tpl hier="40" item="2"/>
          <tpl fld="17" item="0"/>
        </tpls>
      </n>
      <n v="118504">
        <tpls c="6">
          <tpl fld="2" item="3"/>
          <tpl fld="0" item="2"/>
          <tpl fld="9" item="70"/>
          <tpl fld="12" item="8"/>
          <tpl fld="1" item="1"/>
          <tpl fld="17" item="0"/>
        </tpls>
      </n>
      <n v="1320194">
        <tpls c="7">
          <tpl fld="3" item="1"/>
          <tpl fld="16" item="4"/>
          <tpl hier="31" item="1"/>
          <tpl fld="9" item="5"/>
          <tpl fld="12" item="2"/>
          <tpl hier="40" item="2"/>
          <tpl fld="17" item="0"/>
        </tpls>
      </n>
      <n v="-130034">
        <tpls c="7">
          <tpl fld="2" item="1"/>
          <tpl fld="16" item="10"/>
          <tpl fld="0" item="1"/>
          <tpl fld="9" item="71"/>
          <tpl fld="12" item="16"/>
          <tpl fld="1" item="1"/>
          <tpl fld="17" item="0"/>
        </tpls>
      </n>
      <n v="0">
        <tpls c="7">
          <tpl fld="3" item="0"/>
          <tpl fld="16" item="8"/>
          <tpl hier="31" item="3"/>
          <tpl fld="9" item="2"/>
          <tpl fld="12" item="1"/>
          <tpl hier="40" item="2"/>
          <tpl fld="17" item="0"/>
        </tpls>
      </n>
      <n v="1178943">
        <tpls c="6">
          <tpl fld="10" item="3"/>
          <tpl hier="31" item="0"/>
          <tpl fld="9" item="38"/>
          <tpl fld="12" item="5"/>
          <tpl hier="40" item="2"/>
          <tpl fld="17" item="0"/>
        </tpls>
      </n>
      <n v="4299624">
        <tpls c="6">
          <tpl fld="2" item="2"/>
          <tpl fld="0" item="2"/>
          <tpl fld="9" item="24"/>
          <tpl fld="8" item="1"/>
          <tpl hier="40" item="2"/>
          <tpl fld="17" item="0"/>
        </tpls>
      </n>
      <n v="6811000" in="0">
        <tpls c="3">
          <tpl fld="6" item="16"/>
          <tpl fld="4" item="6"/>
          <tpl fld="17" item="1"/>
        </tpls>
      </n>
      <n v="6000">
        <tpls c="6">
          <tpl fld="2" item="0"/>
          <tpl fld="0" item="0"/>
          <tpl fld="9" item="43"/>
          <tpl fld="8" item="2"/>
          <tpl hier="40" item="2"/>
          <tpl fld="17" item="0"/>
        </tpls>
      </n>
      <m>
        <tpls c="5">
          <tpl fld="10" item="1"/>
          <tpl hier="31" item="0"/>
          <tpl fld="12" item="20"/>
          <tpl hier="40" item="2"/>
          <tpl fld="17" item="0"/>
        </tpls>
      </m>
      <n v="-360">
        <tpls c="7">
          <tpl fld="2" item="1"/>
          <tpl fld="16" item="7"/>
          <tpl fld="0" item="1"/>
          <tpl fld="9" item="57"/>
          <tpl fld="12" item="8"/>
          <tpl fld="1" item="1"/>
          <tpl fld="17" item="0"/>
        </tpls>
      </n>
      <n v="12123900">
        <tpls c="6">
          <tpl fld="10" item="2"/>
          <tpl hier="31" item="1"/>
          <tpl fld="9" item="5"/>
          <tpl fld="8" item="0"/>
          <tpl hier="40" item="2"/>
          <tpl fld="17" item="0"/>
        </tpls>
      </n>
      <n v="56676">
        <tpls c="6">
          <tpl fld="2" item="2"/>
          <tpl fld="0" item="2"/>
          <tpl fld="9" item="2"/>
          <tpl fld="12" item="1"/>
          <tpl hier="40" item="2"/>
          <tpl fld="17" item="0"/>
        </tpls>
      </n>
      <n v="-477952">
        <tpls c="7">
          <tpl fld="2" item="1"/>
          <tpl fld="16" item="6"/>
          <tpl fld="0" item="1"/>
          <tpl fld="9" item="74"/>
          <tpl fld="12" item="17"/>
          <tpl fld="1" item="1"/>
          <tpl fld="17" item="0"/>
        </tpls>
      </n>
      <n v="794436">
        <tpls c="7">
          <tpl fld="3" item="0"/>
          <tpl fld="16" item="7"/>
          <tpl hier="31" item="3"/>
          <tpl fld="9" item="4"/>
          <tpl fld="12" item="3"/>
          <tpl hier="40" item="2"/>
          <tpl fld="17" item="0"/>
        </tpls>
      </n>
      <n v="81347615">
        <tpls c="5">
          <tpl fld="2" item="2"/>
          <tpl fld="0" item="2"/>
          <tpl fld="12" item="8"/>
          <tpl fld="1" item="1"/>
          <tpl fld="17" item="0"/>
        </tpls>
      </n>
      <n v="0">
        <tpls c="6">
          <tpl fld="2" item="1"/>
          <tpl fld="16" item="0"/>
          <tpl fld="0" item="1"/>
          <tpl fld="12" item="21"/>
          <tpl fld="1" item="1"/>
          <tpl fld="17" item="0"/>
        </tpls>
      </n>
      <n v="59081004">
        <tpls c="7">
          <tpl fld="2" item="1"/>
          <tpl hier="10" item="4294967295"/>
          <tpl fld="0" item="1"/>
          <tpl fld="9" item="65"/>
          <tpl fld="12" item="14"/>
          <tpl fld="1" item="1"/>
          <tpl fld="17" item="0"/>
        </tpls>
      </n>
      <n v="0">
        <tpls c="7">
          <tpl fld="3" item="0"/>
          <tpl fld="16" item="6"/>
          <tpl hier="31" item="3"/>
          <tpl fld="9" item="36"/>
          <tpl fld="12" item="3"/>
          <tpl hier="40" item="2"/>
          <tpl fld="17" item="0"/>
        </tpls>
      </n>
      <n v="-392981">
        <tpls c="6">
          <tpl fld="2" item="1"/>
          <tpl fld="16" item="5"/>
          <tpl fld="0" item="1"/>
          <tpl fld="12" item="11"/>
          <tpl fld="1" item="1"/>
          <tpl fld="17" item="0"/>
        </tpls>
      </n>
      <n v="-590840">
        <tpls c="6">
          <tpl fld="2" item="1"/>
          <tpl fld="16" item="1"/>
          <tpl fld="0" item="1"/>
          <tpl fld="12" item="15"/>
          <tpl fld="1" item="1"/>
          <tpl fld="17" item="0"/>
        </tpls>
      </n>
      <m>
        <tpls c="6">
          <tpl fld="10" item="3"/>
          <tpl hier="31" item="0"/>
          <tpl fld="9" item="13"/>
          <tpl fld="12" item="3"/>
          <tpl hier="40" item="2"/>
          <tpl fld="17" item="0"/>
        </tpls>
      </m>
      <n v="154299465">
        <tpls c="7">
          <tpl fld="2" item="1"/>
          <tpl hier="10" item="4294967295"/>
          <tpl fld="0" item="1"/>
          <tpl fld="9" item="56"/>
          <tpl fld="12" item="8"/>
          <tpl fld="1" item="1"/>
          <tpl fld="17" item="0"/>
        </tpls>
      </n>
      <n v="360636">
        <tpls c="3">
          <tpl fld="11" item="11"/>
          <tpl fld="15" item="3"/>
          <tpl fld="17" item="2"/>
        </tpls>
      </n>
      <n v="-64583">
        <tpls c="7">
          <tpl fld="2" item="1"/>
          <tpl fld="16" item="7"/>
          <tpl fld="0" item="1"/>
          <tpl fld="9" item="66"/>
          <tpl fld="12" item="4"/>
          <tpl fld="1" item="1"/>
          <tpl fld="17" item="0"/>
        </tpls>
      </n>
      <n v="1277320">
        <tpls c="7">
          <tpl fld="3" item="0"/>
          <tpl fld="16" item="3"/>
          <tpl hier="31" item="3"/>
          <tpl fld="9" item="25"/>
          <tpl fld="12" item="2"/>
          <tpl hier="40" item="2"/>
          <tpl fld="17" item="0"/>
        </tpls>
      </n>
      <n v="-93">
        <tpls c="7">
          <tpl fld="2" item="1"/>
          <tpl fld="16" item="2"/>
          <tpl fld="0" item="1"/>
          <tpl fld="9" item="70"/>
          <tpl fld="12" item="8"/>
          <tpl fld="1" item="1"/>
          <tpl fld="17" item="0"/>
        </tpls>
      </n>
      <n v="3000">
        <tpls c="7">
          <tpl fld="3" item="0"/>
          <tpl fld="16" item="9"/>
          <tpl hier="31" item="3"/>
          <tpl fld="9" item="35"/>
          <tpl fld="12" item="3"/>
          <tpl hier="40" item="2"/>
          <tpl fld="17" item="0"/>
        </tpls>
      </n>
      <n v="0">
        <tpls c="7">
          <tpl fld="2" item="1"/>
          <tpl fld="16" item="9"/>
          <tpl fld="0" item="1"/>
          <tpl fld="9" item="65"/>
          <tpl fld="12" item="14"/>
          <tpl fld="1" item="1"/>
          <tpl fld="17" item="0"/>
        </tpls>
      </n>
      <n v="93884">
        <tpls c="7">
          <tpl fld="2" item="1"/>
          <tpl fld="16" item="1"/>
          <tpl fld="0" item="1"/>
          <tpl fld="9" item="54"/>
          <tpl fld="12" item="16"/>
          <tpl fld="1" item="1"/>
          <tpl fld="17" item="0"/>
        </tpls>
      </n>
      <n v="-1403941">
        <tpls c="7">
          <tpl fld="2" item="1"/>
          <tpl fld="16" item="2"/>
          <tpl fld="0" item="1"/>
          <tpl fld="9" item="72"/>
          <tpl fld="12" item="17"/>
          <tpl fld="1" item="1"/>
          <tpl fld="17" item="0"/>
        </tpls>
      </n>
      <m>
        <tpls c="7">
          <tpl fld="3" item="1"/>
          <tpl fld="16" item="2"/>
          <tpl hier="31" item="1"/>
          <tpl fld="9" item="49"/>
          <tpl fld="12" item="3"/>
          <tpl hier="40" item="2"/>
          <tpl fld="17" item="0"/>
        </tpls>
      </m>
      <n v="601995">
        <tpls c="7">
          <tpl fld="3" item="0"/>
          <tpl fld="16" item="1"/>
          <tpl hier="31" item="3"/>
          <tpl fld="9" item="41"/>
          <tpl fld="12" item="3"/>
          <tpl hier="40" item="2"/>
          <tpl fld="17" item="0"/>
        </tpls>
      </n>
      <n v="160089">
        <tpls c="7">
          <tpl fld="3" item="0"/>
          <tpl fld="16" item="0"/>
          <tpl hier="31" item="3"/>
          <tpl fld="9" item="31"/>
          <tpl fld="12" item="2"/>
          <tpl hier="40" item="2"/>
          <tpl fld="17" item="0"/>
        </tpls>
      </n>
      <n v="55457659">
        <tpls c="6">
          <tpl fld="3" item="1"/>
          <tpl hier="10" item="4294967295"/>
          <tpl hier="31" item="1"/>
          <tpl fld="12" item="3"/>
          <tpl hier="40" item="2"/>
          <tpl fld="17" item="0"/>
        </tpls>
      </n>
      <n v="1408951">
        <tpls c="7">
          <tpl fld="3" item="0"/>
          <tpl fld="16" item="3"/>
          <tpl hier="31" item="3"/>
          <tpl fld="9" item="9"/>
          <tpl fld="12" item="6"/>
          <tpl hier="40" item="2"/>
          <tpl fld="17" item="0"/>
        </tpls>
      </n>
      <n v="4134867">
        <tpls c="6">
          <tpl fld="3" item="0"/>
          <tpl fld="16" item="2"/>
          <tpl hier="31" item="3"/>
          <tpl fld="12" item="9"/>
          <tpl hier="40" item="2"/>
          <tpl fld="17" item="0"/>
        </tpls>
      </n>
      <n v="2912680">
        <tpls c="6">
          <tpl fld="2" item="0"/>
          <tpl fld="0" item="0"/>
          <tpl fld="9" item="40"/>
          <tpl fld="8" item="1"/>
          <tpl hier="40" item="2"/>
          <tpl fld="17" item="0"/>
        </tpls>
      </n>
      <n v="4167">
        <tpls c="3">
          <tpl fld="11" item="11"/>
          <tpl fld="15" item="0"/>
          <tpl fld="17" item="2"/>
        </tpls>
      </n>
      <n v="77990">
        <tpls c="7">
          <tpl fld="3" item="0"/>
          <tpl fld="16" item="2"/>
          <tpl hier="31" item="3"/>
          <tpl fld="9" item="53"/>
          <tpl fld="12" item="2"/>
          <tpl hier="40" item="2"/>
          <tpl fld="17" item="0"/>
        </tpls>
      </n>
      <n v="57131378">
        <tpls c="5">
          <tpl fld="10" item="0"/>
          <tpl hier="31" item="0"/>
          <tpl fld="12" item="13"/>
          <tpl hier="40" item="2"/>
          <tpl fld="17" item="0"/>
        </tpls>
      </n>
      <n v="0">
        <tpls c="6">
          <tpl fld="2" item="1"/>
          <tpl fld="16" item="1"/>
          <tpl fld="0" item="1"/>
          <tpl fld="12" item="12"/>
          <tpl fld="1" item="1"/>
          <tpl fld="17" item="0"/>
        </tpls>
      </n>
      <n v="15808744">
        <tpls c="6">
          <tpl fld="3" item="0"/>
          <tpl fld="16" item="2"/>
          <tpl hier="31" item="3"/>
          <tpl fld="12" item="2"/>
          <tpl hier="40" item="2"/>
          <tpl fld="17" item="0"/>
        </tpls>
      </n>
      <n v="-49252">
        <tpls c="7">
          <tpl fld="2" item="1"/>
          <tpl fld="16" item="2"/>
          <tpl fld="0" item="1"/>
          <tpl fld="9" item="28"/>
          <tpl fld="12" item="15"/>
          <tpl fld="1" item="1"/>
          <tpl fld="17" item="0"/>
        </tpls>
      </n>
      <n v="0">
        <tpls c="7">
          <tpl fld="3" item="0"/>
          <tpl fld="16" item="4"/>
          <tpl hier="31" item="3"/>
          <tpl fld="9" item="11"/>
          <tpl fld="12" item="3"/>
          <tpl hier="40" item="2"/>
          <tpl fld="17" item="0"/>
        </tpls>
      </n>
      <n v="0">
        <tpls c="7">
          <tpl fld="3" item="0"/>
          <tpl fld="16" item="2"/>
          <tpl hier="31" item="3"/>
          <tpl fld="9" item="1"/>
          <tpl fld="12" item="1"/>
          <tpl hier="40" item="2"/>
          <tpl fld="17" item="0"/>
        </tpls>
      </n>
      <n v="1327701">
        <tpls c="7">
          <tpl fld="3" item="0"/>
          <tpl fld="16" item="1"/>
          <tpl hier="31" item="3"/>
          <tpl fld="9" item="25"/>
          <tpl fld="12" item="2"/>
          <tpl hier="40" item="2"/>
          <tpl fld="17" item="0"/>
        </tpls>
      </n>
      <n v="0">
        <tpls c="7">
          <tpl fld="2" item="1"/>
          <tpl fld="16" item="1"/>
          <tpl fld="0" item="1"/>
          <tpl fld="9" item="62"/>
          <tpl fld="12" item="12"/>
          <tpl fld="1" item="1"/>
          <tpl fld="17" item="0"/>
        </tpls>
      </n>
      <n v="230846283">
        <tpls c="5">
          <tpl fld="2" item="2"/>
          <tpl fld="0" item="2"/>
          <tpl fld="12" item="13"/>
          <tpl hier="40" item="2"/>
          <tpl fld="17" item="0"/>
        </tpls>
      </n>
      <n v="3784729">
        <tpls c="6">
          <tpl fld="10" item="3"/>
          <tpl hier="31" item="1"/>
          <tpl fld="9" item="5"/>
          <tpl fld="8" item="0"/>
          <tpl hier="40" item="2"/>
          <tpl fld="17" item="0"/>
        </tpls>
      </n>
      <m>
        <tpls c="7">
          <tpl fld="3" item="1"/>
          <tpl fld="16" item="1"/>
          <tpl hier="31" item="1"/>
          <tpl fld="9" item="49"/>
          <tpl fld="12" item="3"/>
          <tpl hier="40" item="2"/>
          <tpl fld="17" item="0"/>
        </tpls>
      </m>
      <m>
        <tpls c="3">
          <tpl fld="6" item="11"/>
          <tpl fld="4" item="2"/>
          <tpl fld="17" item="1"/>
        </tpls>
      </m>
      <m>
        <tpls c="7">
          <tpl fld="3" item="1"/>
          <tpl fld="16" item="10"/>
          <tpl hier="31" item="1"/>
          <tpl fld="9" item="7"/>
          <tpl fld="12" item="3"/>
          <tpl hier="40" item="2"/>
          <tpl fld="17" item="0"/>
        </tpls>
      </m>
      <n v="679700">
        <tpls c="7">
          <tpl fld="3" item="0"/>
          <tpl fld="16" item="4"/>
          <tpl hier="31" item="3"/>
          <tpl fld="9" item="15"/>
          <tpl fld="12" item="3"/>
          <tpl hier="40" item="2"/>
          <tpl fld="17" item="0"/>
        </tpls>
      </n>
      <n v="360636">
        <tpls c="3">
          <tpl fld="11" item="1"/>
          <tpl fld="15" item="3"/>
          <tpl fld="17" item="2"/>
        </tpls>
      </n>
      <n v="0">
        <tpls c="7">
          <tpl fld="3" item="1"/>
          <tpl fld="16" item="3"/>
          <tpl hier="31" item="1"/>
          <tpl fld="9" item="7"/>
          <tpl fld="12" item="3"/>
          <tpl hier="40" item="2"/>
          <tpl fld="17" item="0"/>
        </tpls>
      </n>
      <m>
        <tpls c="3">
          <tpl fld="4" item="5"/>
          <tpl fld="5" item="3"/>
          <tpl fld="17" item="1"/>
        </tpls>
      </m>
      <n v="19082118">
        <tpls c="6">
          <tpl fld="3" item="1"/>
          <tpl fld="16" item="4"/>
          <tpl hier="31" item="1"/>
          <tpl fld="12" item="13"/>
          <tpl hier="40" item="2"/>
          <tpl fld="17" item="0"/>
        </tpls>
      </n>
      <n v="0">
        <tpls c="7">
          <tpl fld="2" item="1"/>
          <tpl fld="16" item="6"/>
          <tpl fld="0" item="1"/>
          <tpl fld="9" item="69"/>
          <tpl fld="12" item="10"/>
          <tpl fld="1" item="1"/>
          <tpl fld="17" item="0"/>
        </tpls>
      </n>
      <n v="0">
        <tpls c="6">
          <tpl fld="2" item="2"/>
          <tpl fld="0" item="2"/>
          <tpl fld="9" item="1"/>
          <tpl fld="8" item="3"/>
          <tpl hier="40" item="2"/>
          <tpl fld="17" item="0"/>
        </tpls>
      </n>
      <n v="-2696353">
        <tpls c="6">
          <tpl fld="2" item="1"/>
          <tpl fld="16" item="10"/>
          <tpl fld="0" item="1"/>
          <tpl fld="12" item="17"/>
          <tpl fld="1" item="1"/>
          <tpl fld="17" item="0"/>
        </tpls>
      </n>
      <n v="7768506">
        <tpls c="7">
          <tpl fld="3" item="0"/>
          <tpl hier="10" item="4294967295"/>
          <tpl hier="31" item="3"/>
          <tpl fld="9" item="15"/>
          <tpl fld="12" item="3"/>
          <tpl hier="40" item="2"/>
          <tpl fld="17" item="0"/>
        </tpls>
      </n>
      <n v="-15214">
        <tpls c="7">
          <tpl fld="2" item="1"/>
          <tpl fld="16" item="2"/>
          <tpl fld="0" item="1"/>
          <tpl fld="9" item="54"/>
          <tpl fld="12" item="16"/>
          <tpl fld="1" item="1"/>
          <tpl fld="17" item="0"/>
        </tpls>
      </n>
      <n v="0">
        <tpls c="7">
          <tpl fld="2" item="1"/>
          <tpl fld="16" item="1"/>
          <tpl fld="0" item="1"/>
          <tpl fld="9" item="65"/>
          <tpl fld="12" item="14"/>
          <tpl fld="1" item="1"/>
          <tpl fld="17" item="0"/>
        </tpls>
      </n>
      <n v="35431">
        <tpls c="7">
          <tpl fld="3" item="0"/>
          <tpl fld="16" item="3"/>
          <tpl hier="31" item="3"/>
          <tpl fld="9" item="21"/>
          <tpl fld="12" item="3"/>
          <tpl hier="40" item="2"/>
          <tpl fld="17" item="0"/>
        </tpls>
      </n>
      <m>
        <tpls c="3">
          <tpl fld="4" item="9"/>
          <tpl fld="5" item="3"/>
          <tpl fld="17" item="1"/>
        </tpls>
      </m>
      <n v="213213">
        <tpls c="6">
          <tpl fld="2" item="1"/>
          <tpl fld="16" item="10"/>
          <tpl fld="0" item="1"/>
          <tpl fld="12" item="16"/>
          <tpl fld="1" item="1"/>
          <tpl fld="17" item="0"/>
        </tpls>
      </n>
      <n v="121107">
        <tpls c="6">
          <tpl fld="2" item="0"/>
          <tpl fld="0" item="0"/>
          <tpl fld="9" item="3"/>
          <tpl fld="8" item="0"/>
          <tpl hier="40" item="2"/>
          <tpl fld="17" item="0"/>
        </tpls>
      </n>
      <m>
        <tpls c="3">
          <tpl fld="7" item="2"/>
          <tpl fld="5" item="2"/>
          <tpl fld="17" item="1"/>
        </tpls>
      </m>
      <n v="234390">
        <tpls c="7">
          <tpl fld="3" item="1"/>
          <tpl fld="16" item="1"/>
          <tpl hier="31" item="1"/>
          <tpl fld="9" item="40"/>
          <tpl fld="12" item="3"/>
          <tpl hier="40" item="2"/>
          <tpl fld="17" item="0"/>
        </tpls>
      </n>
      <n v="5000">
        <tpls c="6">
          <tpl fld="2" item="0"/>
          <tpl fld="0" item="0"/>
          <tpl fld="9" item="6"/>
          <tpl fld="8" item="3"/>
          <tpl hier="40" item="2"/>
          <tpl fld="17" item="0"/>
        </tpls>
      </n>
      <n v="1915000">
        <tpls c="7">
          <tpl fld="3" item="1"/>
          <tpl hier="10" item="4294967295"/>
          <tpl hier="31" item="1"/>
          <tpl fld="9" item="35"/>
          <tpl fld="12" item="3"/>
          <tpl hier="40" item="2"/>
          <tpl fld="17" item="0"/>
        </tpls>
      </n>
      <n v="40617">
        <tpls c="6">
          <tpl fld="2" item="1"/>
          <tpl fld="0" item="1"/>
          <tpl fld="9" item="20"/>
          <tpl fld="12" item="2"/>
          <tpl hier="40" item="2"/>
          <tpl fld="17" item="0"/>
        </tpls>
      </n>
      <n v="0">
        <tpls c="7">
          <tpl fld="3" item="0"/>
          <tpl fld="16" item="10"/>
          <tpl hier="31" item="3"/>
          <tpl fld="9" item="1"/>
          <tpl fld="12" item="1"/>
          <tpl hier="40" item="2"/>
          <tpl fld="17" item="0"/>
        </tpls>
      </n>
      <m>
        <tpls c="3">
          <tpl fld="6" item="7"/>
          <tpl fld="4" item="8"/>
          <tpl fld="17" item="1"/>
        </tpls>
      </m>
      <n v="1165">
        <tpls c="6">
          <tpl fld="3" item="0"/>
          <tpl fld="16" item="7"/>
          <tpl hier="31" item="3"/>
          <tpl fld="12" item="22"/>
          <tpl hier="40" item="2"/>
          <tpl fld="17" item="0"/>
        </tpls>
      </n>
      <n v="210000">
        <tpls c="6">
          <tpl fld="2" item="0"/>
          <tpl fld="0" item="0"/>
          <tpl fld="9" item="17"/>
          <tpl fld="8" item="0"/>
          <tpl hier="40" item="2"/>
          <tpl fld="17" item="0"/>
        </tpls>
      </n>
      <n v="0">
        <tpls c="6">
          <tpl fld="2" item="0"/>
          <tpl fld="0" item="0"/>
          <tpl fld="9" item="22"/>
          <tpl fld="12" item="2"/>
          <tpl hier="40" item="2"/>
          <tpl fld="17" item="0"/>
        </tpls>
      </n>
      <n v="-120950">
        <tpls c="6">
          <tpl fld="2" item="1"/>
          <tpl fld="16" item="0"/>
          <tpl fld="0" item="1"/>
          <tpl fld="12" item="4"/>
          <tpl fld="1" item="1"/>
          <tpl fld="17" item="0"/>
        </tpls>
      </n>
      <n v="34300">
        <tpls c="7">
          <tpl fld="3" item="0"/>
          <tpl fld="16" item="4"/>
          <tpl hier="31" item="3"/>
          <tpl fld="9" item="35"/>
          <tpl fld="12" item="3"/>
          <tpl hier="40" item="2"/>
          <tpl fld="17" item="0"/>
        </tpls>
      </n>
      <n v="578000">
        <tpls c="7">
          <tpl fld="3" item="1"/>
          <tpl hier="10" item="4294967295"/>
          <tpl hier="31" item="1"/>
          <tpl fld="9" item="7"/>
          <tpl fld="12" item="3"/>
          <tpl hier="40" item="2"/>
          <tpl fld="17" item="0"/>
        </tpls>
      </n>
      <m>
        <tpls c="3">
          <tpl fld="6" item="10"/>
          <tpl fld="4" item="6"/>
          <tpl fld="17" item="1"/>
        </tpls>
      </m>
      <n v="100000">
        <tpls c="7">
          <tpl fld="3" item="1"/>
          <tpl fld="16" item="11"/>
          <tpl hier="31" item="1"/>
          <tpl fld="9" item="12"/>
          <tpl fld="12" item="5"/>
          <tpl hier="40" item="2"/>
          <tpl fld="17" item="0"/>
        </tpls>
      </n>
      <n v="14834946">
        <tpls c="7">
          <tpl fld="2" item="1"/>
          <tpl fld="16" item="5"/>
          <tpl fld="0" item="1"/>
          <tpl fld="9" item="72"/>
          <tpl fld="12" item="17"/>
          <tpl fld="1" item="1"/>
          <tpl fld="17" item="0"/>
        </tpls>
      </n>
      <n v="0">
        <tpls c="7">
          <tpl fld="2" item="1"/>
          <tpl fld="16" item="10"/>
          <tpl fld="0" item="1"/>
          <tpl fld="9" item="50"/>
          <tpl fld="12" item="16"/>
          <tpl fld="1" item="1"/>
          <tpl fld="17" item="0"/>
        </tpls>
      </n>
      <n v="188354">
        <tpls c="7">
          <tpl fld="3" item="0"/>
          <tpl hier="10" item="4294967295"/>
          <tpl hier="31" item="3"/>
          <tpl fld="9" item="17"/>
          <tpl fld="12" item="2"/>
          <tpl hier="40" item="2"/>
          <tpl fld="17" item="0"/>
        </tpls>
      </n>
      <n v="5000">
        <tpls c="7">
          <tpl fld="3" item="1"/>
          <tpl fld="16" item="2"/>
          <tpl hier="31" item="1"/>
          <tpl fld="9" item="44"/>
          <tpl fld="12" item="2"/>
          <tpl hier="40" item="2"/>
          <tpl fld="17" item="0"/>
        </tpls>
      </n>
      <n v="5079477">
        <tpls c="6">
          <tpl fld="3" item="1"/>
          <tpl fld="16" item="4"/>
          <tpl hier="31" item="1"/>
          <tpl fld="12" item="3"/>
          <tpl hier="40" item="2"/>
          <tpl fld="17" item="0"/>
        </tpls>
      </n>
      <n v="128990311">
        <tpls c="7">
          <tpl fld="2" item="1"/>
          <tpl fld="16" item="11"/>
          <tpl fld="0" item="1"/>
          <tpl fld="9" item="74"/>
          <tpl fld="12" item="17"/>
          <tpl fld="1" item="1"/>
          <tpl fld="17" item="0"/>
        </tpls>
      </n>
      <n v="12501">
        <tpls c="6">
          <tpl fld="10" item="2"/>
          <tpl hier="31" item="1"/>
          <tpl fld="9" item="20"/>
          <tpl fld="8" item="0"/>
          <tpl hier="40" item="2"/>
          <tpl fld="17" item="0"/>
        </tpls>
      </n>
      <n v="135507">
        <tpls c="7">
          <tpl fld="3" item="0"/>
          <tpl fld="16" item="7"/>
          <tpl hier="31" item="3"/>
          <tpl fld="9" item="40"/>
          <tpl fld="12" item="3"/>
          <tpl hier="40" item="2"/>
          <tpl fld="17" item="0"/>
        </tpls>
      </n>
      <n v="0">
        <tpls c="6">
          <tpl fld="2" item="1"/>
          <tpl fld="0" item="1"/>
          <tpl fld="9" item="11"/>
          <tpl fld="8" item="1"/>
          <tpl hier="40" item="2"/>
          <tpl fld="17" item="0"/>
        </tpls>
      </n>
      <n v="0">
        <tpls c="7">
          <tpl fld="2" item="1"/>
          <tpl fld="16" item="0"/>
          <tpl fld="0" item="1"/>
          <tpl fld="9" item="58"/>
          <tpl fld="12" item="19"/>
          <tpl fld="1" item="1"/>
          <tpl fld="17" item="0"/>
        </tpls>
      </n>
      <n v="265377">
        <tpls c="7">
          <tpl fld="2" item="1"/>
          <tpl fld="16" item="11"/>
          <tpl fld="0" item="1"/>
          <tpl fld="9" item="70"/>
          <tpl fld="12" item="8"/>
          <tpl fld="1" item="1"/>
          <tpl fld="17" item="0"/>
        </tpls>
      </n>
      <n v="21188">
        <tpls c="7">
          <tpl fld="3" item="1"/>
          <tpl fld="16" item="11"/>
          <tpl hier="31" item="1"/>
          <tpl fld="9" item="21"/>
          <tpl fld="12" item="3"/>
          <tpl hier="40" item="2"/>
          <tpl fld="17" item="0"/>
        </tpls>
      </n>
      <m>
        <tpls c="6">
          <tpl fld="10" item="0"/>
          <tpl hier="31" item="1"/>
          <tpl fld="9" item="60"/>
          <tpl fld="8" item="2"/>
          <tpl hier="40" item="2"/>
          <tpl fld="17" item="0"/>
        </tpls>
      </m>
      <n v="0">
        <tpls c="7">
          <tpl fld="2" item="1"/>
          <tpl fld="16" item="6"/>
          <tpl fld="0" item="1"/>
          <tpl fld="9" item="61"/>
          <tpl fld="12" item="0"/>
          <tpl fld="1" item="1"/>
          <tpl fld="17" item="0"/>
        </tpls>
      </n>
      <n v="1335757">
        <tpls c="5">
          <tpl fld="2" item="2"/>
          <tpl fld="0" item="2"/>
          <tpl fld="12" item="4"/>
          <tpl fld="1" item="1"/>
          <tpl fld="17" item="0"/>
        </tpls>
      </n>
      <n v="0">
        <tpls c="7">
          <tpl fld="2" item="1"/>
          <tpl fld="16" item="7"/>
          <tpl fld="0" item="1"/>
          <tpl fld="9" item="69"/>
          <tpl fld="12" item="10"/>
          <tpl fld="1" item="1"/>
          <tpl fld="17" item="0"/>
        </tpls>
      </n>
      <m>
        <tpls c="3">
          <tpl fld="7" item="3"/>
          <tpl fld="5" item="5"/>
          <tpl fld="17" item="1"/>
        </tpls>
      </m>
      <m>
        <tpls c="6">
          <tpl fld="10" item="1"/>
          <tpl hier="31" item="0"/>
          <tpl fld="9" item="27"/>
          <tpl fld="12" item="5"/>
          <tpl hier="40" item="2"/>
          <tpl fld="17" item="0"/>
        </tpls>
      </m>
      <n v="83500">
        <tpls c="7">
          <tpl fld="3" item="1"/>
          <tpl fld="16" item="4"/>
          <tpl hier="31" item="1"/>
          <tpl fld="9" item="52"/>
          <tpl fld="12" item="3"/>
          <tpl hier="40" item="2"/>
          <tpl fld="17" item="0"/>
        </tpls>
      </n>
      <n v="8958367">
        <tpls c="6">
          <tpl fld="2" item="2"/>
          <tpl fld="0" item="2"/>
          <tpl fld="9" item="41"/>
          <tpl fld="8" item="1"/>
          <tpl hier="40" item="2"/>
          <tpl fld="17" item="0"/>
        </tpls>
      </n>
      <n v="-1528">
        <tpls c="7">
          <tpl fld="2" item="1"/>
          <tpl fld="16" item="10"/>
          <tpl fld="0" item="1"/>
          <tpl fld="9" item="47"/>
          <tpl fld="12" item="17"/>
          <tpl fld="1" item="1"/>
          <tpl fld="17" item="0"/>
        </tpls>
      </n>
      <n v="66170973">
        <tpls c="6">
          <tpl fld="10" item="2"/>
          <tpl hier="31" item="0"/>
          <tpl fld="9" item="45"/>
          <tpl fld="12" item="13"/>
          <tpl hier="40" item="2"/>
          <tpl fld="17" item="0"/>
        </tpls>
      </n>
      <n v="0">
        <tpls c="7">
          <tpl fld="3" item="0"/>
          <tpl fld="16" item="5"/>
          <tpl hier="31" item="3"/>
          <tpl fld="9" item="14"/>
          <tpl fld="12" item="3"/>
          <tpl hier="40" item="2"/>
          <tpl fld="17" item="0"/>
        </tpls>
      </n>
      <n v="1313122">
        <tpls c="7">
          <tpl fld="3" item="1"/>
          <tpl fld="16" item="2"/>
          <tpl hier="31" item="1"/>
          <tpl fld="9" item="4"/>
          <tpl fld="12" item="3"/>
          <tpl hier="40" item="2"/>
          <tpl fld="17" item="0"/>
        </tpls>
      </n>
      <m>
        <tpls c="6">
          <tpl fld="10" item="1"/>
          <tpl hier="31" item="0"/>
          <tpl fld="9" item="6"/>
          <tpl fld="12" item="1"/>
          <tpl hier="40" item="2"/>
          <tpl fld="17" item="0"/>
        </tpls>
      </m>
      <n v="0">
        <tpls c="7">
          <tpl fld="2" item="1"/>
          <tpl fld="16" item="10"/>
          <tpl fld="0" item="1"/>
          <tpl fld="9" item="26"/>
          <tpl fld="12" item="14"/>
          <tpl fld="1" item="1"/>
          <tpl fld="17" item="0"/>
        </tpls>
      </n>
      <n v="885875">
        <tpls c="6">
          <tpl fld="2" item="2"/>
          <tpl fld="0" item="2"/>
          <tpl fld="9" item="39"/>
          <tpl fld="12" item="0"/>
          <tpl fld="1" item="1"/>
          <tpl fld="17" item="0"/>
        </tpls>
      </n>
      <n v="21188">
        <tpls c="7">
          <tpl fld="3" item="1"/>
          <tpl fld="16" item="1"/>
          <tpl hier="31" item="1"/>
          <tpl fld="9" item="21"/>
          <tpl fld="12" item="3"/>
          <tpl hier="40" item="2"/>
          <tpl fld="17" item="0"/>
        </tpls>
      </n>
      <n v="5305772">
        <tpls c="7">
          <tpl fld="3" item="1"/>
          <tpl hier="10" item="4294967295"/>
          <tpl hier="31" item="1"/>
          <tpl fld="9" item="38"/>
          <tpl fld="12" item="5"/>
          <tpl hier="40" item="2"/>
          <tpl fld="17" item="0"/>
        </tpls>
      </n>
      <n v="6199489">
        <tpls c="6">
          <tpl fld="2" item="3"/>
          <tpl fld="0" item="2"/>
          <tpl fld="9" item="34"/>
          <tpl fld="12" item="17"/>
          <tpl fld="1" item="1"/>
          <tpl fld="17" item="0"/>
        </tpls>
      </n>
      <n v="475666">
        <tpls c="6">
          <tpl fld="3" item="0"/>
          <tpl fld="16" item="11"/>
          <tpl hier="31" item="3"/>
          <tpl fld="12" item="3"/>
          <tpl hier="40" item="2"/>
          <tpl fld="17" item="0"/>
        </tpls>
      </n>
      <n v="0">
        <tpls c="6">
          <tpl fld="2" item="1"/>
          <tpl fld="16" item="10"/>
          <tpl fld="0" item="1"/>
          <tpl fld="12" item="18"/>
          <tpl fld="1" item="1"/>
          <tpl fld="17" item="0"/>
        </tpls>
      </n>
      <n v="0">
        <tpls c="6">
          <tpl fld="10" item="0"/>
          <tpl hier="31" item="1"/>
          <tpl fld="9" item="7"/>
          <tpl fld="8" item="1"/>
          <tpl hier="40" item="2"/>
          <tpl fld="17" item="0"/>
        </tpls>
      </n>
      <n v="0">
        <tpls c="7">
          <tpl fld="3" item="0"/>
          <tpl fld="16" item="2"/>
          <tpl hier="31" item="3"/>
          <tpl fld="9" item="32"/>
          <tpl fld="12" item="5"/>
          <tpl hier="40" item="2"/>
          <tpl fld="17" item="0"/>
        </tpls>
      </n>
      <n v="824350">
        <tpls c="7">
          <tpl fld="3" item="1"/>
          <tpl fld="16" item="3"/>
          <tpl hier="31" item="1"/>
          <tpl fld="9" item="41"/>
          <tpl fld="12" item="3"/>
          <tpl hier="40" item="2"/>
          <tpl fld="17" item="0"/>
        </tpls>
      </n>
      <n v="83334">
        <tpls c="7">
          <tpl fld="3" item="1"/>
          <tpl fld="16" item="0"/>
          <tpl hier="31" item="1"/>
          <tpl fld="9" item="53"/>
          <tpl fld="12" item="2"/>
          <tpl hier="40" item="2"/>
          <tpl fld="17" item="0"/>
        </tpls>
      </n>
      <m>
        <tpls c="3">
          <tpl fld="6" item="6"/>
          <tpl fld="4" item="2"/>
          <tpl fld="17" item="1"/>
        </tpls>
      </m>
      <n v="292646501">
        <tpls c="5">
          <tpl fld="2" item="2"/>
          <tpl fld="0" item="2"/>
          <tpl fld="12" item="19"/>
          <tpl fld="1" item="1"/>
          <tpl fld="17" item="0"/>
        </tpls>
      </n>
      <n v="261141">
        <tpls c="6">
          <tpl fld="2" item="2"/>
          <tpl fld="0" item="2"/>
          <tpl fld="9" item="70"/>
          <tpl fld="12" item="8"/>
          <tpl fld="1" item="1"/>
          <tpl fld="17" item="0"/>
        </tpls>
      </n>
      <n v="2330815">
        <tpls c="6">
          <tpl fld="10" item="2"/>
          <tpl hier="31" item="1"/>
          <tpl fld="9" item="25"/>
          <tpl fld="8" item="0"/>
          <tpl hier="40" item="2"/>
          <tpl fld="17" item="0"/>
        </tpls>
      </n>
      <m>
        <tpls c="3">
          <tpl fld="6" item="1"/>
          <tpl fld="4" item="6"/>
          <tpl fld="17" item="1"/>
        </tpls>
      </m>
      <m>
        <tpls c="7">
          <tpl fld="3" item="1"/>
          <tpl fld="16" item="7"/>
          <tpl hier="31" item="1"/>
          <tpl fld="9" item="49"/>
          <tpl fld="12" item="3"/>
          <tpl hier="40" item="2"/>
          <tpl fld="17" item="0"/>
        </tpls>
      </m>
      <n v="-19831">
        <tpls c="7">
          <tpl fld="2" item="1"/>
          <tpl fld="16" item="10"/>
          <tpl fld="0" item="1"/>
          <tpl fld="9" item="66"/>
          <tpl fld="12" item="4"/>
          <tpl fld="1" item="1"/>
          <tpl fld="17" item="0"/>
        </tpls>
      </n>
      <n v="0">
        <tpls c="7">
          <tpl fld="2" item="1"/>
          <tpl fld="16" item="10"/>
          <tpl fld="0" item="1"/>
          <tpl fld="9" item="51"/>
          <tpl fld="12" item="7"/>
          <tpl fld="1" item="1"/>
          <tpl fld="17" item="0"/>
        </tpls>
      </n>
      <n v="3058669">
        <tpls c="6">
          <tpl fld="3" item="0"/>
          <tpl fld="16" item="9"/>
          <tpl hier="31" item="3"/>
          <tpl fld="12" item="9"/>
          <tpl hier="40" item="2"/>
          <tpl fld="17" item="0"/>
        </tpls>
      </n>
      <n v="-703936">
        <tpls c="7">
          <tpl fld="2" item="1"/>
          <tpl fld="16" item="7"/>
          <tpl fld="0" item="1"/>
          <tpl fld="9" item="28"/>
          <tpl fld="12" item="15"/>
          <tpl fld="1" item="1"/>
          <tpl fld="17" item="0"/>
        </tpls>
      </n>
      <n v="18323581">
        <tpls c="6">
          <tpl fld="2" item="1"/>
          <tpl fld="0" item="1"/>
          <tpl fld="9" item="18"/>
          <tpl fld="8" item="0"/>
          <tpl hier="40" item="2"/>
          <tpl fld="17" item="0"/>
        </tpls>
      </n>
      <n v="108386">
        <tpls c="7">
          <tpl fld="2" item="1"/>
          <tpl fld="16" item="7"/>
          <tpl fld="0" item="1"/>
          <tpl fld="9" item="71"/>
          <tpl fld="12" item="16"/>
          <tpl fld="1" item="1"/>
          <tpl fld="17" item="0"/>
        </tpls>
      </n>
      <n v="26117">
        <tpls c="7">
          <tpl fld="3" item="0"/>
          <tpl fld="16" item="10"/>
          <tpl hier="31" item="3"/>
          <tpl fld="9" item="21"/>
          <tpl fld="12" item="3"/>
          <tpl hier="40" item="2"/>
          <tpl fld="17" item="0"/>
        </tpls>
      </n>
      <n v="1260000" in="0">
        <tpls c="3">
          <tpl fld="6" item="2"/>
          <tpl fld="4" item="4"/>
          <tpl fld="17" item="1"/>
        </tpls>
      </n>
      <n v="3000">
        <tpls c="5">
          <tpl fld="10" item="3"/>
          <tpl hier="31" item="0"/>
          <tpl fld="12" item="22"/>
          <tpl hier="40" item="2"/>
          <tpl fld="17" item="0"/>
        </tpls>
      </n>
      <m>
        <tpls c="3">
          <tpl fld="7" item="1"/>
          <tpl fld="5" item="5"/>
          <tpl fld="17" item="1"/>
        </tpls>
      </m>
      <n v="626">
        <tpls c="7">
          <tpl fld="3" item="0"/>
          <tpl fld="16" item="6"/>
          <tpl hier="31" item="3"/>
          <tpl fld="9" item="6"/>
          <tpl fld="12" item="1"/>
          <tpl hier="40" item="2"/>
          <tpl fld="17" item="0"/>
        </tpls>
      </n>
      <n v="14095050">
        <tpls c="6">
          <tpl fld="2" item="3"/>
          <tpl fld="0" item="2"/>
          <tpl fld="9" item="30"/>
          <tpl fld="12" item="15"/>
          <tpl fld="1" item="1"/>
          <tpl fld="17" item="0"/>
        </tpls>
      </n>
      <n v="3438">
        <tpls c="7">
          <tpl fld="3" item="1"/>
          <tpl fld="16" item="1"/>
          <tpl hier="31" item="1"/>
          <tpl fld="9" item="10"/>
          <tpl fld="12" item="6"/>
          <tpl hier="40" item="2"/>
          <tpl fld="17" item="0"/>
        </tpls>
      </n>
      <n v="2047">
        <tpls c="7">
          <tpl fld="3" item="0"/>
          <tpl fld="16" item="1"/>
          <tpl hier="31" item="3"/>
          <tpl fld="9" item="20"/>
          <tpl fld="12" item="2"/>
          <tpl hier="40" item="2"/>
          <tpl fld="17" item="0"/>
        </tpls>
      </n>
      <n v="489500">
        <tpls c="6">
          <tpl fld="10" item="1"/>
          <tpl hier="31" item="0"/>
          <tpl fld="9" item="7"/>
          <tpl fld="12" item="3"/>
          <tpl hier="40" item="2"/>
          <tpl fld="17" item="0"/>
        </tpls>
      </n>
      <m>
        <tpls c="3">
          <tpl fld="6" item="6"/>
          <tpl fld="4" item="6"/>
          <tpl fld="17" item="1"/>
        </tpls>
      </m>
      <n v="0">
        <tpls c="7">
          <tpl fld="3" item="0"/>
          <tpl fld="16" item="7"/>
          <tpl hier="31" item="3"/>
          <tpl fld="9" item="35"/>
          <tpl fld="12" item="3"/>
          <tpl hier="40" item="2"/>
          <tpl fld="17" item="0"/>
        </tpls>
      </n>
      <n v="824350">
        <tpls c="7">
          <tpl fld="3" item="1"/>
          <tpl fld="16" item="11"/>
          <tpl hier="31" item="1"/>
          <tpl fld="9" item="41"/>
          <tpl fld="12" item="3"/>
          <tpl hier="40" item="2"/>
          <tpl fld="17" item="0"/>
        </tpls>
      </n>
      <n v="489500">
        <tpls c="6">
          <tpl fld="10" item="1"/>
          <tpl hier="31" item="1"/>
          <tpl fld="9" item="7"/>
          <tpl fld="8" item="1"/>
          <tpl hier="40" item="2"/>
          <tpl fld="17" item="0"/>
        </tpls>
      </n>
      <m>
        <tpls c="3">
          <tpl fld="6" item="9"/>
          <tpl fld="4" item="0"/>
          <tpl fld="17" item="1"/>
        </tpls>
      </m>
      <n v="1666667">
        <tpls c="7">
          <tpl fld="3" item="1"/>
          <tpl fld="16" item="8"/>
          <tpl hier="31" item="1"/>
          <tpl fld="9" item="18"/>
          <tpl fld="12" item="2"/>
          <tpl hier="40" item="2"/>
          <tpl fld="17" item="0"/>
        </tpls>
      </n>
      <n v="698534">
        <tpls c="7">
          <tpl fld="3" item="1"/>
          <tpl fld="16" item="9"/>
          <tpl hier="31" item="1"/>
          <tpl fld="9" item="25"/>
          <tpl fld="12" item="2"/>
          <tpl hier="40" item="2"/>
          <tpl fld="17" item="0"/>
        </tpls>
      </n>
      <m>
        <tpls c="3">
          <tpl fld="7" item="4"/>
          <tpl fld="5" item="0"/>
          <tpl fld="17" item="1"/>
        </tpls>
      </m>
      <m>
        <tpls c="6">
          <tpl fld="10" item="1"/>
          <tpl hier="31" item="1"/>
          <tpl fld="9" item="36"/>
          <tpl fld="8" item="1"/>
          <tpl hier="40" item="2"/>
          <tpl fld="17" item="0"/>
        </tpls>
      </m>
      <n v="1266187">
        <tpls c="7">
          <tpl fld="3" item="0"/>
          <tpl fld="16" item="7"/>
          <tpl hier="31" item="3"/>
          <tpl fld="9" item="5"/>
          <tpl fld="12" item="2"/>
          <tpl hier="40" item="2"/>
          <tpl fld="17" item="0"/>
        </tpls>
      </n>
      <m>
        <tpls c="3">
          <tpl fld="6" item="11"/>
          <tpl fld="4" item="5"/>
          <tpl fld="17" item="1"/>
        </tpls>
      </m>
      <n v="5388967">
        <tpls c="6">
          <tpl fld="10" item="1"/>
          <tpl hier="31" item="0"/>
          <tpl fld="9" item="15"/>
          <tpl fld="12" item="3"/>
          <tpl hier="40" item="2"/>
          <tpl fld="17" item="0"/>
        </tpls>
      </n>
      <n v="-392981">
        <tpls c="7">
          <tpl fld="2" item="1"/>
          <tpl fld="16" item="10"/>
          <tpl fld="0" item="1"/>
          <tpl fld="9" item="16"/>
          <tpl fld="12" item="11"/>
          <tpl fld="1" item="1"/>
          <tpl fld="17" item="0"/>
        </tpls>
      </n>
      <m>
        <tpls c="3">
          <tpl fld="6" item="15"/>
          <tpl fld="4" item="3"/>
          <tpl fld="17" item="1"/>
        </tpls>
      </m>
      <m>
        <tpls c="3">
          <tpl fld="4" item="3"/>
          <tpl fld="5" item="5"/>
          <tpl fld="17" item="1"/>
        </tpls>
      </m>
      <n v="0">
        <tpls c="7">
          <tpl fld="2" item="1"/>
          <tpl fld="16" item="0"/>
          <tpl fld="0" item="1"/>
          <tpl fld="9" item="62"/>
          <tpl fld="12" item="12"/>
          <tpl fld="1" item="1"/>
          <tpl fld="17" item="0"/>
        </tpls>
      </n>
      <n v="2180001">
        <tpls c="6">
          <tpl fld="10" item="2"/>
          <tpl hier="31" item="1"/>
          <tpl fld="9" item="9"/>
          <tpl fld="8" item="1"/>
          <tpl hier="40" item="2"/>
          <tpl fld="17" item="0"/>
        </tpls>
      </n>
      <n v="1295221">
        <tpls c="7">
          <tpl fld="3" item="1"/>
          <tpl fld="16" item="4"/>
          <tpl hier="31" item="1"/>
          <tpl fld="9" item="25"/>
          <tpl fld="12" item="2"/>
          <tpl hier="40" item="2"/>
          <tpl fld="17" item="0"/>
        </tpls>
      </n>
      <n v="938">
        <tpls c="7">
          <tpl fld="2" item="1"/>
          <tpl fld="16" item="7"/>
          <tpl fld="0" item="1"/>
          <tpl fld="9" item="70"/>
          <tpl fld="12" item="8"/>
          <tpl fld="1" item="1"/>
          <tpl fld="17" item="0"/>
        </tpls>
      </n>
      <n v="924091">
        <tpls c="7">
          <tpl fld="3" item="1"/>
          <tpl fld="16" item="7"/>
          <tpl hier="31" item="1"/>
          <tpl fld="9" item="25"/>
          <tpl fld="12" item="2"/>
          <tpl hier="40" item="2"/>
          <tpl fld="17" item="0"/>
        </tpls>
      </n>
      <n v="18000">
        <tpls c="7">
          <tpl fld="3" item="0"/>
          <tpl fld="16" item="1"/>
          <tpl hier="31" item="3"/>
          <tpl fld="9" item="35"/>
          <tpl fld="12" item="3"/>
          <tpl hier="40" item="2"/>
          <tpl fld="17" item="0"/>
        </tpls>
      </n>
      <n v="16419730">
        <tpls c="6">
          <tpl fld="3" item="0"/>
          <tpl fld="16" item="7"/>
          <tpl hier="31" item="3"/>
          <tpl fld="12" item="2"/>
          <tpl hier="40" item="2"/>
          <tpl fld="17" item="0"/>
        </tpls>
      </n>
      <n v="8088638">
        <tpls c="7">
          <tpl fld="2" item="1"/>
          <tpl fld="16" item="11"/>
          <tpl fld="0" item="1"/>
          <tpl fld="9" item="64"/>
          <tpl fld="12" item="17"/>
          <tpl fld="1" item="1"/>
          <tpl fld="17" item="0"/>
        </tpls>
      </n>
      <n v="18719810">
        <tpls c="7">
          <tpl fld="3" item="0"/>
          <tpl fld="16" item="6"/>
          <tpl hier="31" item="3"/>
          <tpl fld="9" item="45"/>
          <tpl fld="12" item="13"/>
          <tpl hier="40" item="2"/>
          <tpl fld="17" item="0"/>
        </tpls>
      </n>
      <n v="29500">
        <tpls c="3">
          <tpl fld="11" item="6"/>
          <tpl fld="15" item="1"/>
          <tpl fld="17" item="2"/>
        </tpls>
      </n>
      <n v="218448">
        <tpls c="3">
          <tpl fld="11" item="6"/>
          <tpl fld="15" item="3"/>
          <tpl fld="17" item="2"/>
        </tpls>
      </n>
      <n v="3765505">
        <tpls c="7">
          <tpl fld="2" item="1"/>
          <tpl fld="16" item="11"/>
          <tpl fld="0" item="1"/>
          <tpl fld="9" item="34"/>
          <tpl fld="12" item="17"/>
          <tpl fld="1" item="1"/>
          <tpl fld="17" item="0"/>
        </tpls>
      </n>
      <m>
        <tpls c="3">
          <tpl fld="4" item="1"/>
          <tpl fld="5" item="0"/>
          <tpl fld="17" item="1"/>
        </tpls>
      </m>
      <n v="38541998">
        <tpls c="5">
          <tpl fld="2" item="2"/>
          <tpl fld="0" item="2"/>
          <tpl fld="12" item="3"/>
          <tpl hier="40" item="2"/>
          <tpl fld="17" item="0"/>
        </tpls>
      </n>
      <n v="-630806">
        <tpls c="7">
          <tpl fld="2" item="1"/>
          <tpl fld="16" item="0"/>
          <tpl fld="0" item="1"/>
          <tpl fld="9" item="28"/>
          <tpl fld="12" item="15"/>
          <tpl fld="1" item="1"/>
          <tpl fld="17" item="0"/>
        </tpls>
      </n>
      <m>
        <tpls c="3">
          <tpl fld="6" item="4"/>
          <tpl fld="4" item="2"/>
          <tpl fld="17" item="1"/>
        </tpls>
      </m>
      <n v="35874428">
        <tpls c="5">
          <tpl fld="2" item="3"/>
          <tpl fld="0" item="2"/>
          <tpl fld="12" item="15"/>
          <tpl fld="1" item="1"/>
          <tpl fld="17" item="0"/>
        </tpls>
      </n>
      <n v="63564">
        <tpls c="6">
          <tpl fld="10" item="1"/>
          <tpl hier="31" item="1"/>
          <tpl fld="9" item="21"/>
          <tpl fld="8" item="1"/>
          <tpl hier="40" item="2"/>
          <tpl fld="17" item="0"/>
        </tpls>
      </n>
      <n v="-191355">
        <tpls c="7">
          <tpl fld="2" item="1"/>
          <tpl fld="16" item="0"/>
          <tpl fld="0" item="1"/>
          <tpl fld="9" item="64"/>
          <tpl fld="12" item="17"/>
          <tpl fld="1" item="1"/>
          <tpl fld="17" item="0"/>
        </tpls>
      </n>
      <n v="86079840">
        <tpls c="7">
          <tpl fld="2" item="1"/>
          <tpl fld="16" item="11"/>
          <tpl fld="0" item="1"/>
          <tpl fld="9" item="69"/>
          <tpl fld="12" item="10"/>
          <tpl fld="1" item="1"/>
          <tpl fld="17" item="0"/>
        </tpls>
      </n>
      <n v="900">
        <tpls c="7">
          <tpl fld="3" item="0"/>
          <tpl fld="16" item="2"/>
          <tpl hier="31" item="3"/>
          <tpl fld="9" item="20"/>
          <tpl fld="12" item="2"/>
          <tpl hier="40" item="2"/>
          <tpl fld="17" item="0"/>
        </tpls>
      </n>
      <n v="17974">
        <tpls c="7">
          <tpl fld="3" item="0"/>
          <tpl fld="16" item="9"/>
          <tpl hier="31" item="3"/>
          <tpl fld="9" item="20"/>
          <tpl fld="12" item="2"/>
          <tpl hier="40" item="2"/>
          <tpl fld="17" item="0"/>
        </tpls>
      </n>
      <n v="18210">
        <tpls c="6">
          <tpl fld="2" item="2"/>
          <tpl fld="0" item="2"/>
          <tpl fld="9" item="57"/>
          <tpl fld="12" item="8"/>
          <tpl fld="1" item="1"/>
          <tpl fld="17" item="0"/>
        </tpls>
      </n>
      <n v="575">
        <tpls c="6">
          <tpl fld="3" item="0"/>
          <tpl fld="16" item="9"/>
          <tpl hier="31" item="3"/>
          <tpl fld="12" item="22"/>
          <tpl hier="40" item="2"/>
          <tpl fld="17" item="0"/>
        </tpls>
      </n>
      <m>
        <tpls c="7">
          <tpl fld="3" item="1"/>
          <tpl fld="16" item="10"/>
          <tpl hier="31" item="1"/>
          <tpl fld="9" item="14"/>
          <tpl fld="12" item="3"/>
          <tpl hier="40" item="2"/>
          <tpl fld="17" item="0"/>
        </tpls>
      </m>
      <n v="0">
        <tpls c="7">
          <tpl fld="2" item="1"/>
          <tpl fld="16" item="9"/>
          <tpl fld="0" item="1"/>
          <tpl fld="9" item="73"/>
          <tpl fld="12" item="4"/>
          <tpl fld="1" item="1"/>
          <tpl fld="17" item="0"/>
        </tpls>
      </n>
      <n v="-477952">
        <tpls c="7">
          <tpl fld="2" item="1"/>
          <tpl fld="16" item="9"/>
          <tpl fld="0" item="1"/>
          <tpl fld="9" item="74"/>
          <tpl fld="12" item="17"/>
          <tpl fld="1" item="1"/>
          <tpl fld="17" item="0"/>
        </tpls>
      </n>
      <n v="0">
        <tpls c="7">
          <tpl fld="2" item="1"/>
          <tpl fld="16" item="2"/>
          <tpl fld="0" item="1"/>
          <tpl fld="9" item="50"/>
          <tpl fld="12" item="16"/>
          <tpl fld="1" item="1"/>
          <tpl fld="17" item="0"/>
        </tpls>
      </n>
      <n v="1768943">
        <tpls c="6">
          <tpl fld="10" item="0"/>
          <tpl hier="31" item="1"/>
          <tpl fld="9" item="38"/>
          <tpl fld="8" item="2"/>
          <tpl hier="40" item="2"/>
          <tpl fld="17" item="0"/>
        </tpls>
      </n>
      <n v="354054178">
        <tpls c="6">
          <tpl fld="3" item="0"/>
          <tpl hier="10" item="4294967295"/>
          <tpl hier="31" item="3"/>
          <tpl fld="12" item="2"/>
          <tpl hier="40" item="2"/>
          <tpl fld="17" item="0"/>
        </tpls>
      </n>
      <n v="726667">
        <tpls c="7">
          <tpl fld="3" item="1"/>
          <tpl fld="16" item="0"/>
          <tpl hier="31" item="1"/>
          <tpl fld="9" item="9"/>
          <tpl fld="12" item="6"/>
          <tpl hier="40" item="2"/>
          <tpl fld="17" item="0"/>
        </tpls>
      </n>
      <n v="0">
        <tpls c="7">
          <tpl fld="2" item="1"/>
          <tpl fld="16" item="9"/>
          <tpl fld="0" item="1"/>
          <tpl fld="9" item="26"/>
          <tpl fld="12" item="14"/>
          <tpl fld="1" item="1"/>
          <tpl fld="17" item="0"/>
        </tpls>
      </n>
      <n v="308605">
        <tpls c="6">
          <tpl fld="2" item="1"/>
          <tpl fld="0" item="1"/>
          <tpl fld="9" item="33"/>
          <tpl fld="8" item="1"/>
          <tpl hier="40" item="2"/>
          <tpl fld="17" item="0"/>
        </tpls>
      </n>
      <m>
        <tpls c="6">
          <tpl fld="10" item="2"/>
          <tpl hier="31" item="0"/>
          <tpl fld="9" item="6"/>
          <tpl fld="12" item="1"/>
          <tpl hier="40" item="2"/>
          <tpl fld="17" item="0"/>
        </tpls>
      </m>
      <n v="143505">
        <tpls c="7">
          <tpl fld="3" item="0"/>
          <tpl hier="10" item="4294967295"/>
          <tpl hier="31" item="3"/>
          <tpl fld="9" item="36"/>
          <tpl fld="12" item="3"/>
          <tpl hier="40" item="2"/>
          <tpl fld="17" item="0"/>
        </tpls>
      </n>
      <n v="62062">
        <tpls c="7">
          <tpl fld="3" item="0"/>
          <tpl fld="16" item="3"/>
          <tpl hier="31" item="3"/>
          <tpl fld="9" item="29"/>
          <tpl fld="12" item="2"/>
          <tpl hier="40" item="2"/>
          <tpl fld="17" item="0"/>
        </tpls>
      </n>
      <n v="0">
        <tpls c="7">
          <tpl fld="2" item="1"/>
          <tpl fld="16" item="5"/>
          <tpl fld="0" item="1"/>
          <tpl fld="9" item="69"/>
          <tpl fld="12" item="10"/>
          <tpl fld="1" item="1"/>
          <tpl fld="17" item="0"/>
        </tpls>
      </n>
      <n v="0">
        <tpls c="7">
          <tpl fld="2" item="1"/>
          <tpl fld="16" item="0"/>
          <tpl fld="0" item="1"/>
          <tpl fld="9" item="67"/>
          <tpl fld="12" item="16"/>
          <tpl fld="1" item="1"/>
          <tpl fld="17" item="0"/>
        </tpls>
      </n>
      <n v="1327515">
        <tpls c="7">
          <tpl fld="2" item="1"/>
          <tpl fld="16" item="1"/>
          <tpl fld="0" item="1"/>
          <tpl fld="9" item="28"/>
          <tpl fld="12" item="15"/>
          <tpl fld="1" item="1"/>
          <tpl fld="17" item="0"/>
        </tpls>
      </n>
      <m>
        <tpls c="7">
          <tpl fld="3" item="1"/>
          <tpl fld="16" item="8"/>
          <tpl hier="31" item="1"/>
          <tpl fld="9" item="1"/>
          <tpl fld="12" item="1"/>
          <tpl hier="40" item="2"/>
          <tpl fld="17" item="0"/>
        </tpls>
      </m>
      <n v="100000">
        <tpls c="6">
          <tpl fld="2" item="0"/>
          <tpl fld="0" item="0"/>
          <tpl fld="9" item="12"/>
          <tpl fld="12" item="5"/>
          <tpl hier="40" item="2"/>
          <tpl fld="17" item="0"/>
        </tpls>
      </n>
      <n v="872122">
        <tpls c="7">
          <tpl fld="2" item="1"/>
          <tpl fld="16" item="11"/>
          <tpl fld="0" item="1"/>
          <tpl fld="9" item="66"/>
          <tpl fld="12" item="4"/>
          <tpl fld="1" item="1"/>
          <tpl fld="17" item="0"/>
        </tpls>
      </n>
      <m>
        <tpls c="7">
          <tpl fld="3" item="1"/>
          <tpl fld="16" item="3"/>
          <tpl hier="31" item="1"/>
          <tpl fld="9" item="14"/>
          <tpl fld="12" item="3"/>
          <tpl hier="40" item="2"/>
          <tpl fld="17" item="0"/>
        </tpls>
      </m>
      <n v="254256">
        <tpls c="6">
          <tpl fld="2" item="0"/>
          <tpl fld="0" item="0"/>
          <tpl fld="9" item="21"/>
          <tpl fld="8" item="1"/>
          <tpl hier="40" item="2"/>
          <tpl fld="17" item="0"/>
        </tpls>
      </n>
      <n v="29500">
        <tpls c="3">
          <tpl fld="11" item="8"/>
          <tpl fld="15" item="1"/>
          <tpl fld="17" item="2"/>
        </tpls>
      </n>
      <n v="-1685">
        <tpls c="6">
          <tpl fld="2" item="1"/>
          <tpl fld="16" item="0"/>
          <tpl fld="0" item="1"/>
          <tpl fld="12" item="0"/>
          <tpl fld="1" item="1"/>
          <tpl fld="17" item="0"/>
        </tpls>
      </n>
      <n v="0">
        <tpls c="7">
          <tpl fld="2" item="1"/>
          <tpl fld="16" item="9"/>
          <tpl fld="0" item="1"/>
          <tpl fld="9" item="61"/>
          <tpl fld="12" item="0"/>
          <tpl fld="1" item="1"/>
          <tpl fld="17" item="0"/>
        </tpls>
      </n>
      <n v="684055">
        <tpls c="7">
          <tpl fld="2" item="1"/>
          <tpl hier="10" item="4294967295"/>
          <tpl fld="0" item="1"/>
          <tpl fld="9" item="47"/>
          <tpl fld="12" item="17"/>
          <tpl fld="1" item="1"/>
          <tpl fld="17" item="0"/>
        </tpls>
      </n>
      <n v="-191355">
        <tpls c="7">
          <tpl fld="2" item="1"/>
          <tpl fld="16" item="1"/>
          <tpl fld="0" item="1"/>
          <tpl fld="9" item="64"/>
          <tpl fld="12" item="17"/>
          <tpl fld="1" item="1"/>
          <tpl fld="17" item="0"/>
        </tpls>
      </n>
      <n v="75108">
        <tpls c="7">
          <tpl fld="3" item="1"/>
          <tpl fld="16" item="8"/>
          <tpl hier="31" item="1"/>
          <tpl fld="9" item="33"/>
          <tpl fld="12" item="6"/>
          <tpl hier="40" item="2"/>
          <tpl fld="17" item="0"/>
        </tpls>
      </n>
      <m>
        <tpls c="3">
          <tpl fld="6" item="1"/>
          <tpl fld="4" item="3"/>
          <tpl fld="17" item="1"/>
        </tpls>
      </m>
      <n v="2100">
        <tpls c="7">
          <tpl fld="3" item="0"/>
          <tpl fld="16" item="8"/>
          <tpl hier="31" item="3"/>
          <tpl fld="9" item="10"/>
          <tpl fld="12" item="6"/>
          <tpl hier="40" item="2"/>
          <tpl fld="17" item="0"/>
        </tpls>
      </n>
      <n v="10162536">
        <tpls c="6">
          <tpl fld="2" item="1"/>
          <tpl fld="0" item="1"/>
          <tpl fld="9" item="41"/>
          <tpl fld="12" item="3"/>
          <tpl hier="40" item="2"/>
          <tpl fld="17" item="0"/>
        </tpls>
      </n>
      <n v="202730">
        <tpls c="7">
          <tpl fld="2" item="1"/>
          <tpl fld="16" item="11"/>
          <tpl fld="0" item="1"/>
          <tpl fld="9" item="46"/>
          <tpl fld="12" item="0"/>
          <tpl fld="1" item="1"/>
          <tpl fld="17" item="0"/>
        </tpls>
      </n>
      <n v="-2427863">
        <tpls c="6">
          <tpl fld="2" item="1"/>
          <tpl fld="16" item="6"/>
          <tpl fld="0" item="1"/>
          <tpl fld="12" item="17"/>
          <tpl fld="1" item="1"/>
          <tpl fld="17" item="0"/>
        </tpls>
      </n>
      <n v="0">
        <tpls c="7">
          <tpl fld="2" item="1"/>
          <tpl fld="16" item="0"/>
          <tpl fld="0" item="1"/>
          <tpl fld="9" item="75"/>
          <tpl fld="12" item="21"/>
          <tpl fld="1" item="1"/>
          <tpl fld="17" item="0"/>
        </tpls>
      </n>
      <m>
        <tpls c="3">
          <tpl fld="7" item="0"/>
          <tpl fld="5" item="4"/>
          <tpl fld="17" item="1"/>
        </tpls>
      </m>
      <n v="507059">
        <tpls c="6">
          <tpl fld="2" item="2"/>
          <tpl fld="0" item="2"/>
          <tpl fld="9" item="73"/>
          <tpl fld="12" item="4"/>
          <tpl fld="1" item="1"/>
          <tpl fld="17" item="0"/>
        </tpls>
      </n>
      <n v="0">
        <tpls c="6">
          <tpl fld="2" item="1"/>
          <tpl fld="0" item="1"/>
          <tpl fld="9" item="37"/>
          <tpl fld="8" item="3"/>
          <tpl hier="40" item="2"/>
          <tpl fld="17" item="0"/>
        </tpls>
      </n>
      <n v="1038">
        <tpls c="7">
          <tpl fld="3" item="0"/>
          <tpl fld="16" item="0"/>
          <tpl hier="31" item="3"/>
          <tpl fld="9" item="6"/>
          <tpl fld="12" item="1"/>
          <tpl hier="40" item="2"/>
          <tpl fld="17" item="0"/>
        </tpls>
      </n>
      <n v="392981">
        <tpls c="7">
          <tpl fld="3" item="1"/>
          <tpl fld="16" item="2"/>
          <tpl hier="31" item="1"/>
          <tpl fld="9" item="38"/>
          <tpl fld="12" item="5"/>
          <tpl hier="40" item="2"/>
          <tpl fld="17" item="0"/>
        </tpls>
      </n>
      <n v="-1685">
        <tpls c="7">
          <tpl fld="2" item="1"/>
          <tpl fld="16" item="0"/>
          <tpl fld="0" item="1"/>
          <tpl fld="9" item="46"/>
          <tpl fld="12" item="0"/>
          <tpl fld="1" item="1"/>
          <tpl fld="17" item="0"/>
        </tpls>
      </n>
      <m>
        <tpls c="3">
          <tpl fld="7" item="4"/>
          <tpl fld="5" item="3"/>
          <tpl fld="17" item="1"/>
        </tpls>
      </m>
      <n v="0">
        <tpls c="7">
          <tpl fld="3" item="0"/>
          <tpl fld="16" item="9"/>
          <tpl hier="31" item="3"/>
          <tpl fld="9" item="2"/>
          <tpl fld="12" item="1"/>
          <tpl hier="40" item="2"/>
          <tpl fld="17" item="0"/>
        </tpls>
      </n>
      <n v="68511497">
        <tpls c="7">
          <tpl fld="3" item="0"/>
          <tpl fld="16" item="1"/>
          <tpl hier="31" item="3"/>
          <tpl fld="9" item="5"/>
          <tpl fld="12" item="2"/>
          <tpl hier="40" item="2"/>
          <tpl fld="17" item="0"/>
        </tpls>
      </n>
      <n v="33119444">
        <tpls c="7">
          <tpl fld="2" item="1"/>
          <tpl fld="16" item="10"/>
          <tpl fld="0" item="1"/>
          <tpl fld="9" item="28"/>
          <tpl fld="12" item="15"/>
          <tpl fld="1" item="1"/>
          <tpl fld="17" item="0"/>
        </tpls>
      </n>
      <n v="-183761">
        <tpls c="7">
          <tpl fld="2" item="1"/>
          <tpl fld="16" item="2"/>
          <tpl fld="0" item="1"/>
          <tpl fld="9" item="73"/>
          <tpl fld="12" item="4"/>
          <tpl fld="1" item="1"/>
          <tpl fld="17" item="0"/>
        </tpls>
      </n>
      <m>
        <tpls c="7">
          <tpl fld="3" item="0"/>
          <tpl hier="10" item="4294967295"/>
          <tpl hier="31" item="3"/>
          <tpl fld="9" item="27"/>
          <tpl fld="12" item="5"/>
          <tpl hier="40" item="2"/>
          <tpl fld="17" item="0"/>
        </tpls>
      </m>
      <n v="0">
        <tpls c="6">
          <tpl fld="2" item="2"/>
          <tpl fld="0" item="2"/>
          <tpl fld="9" item="62"/>
          <tpl fld="12" item="12"/>
          <tpl fld="1" item="1"/>
          <tpl fld="17" item="0"/>
        </tpls>
      </n>
      <n v="10302986">
        <tpls c="7">
          <tpl fld="3" item="1"/>
          <tpl fld="16" item="9"/>
          <tpl hier="31" item="1"/>
          <tpl fld="9" item="23"/>
          <tpl fld="12" item="2"/>
          <tpl hier="40" item="2"/>
          <tpl fld="17" item="0"/>
        </tpls>
      </n>
      <n v="4715772">
        <tpls c="6">
          <tpl fld="2" item="2"/>
          <tpl fld="0" item="2"/>
          <tpl fld="9" item="38"/>
          <tpl fld="12" item="5"/>
          <tpl hier="40" item="2"/>
          <tpl fld="17" item="0"/>
        </tpls>
      </n>
      <n v="0">
        <tpls c="7">
          <tpl fld="3" item="0"/>
          <tpl fld="16" item="7"/>
          <tpl hier="31" item="3"/>
          <tpl fld="9" item="12"/>
          <tpl fld="12" item="5"/>
          <tpl hier="40" item="2"/>
          <tpl fld="17" item="0"/>
        </tpls>
      </n>
      <n v="126859046">
        <tpls c="6">
          <tpl fld="2" item="3"/>
          <tpl fld="0" item="2"/>
          <tpl fld="9" item="75"/>
          <tpl fld="12" item="21"/>
          <tpl fld="1" item="1"/>
          <tpl fld="17" item="0"/>
        </tpls>
      </n>
      <n v="169350">
        <tpls c="7">
          <tpl fld="3" item="0"/>
          <tpl fld="16" item="7"/>
          <tpl hier="31" item="3"/>
          <tpl fld="9" item="31"/>
          <tpl fld="12" item="2"/>
          <tpl hier="40" item="2"/>
          <tpl fld="17" item="0"/>
        </tpls>
      </n>
      <m>
        <tpls c="3">
          <tpl fld="6" item="4"/>
          <tpl fld="4" item="8"/>
          <tpl fld="17" item="1"/>
        </tpls>
      </m>
      <n v="8239326">
        <tpls c="7">
          <tpl fld="3" item="0"/>
          <tpl fld="16" item="11"/>
          <tpl hier="31" item="3"/>
          <tpl fld="9" item="23"/>
          <tpl fld="12" item="2"/>
          <tpl hier="40" item="2"/>
          <tpl fld="17" item="0"/>
        </tpls>
      </n>
      <n v="0">
        <tpls c="5">
          <tpl fld="2" item="3"/>
          <tpl fld="0" item="2"/>
          <tpl fld="12" item="12"/>
          <tpl fld="1" item="1"/>
          <tpl fld="17" item="0"/>
        </tpls>
      </n>
      <n v="17500">
        <tpls c="7">
          <tpl fld="3" item="1"/>
          <tpl fld="16" item="4"/>
          <tpl hier="31" item="1"/>
          <tpl fld="9" item="17"/>
          <tpl fld="12" item="2"/>
          <tpl hier="40" item="2"/>
          <tpl fld="17" item="0"/>
        </tpls>
      </n>
      <m>
        <tpls c="6">
          <tpl fld="10" item="0"/>
          <tpl hier="31" item="1"/>
          <tpl fld="9" item="36"/>
          <tpl fld="8" item="1"/>
          <tpl hier="40" item="2"/>
          <tpl fld="17" item="0"/>
        </tpls>
      </m>
      <n v="0">
        <tpls c="7">
          <tpl fld="3" item="0"/>
          <tpl fld="16" item="9"/>
          <tpl hier="31" item="3"/>
          <tpl fld="9" item="1"/>
          <tpl fld="12" item="1"/>
          <tpl hier="40" item="2"/>
          <tpl fld="17" item="0"/>
        </tpls>
      </n>
      <n v="4400859">
        <tpls c="6">
          <tpl fld="3" item="1"/>
          <tpl fld="16" item="11"/>
          <tpl hier="31" item="1"/>
          <tpl fld="12" item="3"/>
          <tpl hier="40" item="2"/>
          <tpl fld="17" item="0"/>
        </tpls>
      </n>
      <n v="-191355">
        <tpls c="7">
          <tpl fld="2" item="1"/>
          <tpl fld="16" item="9"/>
          <tpl fld="0" item="1"/>
          <tpl fld="9" item="64"/>
          <tpl fld="12" item="17"/>
          <tpl fld="1" item="1"/>
          <tpl fld="17" item="0"/>
        </tpls>
      </n>
      <n v="0">
        <tpls c="7">
          <tpl fld="3" item="0"/>
          <tpl fld="16" item="11"/>
          <tpl hier="31" item="3"/>
          <tpl fld="9" item="35"/>
          <tpl fld="12" item="3"/>
          <tpl hier="40" item="2"/>
          <tpl fld="17" item="0"/>
        </tpls>
      </n>
      <n v="0">
        <tpls c="7">
          <tpl fld="3" item="0"/>
          <tpl fld="16" item="9"/>
          <tpl hier="31" item="3"/>
          <tpl fld="9" item="10"/>
          <tpl fld="12" item="6"/>
          <tpl hier="40" item="2"/>
          <tpl fld="17" item="0"/>
        </tpls>
      </n>
      <n v="7487524">
        <tpls c="7">
          <tpl fld="3" item="0"/>
          <tpl fld="16" item="10"/>
          <tpl hier="31" item="3"/>
          <tpl fld="9" item="23"/>
          <tpl fld="12" item="2"/>
          <tpl hier="40" item="2"/>
          <tpl fld="17" item="0"/>
        </tpls>
      </n>
      <n v="142046">
        <tpls c="7">
          <tpl fld="3" item="0"/>
          <tpl fld="16" item="9"/>
          <tpl hier="31" item="3"/>
          <tpl fld="9" item="31"/>
          <tpl fld="12" item="2"/>
          <tpl hier="40" item="2"/>
          <tpl fld="17" item="0"/>
        </tpls>
      </n>
      <n v="328443">
        <tpls c="6">
          <tpl fld="10" item="3"/>
          <tpl hier="31" item="1"/>
          <tpl fld="9" item="29"/>
          <tpl fld="8" item="0"/>
          <tpl hier="40" item="2"/>
          <tpl fld="17" item="0"/>
        </tpls>
      </n>
      <n v="15000">
        <tpls c="6">
          <tpl fld="10" item="0"/>
          <tpl hier="31" item="1"/>
          <tpl fld="9" item="44"/>
          <tpl fld="8" item="0"/>
          <tpl hier="40" item="2"/>
          <tpl fld="17" item="0"/>
        </tpls>
      </n>
      <n v="4134867">
        <tpls c="6">
          <tpl fld="3" item="0"/>
          <tpl fld="16" item="3"/>
          <tpl hier="31" item="3"/>
          <tpl fld="12" item="9"/>
          <tpl hier="40" item="2"/>
          <tpl fld="17" item="0"/>
        </tpls>
      </n>
      <n v="62775">
        <tpls c="7">
          <tpl fld="3" item="1"/>
          <tpl fld="16" item="9"/>
          <tpl hier="31" item="1"/>
          <tpl fld="9" item="29"/>
          <tpl fld="12" item="2"/>
          <tpl hier="40" item="2"/>
          <tpl fld="17" item="0"/>
        </tpls>
      </n>
      <n v="1680663">
        <tpls c="7">
          <tpl fld="2" item="1"/>
          <tpl fld="16" item="7"/>
          <tpl fld="0" item="1"/>
          <tpl fld="9" item="64"/>
          <tpl fld="12" item="17"/>
          <tpl fld="1" item="1"/>
          <tpl fld="17" item="0"/>
        </tpls>
      </n>
      <n v="146795">
        <tpls c="7">
          <tpl fld="3" item="0"/>
          <tpl fld="16" item="4"/>
          <tpl hier="31" item="3"/>
          <tpl fld="9" item="24"/>
          <tpl fld="12" item="6"/>
          <tpl hier="40" item="2"/>
          <tpl fld="17" item="0"/>
        </tpls>
      </n>
      <n v="-1583172">
        <tpls c="7">
          <tpl fld="2" item="1"/>
          <tpl fld="16" item="6"/>
          <tpl fld="0" item="1"/>
          <tpl fld="9" item="72"/>
          <tpl fld="12" item="17"/>
          <tpl fld="1" item="1"/>
          <tpl fld="17" item="0"/>
        </tpls>
      </n>
      <n v="-67814">
        <tpls c="6">
          <tpl fld="2" item="1"/>
          <tpl fld="16" item="2"/>
          <tpl fld="0" item="1"/>
          <tpl fld="12" item="0"/>
          <tpl fld="1" item="1"/>
          <tpl fld="17" item="0"/>
        </tpls>
      </n>
      <m>
        <tpls c="3">
          <tpl fld="6" item="15"/>
          <tpl fld="4" item="6"/>
          <tpl fld="17" item="1"/>
        </tpls>
      </m>
      <m>
        <tpls c="6">
          <tpl fld="10" item="1"/>
          <tpl hier="31" item="0"/>
          <tpl fld="9" item="1"/>
          <tpl fld="12" item="1"/>
          <tpl hier="40" item="2"/>
          <tpl fld="17" item="0"/>
        </tpls>
      </m>
      <n v="1000">
        <tpls c="6">
          <tpl fld="3" item="1"/>
          <tpl fld="16" item="8"/>
          <tpl hier="31" item="1"/>
          <tpl fld="12" item="22"/>
          <tpl hier="40" item="2"/>
          <tpl fld="17" item="0"/>
        </tpls>
      </n>
      <n v="36416605">
        <tpls c="7">
          <tpl fld="2" item="1"/>
          <tpl fld="16" item="11"/>
          <tpl fld="0" item="1"/>
          <tpl fld="9" item="30"/>
          <tpl fld="12" item="15"/>
          <tpl fld="1" item="1"/>
          <tpl fld="17" item="0"/>
        </tpls>
      </n>
      <n v="0">
        <tpls c="7">
          <tpl fld="3" item="0"/>
          <tpl fld="16" item="10"/>
          <tpl hier="31" item="3"/>
          <tpl fld="9" item="20"/>
          <tpl fld="12" item="2"/>
          <tpl hier="40" item="2"/>
          <tpl fld="17" item="0"/>
        </tpls>
      </n>
      <n v="13250229">
        <tpls c="7">
          <tpl fld="3" item="0"/>
          <tpl hier="10" item="4294967295"/>
          <tpl hier="31" item="3"/>
          <tpl fld="9" item="4"/>
          <tpl fld="12" item="3"/>
          <tpl hier="40" item="2"/>
          <tpl fld="17" item="0"/>
        </tpls>
      </n>
      <n v="145922832">
        <tpls c="6">
          <tpl fld="10" item="1"/>
          <tpl hier="31" item="0"/>
          <tpl fld="9" item="5"/>
          <tpl fld="12" item="2"/>
          <tpl hier="40" item="2"/>
          <tpl fld="17" item="0"/>
        </tpls>
      </n>
      <n v="2968">
        <tpls c="5">
          <tpl fld="2" item="2"/>
          <tpl fld="0" item="2"/>
          <tpl fld="12" item="22"/>
          <tpl hier="40" item="2"/>
          <tpl fld="17" item="0"/>
        </tpls>
      </n>
      <n v="234390">
        <tpls c="7">
          <tpl fld="3" item="1"/>
          <tpl fld="16" item="8"/>
          <tpl hier="31" item="1"/>
          <tpl fld="9" item="40"/>
          <tpl fld="12" item="3"/>
          <tpl hier="40" item="2"/>
          <tpl fld="17" item="0"/>
        </tpls>
      </n>
      <n v="924350">
        <tpls c="7">
          <tpl fld="3" item="1"/>
          <tpl fld="16" item="1"/>
          <tpl hier="31" item="1"/>
          <tpl fld="9" item="41"/>
          <tpl fld="12" item="3"/>
          <tpl hier="40" item="2"/>
          <tpl fld="17" item="0"/>
        </tpls>
      </n>
      <m>
        <tpls c="7">
          <tpl fld="3" item="1"/>
          <tpl fld="16" item="2"/>
          <tpl hier="31" item="1"/>
          <tpl fld="9" item="2"/>
          <tpl fld="12" item="1"/>
          <tpl hier="40" item="2"/>
          <tpl fld="17" item="0"/>
        </tpls>
      </m>
      <n v="0">
        <tpls c="7">
          <tpl fld="2" item="1"/>
          <tpl fld="16" item="10"/>
          <tpl fld="0" item="1"/>
          <tpl fld="9" item="55"/>
          <tpl fld="12" item="14"/>
          <tpl fld="1" item="1"/>
          <tpl fld="17" item="0"/>
        </tpls>
      </n>
      <n v="143762212">
        <tpls c="6">
          <tpl fld="2" item="0"/>
          <tpl fld="0" item="0"/>
          <tpl fld="9" item="23"/>
          <tpl fld="12" item="2"/>
          <tpl hier="40" item="2"/>
          <tpl fld="17" item="0"/>
        </tpls>
      </n>
      <n v="84192">
        <tpls c="7">
          <tpl fld="3" item="0"/>
          <tpl fld="16" item="0"/>
          <tpl hier="31" item="3"/>
          <tpl fld="9" item="53"/>
          <tpl fld="12" item="2"/>
          <tpl hier="40" item="2"/>
          <tpl fld="17" item="0"/>
        </tpls>
      </n>
      <n v="0">
        <tpls c="6">
          <tpl fld="2" item="1"/>
          <tpl fld="16" item="1"/>
          <tpl fld="0" item="1"/>
          <tpl fld="12" item="10"/>
          <tpl fld="1" item="1"/>
          <tpl fld="17" item="0"/>
        </tpls>
      </n>
      <n v="19227896">
        <tpls c="6">
          <tpl fld="2" item="0"/>
          <tpl fld="0" item="0"/>
          <tpl fld="9" item="15"/>
          <tpl fld="8" item="1"/>
          <tpl hier="40" item="2"/>
          <tpl fld="17" item="0"/>
        </tpls>
      </n>
      <n v="18903275">
        <tpls c="6">
          <tpl fld="3" item="0"/>
          <tpl fld="16" item="7"/>
          <tpl hier="31" item="3"/>
          <tpl fld="12" item="13"/>
          <tpl hier="40" item="2"/>
          <tpl fld="17" item="0"/>
        </tpls>
      </n>
      <n v="8724343">
        <tpls c="7">
          <tpl fld="3" item="0"/>
          <tpl fld="16" item="2"/>
          <tpl hier="31" item="3"/>
          <tpl fld="9" item="23"/>
          <tpl fld="12" item="2"/>
          <tpl hier="40" item="2"/>
          <tpl fld="17" item="0"/>
        </tpls>
      </n>
      <n v="-6040401">
        <tpls c="7">
          <tpl fld="2" item="1"/>
          <tpl fld="16" item="7"/>
          <tpl fld="0" item="1"/>
          <tpl fld="9" item="56"/>
          <tpl fld="12" item="8"/>
          <tpl fld="1" item="1"/>
          <tpl fld="17" item="0"/>
        </tpls>
      </n>
      <n v="18175602">
        <tpls c="7">
          <tpl fld="3" item="0"/>
          <tpl fld="16" item="8"/>
          <tpl hier="31" item="3"/>
          <tpl fld="9" item="45"/>
          <tpl fld="12" item="13"/>
          <tpl hier="40" item="2"/>
          <tpl fld="17" item="0"/>
        </tpls>
      </n>
      <n v="509520">
        <tpls c="6">
          <tpl fld="10" item="3"/>
          <tpl hier="31" item="0"/>
          <tpl fld="9" item="31"/>
          <tpl fld="12" item="2"/>
          <tpl hier="40" item="2"/>
          <tpl fld="17" item="0"/>
        </tpls>
      </n>
      <n v="10314">
        <tpls c="6">
          <tpl fld="10" item="2"/>
          <tpl hier="31" item="1"/>
          <tpl fld="9" item="10"/>
          <tpl fld="8" item="1"/>
          <tpl hier="40" item="2"/>
          <tpl fld="17" item="0"/>
        </tpls>
      </n>
      <n v="1994130">
        <tpls c="7">
          <tpl fld="3" item="0"/>
          <tpl fld="16" item="0"/>
          <tpl hier="31" item="3"/>
          <tpl fld="9" item="18"/>
          <tpl fld="12" item="2"/>
          <tpl hier="40" item="2"/>
          <tpl fld="17" item="0"/>
        </tpls>
      </n>
      <m>
        <tpls c="6">
          <tpl fld="2" item="0"/>
          <tpl fld="0" item="0"/>
          <tpl fld="9" item="27"/>
          <tpl fld="12" item="5"/>
          <tpl hier="40" item="2"/>
          <tpl fld="17" item="0"/>
        </tpls>
      </m>
      <n v="0">
        <tpls c="7">
          <tpl fld="2" item="1"/>
          <tpl hier="10" item="4294967295"/>
          <tpl fld="0" item="1"/>
          <tpl fld="9" item="62"/>
          <tpl fld="12" item="12"/>
          <tpl fld="1" item="1"/>
          <tpl fld="17" item="0"/>
        </tpls>
      </n>
      <n v="500">
        <tpls c="7">
          <tpl fld="3" item="1"/>
          <tpl fld="16" item="11"/>
          <tpl hier="31" item="1"/>
          <tpl fld="9" item="48"/>
          <tpl fld="12" item="22"/>
          <tpl hier="40" item="2"/>
          <tpl fld="17" item="0"/>
        </tpls>
      </n>
      <m>
        <tpls c="7">
          <tpl fld="3" item="1"/>
          <tpl fld="16" item="2"/>
          <tpl hier="31" item="1"/>
          <tpl fld="9" item="13"/>
          <tpl fld="12" item="3"/>
          <tpl hier="40" item="2"/>
          <tpl fld="17" item="0"/>
        </tpls>
      </m>
      <n v="83334">
        <tpls c="7">
          <tpl fld="3" item="1"/>
          <tpl fld="16" item="9"/>
          <tpl hier="31" item="1"/>
          <tpl fld="9" item="53"/>
          <tpl fld="12" item="2"/>
          <tpl hier="40" item="2"/>
          <tpl fld="17" item="0"/>
        </tpls>
      </n>
      <n v="163451">
        <tpls c="6">
          <tpl fld="2" item="2"/>
          <tpl fld="0" item="2"/>
          <tpl fld="9" item="33"/>
          <tpl fld="8" item="1"/>
          <tpl hier="40" item="2"/>
          <tpl fld="17" item="0"/>
        </tpls>
      </n>
      <n v="83334">
        <tpls c="7">
          <tpl fld="3" item="1"/>
          <tpl fld="16" item="2"/>
          <tpl hier="31" item="1"/>
          <tpl fld="9" item="53"/>
          <tpl fld="12" item="2"/>
          <tpl hier="40" item="2"/>
          <tpl fld="17" item="0"/>
        </tpls>
      </n>
      <n v="-45522">
        <tpls c="7">
          <tpl fld="2" item="1"/>
          <tpl fld="16" item="5"/>
          <tpl fld="0" item="1"/>
          <tpl fld="9" item="54"/>
          <tpl fld="12" item="16"/>
          <tpl fld="1" item="1"/>
          <tpl fld="17" item="0"/>
        </tpls>
      </n>
      <n v="41428384">
        <tpls c="6">
          <tpl fld="2" item="1"/>
          <tpl fld="0" item="1"/>
          <tpl fld="9" item="8"/>
          <tpl fld="8" item="1"/>
          <tpl hier="40" item="2"/>
          <tpl fld="17" item="0"/>
        </tpls>
      </n>
      <m>
        <tpls c="3">
          <tpl fld="6" item="16"/>
          <tpl fld="4" item="2"/>
          <tpl fld="17" item="1"/>
        </tpls>
      </m>
      <n v="28320">
        <tpls c="7">
          <tpl fld="3" item="1"/>
          <tpl fld="16" item="11"/>
          <tpl hier="31" item="1"/>
          <tpl fld="9" item="13"/>
          <tpl fld="12" item="3"/>
          <tpl hier="40" item="2"/>
          <tpl fld="17" item="0"/>
        </tpls>
      </n>
      <n v="0">
        <tpls c="7">
          <tpl fld="3" item="0"/>
          <tpl fld="16" item="9"/>
          <tpl hier="31" item="3"/>
          <tpl fld="9" item="33"/>
          <tpl fld="12" item="6"/>
          <tpl hier="40" item="2"/>
          <tpl fld="17" item="0"/>
        </tpls>
      </n>
      <n v="78091">
        <tpls c="7">
          <tpl fld="3" item="0"/>
          <tpl fld="16" item="4"/>
          <tpl hier="31" item="3"/>
          <tpl fld="9" item="52"/>
          <tpl fld="12" item="3"/>
          <tpl hier="40" item="2"/>
          <tpl fld="17" item="0"/>
        </tpls>
      </n>
      <n v="115794">
        <tpls c="7">
          <tpl fld="3" item="0"/>
          <tpl fld="16" item="3"/>
          <tpl hier="31" item="3"/>
          <tpl fld="9" item="52"/>
          <tpl fld="12" item="3"/>
          <tpl hier="40" item="2"/>
          <tpl fld="17" item="0"/>
        </tpls>
      </n>
      <n v="240424089">
        <tpls c="6">
          <tpl fld="2" item="0"/>
          <tpl fld="0" item="0"/>
          <tpl fld="9" item="45"/>
          <tpl fld="12" item="13"/>
          <tpl hier="40" item="2"/>
          <tpl fld="17" item="0"/>
        </tpls>
      </n>
      <n v="9560118">
        <tpls c="7">
          <tpl fld="3" item="1"/>
          <tpl fld="16" item="3"/>
          <tpl hier="31" item="1"/>
          <tpl fld="9" item="23"/>
          <tpl fld="12" item="2"/>
          <tpl hier="40" item="2"/>
          <tpl fld="17" item="0"/>
        </tpls>
      </n>
      <n v="234390">
        <tpls c="7">
          <tpl fld="3" item="1"/>
          <tpl fld="16" item="5"/>
          <tpl hier="31" item="1"/>
          <tpl fld="9" item="40"/>
          <tpl fld="12" item="3"/>
          <tpl hier="40" item="2"/>
          <tpl fld="17" item="0"/>
        </tpls>
      </n>
      <n v="991296">
        <tpls c="7">
          <tpl fld="3" item="1"/>
          <tpl hier="10" item="4294967295"/>
          <tpl hier="31" item="1"/>
          <tpl fld="9" item="33"/>
          <tpl fld="12" item="6"/>
          <tpl hier="40" item="2"/>
          <tpl fld="17" item="0"/>
        </tpls>
      </n>
      <n v="-41250">
        <tpls c="6">
          <tpl fld="2" item="1"/>
          <tpl fld="16" item="9"/>
          <tpl fld="0" item="1"/>
          <tpl fld="12" item="0"/>
          <tpl fld="1" item="1"/>
          <tpl fld="17" item="0"/>
        </tpls>
      </n>
      <n v="2254739">
        <tpls c="6">
          <tpl fld="2" item="1"/>
          <tpl fld="0" item="1"/>
          <tpl fld="9" item="24"/>
          <tpl fld="8" item="1"/>
          <tpl hier="40" item="2"/>
          <tpl fld="17" item="0"/>
        </tpls>
      </n>
      <n v="276199">
        <tpls c="7">
          <tpl fld="3" item="0"/>
          <tpl fld="16" item="4"/>
          <tpl hier="31" item="3"/>
          <tpl fld="9" item="40"/>
          <tpl fld="12" item="3"/>
          <tpl hier="40" item="2"/>
          <tpl fld="17" item="0"/>
        </tpls>
      </n>
      <n v="0">
        <tpls c="7">
          <tpl fld="2" item="1"/>
          <tpl fld="16" item="2"/>
          <tpl fld="0" item="1"/>
          <tpl fld="9" item="69"/>
          <tpl fld="12" item="10"/>
          <tpl fld="1" item="1"/>
          <tpl fld="17" item="0"/>
        </tpls>
      </n>
      <n v="3012199">
        <tpls c="6">
          <tpl fld="3" item="0"/>
          <tpl fld="16" item="8"/>
          <tpl hier="31" item="3"/>
          <tpl fld="12" item="9"/>
          <tpl hier="40" item="2"/>
          <tpl fld="17" item="0"/>
        </tpls>
      </n>
      <n v="234390">
        <tpls c="7">
          <tpl fld="3" item="1"/>
          <tpl fld="16" item="2"/>
          <tpl hier="31" item="1"/>
          <tpl fld="9" item="40"/>
          <tpl fld="12" item="3"/>
          <tpl hier="40" item="2"/>
          <tpl fld="17" item="0"/>
        </tpls>
      </n>
      <n v="0">
        <tpls c="7">
          <tpl fld="3" item="0"/>
          <tpl fld="16" item="0"/>
          <tpl hier="31" item="3"/>
          <tpl fld="9" item="14"/>
          <tpl fld="12" item="3"/>
          <tpl hier="40" item="2"/>
          <tpl fld="17" item="0"/>
        </tpls>
      </n>
      <n v="76162">
        <tpls c="7">
          <tpl fld="3" item="0"/>
          <tpl fld="16" item="2"/>
          <tpl hier="31" item="3"/>
          <tpl fld="9" item="52"/>
          <tpl fld="12" item="3"/>
          <tpl hier="40" item="2"/>
          <tpl fld="17" item="0"/>
        </tpls>
      </n>
      <m>
        <tpls c="3">
          <tpl fld="6" item="21"/>
          <tpl fld="4" item="1"/>
          <tpl fld="17" item="1"/>
        </tpls>
      </m>
      <n v="0">
        <tpls c="6">
          <tpl fld="2" item="3"/>
          <tpl fld="0" item="2"/>
          <tpl fld="9" item="62"/>
          <tpl fld="12" item="12"/>
          <tpl fld="1" item="1"/>
          <tpl fld="17" item="0"/>
        </tpls>
      </n>
      <n v="0">
        <tpls c="7">
          <tpl fld="3" item="1"/>
          <tpl fld="16" item="0"/>
          <tpl hier="31" item="1"/>
          <tpl fld="9" item="12"/>
          <tpl fld="12" item="5"/>
          <tpl hier="40" item="2"/>
          <tpl fld="17" item="0"/>
        </tpls>
      </n>
      <m>
        <tpls c="3">
          <tpl fld="6" item="6"/>
          <tpl fld="4" item="9"/>
          <tpl fld="17" item="1"/>
        </tpls>
      </m>
      <m>
        <tpls c="3">
          <tpl fld="6" item="15"/>
          <tpl fld="4" item="7"/>
          <tpl fld="17" item="1"/>
        </tpls>
      </m>
      <n v="17500">
        <tpls c="7">
          <tpl fld="3" item="1"/>
          <tpl fld="16" item="8"/>
          <tpl hier="31" item="1"/>
          <tpl fld="9" item="17"/>
          <tpl fld="12" item="2"/>
          <tpl hier="40" item="2"/>
          <tpl fld="17" item="0"/>
        </tpls>
      </n>
      <n v="102965817">
        <tpls c="6">
          <tpl fld="2" item="1"/>
          <tpl fld="16" item="11"/>
          <tpl fld="0" item="1"/>
          <tpl fld="12" item="11"/>
          <tpl fld="1" item="1"/>
          <tpl fld="17" item="0"/>
        </tpls>
      </n>
      <n v="4167">
        <tpls c="7">
          <tpl fld="3" item="1"/>
          <tpl fld="16" item="9"/>
          <tpl hier="31" item="1"/>
          <tpl fld="9" item="20"/>
          <tpl fld="12" item="2"/>
          <tpl hier="40" item="2"/>
          <tpl fld="17" item="0"/>
        </tpls>
      </n>
      <m>
        <tpls c="3">
          <tpl fld="6" item="0"/>
          <tpl fld="4" item="7"/>
          <tpl fld="17" item="1"/>
        </tpls>
      </m>
      <n v="-190381">
        <tpls c="7">
          <tpl fld="2" item="1"/>
          <tpl fld="16" item="9"/>
          <tpl fld="0" item="1"/>
          <tpl fld="9" item="66"/>
          <tpl fld="12" item="4"/>
          <tpl fld="1" item="1"/>
          <tpl fld="17" item="0"/>
        </tpls>
      </n>
      <m>
        <tpls c="3">
          <tpl fld="6" item="16"/>
          <tpl fld="4" item="3"/>
          <tpl fld="17" item="1"/>
        </tpls>
      </m>
      <n v="210000">
        <tpls c="7">
          <tpl fld="3" item="1"/>
          <tpl fld="16" item="3"/>
          <tpl hier="31" item="1"/>
          <tpl fld="9" item="35"/>
          <tpl fld="12" item="3"/>
          <tpl hier="40" item="2"/>
          <tpl fld="17" item="0"/>
        </tpls>
      </n>
      <m>
        <tpls c="7">
          <tpl fld="3" item="1"/>
          <tpl fld="16" item="7"/>
          <tpl hier="31" item="1"/>
          <tpl fld="9" item="1"/>
          <tpl fld="12" item="1"/>
          <tpl hier="40" item="2"/>
          <tpl fld="17" item="0"/>
        </tpls>
      </m>
      <n v="-477952">
        <tpls c="7">
          <tpl fld="2" item="1"/>
          <tpl fld="16" item="0"/>
          <tpl fld="0" item="1"/>
          <tpl fld="9" item="74"/>
          <tpl fld="12" item="17"/>
          <tpl fld="1" item="1"/>
          <tpl fld="17" item="0"/>
        </tpls>
      </n>
      <n v="0">
        <tpls c="7">
          <tpl fld="2" item="1"/>
          <tpl fld="16" item="5"/>
          <tpl fld="0" item="1"/>
          <tpl fld="9" item="68"/>
          <tpl fld="12" item="18"/>
          <tpl fld="1" item="1"/>
          <tpl fld="17" item="0"/>
        </tpls>
      </n>
      <n v="0">
        <tpls c="7">
          <tpl fld="2" item="1"/>
          <tpl fld="16" item="10"/>
          <tpl fld="0" item="1"/>
          <tpl fld="9" item="67"/>
          <tpl fld="12" item="16"/>
          <tpl fld="1" item="1"/>
          <tpl fld="17" item="0"/>
        </tpls>
      </n>
      <n v="-392981">
        <tpls c="6">
          <tpl fld="2" item="1"/>
          <tpl fld="16" item="6"/>
          <tpl fld="0" item="1"/>
          <tpl fld="12" item="11"/>
          <tpl fld="1" item="1"/>
          <tpl fld="17" item="0"/>
        </tpls>
      </n>
      <m>
        <tpls c="3">
          <tpl fld="7" item="6"/>
          <tpl fld="5" item="5"/>
          <tpl fld="17" item="1"/>
        </tpls>
      </m>
      <n v="328443">
        <tpls c="6">
          <tpl fld="10" item="3"/>
          <tpl hier="31" item="0"/>
          <tpl fld="9" item="29"/>
          <tpl fld="12" item="2"/>
          <tpl hier="40" item="2"/>
          <tpl fld="17" item="0"/>
        </tpls>
      </n>
      <n v="11727001">
        <tpls c="7">
          <tpl fld="3" item="0"/>
          <tpl fld="16" item="9"/>
          <tpl hier="31" item="3"/>
          <tpl fld="9" item="23"/>
          <tpl fld="12" item="2"/>
          <tpl hier="40" item="2"/>
          <tpl fld="17" item="0"/>
        </tpls>
      </n>
      <n v="9038421">
        <tpls c="7">
          <tpl fld="2" item="1"/>
          <tpl hier="10" item="4294967295"/>
          <tpl fld="0" item="1"/>
          <tpl fld="9" item="64"/>
          <tpl fld="12" item="17"/>
          <tpl fld="1" item="1"/>
          <tpl fld="17" item="0"/>
        </tpls>
      </n>
      <n v="0">
        <tpls c="6">
          <tpl fld="2" item="2"/>
          <tpl fld="0" item="2"/>
          <tpl fld="9" item="51"/>
          <tpl fld="12" item="7"/>
          <tpl fld="1" item="1"/>
          <tpl fld="17" item="0"/>
        </tpls>
      </n>
      <m>
        <tpls c="7">
          <tpl fld="3" item="1"/>
          <tpl fld="16" item="11"/>
          <tpl hier="31" item="1"/>
          <tpl fld="9" item="49"/>
          <tpl fld="12" item="3"/>
          <tpl hier="40" item="2"/>
          <tpl fld="17" item="0"/>
        </tpls>
      </m>
      <n v="4459981">
        <tpls c="6">
          <tpl fld="10" item="3"/>
          <tpl hier="31" item="0"/>
          <tpl fld="9" item="15"/>
          <tpl fld="12" item="3"/>
          <tpl hier="40" item="2"/>
          <tpl fld="17" item="0"/>
        </tpls>
      </n>
      <n v="1915000">
        <tpls c="6">
          <tpl fld="2" item="0"/>
          <tpl fld="0" item="0"/>
          <tpl fld="9" item="35"/>
          <tpl fld="8" item="1"/>
          <tpl hier="40" item="2"/>
          <tpl fld="17" item="0"/>
        </tpls>
      </n>
      <n v="1313122">
        <tpls c="7">
          <tpl fld="3" item="1"/>
          <tpl fld="16" item="7"/>
          <tpl hier="31" item="1"/>
          <tpl fld="9" item="4"/>
          <tpl fld="12" item="3"/>
          <tpl hier="40" item="2"/>
          <tpl fld="17" item="0"/>
        </tpls>
      </n>
      <n v="-1471449">
        <tpls c="6">
          <tpl fld="2" item="1"/>
          <tpl fld="16" item="2"/>
          <tpl fld="0" item="1"/>
          <tpl fld="12" item="17"/>
          <tpl fld="1" item="1"/>
          <tpl fld="17" item="0"/>
        </tpls>
      </n>
      <n v="0">
        <tpls c="6">
          <tpl fld="2" item="1"/>
          <tpl fld="16" item="10"/>
          <tpl fld="0" item="1"/>
          <tpl fld="12" item="19"/>
          <tpl fld="1" item="1"/>
          <tpl fld="17" item="0"/>
        </tpls>
      </n>
      <n v="143762212">
        <tpls c="7">
          <tpl fld="3" item="1"/>
          <tpl hier="10" item="4294967295"/>
          <tpl hier="31" item="1"/>
          <tpl fld="9" item="23"/>
          <tpl fld="12" item="2"/>
          <tpl hier="40" item="2"/>
          <tpl fld="17" item="0"/>
        </tpls>
      </n>
      <n v="57330058">
        <tpls c="6">
          <tpl fld="2" item="2"/>
          <tpl fld="0" item="2"/>
          <tpl fld="9" item="72"/>
          <tpl fld="12" item="17"/>
          <tpl fld="1" item="1"/>
          <tpl fld="17" item="0"/>
        </tpls>
      </n>
      <n v="3500000" in="0">
        <tpls c="3">
          <tpl fld="6" item="11"/>
          <tpl fld="4" item="1"/>
          <tpl fld="17" item="1"/>
        </tpls>
      </n>
      <n v="20000004">
        <tpls c="7">
          <tpl fld="3" item="1"/>
          <tpl hier="10" item="4294967295"/>
          <tpl hier="31" item="1"/>
          <tpl fld="9" item="18"/>
          <tpl fld="12" item="2"/>
          <tpl hier="40" item="2"/>
          <tpl fld="17" item="0"/>
        </tpls>
      </n>
      <m>
        <tpls c="6">
          <tpl fld="10" item="3"/>
          <tpl hier="31" item="1"/>
          <tpl fld="9" item="22"/>
          <tpl fld="8" item="0"/>
          <tpl hier="40" item="2"/>
          <tpl fld="17" item="0"/>
        </tpls>
      </m>
      <n v="75108">
        <tpls c="7">
          <tpl fld="3" item="1"/>
          <tpl fld="16" item="1"/>
          <tpl hier="31" item="1"/>
          <tpl fld="9" item="33"/>
          <tpl fld="12" item="6"/>
          <tpl hier="40" item="2"/>
          <tpl fld="17" item="0"/>
        </tpls>
      </n>
      <n v="80000">
        <tpls c="6">
          <tpl fld="10" item="0"/>
          <tpl hier="31" item="0"/>
          <tpl fld="9" item="2"/>
          <tpl fld="12" item="1"/>
          <tpl hier="40" item="2"/>
          <tpl fld="17" item="0"/>
        </tpls>
      </n>
      <n v="86079840">
        <tpls c="5">
          <tpl fld="2" item="3"/>
          <tpl fld="0" item="2"/>
          <tpl fld="12" item="10"/>
          <tpl fld="1" item="1"/>
          <tpl fld="17" item="0"/>
        </tpls>
      </n>
      <n v="0">
        <tpls c="7">
          <tpl fld="3" item="0"/>
          <tpl fld="16" item="1"/>
          <tpl hier="31" item="3"/>
          <tpl fld="9" item="32"/>
          <tpl fld="12" item="5"/>
          <tpl hier="40" item="2"/>
          <tpl fld="17" item="0"/>
        </tpls>
      </n>
      <n v="-28873">
        <tpls c="7">
          <tpl fld="2" item="1"/>
          <tpl fld="16" item="2"/>
          <tpl fld="0" item="1"/>
          <tpl fld="9" item="71"/>
          <tpl fld="12" item="16"/>
          <tpl fld="1" item="1"/>
          <tpl fld="17" item="0"/>
        </tpls>
      </n>
      <m>
        <tpls c="6">
          <tpl fld="10" item="0"/>
          <tpl hier="31" item="0"/>
          <tpl fld="9" item="27"/>
          <tpl fld="12" item="5"/>
          <tpl hier="40" item="2"/>
          <tpl fld="17" item="0"/>
        </tpls>
      </m>
      <n v="1151243">
        <tpls c="7">
          <tpl fld="3" item="1"/>
          <tpl fld="16" item="9"/>
          <tpl hier="31" item="1"/>
          <tpl fld="9" item="36"/>
          <tpl fld="12" item="3"/>
          <tpl hier="40" item="2"/>
          <tpl fld="17" item="0"/>
        </tpls>
      </n>
      <n v="292646501">
        <tpls c="6">
          <tpl fld="2" item="1"/>
          <tpl hier="10" item="4294967295"/>
          <tpl fld="0" item="1"/>
          <tpl fld="12" item="19"/>
          <tpl fld="1" item="1"/>
          <tpl fld="17" item="0"/>
        </tpls>
      </n>
      <n v="1500">
        <tpls c="6">
          <tpl fld="10" item="3"/>
          <tpl hier="31" item="0"/>
          <tpl fld="9" item="48"/>
          <tpl fld="12" item="22"/>
          <tpl hier="40" item="2"/>
          <tpl fld="17" item="0"/>
        </tpls>
      </n>
      <n v="600982143">
        <tpls c="6">
          <tpl fld="2" item="1"/>
          <tpl hier="10" item="4294967295"/>
          <tpl fld="0" item="1"/>
          <tpl fld="12" item="17"/>
          <tpl fld="1" item="1"/>
          <tpl fld="17" item="0"/>
        </tpls>
      </n>
      <n v="0">
        <tpls c="7">
          <tpl fld="2" item="1"/>
          <tpl fld="16" item="11"/>
          <tpl fld="0" item="1"/>
          <tpl fld="9" item="67"/>
          <tpl fld="12" item="16"/>
          <tpl fld="1" item="1"/>
          <tpl fld="17" item="0"/>
        </tpls>
      </n>
      <m>
        <tpls c="3">
          <tpl fld="4" item="7"/>
          <tpl fld="5" item="2"/>
          <tpl fld="17" item="1"/>
        </tpls>
      </m>
      <n v="2254739">
        <tpls c="6">
          <tpl fld="2" item="1"/>
          <tpl fld="0" item="1"/>
          <tpl fld="9" item="24"/>
          <tpl fld="12" item="6"/>
          <tpl hier="40" item="2"/>
          <tpl fld="17" item="0"/>
        </tpls>
      </n>
      <n v="3499998">
        <tpls c="6">
          <tpl fld="10" item="0"/>
          <tpl hier="31" item="1"/>
          <tpl fld="9" item="0"/>
          <tpl fld="8" item="0"/>
          <tpl hier="40" item="2"/>
          <tpl fld="17" item="0"/>
        </tpls>
      </n>
      <n v="25228">
        <tpls c="7">
          <tpl fld="3" item="0"/>
          <tpl fld="16" item="0"/>
          <tpl hier="31" item="3"/>
          <tpl fld="9" item="36"/>
          <tpl fld="12" item="3"/>
          <tpl hier="40" item="2"/>
          <tpl fld="17" item="0"/>
        </tpls>
      </n>
      <n v="26943">
        <tpls c="7">
          <tpl fld="3" item="0"/>
          <tpl fld="16" item="7"/>
          <tpl hier="31" item="3"/>
          <tpl fld="9" item="36"/>
          <tpl fld="12" item="3"/>
          <tpl hier="40" item="2"/>
          <tpl fld="17" item="0"/>
        </tpls>
      </n>
      <n v="-392981">
        <tpls c="7">
          <tpl fld="2" item="1"/>
          <tpl fld="16" item="9"/>
          <tpl fld="0" item="1"/>
          <tpl fld="9" item="16"/>
          <tpl fld="12" item="11"/>
          <tpl fld="1" item="1"/>
          <tpl fld="17" item="0"/>
        </tpls>
      </n>
      <n v="922368">
        <tpls c="7">
          <tpl fld="3" item="0"/>
          <tpl hier="10" item="4294967295"/>
          <tpl hier="31" item="3"/>
          <tpl fld="9" item="53"/>
          <tpl fld="12" item="2"/>
          <tpl hier="40" item="2"/>
          <tpl fld="17" item="0"/>
        </tpls>
      </n>
      <n v="0">
        <tpls c="6">
          <tpl fld="2" item="1"/>
          <tpl fld="16" item="9"/>
          <tpl fld="0" item="1"/>
          <tpl fld="12" item="14"/>
          <tpl fld="1" item="1"/>
          <tpl fld="17" item="0"/>
        </tpls>
      </n>
      <n v="144355">
        <tpls c="6">
          <tpl fld="2" item="3"/>
          <tpl fld="0" item="2"/>
          <tpl fld="9" item="46"/>
          <tpl fld="12" item="0"/>
          <tpl fld="1" item="1"/>
          <tpl fld="17" item="0"/>
        </tpls>
      </n>
      <n v="5000">
        <tpls c="7">
          <tpl fld="3" item="1"/>
          <tpl fld="16" item="8"/>
          <tpl hier="31" item="1"/>
          <tpl fld="9" item="44"/>
          <tpl fld="12" item="2"/>
          <tpl hier="40" item="2"/>
          <tpl fld="17" item="0"/>
        </tpls>
      </n>
      <n v="1000581">
        <tpls c="6">
          <tpl fld="2" item="2"/>
          <tpl fld="0" item="2"/>
          <tpl fld="9" item="53"/>
          <tpl fld="12" item="2"/>
          <tpl hier="40" item="2"/>
          <tpl fld="17" item="0"/>
        </tpls>
      </n>
      <n v="-10805867">
        <tpls c="7">
          <tpl fld="2" item="1"/>
          <tpl fld="16" item="6"/>
          <tpl fld="0" item="1"/>
          <tpl fld="9" item="56"/>
          <tpl fld="12" item="8"/>
          <tpl fld="1" item="1"/>
          <tpl fld="17" item="0"/>
        </tpls>
      </n>
      <n v="0">
        <tpls c="7">
          <tpl fld="3" item="0"/>
          <tpl fld="16" item="9"/>
          <tpl hier="31" item="3"/>
          <tpl fld="9" item="22"/>
          <tpl fld="12" item="2"/>
          <tpl hier="40" item="2"/>
          <tpl fld="17" item="0"/>
        </tpls>
      </n>
      <m>
        <tpls c="6">
          <tpl fld="10" item="1"/>
          <tpl hier="31" item="1"/>
          <tpl fld="9" item="32"/>
          <tpl fld="8" item="2"/>
          <tpl hier="40" item="2"/>
          <tpl fld="17" item="0"/>
        </tpls>
      </m>
      <n v="36788">
        <tpls c="7">
          <tpl fld="3" item="0"/>
          <tpl fld="16" item="8"/>
          <tpl hier="31" item="3"/>
          <tpl fld="9" item="13"/>
          <tpl fld="12" item="3"/>
          <tpl hier="40" item="2"/>
          <tpl fld="17" item="0"/>
        </tpls>
      </n>
      <n v="1962104">
        <tpls c="7">
          <tpl fld="3" item="0"/>
          <tpl fld="16" item="2"/>
          <tpl hier="31" item="3"/>
          <tpl fld="9" item="4"/>
          <tpl fld="12" item="3"/>
          <tpl hier="40" item="2"/>
          <tpl fld="17" item="0"/>
        </tpls>
      </n>
      <n v="0">
        <tpls c="7">
          <tpl fld="2" item="1"/>
          <tpl fld="16" item="9"/>
          <tpl fld="0" item="1"/>
          <tpl fld="9" item="30"/>
          <tpl fld="12" item="15"/>
          <tpl fld="1" item="1"/>
          <tpl fld="17" item="0"/>
        </tpls>
      </n>
      <n v="0">
        <tpls c="7">
          <tpl fld="2" item="1"/>
          <tpl fld="16" item="7"/>
          <tpl fld="0" item="1"/>
          <tpl fld="9" item="58"/>
          <tpl fld="12" item="19"/>
          <tpl fld="1" item="1"/>
          <tpl fld="17" item="0"/>
        </tpls>
      </n>
      <n v="487058">
        <tpls c="6">
          <tpl fld="2" item="1"/>
          <tpl fld="0" item="1"/>
          <tpl fld="9" item="7"/>
          <tpl fld="12" item="3"/>
          <tpl hier="40" item="2"/>
          <tpl fld="17" item="0"/>
        </tpls>
      </n>
      <n v="63564">
        <tpls c="6">
          <tpl fld="10" item="0"/>
          <tpl hier="31" item="1"/>
          <tpl fld="9" item="21"/>
          <tpl fld="8" item="1"/>
          <tpl hier="40" item="2"/>
          <tpl fld="17" item="0"/>
        </tpls>
      </n>
      <n v="23381660">
        <tpls c="6">
          <tpl fld="3" item="1"/>
          <tpl fld="16" item="11"/>
          <tpl hier="31" item="1"/>
          <tpl fld="12" item="2"/>
          <tpl hier="40" item="2"/>
          <tpl fld="17" item="0"/>
        </tpls>
      </n>
      <n v="5000001">
        <tpls c="6">
          <tpl fld="10" item="2"/>
          <tpl hier="31" item="0"/>
          <tpl fld="9" item="18"/>
          <tpl fld="12" item="2"/>
          <tpl hier="40" item="2"/>
          <tpl fld="17" item="0"/>
        </tpls>
      </n>
      <n v="406088">
        <tpls c="6">
          <tpl fld="2" item="2"/>
          <tpl fld="0" item="2"/>
          <tpl fld="9" item="35"/>
          <tpl fld="8" item="1"/>
          <tpl hier="40" item="2"/>
          <tpl fld="17" item="0"/>
        </tpls>
      </n>
      <n v="83500">
        <tpls c="7">
          <tpl fld="3" item="1"/>
          <tpl fld="16" item="2"/>
          <tpl hier="31" item="1"/>
          <tpl fld="9" item="52"/>
          <tpl fld="12" item="3"/>
          <tpl hier="40" item="2"/>
          <tpl fld="17" item="0"/>
        </tpls>
      </n>
      <m>
        <tpls c="3">
          <tpl fld="6" item="15"/>
          <tpl fld="4" item="2"/>
          <tpl fld="17" item="1"/>
        </tpls>
      </m>
      <n v="1061634">
        <tpls c="6">
          <tpl fld="3" item="1"/>
          <tpl fld="16" item="0"/>
          <tpl hier="31" item="1"/>
          <tpl fld="12" item="6"/>
          <tpl hier="40" item="2"/>
          <tpl fld="17" item="0"/>
        </tpls>
      </n>
      <n v="0">
        <tpls c="7">
          <tpl fld="2" item="1"/>
          <tpl fld="16" item="1"/>
          <tpl fld="0" item="1"/>
          <tpl fld="9" item="69"/>
          <tpl fld="12" item="10"/>
          <tpl fld="1" item="1"/>
          <tpl fld="17" item="0"/>
        </tpls>
      </n>
      <n v="-392981">
        <tpls c="6">
          <tpl fld="2" item="1"/>
          <tpl fld="16" item="2"/>
          <tpl fld="0" item="1"/>
          <tpl fld="12" item="11"/>
          <tpl fld="1" item="1"/>
          <tpl fld="17" item="0"/>
        </tpls>
      </n>
      <n v="-2427863">
        <tpls c="6">
          <tpl fld="2" item="1"/>
          <tpl fld="16" item="9"/>
          <tpl fld="0" item="1"/>
          <tpl fld="12" item="17"/>
          <tpl fld="1" item="1"/>
          <tpl fld="17" item="0"/>
        </tpls>
      </n>
      <n v="280875">
        <tpls c="6">
          <tpl fld="2" item="1"/>
          <tpl fld="0" item="1"/>
          <tpl fld="9" item="21"/>
          <tpl fld="8" item="1"/>
          <tpl hier="40" item="2"/>
          <tpl fld="17" item="0"/>
        </tpls>
      </n>
      <n v="392981">
        <tpls c="7">
          <tpl fld="3" item="0"/>
          <tpl fld="16" item="2"/>
          <tpl hier="31" item="3"/>
          <tpl fld="9" item="38"/>
          <tpl fld="12" item="5"/>
          <tpl hier="40" item="2"/>
          <tpl fld="17" item="0"/>
        </tpls>
      </n>
      <n v="0">
        <tpls c="7">
          <tpl fld="2" item="1"/>
          <tpl fld="16" item="5"/>
          <tpl fld="0" item="1"/>
          <tpl fld="9" item="55"/>
          <tpl fld="12" item="14"/>
          <tpl fld="1" item="1"/>
          <tpl fld="17" item="0"/>
        </tpls>
      </n>
      <n v="0">
        <tpls c="7">
          <tpl fld="2" item="1"/>
          <tpl fld="16" item="1"/>
          <tpl fld="0" item="1"/>
          <tpl fld="9" item="42"/>
          <tpl fld="12" item="17"/>
          <tpl fld="1" item="1"/>
          <tpl fld="17" item="0"/>
        </tpls>
      </n>
      <m>
        <tpls c="3">
          <tpl fld="6" item="7"/>
          <tpl fld="4" item="3"/>
          <tpl fld="17" item="1"/>
        </tpls>
      </m>
      <n v="15757464">
        <tpls c="6">
          <tpl fld="2" item="0"/>
          <tpl fld="0" item="0"/>
          <tpl fld="9" item="4"/>
          <tpl fld="12" item="3"/>
          <tpl hier="40" item="2"/>
          <tpl fld="17" item="0"/>
        </tpls>
      </n>
      <n v="1063">
        <tpls c="7">
          <tpl fld="3" item="0"/>
          <tpl fld="16" item="2"/>
          <tpl hier="31" item="3"/>
          <tpl fld="9" item="12"/>
          <tpl fld="12" item="5"/>
          <tpl hier="40" item="2"/>
          <tpl fld="17" item="0"/>
        </tpls>
      </n>
      <n v="99428988">
        <tpls c="7">
          <tpl fld="2" item="1"/>
          <tpl hier="10" item="4294967295"/>
          <tpl fld="0" item="1"/>
          <tpl fld="9" item="16"/>
          <tpl fld="12" item="11"/>
          <tpl fld="1" item="1"/>
          <tpl fld="17" item="0"/>
        </tpls>
      </n>
      <n v="4416">
        <tpls c="6">
          <tpl fld="2" item="1"/>
          <tpl fld="0" item="1"/>
          <tpl fld="9" item="6"/>
          <tpl fld="8" item="3"/>
          <tpl hier="40" item="2"/>
          <tpl fld="17" item="0"/>
        </tpls>
      </n>
      <n v="118000">
        <tpls c="7">
          <tpl fld="2" item="1"/>
          <tpl hier="10" item="4294967295"/>
          <tpl fld="0" item="1"/>
          <tpl fld="9" item="30"/>
          <tpl fld="12" item="15"/>
          <tpl fld="1" item="1"/>
          <tpl fld="17" item="0"/>
        </tpls>
      </n>
      <m>
        <tpls c="7">
          <tpl fld="3" item="1"/>
          <tpl fld="16" item="2"/>
          <tpl hier="31" item="1"/>
          <tpl fld="9" item="7"/>
          <tpl fld="12" item="3"/>
          <tpl hier="40" item="2"/>
          <tpl fld="17" item="0"/>
        </tpls>
      </m>
      <n v="0">
        <tpls c="7">
          <tpl fld="3" item="0"/>
          <tpl fld="16" item="10"/>
          <tpl hier="31" item="3"/>
          <tpl fld="9" item="32"/>
          <tpl fld="12" item="5"/>
          <tpl hier="40" item="2"/>
          <tpl fld="17" item="0"/>
        </tpls>
      </n>
      <n v="6336163">
        <tpls c="7">
          <tpl fld="2" item="1"/>
          <tpl fld="16" item="11"/>
          <tpl fld="0" item="1"/>
          <tpl fld="9" item="63"/>
          <tpl fld="12" item="16"/>
          <tpl fld="1" item="1"/>
          <tpl fld="17" item="0"/>
        </tpls>
      </n>
      <m>
        <tpls c="3">
          <tpl fld="6" item="10"/>
          <tpl fld="4" item="8"/>
          <tpl fld="17" item="1"/>
        </tpls>
      </m>
      <n v="280875">
        <tpls c="7">
          <tpl fld="3" item="0"/>
          <tpl hier="10" item="4294967295"/>
          <tpl hier="31" item="3"/>
          <tpl fld="9" item="21"/>
          <tpl fld="12" item="3"/>
          <tpl hier="40" item="2"/>
          <tpl fld="17" item="0"/>
        </tpls>
      </n>
      <m>
        <tpls c="7">
          <tpl fld="3" item="1"/>
          <tpl fld="16" item="7"/>
          <tpl hier="31" item="1"/>
          <tpl fld="9" item="2"/>
          <tpl fld="12" item="1"/>
          <tpl hier="40" item="2"/>
          <tpl fld="17" item="0"/>
        </tpls>
      </m>
      <n v="232">
        <tpls c="7">
          <tpl fld="3" item="0"/>
          <tpl fld="16" item="1"/>
          <tpl hier="31" item="3"/>
          <tpl fld="9" item="6"/>
          <tpl fld="12" item="1"/>
          <tpl hier="40" item="2"/>
          <tpl fld="17" item="0"/>
        </tpls>
      </n>
      <n v="106386">
        <tpls c="6">
          <tpl fld="2" item="1"/>
          <tpl fld="0" item="1"/>
          <tpl fld="9" item="44"/>
          <tpl fld="12" item="2"/>
          <tpl hier="40" item="2"/>
          <tpl fld="17" item="0"/>
        </tpls>
      </n>
      <n v="769263">
        <tpls c="6">
          <tpl fld="10" item="0"/>
          <tpl hier="31" item="1"/>
          <tpl fld="9" item="24"/>
          <tpl fld="8" item="1"/>
          <tpl hier="40" item="2"/>
          <tpl fld="17" item="0"/>
        </tpls>
      </n>
      <n v="14037">
        <tpls c="7">
          <tpl fld="3" item="0"/>
          <tpl fld="16" item="9"/>
          <tpl hier="31" item="3"/>
          <tpl fld="9" item="17"/>
          <tpl fld="12" item="2"/>
          <tpl hier="40" item="2"/>
          <tpl fld="17" item="0"/>
        </tpls>
      </n>
      <n v="177272">
        <tpls c="6">
          <tpl fld="2" item="1"/>
          <tpl fld="16" item="5"/>
          <tpl fld="0" item="1"/>
          <tpl fld="12" item="4"/>
          <tpl fld="1" item="1"/>
          <tpl fld="17" item="0"/>
        </tpls>
      </n>
      <n v="2500000" in="0">
        <tpls c="3">
          <tpl fld="6" item="20"/>
          <tpl fld="4" item="4"/>
          <tpl fld="17" item="1"/>
        </tpls>
      </n>
      <n v="4609568">
        <tpls c="6">
          <tpl fld="3" item="1"/>
          <tpl fld="16" item="0"/>
          <tpl hier="31" item="1"/>
          <tpl fld="12" item="9"/>
          <tpl hier="40" item="2"/>
          <tpl fld="17" item="0"/>
        </tpls>
      </n>
      <n v="12815233">
        <tpls c="7">
          <tpl fld="3" item="1"/>
          <tpl fld="16" item="1"/>
          <tpl hier="31" item="1"/>
          <tpl fld="9" item="23"/>
          <tpl fld="12" item="2"/>
          <tpl hier="40" item="2"/>
          <tpl fld="17" item="0"/>
        </tpls>
      </n>
      <m>
        <tpls c="3">
          <tpl fld="6" item="14"/>
          <tpl fld="4" item="2"/>
          <tpl fld="17" item="1"/>
        </tpls>
      </m>
      <n v="113610">
        <tpls c="6">
          <tpl fld="10" item="0"/>
          <tpl hier="31" item="0"/>
          <tpl fld="9" item="3"/>
          <tpl fld="12" item="2"/>
          <tpl hier="40" item="2"/>
          <tpl fld="17" item="0"/>
        </tpls>
      </n>
      <n v="0">
        <tpls c="7">
          <tpl fld="2" item="1"/>
          <tpl fld="16" item="7"/>
          <tpl fld="0" item="1"/>
          <tpl fld="9" item="68"/>
          <tpl fld="12" item="18"/>
          <tpl fld="1" item="1"/>
          <tpl fld="17" item="0"/>
        </tpls>
      </n>
      <n v="2299995">
        <tpls c="6">
          <tpl fld="2" item="0"/>
          <tpl fld="0" item="0"/>
          <tpl fld="9" item="31"/>
          <tpl fld="8" item="0"/>
          <tpl hier="40" item="2"/>
          <tpl fld="17" item="0"/>
        </tpls>
      </n>
      <n v="1659">
        <tpls c="7">
          <tpl fld="3" item="0"/>
          <tpl fld="16" item="11"/>
          <tpl hier="31" item="3"/>
          <tpl fld="9" item="6"/>
          <tpl fld="12" item="1"/>
          <tpl hier="40" item="2"/>
          <tpl fld="17" item="0"/>
        </tpls>
      </n>
      <n v="0">
        <tpls c="7">
          <tpl fld="2" item="1"/>
          <tpl fld="16" item="7"/>
          <tpl fld="0" item="1"/>
          <tpl fld="9" item="39"/>
          <tpl fld="12" item="0"/>
          <tpl fld="1" item="1"/>
          <tpl fld="17" item="0"/>
        </tpls>
      </n>
      <n v="0">
        <tpls c="7">
          <tpl fld="3" item="0"/>
          <tpl fld="16" item="7"/>
          <tpl hier="31" item="3"/>
          <tpl fld="9" item="10"/>
          <tpl fld="12" item="6"/>
          <tpl hier="40" item="2"/>
          <tpl fld="17" item="0"/>
        </tpls>
      </n>
      <n v="0">
        <tpls c="7">
          <tpl fld="3" item="1"/>
          <tpl fld="16" item="4"/>
          <tpl hier="31" item="1"/>
          <tpl fld="9" item="12"/>
          <tpl fld="12" item="5"/>
          <tpl hier="40" item="2"/>
          <tpl fld="17" item="0"/>
        </tpls>
      </n>
      <n v="-1528">
        <tpls c="7">
          <tpl fld="2" item="1"/>
          <tpl fld="16" item="0"/>
          <tpl fld="0" item="1"/>
          <tpl fld="9" item="47"/>
          <tpl fld="12" item="17"/>
          <tpl fld="1" item="1"/>
          <tpl fld="17" item="0"/>
        </tpls>
      </n>
      <n v="944973">
        <tpls c="6">
          <tpl fld="2" item="1"/>
          <tpl fld="0" item="1"/>
          <tpl fld="9" item="49"/>
          <tpl fld="8" item="1"/>
          <tpl hier="40" item="2"/>
          <tpl fld="17" item="0"/>
        </tpls>
      </n>
      <m>
        <tpls c="6">
          <tpl fld="2" item="0"/>
          <tpl fld="0" item="0"/>
          <tpl fld="9" item="60"/>
          <tpl fld="8" item="2"/>
          <tpl hier="40" item="2"/>
          <tpl fld="17" item="0"/>
        </tpls>
      </m>
      <n v="450131">
        <tpls c="6">
          <tpl fld="10" item="2"/>
          <tpl hier="31" item="1"/>
          <tpl fld="9" item="31"/>
          <tpl fld="8" item="0"/>
          <tpl hier="40" item="2"/>
          <tpl fld="17" item="0"/>
        </tpls>
      </n>
      <n v="3438">
        <tpls c="7">
          <tpl fld="3" item="1"/>
          <tpl fld="16" item="0"/>
          <tpl hier="31" item="1"/>
          <tpl fld="9" item="10"/>
          <tpl fld="12" item="6"/>
          <tpl hier="40" item="2"/>
          <tpl fld="17" item="0"/>
        </tpls>
      </n>
      <n v="3184902">
        <tpls c="5">
          <tpl fld="10" item="3"/>
          <tpl hier="31" item="0"/>
          <tpl fld="12" item="6"/>
          <tpl hier="40" item="2"/>
          <tpl fld="17" item="0"/>
        </tpls>
      </n>
      <n v="0">
        <tpls c="7">
          <tpl fld="2" item="1"/>
          <tpl fld="16" item="10"/>
          <tpl fld="0" item="1"/>
          <tpl fld="9" item="62"/>
          <tpl fld="12" item="12"/>
          <tpl fld="1" item="1"/>
          <tpl fld="17" item="0"/>
        </tpls>
      </n>
      <n v="0">
        <tpls c="7">
          <tpl fld="3" item="0"/>
          <tpl fld="16" item="9"/>
          <tpl hier="31" item="3"/>
          <tpl fld="9" item="14"/>
          <tpl fld="12" item="3"/>
          <tpl hier="40" item="2"/>
          <tpl fld="17" item="0"/>
        </tpls>
      </n>
      <n v="-392981">
        <tpls c="7">
          <tpl fld="2" item="1"/>
          <tpl fld="16" item="5"/>
          <tpl fld="0" item="1"/>
          <tpl fld="9" item="16"/>
          <tpl fld="12" item="11"/>
          <tpl fld="1" item="1"/>
          <tpl fld="17" item="0"/>
        </tpls>
      </n>
      <m>
        <tpls c="3">
          <tpl fld="7" item="1"/>
          <tpl fld="5" item="3"/>
          <tpl fld="17" item="1"/>
        </tpls>
      </m>
      <n v="406772">
        <tpls c="7">
          <tpl fld="2" item="1"/>
          <tpl fld="16" item="7"/>
          <tpl fld="0" item="1"/>
          <tpl fld="9" item="63"/>
          <tpl fld="12" item="16"/>
          <tpl fld="1" item="1"/>
          <tpl fld="17" item="0"/>
        </tpls>
      </n>
      <n v="0">
        <tpls c="7">
          <tpl fld="2" item="1"/>
          <tpl hier="10" item="4294967295"/>
          <tpl fld="0" item="1"/>
          <tpl fld="9" item="51"/>
          <tpl fld="12" item="7"/>
          <tpl fld="1" item="1"/>
          <tpl fld="17" item="0"/>
        </tpls>
      </n>
      <n v="0">
        <tpls c="6">
          <tpl fld="2" item="1"/>
          <tpl fld="16" item="1"/>
          <tpl fld="0" item="1"/>
          <tpl fld="12" item="21"/>
          <tpl fld="1" item="1"/>
          <tpl fld="17" item="0"/>
        </tpls>
      </n>
      <n v="52061299">
        <tpls c="7">
          <tpl fld="2" item="1"/>
          <tpl hier="10" item="4294967295"/>
          <tpl fld="0" item="1"/>
          <tpl fld="9" item="28"/>
          <tpl fld="12" item="15"/>
          <tpl fld="1" item="1"/>
          <tpl fld="17" item="0"/>
        </tpls>
      </n>
      <n v="0">
        <tpls c="6">
          <tpl fld="10" item="1"/>
          <tpl hier="31" item="1"/>
          <tpl fld="9" item="22"/>
          <tpl fld="8" item="0"/>
          <tpl hier="40" item="2"/>
          <tpl fld="17" item="0"/>
        </tpls>
      </n>
      <n v="80000">
        <tpls c="6">
          <tpl fld="10" item="0"/>
          <tpl hier="31" item="1"/>
          <tpl fld="9" item="2"/>
          <tpl fld="8" item="3"/>
          <tpl hier="40" item="2"/>
          <tpl fld="17" item="0"/>
        </tpls>
      </n>
      <n v="39708">
        <tpls c="6">
          <tpl fld="2" item="1"/>
          <tpl fld="16" item="10"/>
          <tpl fld="0" item="1"/>
          <tpl fld="12" item="4"/>
          <tpl fld="1" item="1"/>
          <tpl fld="17" item="0"/>
        </tpls>
      </n>
      <n v="16386903">
        <tpls c="6">
          <tpl fld="3" item="0"/>
          <tpl fld="16" item="4"/>
          <tpl hier="31" item="3"/>
          <tpl fld="12" item="2"/>
          <tpl hier="40" item="2"/>
          <tpl fld="17" item="0"/>
        </tpls>
      </n>
      <n v="1313122">
        <tpls c="7">
          <tpl fld="3" item="1"/>
          <tpl fld="16" item="11"/>
          <tpl hier="31" item="1"/>
          <tpl fld="9" item="4"/>
          <tpl fld="12" item="3"/>
          <tpl hier="40" item="2"/>
          <tpl fld="17" item="0"/>
        </tpls>
      </n>
      <n v="0">
        <tpls c="6">
          <tpl fld="2" item="1"/>
          <tpl fld="16" item="2"/>
          <tpl fld="0" item="1"/>
          <tpl fld="12" item="21"/>
          <tpl fld="1" item="1"/>
          <tpl fld="17" item="0"/>
        </tpls>
      </n>
      <n v="111109">
        <tpls c="7">
          <tpl fld="3" item="0"/>
          <tpl fld="16" item="2"/>
          <tpl hier="31" item="3"/>
          <tpl fld="9" item="40"/>
          <tpl fld="12" item="3"/>
          <tpl hier="40" item="2"/>
          <tpl fld="17" item="0"/>
        </tpls>
      </n>
      <n v="10674">
        <tpls c="7">
          <tpl fld="3" item="0"/>
          <tpl fld="16" item="11"/>
          <tpl hier="31" item="3"/>
          <tpl fld="9" item="17"/>
          <tpl fld="12" item="2"/>
          <tpl hier="40" item="2"/>
          <tpl fld="17" item="0"/>
        </tpls>
      </n>
      <m>
        <tpls c="6">
          <tpl fld="10" item="3"/>
          <tpl hier="31" item="1"/>
          <tpl fld="9" item="1"/>
          <tpl fld="8" item="3"/>
          <tpl hier="40" item="2"/>
          <tpl fld="17" item="0"/>
        </tpls>
      </m>
      <n v="7000">
        <tpls c="7">
          <tpl fld="3" item="0"/>
          <tpl fld="16" item="4"/>
          <tpl hier="31" item="3"/>
          <tpl fld="9" item="2"/>
          <tpl fld="12" item="1"/>
          <tpl hier="40" item="2"/>
          <tpl fld="17" item="0"/>
        </tpls>
      </n>
      <n v="-21088">
        <tpls c="7">
          <tpl fld="2" item="1"/>
          <tpl fld="16" item="7"/>
          <tpl fld="0" item="1"/>
          <tpl fld="9" item="73"/>
          <tpl fld="12" item="4"/>
          <tpl fld="1" item="1"/>
          <tpl fld="17" item="0"/>
        </tpls>
      </n>
      <n v="392981">
        <tpls c="7">
          <tpl fld="3" item="0"/>
          <tpl fld="16" item="5"/>
          <tpl hier="31" item="3"/>
          <tpl fld="9" item="38"/>
          <tpl fld="12" item="5"/>
          <tpl hier="40" item="2"/>
          <tpl fld="17" item="0"/>
        </tpls>
      </n>
      <n v="3199998">
        <tpls c="6">
          <tpl fld="10" item="2"/>
          <tpl hier="31" item="1"/>
          <tpl fld="9" item="0"/>
          <tpl fld="8" item="0"/>
          <tpl hier="40" item="2"/>
          <tpl fld="17" item="0"/>
        </tpls>
      </n>
      <n v="0">
        <tpls c="7">
          <tpl fld="2" item="1"/>
          <tpl fld="16" item="0"/>
          <tpl fld="0" item="1"/>
          <tpl fld="9" item="73"/>
          <tpl fld="12" item="4"/>
          <tpl fld="1" item="1"/>
          <tpl fld="17" item="0"/>
        </tpls>
      </n>
      <n v="0">
        <tpls c="6">
          <tpl fld="2" item="1"/>
          <tpl fld="16" item="7"/>
          <tpl fld="0" item="1"/>
          <tpl fld="12" item="7"/>
          <tpl fld="1" item="1"/>
          <tpl fld="17" item="0"/>
        </tpls>
      </n>
      <n v="1655996">
        <tpls c="7">
          <tpl fld="3" item="1"/>
          <tpl fld="16" item="11"/>
          <tpl hier="31" item="1"/>
          <tpl fld="9" item="25"/>
          <tpl fld="12" item="2"/>
          <tpl hier="40" item="2"/>
          <tpl fld="17" item="0"/>
        </tpls>
      </n>
      <n v="833">
        <tpls c="7">
          <tpl fld="3" item="1"/>
          <tpl fld="16" item="2"/>
          <tpl hier="31" item="1"/>
          <tpl fld="9" item="3"/>
          <tpl fld="12" item="2"/>
          <tpl hier="40" item="2"/>
          <tpl fld="17" item="0"/>
        </tpls>
      </n>
      <n v="381">
        <tpls c="6">
          <tpl fld="2" item="1"/>
          <tpl fld="0" item="1"/>
          <tpl fld="9" item="14"/>
          <tpl fld="8" item="3"/>
          <tpl hier="40" item="2"/>
          <tpl fld="17" item="0"/>
        </tpls>
      </n>
      <n v="0">
        <tpls c="7">
          <tpl fld="2" item="1"/>
          <tpl fld="16" item="10"/>
          <tpl fld="0" item="1"/>
          <tpl fld="9" item="73"/>
          <tpl fld="12" item="4"/>
          <tpl fld="1" item="1"/>
          <tpl fld="17" item="0"/>
        </tpls>
      </n>
      <m>
        <tpls c="3">
          <tpl fld="6" item="21"/>
          <tpl fld="4" item="8"/>
          <tpl fld="17" item="1"/>
        </tpls>
      </m>
      <n v="0">
        <tpls c="7">
          <tpl fld="3" item="0"/>
          <tpl fld="16" item="1"/>
          <tpl hier="31" item="3"/>
          <tpl fld="9" item="3"/>
          <tpl fld="12" item="2"/>
          <tpl hier="40" item="2"/>
          <tpl fld="17" item="0"/>
        </tpls>
      </n>
      <n v="0">
        <tpls c="7">
          <tpl fld="3" item="0"/>
          <tpl fld="16" item="9"/>
          <tpl hier="31" item="3"/>
          <tpl fld="9" item="11"/>
          <tpl fld="12" item="3"/>
          <tpl hier="40" item="2"/>
          <tpl fld="17" item="0"/>
        </tpls>
      </n>
      <n v="0">
        <tpls c="7">
          <tpl fld="2" item="1"/>
          <tpl fld="16" item="0"/>
          <tpl fld="0" item="1"/>
          <tpl fld="9" item="68"/>
          <tpl fld="12" item="18"/>
          <tpl fld="1" item="1"/>
          <tpl fld="17" item="0"/>
        </tpls>
      </n>
      <n v="0">
        <tpls c="7">
          <tpl fld="2" item="1"/>
          <tpl fld="16" item="10"/>
          <tpl fld="0" item="1"/>
          <tpl fld="9" item="75"/>
          <tpl fld="12" item="21"/>
          <tpl fld="1" item="1"/>
          <tpl fld="17" item="0"/>
        </tpls>
      </n>
      <n v="10950">
        <tpls c="7">
          <tpl fld="2" item="1"/>
          <tpl fld="16" item="10"/>
          <tpl fld="0" item="1"/>
          <tpl fld="9" item="70"/>
          <tpl fld="12" item="8"/>
          <tpl fld="1" item="1"/>
          <tpl fld="17" item="0"/>
        </tpls>
      </n>
      <n v="392981">
        <tpls c="6">
          <tpl fld="3" item="1"/>
          <tpl fld="16" item="10"/>
          <tpl hier="31" item="1"/>
          <tpl fld="12" item="5"/>
          <tpl hier="40" item="2"/>
          <tpl fld="17" item="0"/>
        </tpls>
      </n>
      <n v="4052877">
        <tpls c="6">
          <tpl fld="3" item="1"/>
          <tpl fld="16" item="10"/>
          <tpl hier="31" item="1"/>
          <tpl fld="12" item="3"/>
          <tpl hier="40" item="2"/>
          <tpl fld="17" item="0"/>
        </tpls>
      </n>
      <n v="0">
        <tpls c="6">
          <tpl fld="2" item="1"/>
          <tpl fld="16" item="7"/>
          <tpl fld="0" item="1"/>
          <tpl fld="12" item="18"/>
          <tpl fld="1" item="1"/>
          <tpl fld="17" item="0"/>
        </tpls>
      </n>
      <m>
        <tpls c="7">
          <tpl fld="3" item="0"/>
          <tpl fld="16" item="7"/>
          <tpl hier="31" item="3"/>
          <tpl fld="9" item="27"/>
          <tpl fld="12" item="5"/>
          <tpl hier="40" item="2"/>
          <tpl fld="17" item="0"/>
        </tpls>
      </m>
      <n v="1860">
        <tpls c="6">
          <tpl fld="3" item="0"/>
          <tpl fld="16" item="11"/>
          <tpl hier="31" item="3"/>
          <tpl fld="12" item="22"/>
          <tpl hier="40" item="2"/>
          <tpl fld="17" item="0"/>
        </tpls>
      </n>
      <n v="1172920">
        <tpls c="7">
          <tpl fld="3" item="1"/>
          <tpl hier="10" item="4294967295"/>
          <tpl hier="31" item="1"/>
          <tpl fld="9" item="13"/>
          <tpl fld="12" item="3"/>
          <tpl hier="40" item="2"/>
          <tpl fld="17" item="0"/>
        </tpls>
      </n>
      <n v="0">
        <tpls c="7">
          <tpl fld="2" item="1"/>
          <tpl fld="16" item="8"/>
          <tpl fld="0" item="1"/>
          <tpl fld="9" item="67"/>
          <tpl fld="12" item="16"/>
          <tpl fld="1" item="1"/>
          <tpl fld="17" item="0"/>
        </tpls>
      </n>
      <n v="83334">
        <tpls c="7">
          <tpl fld="3" item="1"/>
          <tpl fld="16" item="4"/>
          <tpl hier="31" item="1"/>
          <tpl fld="9" item="53"/>
          <tpl fld="12" item="2"/>
          <tpl hier="40" item="2"/>
          <tpl fld="17" item="0"/>
        </tpls>
      </n>
      <n v="4167">
        <tpls c="7">
          <tpl fld="3" item="1"/>
          <tpl fld="16" item="2"/>
          <tpl hier="31" item="1"/>
          <tpl fld="9" item="20"/>
          <tpl fld="12" item="2"/>
          <tpl hier="40" item="2"/>
          <tpl fld="17" item="0"/>
        </tpls>
      </n>
      <n v="0">
        <tpls c="6">
          <tpl fld="2" item="1"/>
          <tpl fld="16" item="5"/>
          <tpl fld="0" item="1"/>
          <tpl fld="12" item="21"/>
          <tpl fld="1" item="1"/>
          <tpl fld="17" item="0"/>
        </tpls>
      </n>
      <n v="58238">
        <tpls c="7">
          <tpl fld="3" item="0"/>
          <tpl fld="16" item="11"/>
          <tpl hier="31" item="3"/>
          <tpl fld="9" item="53"/>
          <tpl fld="12" item="2"/>
          <tpl hier="40" item="2"/>
          <tpl fld="17" item="0"/>
        </tpls>
      </n>
      <n v="0">
        <tpls c="6">
          <tpl fld="2" item="1"/>
          <tpl fld="16" item="0"/>
          <tpl fld="0" item="1"/>
          <tpl fld="12" item="14"/>
          <tpl fld="1" item="1"/>
          <tpl fld="17" item="0"/>
        </tpls>
      </n>
      <n v="935386">
        <tpls c="7">
          <tpl fld="3" item="0"/>
          <tpl fld="16" item="2"/>
          <tpl hier="31" item="3"/>
          <tpl fld="9" item="41"/>
          <tpl fld="12" item="3"/>
          <tpl hier="40" item="2"/>
          <tpl fld="17" item="0"/>
        </tpls>
      </n>
      <n v="57098365">
        <tpls c="6">
          <tpl fld="10" item="3"/>
          <tpl hier="31" item="1"/>
          <tpl fld="9" item="45"/>
          <tpl fld="8" item="1"/>
          <tpl hier="40" item="2"/>
          <tpl fld="17" item="0"/>
        </tpls>
      </n>
      <m>
        <tpls c="3">
          <tpl fld="6" item="16"/>
          <tpl fld="4" item="1"/>
          <tpl fld="17" item="1"/>
        </tpls>
      </m>
      <n v="0">
        <tpls c="7">
          <tpl fld="3" item="0"/>
          <tpl fld="16" item="5"/>
          <tpl hier="31" item="3"/>
          <tpl fld="9" item="2"/>
          <tpl fld="12" item="1"/>
          <tpl hier="40" item="2"/>
          <tpl fld="17" item="0"/>
        </tpls>
      </n>
      <n v="0">
        <tpls c="7">
          <tpl fld="2" item="1"/>
          <tpl hier="10" item="4294967295"/>
          <tpl fld="0" item="1"/>
          <tpl fld="9" item="68"/>
          <tpl fld="12" item="18"/>
          <tpl fld="1" item="1"/>
          <tpl fld="17" item="0"/>
        </tpls>
      </n>
      <n v="121393152">
        <tpls c="6">
          <tpl fld="2" item="1"/>
          <tpl fld="16" item="11"/>
          <tpl fld="0" item="1"/>
          <tpl fld="12" item="14"/>
          <tpl fld="1" item="1"/>
          <tpl fld="17" item="0"/>
        </tpls>
      </n>
      <n v="36100">
        <tpls c="7">
          <tpl fld="3" item="0"/>
          <tpl fld="16" item="3"/>
          <tpl hier="31" item="3"/>
          <tpl fld="9" item="35"/>
          <tpl fld="12" item="3"/>
          <tpl hier="40" item="2"/>
          <tpl fld="17" item="0"/>
        </tpls>
      </n>
      <n v="0">
        <tpls c="7">
          <tpl fld="3" item="0"/>
          <tpl fld="16" item="0"/>
          <tpl hier="31" item="3"/>
          <tpl fld="9" item="32"/>
          <tpl fld="12" item="5"/>
          <tpl hier="40" item="2"/>
          <tpl fld="17" item="0"/>
        </tpls>
      </n>
      <n v="1000000" in="0">
        <tpls c="3">
          <tpl fld="6" item="17"/>
          <tpl fld="4" item="4"/>
          <tpl fld="17" item="1"/>
        </tpls>
      </n>
      <n v="20007791">
        <tpls c="6">
          <tpl fld="3" item="1"/>
          <tpl fld="16" item="1"/>
          <tpl hier="31" item="1"/>
          <tpl fld="12" item="13"/>
          <tpl hier="40" item="2"/>
          <tpl fld="17" item="0"/>
        </tpls>
      </n>
      <n v="3984759">
        <tpls c="6">
          <tpl fld="3" item="0"/>
          <tpl fld="16" item="2"/>
          <tpl hier="31" item="3"/>
          <tpl fld="12" item="3"/>
          <tpl hier="40" item="2"/>
          <tpl fld="17" item="0"/>
        </tpls>
      </n>
      <n v="-590840">
        <tpls c="7">
          <tpl fld="2" item="1"/>
          <tpl fld="16" item="8"/>
          <tpl fld="0" item="1"/>
          <tpl fld="9" item="28"/>
          <tpl fld="12" item="15"/>
          <tpl fld="1" item="1"/>
          <tpl fld="17" item="0"/>
        </tpls>
      </n>
      <n v="21188">
        <tpls c="7">
          <tpl fld="3" item="1"/>
          <tpl fld="16" item="2"/>
          <tpl hier="31" item="1"/>
          <tpl fld="9" item="21"/>
          <tpl fld="12" item="3"/>
          <tpl hier="40" item="2"/>
          <tpl fld="17" item="0"/>
        </tpls>
      </n>
      <m>
        <tpls c="3">
          <tpl fld="6" item="20"/>
          <tpl fld="4" item="9"/>
          <tpl fld="17" item="1"/>
        </tpls>
      </m>
      <n v="15000">
        <tpls c="6">
          <tpl fld="10" item="1"/>
          <tpl hier="31" item="1"/>
          <tpl fld="9" item="44"/>
          <tpl fld="8" item="0"/>
          <tpl hier="40" item="2"/>
          <tpl fld="17" item="0"/>
        </tpls>
      </n>
      <n v="1151243">
        <tpls c="6">
          <tpl fld="10" item="2"/>
          <tpl hier="31" item="0"/>
          <tpl fld="9" item="36"/>
          <tpl fld="12" item="3"/>
          <tpl hier="40" item="2"/>
          <tpl fld="17" item="0"/>
        </tpls>
      </n>
      <n v="139623">
        <tpls c="6">
          <tpl fld="2" item="2"/>
          <tpl fld="0" item="2"/>
          <tpl fld="9" item="44"/>
          <tpl fld="12" item="2"/>
          <tpl hier="40" item="2"/>
          <tpl fld="17" item="0"/>
        </tpls>
      </n>
      <n v="184578">
        <tpls c="7">
          <tpl fld="3" item="0"/>
          <tpl fld="16" item="5"/>
          <tpl hier="31" item="3"/>
          <tpl fld="9" item="40"/>
          <tpl fld="12" item="3"/>
          <tpl hier="40" item="2"/>
          <tpl fld="17" item="0"/>
        </tpls>
      </n>
      <n v="256421">
        <tpls c="7">
          <tpl fld="3" item="1"/>
          <tpl fld="16" item="9"/>
          <tpl hier="31" item="1"/>
          <tpl fld="9" item="24"/>
          <tpl fld="12" item="6"/>
          <tpl hier="40" item="2"/>
          <tpl fld="17" item="0"/>
        </tpls>
      </n>
      <n v="0">
        <tpls c="7">
          <tpl fld="2" item="1"/>
          <tpl fld="16" item="11"/>
          <tpl fld="0" item="1"/>
          <tpl fld="9" item="68"/>
          <tpl fld="12" item="18"/>
          <tpl fld="1" item="1"/>
          <tpl fld="17" item="0"/>
        </tpls>
      </n>
      <n v="-132809">
        <tpls c="6">
          <tpl fld="2" item="1"/>
          <tpl fld="16" item="0"/>
          <tpl fld="0" item="1"/>
          <tpl fld="12" item="16"/>
          <tpl fld="1" item="1"/>
          <tpl fld="17" item="0"/>
        </tpls>
      </n>
      <n v="0">
        <tpls c="7">
          <tpl fld="3" item="0"/>
          <tpl fld="16" item="11"/>
          <tpl hier="31" item="3"/>
          <tpl fld="9" item="52"/>
          <tpl fld="12" item="3"/>
          <tpl hier="40" item="2"/>
          <tpl fld="17" item="0"/>
        </tpls>
      </n>
      <n v="12377895">
        <tpls c="7">
          <tpl fld="3" item="1"/>
          <tpl fld="16" item="8"/>
          <tpl hier="31" item="1"/>
          <tpl fld="9" item="23"/>
          <tpl fld="12" item="2"/>
          <tpl hier="40" item="2"/>
          <tpl fld="17" item="0"/>
        </tpls>
      </n>
      <n v="392981">
        <tpls c="7">
          <tpl fld="3" item="1"/>
          <tpl fld="16" item="11"/>
          <tpl hier="31" item="1"/>
          <tpl fld="9" item="38"/>
          <tpl fld="12" item="5"/>
          <tpl hier="40" item="2"/>
          <tpl fld="17" item="0"/>
        </tpls>
      </n>
      <n v="657048">
        <tpls c="6">
          <tpl fld="2" item="3"/>
          <tpl fld="0" item="2"/>
          <tpl fld="9" item="66"/>
          <tpl fld="12" item="4"/>
          <tpl fld="1" item="1"/>
          <tpl fld="17" item="0"/>
        </tpls>
      </n>
      <m>
        <tpls c="7">
          <tpl fld="3" item="1"/>
          <tpl fld="16" item="8"/>
          <tpl hier="31" item="1"/>
          <tpl fld="9" item="32"/>
          <tpl fld="12" item="5"/>
          <tpl hier="40" item="2"/>
          <tpl fld="17" item="0"/>
        </tpls>
      </m>
      <m>
        <tpls c="3">
          <tpl fld="4" item="7"/>
          <tpl fld="5" item="4"/>
          <tpl fld="17" item="1"/>
        </tpls>
      </m>
      <n v="3153335">
        <tpls c="6">
          <tpl fld="2" item="2"/>
          <tpl fld="0" item="2"/>
          <tpl fld="9" item="61"/>
          <tpl fld="12" item="0"/>
          <tpl fld="1" item="1"/>
          <tpl fld="17" item="0"/>
        </tpls>
      </n>
      <n v="41256">
        <tpls c="7">
          <tpl fld="3" item="1"/>
          <tpl hier="10" item="4294967295"/>
          <tpl hier="31" item="1"/>
          <tpl fld="9" item="10"/>
          <tpl fld="12" item="6"/>
          <tpl hier="40" item="2"/>
          <tpl fld="17" item="0"/>
        </tpls>
      </n>
      <m>
        <tpls c="7">
          <tpl fld="3" item="1"/>
          <tpl fld="16" item="5"/>
          <tpl hier="31" item="1"/>
          <tpl fld="9" item="1"/>
          <tpl fld="12" item="1"/>
          <tpl hier="40" item="2"/>
          <tpl fld="17" item="0"/>
        </tpls>
      </m>
      <n v="661278">
        <tpls c="7">
          <tpl fld="3" item="1"/>
          <tpl fld="16" item="10"/>
          <tpl hier="31" item="1"/>
          <tpl fld="9" item="25"/>
          <tpl fld="12" item="2"/>
          <tpl hier="40" item="2"/>
          <tpl fld="17" item="0"/>
        </tpls>
      </n>
      <n v="0">
        <tpls c="6">
          <tpl fld="2" item="1"/>
          <tpl fld="16" item="9"/>
          <tpl fld="0" item="1"/>
          <tpl fld="12" item="18"/>
          <tpl fld="1" item="1"/>
          <tpl fld="17" item="0"/>
        </tpls>
      </n>
      <m>
        <tpls c="7">
          <tpl fld="3" item="1"/>
          <tpl fld="16" item="5"/>
          <tpl hier="31" item="1"/>
          <tpl fld="9" item="13"/>
          <tpl fld="12" item="3"/>
          <tpl hier="40" item="2"/>
          <tpl fld="17" item="0"/>
        </tpls>
      </m>
      <n v="250002">
        <tpls c="6">
          <tpl fld="10" item="0"/>
          <tpl hier="31" item="1"/>
          <tpl fld="9" item="53"/>
          <tpl fld="8" item="0"/>
          <tpl hier="40" item="2"/>
          <tpl fld="17" item="0"/>
        </tpls>
      </n>
      <n v="-143">
        <tpls c="7">
          <tpl fld="2" item="1"/>
          <tpl fld="16" item="6"/>
          <tpl fld="0" item="1"/>
          <tpl fld="9" item="70"/>
          <tpl fld="12" item="8"/>
          <tpl fld="1" item="1"/>
          <tpl fld="17" item="0"/>
        </tpls>
      </n>
      <n v="7768506">
        <tpls c="6">
          <tpl fld="2" item="1"/>
          <tpl fld="0" item="1"/>
          <tpl fld="9" item="15"/>
          <tpl fld="8" item="1"/>
          <tpl hier="40" item="2"/>
          <tpl fld="17" item="0"/>
        </tpls>
      </n>
      <n v="0">
        <tpls c="7">
          <tpl fld="2" item="1"/>
          <tpl fld="16" item="8"/>
          <tpl fld="0" item="1"/>
          <tpl fld="9" item="59"/>
          <tpl fld="12" item="4"/>
          <tpl fld="1" item="1"/>
          <tpl fld="17" item="0"/>
        </tpls>
      </n>
      <n v="0">
        <tpls c="6">
          <tpl fld="2" item="1"/>
          <tpl hier="10" item="4294967295"/>
          <tpl fld="0" item="1"/>
          <tpl fld="12" item="7"/>
          <tpl fld="1" item="1"/>
          <tpl fld="17" item="0"/>
        </tpls>
      </n>
      <n v="833">
        <tpls c="7">
          <tpl fld="3" item="1"/>
          <tpl fld="16" item="11"/>
          <tpl hier="31" item="1"/>
          <tpl fld="9" item="3"/>
          <tpl fld="12" item="2"/>
          <tpl hier="40" item="2"/>
          <tpl fld="17" item="0"/>
        </tpls>
      </n>
      <n v="-49252">
        <tpls c="6">
          <tpl fld="2" item="1"/>
          <tpl fld="16" item="2"/>
          <tpl fld="0" item="1"/>
          <tpl fld="12" item="15"/>
          <tpl fld="1" item="1"/>
          <tpl fld="17" item="0"/>
        </tpls>
      </n>
      <n v="2330815">
        <tpls c="6">
          <tpl fld="10" item="2"/>
          <tpl hier="31" item="0"/>
          <tpl fld="9" item="25"/>
          <tpl fld="12" item="2"/>
          <tpl hier="40" item="2"/>
          <tpl fld="17" item="0"/>
        </tpls>
      </n>
      <n v="176956">
        <tpls c="7">
          <tpl fld="3" item="1"/>
          <tpl fld="16" item="7"/>
          <tpl hier="31" item="1"/>
          <tpl fld="9" item="31"/>
          <tpl fld="12" item="2"/>
          <tpl hier="40" item="2"/>
          <tpl fld="17" item="0"/>
        </tpls>
      </n>
      <n v="82665">
        <tpls c="7">
          <tpl fld="3" item="1"/>
          <tpl fld="16" item="3"/>
          <tpl hier="31" item="1"/>
          <tpl fld="9" item="29"/>
          <tpl fld="12" item="2"/>
          <tpl hier="40" item="2"/>
          <tpl fld="17" item="0"/>
        </tpls>
      </n>
      <m>
        <tpls c="7">
          <tpl fld="3" item="1"/>
          <tpl fld="16" item="4"/>
          <tpl hier="31" item="1"/>
          <tpl fld="9" item="14"/>
          <tpl fld="12" item="3"/>
          <tpl hier="40" item="2"/>
          <tpl fld="17" item="0"/>
        </tpls>
      </m>
      <n v="0">
        <tpls c="7">
          <tpl fld="2" item="1"/>
          <tpl fld="16" item="1"/>
          <tpl fld="0" item="1"/>
          <tpl fld="9" item="68"/>
          <tpl fld="12" item="18"/>
          <tpl fld="1" item="1"/>
          <tpl fld="17" item="0"/>
        </tpls>
      </n>
      <n v="0">
        <tpls c="7">
          <tpl fld="2" item="1"/>
          <tpl fld="16" item="9"/>
          <tpl fld="0" item="1"/>
          <tpl fld="9" item="68"/>
          <tpl fld="12" item="18"/>
          <tpl fld="1" item="1"/>
          <tpl fld="17" item="0"/>
        </tpls>
      </n>
      <n v="31">
        <tpls c="7">
          <tpl fld="2" item="1"/>
          <tpl hier="10" item="4294967295"/>
          <tpl fld="0" item="1"/>
          <tpl fld="9" item="59"/>
          <tpl fld="12" item="4"/>
          <tpl fld="1" item="1"/>
          <tpl fld="17" item="0"/>
        </tpls>
      </n>
      <n v="4240420">
        <tpls c="5">
          <tpl fld="2" item="2"/>
          <tpl fld="0" item="2"/>
          <tpl fld="12" item="0"/>
          <tpl fld="1" item="1"/>
          <tpl fld="17" item="0"/>
        </tpls>
      </n>
      <n v="0">
        <tpls c="7">
          <tpl fld="2" item="1"/>
          <tpl fld="16" item="7"/>
          <tpl fld="0" item="1"/>
          <tpl fld="9" item="67"/>
          <tpl fld="12" item="16"/>
          <tpl fld="1" item="1"/>
          <tpl fld="17" item="0"/>
        </tpls>
      </n>
      <n v="1560">
        <tpls c="7">
          <tpl fld="3" item="0"/>
          <tpl fld="16" item="5"/>
          <tpl hier="31" item="3"/>
          <tpl fld="9" item="35"/>
          <tpl fld="12" item="3"/>
          <tpl hier="40" item="2"/>
          <tpl fld="17" item="0"/>
        </tpls>
      </n>
      <n v="0">
        <tpls c="7">
          <tpl fld="3" item="0"/>
          <tpl fld="16" item="1"/>
          <tpl hier="31" item="3"/>
          <tpl fld="9" item="1"/>
          <tpl fld="12" item="1"/>
          <tpl hier="40" item="2"/>
          <tpl fld="17" item="0"/>
        </tpls>
      </n>
      <m>
        <tpls c="3">
          <tpl fld="6" item="10"/>
          <tpl fld="4" item="5"/>
          <tpl fld="17" item="1"/>
        </tpls>
      </m>
      <n v="24576493">
        <tpls c="7">
          <tpl fld="3" item="0"/>
          <tpl fld="16" item="10"/>
          <tpl hier="31" item="3"/>
          <tpl fld="9" item="45"/>
          <tpl fld="12" item="13"/>
          <tpl hier="40" item="2"/>
          <tpl fld="17" item="0"/>
        </tpls>
      </n>
      <m>
        <tpls c="7">
          <tpl fld="3" item="1"/>
          <tpl fld="16" item="3"/>
          <tpl hier="31" item="1"/>
          <tpl fld="9" item="22"/>
          <tpl fld="12" item="2"/>
          <tpl hier="40" item="2"/>
          <tpl fld="17" item="0"/>
        </tpls>
      </m>
      <n v="0">
        <tpls c="7">
          <tpl fld="2" item="1"/>
          <tpl fld="16" item="6"/>
          <tpl fld="0" item="1"/>
          <tpl fld="9" item="65"/>
          <tpl fld="12" item="14"/>
          <tpl fld="1" item="1"/>
          <tpl fld="17" item="0"/>
        </tpls>
      </n>
      <n v="-59536">
        <tpls c="7">
          <tpl fld="2" item="1"/>
          <tpl fld="16" item="0"/>
          <tpl fld="0" item="1"/>
          <tpl fld="9" item="59"/>
          <tpl fld="12" item="4"/>
          <tpl fld="1" item="1"/>
          <tpl fld="17" item="0"/>
        </tpls>
      </n>
      <n v="890875">
        <tpls c="7">
          <tpl fld="2" item="1"/>
          <tpl fld="16" item="11"/>
          <tpl fld="0" item="1"/>
          <tpl fld="9" item="39"/>
          <tpl fld="12" item="0"/>
          <tpl fld="1" item="1"/>
          <tpl fld="17" item="0"/>
        </tpls>
      </n>
      <n v="0">
        <tpls c="6">
          <tpl fld="2" item="1"/>
          <tpl fld="16" item="9"/>
          <tpl fld="0" item="1"/>
          <tpl fld="12" item="19"/>
          <tpl fld="1" item="1"/>
          <tpl fld="17" item="0"/>
        </tpls>
      </n>
      <m>
        <tpls c="7">
          <tpl fld="3" item="0"/>
          <tpl fld="16" item="0"/>
          <tpl hier="31" item="3"/>
          <tpl fld="9" item="27"/>
          <tpl fld="12" item="5"/>
          <tpl hier="40" item="2"/>
          <tpl fld="17" item="0"/>
        </tpls>
      </m>
      <n v="-173856">
        <tpls c="7">
          <tpl fld="2" item="1"/>
          <tpl fld="16" item="0"/>
          <tpl fld="0" item="1"/>
          <tpl fld="9" item="34"/>
          <tpl fld="12" item="17"/>
          <tpl fld="1" item="1"/>
          <tpl fld="17" item="0"/>
        </tpls>
      </n>
      <n v="1110003">
        <tpls c="7">
          <tpl fld="3" item="1"/>
          <tpl hier="10" item="4294967295"/>
          <tpl hier="31" item="1"/>
          <tpl fld="9" item="29"/>
          <tpl fld="12" item="2"/>
          <tpl hier="40" item="2"/>
          <tpl fld="17" item="0"/>
        </tpls>
      </n>
      <n v="392981">
        <tpls c="7">
          <tpl fld="3" item="1"/>
          <tpl fld="16" item="5"/>
          <tpl hier="31" item="1"/>
          <tpl fld="9" item="38"/>
          <tpl fld="12" item="5"/>
          <tpl hier="40" item="2"/>
          <tpl fld="17" item="0"/>
        </tpls>
      </n>
      <m>
        <tpls c="3">
          <tpl fld="4" item="6"/>
          <tpl fld="5" item="3"/>
          <tpl fld="17" item="1"/>
        </tpls>
      </m>
      <n v="1313122">
        <tpls c="7">
          <tpl fld="3" item="1"/>
          <tpl fld="16" item="1"/>
          <tpl hier="31" item="1"/>
          <tpl fld="9" item="4"/>
          <tpl fld="12" item="3"/>
          <tpl hier="40" item="2"/>
          <tpl fld="17" item="0"/>
        </tpls>
      </n>
      <n v="3153335">
        <tpls c="7">
          <tpl fld="2" item="1"/>
          <tpl hier="10" item="4294967295"/>
          <tpl fld="0" item="1"/>
          <tpl fld="9" item="61"/>
          <tpl fld="12" item="0"/>
          <tpl fld="1" item="1"/>
          <tpl fld="17" item="0"/>
        </tpls>
      </n>
      <n v="0">
        <tpls c="6">
          <tpl fld="2" item="1"/>
          <tpl fld="16" item="9"/>
          <tpl fld="0" item="1"/>
          <tpl fld="12" item="10"/>
          <tpl fld="1" item="1"/>
          <tpl fld="17" item="0"/>
        </tpls>
      </n>
      <n v="20864">
        <tpls c="7">
          <tpl fld="3" item="0"/>
          <tpl fld="16" item="6"/>
          <tpl hier="31" item="3"/>
          <tpl fld="9" item="17"/>
          <tpl fld="12" item="2"/>
          <tpl hier="40" item="2"/>
          <tpl fld="17" item="0"/>
        </tpls>
      </n>
      <n v="2254739">
        <tpls c="7">
          <tpl fld="3" item="0"/>
          <tpl hier="10" item="4294967295"/>
          <tpl hier="31" item="3"/>
          <tpl fld="9" item="24"/>
          <tpl fld="12" item="6"/>
          <tpl hier="40" item="2"/>
          <tpl fld="17" item="0"/>
        </tpls>
      </n>
      <n v="14705032">
        <tpls c="6">
          <tpl fld="3" item="1"/>
          <tpl fld="16" item="10"/>
          <tpl hier="31" item="1"/>
          <tpl fld="12" item="2"/>
          <tpl hier="40" item="2"/>
          <tpl fld="17" item="0"/>
        </tpls>
      </n>
      <n v="6000000" in="0">
        <tpls c="3">
          <tpl fld="4" item="1"/>
          <tpl fld="5" item="5"/>
          <tpl fld="17" item="1"/>
        </tpls>
      </n>
      <n v="179660">
        <tpls c="7">
          <tpl fld="3" item="0"/>
          <tpl fld="16" item="6"/>
          <tpl hier="31" item="3"/>
          <tpl fld="9" item="24"/>
          <tpl fld="12" item="6"/>
          <tpl hier="40" item="2"/>
          <tpl fld="17" item="0"/>
        </tpls>
      </n>
      <n v="3016326">
        <tpls c="6">
          <tpl fld="10" item="1"/>
          <tpl hier="31" item="1"/>
          <tpl fld="9" item="9"/>
          <tpl fld="8" item="1"/>
          <tpl hier="40" item="2"/>
          <tpl fld="17" item="0"/>
        </tpls>
      </n>
      <n v="991296">
        <tpls c="6">
          <tpl fld="2" item="0"/>
          <tpl fld="0" item="0"/>
          <tpl fld="9" item="33"/>
          <tpl fld="8" item="1"/>
          <tpl hier="40" item="2"/>
          <tpl fld="17" item="0"/>
        </tpls>
      </n>
      <n v="4584568">
        <tpls c="6">
          <tpl fld="3" item="1"/>
          <tpl fld="16" item="5"/>
          <tpl hier="31" item="1"/>
          <tpl fld="12" item="9"/>
          <tpl hier="40" item="2"/>
          <tpl fld="17" item="0"/>
        </tpls>
      </n>
      <n v="4302877">
        <tpls c="6">
          <tpl fld="3" item="1"/>
          <tpl fld="16" item="7"/>
          <tpl hier="31" item="1"/>
          <tpl fld="12" item="3"/>
          <tpl hier="40" item="2"/>
          <tpl fld="17" item="0"/>
        </tpls>
      </n>
      <m>
        <tpls c="6">
          <tpl fld="10" item="3"/>
          <tpl hier="31" item="0"/>
          <tpl fld="9" item="32"/>
          <tpl fld="12" item="5"/>
          <tpl hier="40" item="2"/>
          <tpl fld="17" item="0"/>
        </tpls>
      </m>
      <m>
        <tpls c="7">
          <tpl fld="3" item="1"/>
          <tpl fld="16" item="8"/>
          <tpl hier="31" item="1"/>
          <tpl fld="9" item="14"/>
          <tpl fld="12" item="3"/>
          <tpl hier="40" item="2"/>
          <tpl fld="17" item="0"/>
        </tpls>
      </m>
      <n v="0">
        <tpls c="7">
          <tpl fld="3" item="1"/>
          <tpl fld="16" item="9"/>
          <tpl hier="31" item="1"/>
          <tpl fld="9" item="12"/>
          <tpl fld="12" item="5"/>
          <tpl hier="40" item="2"/>
          <tpl fld="17" item="0"/>
        </tpls>
      </n>
      <n v="41428384">
        <tpls c="5">
          <tpl fld="2" item="1"/>
          <tpl fld="0" item="1"/>
          <tpl fld="12" item="9"/>
          <tpl hier="40" item="2"/>
          <tpl fld="17" item="0"/>
        </tpls>
      </n>
      <m>
        <tpls c="3">
          <tpl fld="6" item="10"/>
          <tpl fld="4" item="2"/>
          <tpl fld="17" item="1"/>
        </tpls>
      </m>
      <n v="5760282">
        <tpls c="6">
          <tpl fld="3" item="1"/>
          <tpl fld="16" item="9"/>
          <tpl hier="31" item="1"/>
          <tpl fld="12" item="3"/>
          <tpl hier="40" item="2"/>
          <tpl fld="17" item="0"/>
        </tpls>
      </n>
      <n v="0">
        <tpls c="7">
          <tpl fld="2" item="1"/>
          <tpl fld="16" item="0"/>
          <tpl fld="0" item="1"/>
          <tpl fld="9" item="55"/>
          <tpl fld="12" item="14"/>
          <tpl fld="1" item="1"/>
          <tpl fld="17" item="0"/>
        </tpls>
      </n>
      <n v="101180">
        <tpls c="7">
          <tpl fld="3" item="0"/>
          <tpl hier="10" item="4294967295"/>
          <tpl hier="31" item="3"/>
          <tpl fld="9" item="35"/>
          <tpl fld="12" item="3"/>
          <tpl hier="40" item="2"/>
          <tpl fld="17" item="0"/>
        </tpls>
      </n>
      <n v="0">
        <tpls c="7">
          <tpl fld="2" item="1"/>
          <tpl fld="16" item="7"/>
          <tpl fld="0" item="1"/>
          <tpl fld="9" item="42"/>
          <tpl fld="12" item="17"/>
          <tpl fld="1" item="1"/>
          <tpl fld="17" item="0"/>
        </tpls>
      </n>
      <m>
        <tpls c="3">
          <tpl fld="6" item="3"/>
          <tpl fld="4" item="9"/>
          <tpl fld="17" item="1"/>
        </tpls>
      </m>
      <n v="865764">
        <tpls c="7">
          <tpl fld="3" item="0"/>
          <tpl fld="16" item="2"/>
          <tpl hier="31" item="3"/>
          <tpl fld="9" item="25"/>
          <tpl fld="12" item="2"/>
          <tpl hier="40" item="2"/>
          <tpl fld="17" item="0"/>
        </tpls>
      </n>
      <n v="1260000" in="0">
        <tpls c="3">
          <tpl fld="4" item="4"/>
          <tpl fld="5" item="1"/>
          <tpl fld="17" item="1"/>
        </tpls>
      </n>
      <n v="0">
        <tpls c="6">
          <tpl fld="2" item="1"/>
          <tpl fld="16" item="0"/>
          <tpl fld="0" item="1"/>
          <tpl fld="12" item="18"/>
          <tpl fld="1" item="1"/>
          <tpl fld="17" item="0"/>
        </tpls>
      </n>
      <m>
        <tpls c="7">
          <tpl fld="3" item="0"/>
          <tpl fld="16" item="1"/>
          <tpl hier="31" item="3"/>
          <tpl fld="9" item="27"/>
          <tpl fld="12" item="5"/>
          <tpl hier="40" item="2"/>
          <tpl fld="17" item="0"/>
        </tpls>
      </m>
      <n v="2678">
        <tpls c="7">
          <tpl fld="3" item="0"/>
          <tpl fld="16" item="8"/>
          <tpl hier="31" item="3"/>
          <tpl fld="9" item="24"/>
          <tpl fld="12" item="6"/>
          <tpl hier="40" item="2"/>
          <tpl fld="17" item="0"/>
        </tpls>
      </n>
      <n v="0">
        <tpls c="6">
          <tpl fld="2" item="1"/>
          <tpl fld="16" item="1"/>
          <tpl fld="0" item="1"/>
          <tpl fld="12" item="18"/>
          <tpl fld="1" item="1"/>
          <tpl fld="17" item="0"/>
        </tpls>
      </n>
      <n v="5000">
        <tpls c="7">
          <tpl fld="3" item="1"/>
          <tpl fld="16" item="3"/>
          <tpl hier="31" item="1"/>
          <tpl fld="9" item="6"/>
          <tpl fld="12" item="1"/>
          <tpl hier="40" item="2"/>
          <tpl fld="17" item="0"/>
        </tpls>
      </n>
      <n v="608316917">
        <tpls c="5">
          <tpl fld="2" item="2"/>
          <tpl fld="0" item="2"/>
          <tpl fld="12" item="17"/>
          <tpl fld="1" item="1"/>
          <tpl fld="17" item="0"/>
        </tpls>
      </n>
      <n v="-477952">
        <tpls c="7">
          <tpl fld="2" item="1"/>
          <tpl fld="16" item="1"/>
          <tpl fld="0" item="1"/>
          <tpl fld="9" item="74"/>
          <tpl fld="12" item="17"/>
          <tpl fld="1" item="1"/>
          <tpl fld="17" item="0"/>
        </tpls>
      </n>
      <m>
        <tpls c="7">
          <tpl fld="3" item="1"/>
          <tpl fld="16" item="0"/>
          <tpl hier="31" item="1"/>
          <tpl fld="9" item="1"/>
          <tpl fld="12" item="1"/>
          <tpl hier="40" item="2"/>
          <tpl fld="17" item="0"/>
        </tpls>
      </m>
      <m>
        <tpls c="3">
          <tpl fld="6" item="17"/>
          <tpl fld="4" item="5"/>
          <tpl fld="17" item="1"/>
        </tpls>
      </m>
      <n v="11984543">
        <tpls c="7">
          <tpl fld="3" item="0"/>
          <tpl fld="16" item="1"/>
          <tpl hier="31" item="3"/>
          <tpl fld="9" item="23"/>
          <tpl fld="12" item="2"/>
          <tpl hier="40" item="2"/>
          <tpl fld="17" item="0"/>
        </tpls>
      </n>
      <n v="0">
        <tpls c="7">
          <tpl fld="2" item="1"/>
          <tpl fld="16" item="0"/>
          <tpl fld="0" item="1"/>
          <tpl fld="9" item="30"/>
          <tpl fld="12" item="15"/>
          <tpl fld="1" item="1"/>
          <tpl fld="17" item="0"/>
        </tpls>
      </n>
      <n v="3508677">
        <tpls c="5">
          <tpl fld="10" item="0"/>
          <tpl hier="31" item="0"/>
          <tpl fld="12" item="6"/>
          <tpl hier="40" item="2"/>
          <tpl fld="17" item="0"/>
        </tpls>
      </n>
      <n v="0">
        <tpls c="7">
          <tpl fld="3" item="0"/>
          <tpl fld="16" item="8"/>
          <tpl hier="31" item="3"/>
          <tpl fld="9" item="11"/>
          <tpl fld="12" item="3"/>
          <tpl hier="40" item="2"/>
          <tpl fld="17" item="0"/>
        </tpls>
      </n>
      <m>
        <tpls c="3">
          <tpl fld="6" item="14"/>
          <tpl fld="4" item="4"/>
          <tpl fld="17" item="1"/>
        </tpls>
      </m>
      <m>
        <tpls c="7">
          <tpl fld="3" item="1"/>
          <tpl fld="16" item="7"/>
          <tpl hier="31" item="1"/>
          <tpl fld="9" item="13"/>
          <tpl fld="12" item="3"/>
          <tpl hier="40" item="2"/>
          <tpl fld="17" item="0"/>
        </tpls>
      </m>
      <n v="5000">
        <tpls c="6">
          <tpl fld="2" item="0"/>
          <tpl fld="0" item="0"/>
          <tpl fld="9" item="6"/>
          <tpl fld="12" item="1"/>
          <tpl hier="40" item="2"/>
          <tpl fld="17" item="0"/>
        </tpls>
      </n>
      <n v="14309">
        <tpls c="6">
          <tpl fld="2" item="1"/>
          <tpl fld="0" item="1"/>
          <tpl fld="9" item="19"/>
          <tpl fld="8" item="2"/>
          <tpl hier="40" item="2"/>
          <tpl fld="17" item="0"/>
        </tpls>
      </n>
      <m>
        <tpls c="3">
          <tpl fld="6" item="1"/>
          <tpl fld="4" item="2"/>
          <tpl fld="17" item="1"/>
        </tpls>
      </m>
      <n v="18000">
        <tpls c="7">
          <tpl fld="3" item="1"/>
          <tpl fld="16" item="10"/>
          <tpl hier="31" item="1"/>
          <tpl fld="9" item="11"/>
          <tpl fld="12" item="3"/>
          <tpl hier="40" item="2"/>
          <tpl fld="17" item="0"/>
        </tpls>
      </n>
      <n v="21188">
        <tpls c="7">
          <tpl fld="3" item="1"/>
          <tpl fld="16" item="9"/>
          <tpl hier="31" item="1"/>
          <tpl fld="9" item="21"/>
          <tpl fld="12" item="3"/>
          <tpl hier="40" item="2"/>
          <tpl fld="17" item="0"/>
        </tpls>
      </n>
      <n v="0">
        <tpls c="7">
          <tpl fld="2" item="1"/>
          <tpl fld="16" item="6"/>
          <tpl fld="0" item="1"/>
          <tpl fld="9" item="26"/>
          <tpl fld="12" item="14"/>
          <tpl fld="1" item="1"/>
          <tpl fld="17" item="0"/>
        </tpls>
      </n>
      <n v="0">
        <tpls c="7">
          <tpl fld="3" item="0"/>
          <tpl fld="16" item="6"/>
          <tpl hier="31" item="3"/>
          <tpl fld="9" item="1"/>
          <tpl fld="12" item="1"/>
          <tpl hier="40" item="2"/>
          <tpl fld="17" item="0"/>
        </tpls>
      </n>
      <n v="0">
        <tpls c="7">
          <tpl fld="3" item="0"/>
          <tpl fld="16" item="6"/>
          <tpl hier="31" item="3"/>
          <tpl fld="9" item="33"/>
          <tpl fld="12" item="6"/>
          <tpl hier="40" item="2"/>
          <tpl fld="17" item="0"/>
        </tpls>
      </n>
      <n v="2548962">
        <tpls c="6">
          <tpl fld="10" item="3"/>
          <tpl hier="31" item="1"/>
          <tpl fld="9" item="25"/>
          <tpl fld="8" item="0"/>
          <tpl hier="40" item="2"/>
          <tpl fld="17" item="0"/>
        </tpls>
      </n>
      <m>
        <tpls c="6">
          <tpl fld="2" item="1"/>
          <tpl fld="0" item="1"/>
          <tpl fld="9" item="27"/>
          <tpl fld="12" item="5"/>
          <tpl hier="40" item="2"/>
          <tpl fld="17" item="0"/>
        </tpls>
      </m>
      <m>
        <tpls c="7">
          <tpl fld="3" item="1"/>
          <tpl fld="16" item="11"/>
          <tpl hier="31" item="1"/>
          <tpl fld="9" item="14"/>
          <tpl fld="12" item="3"/>
          <tpl hier="40" item="2"/>
          <tpl fld="17" item="0"/>
        </tpls>
      </m>
      <n v="14541686">
        <tpls c="7">
          <tpl fld="3" item="1"/>
          <tpl fld="16" item="4"/>
          <tpl hier="31" item="1"/>
          <tpl fld="9" item="23"/>
          <tpl fld="12" item="2"/>
          <tpl hier="40" item="2"/>
          <tpl fld="17" item="0"/>
        </tpls>
      </n>
      <n v="2148730">
        <tpls c="6">
          <tpl fld="3" item="0"/>
          <tpl fld="16" item="8"/>
          <tpl hier="31" item="3"/>
          <tpl fld="12" item="3"/>
          <tpl hier="40" item="2"/>
          <tpl fld="17" item="0"/>
        </tpls>
      </n>
      <n v="1379181">
        <tpls c="6">
          <tpl fld="2" item="1"/>
          <tpl fld="16" item="11"/>
          <tpl fld="0" item="1"/>
          <tpl fld="12" item="4"/>
          <tpl fld="1" item="1"/>
          <tpl fld="17" item="0"/>
        </tpls>
      </n>
      <n v="-1528">
        <tpls c="7">
          <tpl fld="2" item="1"/>
          <tpl fld="16" item="2"/>
          <tpl fld="0" item="1"/>
          <tpl fld="9" item="47"/>
          <tpl fld="12" item="17"/>
          <tpl fld="1" item="1"/>
          <tpl fld="17" item="0"/>
        </tpls>
      </n>
      <n v="0">
        <tpls c="6">
          <tpl fld="2" item="2"/>
          <tpl fld="0" item="2"/>
          <tpl fld="9" item="14"/>
          <tpl fld="8" item="3"/>
          <tpl hier="40" item="2"/>
          <tpl fld="17" item="0"/>
        </tpls>
      </n>
      <n v="1666667">
        <tpls c="7">
          <tpl fld="3" item="1"/>
          <tpl fld="16" item="11"/>
          <tpl hier="31" item="1"/>
          <tpl fld="9" item="18"/>
          <tpl fld="12" item="2"/>
          <tpl hier="40" item="2"/>
          <tpl fld="17" item="0"/>
        </tpls>
      </n>
      <m>
        <tpls c="3">
          <tpl fld="7" item="6"/>
          <tpl fld="5" item="2"/>
          <tpl fld="17" item="1"/>
        </tpls>
      </m>
      <m>
        <tpls c="7">
          <tpl fld="3" item="0"/>
          <tpl fld="16" item="4"/>
          <tpl hier="31" item="3"/>
          <tpl fld="9" item="14"/>
          <tpl fld="12" item="3"/>
          <tpl hier="40" item="2"/>
          <tpl fld="17" item="0"/>
        </tpls>
      </m>
      <m>
        <tpls c="3">
          <tpl fld="6" item="3"/>
          <tpl fld="4" item="1"/>
          <tpl fld="17" item="1"/>
        </tpls>
      </m>
      <m>
        <tpls c="3">
          <tpl fld="6" item="6"/>
          <tpl fld="4" item="0"/>
          <tpl fld="17" item="1"/>
        </tpls>
      </m>
      <n v="46115687">
        <tpls c="7">
          <tpl fld="3" item="1"/>
          <tpl fld="16" item="1"/>
          <tpl hier="31" item="1"/>
          <tpl fld="9" item="5"/>
          <tpl fld="12" item="2"/>
          <tpl hier="40" item="2"/>
          <tpl fld="17" item="0"/>
        </tpls>
      </n>
      <n v="18755795">
        <tpls c="7">
          <tpl fld="3" item="0"/>
          <tpl fld="16" item="0"/>
          <tpl hier="31" item="3"/>
          <tpl fld="9" item="45"/>
          <tpl fld="12" item="13"/>
          <tpl hier="40" item="2"/>
          <tpl fld="17" item="0"/>
        </tpls>
      </n>
      <n v="27135">
        <tpls c="7">
          <tpl fld="3" item="0"/>
          <tpl fld="16" item="6"/>
          <tpl hier="31" item="3"/>
          <tpl fld="9" item="21"/>
          <tpl fld="12" item="3"/>
          <tpl hier="40" item="2"/>
          <tpl fld="17" item="0"/>
        </tpls>
      </n>
      <n v="3438">
        <tpls c="7">
          <tpl fld="3" item="1"/>
          <tpl fld="16" item="3"/>
          <tpl hier="31" item="1"/>
          <tpl fld="9" item="10"/>
          <tpl fld="12" item="6"/>
          <tpl hier="40" item="2"/>
          <tpl fld="17" item="0"/>
        </tpls>
      </n>
      <n v="17500">
        <tpls c="7">
          <tpl fld="3" item="1"/>
          <tpl fld="16" item="7"/>
          <tpl hier="31" item="1"/>
          <tpl fld="9" item="17"/>
          <tpl fld="12" item="2"/>
          <tpl hier="40" item="2"/>
          <tpl fld="17" item="0"/>
        </tpls>
      </n>
      <n v="13828412">
        <tpls c="6">
          <tpl fld="10" item="3"/>
          <tpl hier="31" item="1"/>
          <tpl fld="9" item="8"/>
          <tpl fld="8" item="1"/>
          <tpl hier="40" item="2"/>
          <tpl fld="17" item="0"/>
        </tpls>
      </n>
      <n v="-33750250">
        <tpls c="7">
          <tpl fld="2" item="1"/>
          <tpl fld="16" item="10"/>
          <tpl fld="0" item="1"/>
          <tpl fld="9" item="30"/>
          <tpl fld="12" item="15"/>
          <tpl fld="1" item="1"/>
          <tpl fld="17" item="0"/>
        </tpls>
      </n>
      <n v="86079840">
        <tpls c="6">
          <tpl fld="2" item="1"/>
          <tpl hier="10" item="4294967295"/>
          <tpl fld="0" item="1"/>
          <tpl fld="12" item="10"/>
          <tpl fld="1" item="1"/>
          <tpl fld="17" item="0"/>
        </tpls>
      </n>
      <n v="2118320">
        <tpls c="7">
          <tpl fld="3" item="0"/>
          <tpl fld="16" item="7"/>
          <tpl hier="31" item="3"/>
          <tpl fld="9" item="18"/>
          <tpl fld="12" item="2"/>
          <tpl hier="40" item="2"/>
          <tpl fld="17" item="0"/>
        </tpls>
      </n>
      <n v="861232">
        <tpls c="6">
          <tpl fld="2" item="1"/>
          <tpl fld="0" item="1"/>
          <tpl fld="9" item="29"/>
          <tpl fld="8" item="0"/>
          <tpl hier="40" item="2"/>
          <tpl fld="17" item="0"/>
        </tpls>
      </n>
      <n v="86079840">
        <tpls c="7">
          <tpl fld="2" item="1"/>
          <tpl hier="10" item="4294967295"/>
          <tpl fld="0" item="1"/>
          <tpl fld="9" item="69"/>
          <tpl fld="12" item="10"/>
          <tpl fld="1" item="1"/>
          <tpl fld="17" item="0"/>
        </tpls>
      </n>
      <n v="2289886">
        <tpls c="6">
          <tpl fld="3" item="0"/>
          <tpl fld="16" item="7"/>
          <tpl hier="31" item="3"/>
          <tpl fld="12" item="3"/>
          <tpl hier="40" item="2"/>
          <tpl fld="17" item="0"/>
        </tpls>
      </n>
      <m>
        <tpls c="3">
          <tpl fld="6" item="20"/>
          <tpl fld="4" item="0"/>
          <tpl fld="17" item="1"/>
        </tpls>
      </m>
      <m>
        <tpls c="6">
          <tpl fld="10" item="1"/>
          <tpl hier="31" item="0"/>
          <tpl fld="9" item="19"/>
          <tpl fld="12" item="5"/>
          <tpl hier="40" item="2"/>
          <tpl fld="17" item="0"/>
        </tpls>
      </m>
      <n v="9992200">
        <tpls c="7">
          <tpl fld="3" item="1"/>
          <tpl hier="10" item="4294967295"/>
          <tpl hier="31" item="1"/>
          <tpl fld="9" item="41"/>
          <tpl fld="12" item="3"/>
          <tpl hier="40" item="2"/>
          <tpl fld="17" item="0"/>
        </tpls>
      </n>
      <n v="52500">
        <tpls c="6">
          <tpl fld="10" item="3"/>
          <tpl hier="31" item="1"/>
          <tpl fld="9" item="17"/>
          <tpl fld="8" item="0"/>
          <tpl hier="40" item="2"/>
          <tpl fld="17" item="0"/>
        </tpls>
      </n>
      <n v="126859046">
        <tpls c="7">
          <tpl fld="2" item="1"/>
          <tpl fld="16" item="11"/>
          <tpl fld="0" item="1"/>
          <tpl fld="9" item="75"/>
          <tpl fld="12" item="21"/>
          <tpl fld="1" item="1"/>
          <tpl fld="17" item="0"/>
        </tpls>
      </n>
      <n v="20000004">
        <tpls c="6">
          <tpl fld="2" item="0"/>
          <tpl fld="0" item="0"/>
          <tpl fld="9" item="18"/>
          <tpl fld="8" item="0"/>
          <tpl hier="40" item="2"/>
          <tpl fld="17" item="0"/>
        </tpls>
      </n>
      <n v="18323581">
        <tpls c="7">
          <tpl fld="3" item="0"/>
          <tpl hier="10" item="4294967295"/>
          <tpl hier="31" item="3"/>
          <tpl fld="9" item="18"/>
          <tpl fld="12" item="2"/>
          <tpl hier="40" item="2"/>
          <tpl fld="17" item="0"/>
        </tpls>
      </n>
      <n v="83334">
        <tpls c="7">
          <tpl fld="3" item="1"/>
          <tpl fld="16" item="1"/>
          <tpl hier="31" item="1"/>
          <tpl fld="9" item="53"/>
          <tpl fld="12" item="2"/>
          <tpl hier="40" item="2"/>
          <tpl fld="17" item="0"/>
        </tpls>
      </n>
      <m>
        <tpls c="7">
          <tpl fld="3" item="1"/>
          <tpl fld="16" item="2"/>
          <tpl hier="31" item="1"/>
          <tpl fld="9" item="32"/>
          <tpl fld="12" item="5"/>
          <tpl hier="40" item="2"/>
          <tpl fld="17" item="0"/>
        </tpls>
      </m>
      <n v="83334">
        <tpls c="7">
          <tpl fld="3" item="1"/>
          <tpl fld="16" item="7"/>
          <tpl hier="31" item="1"/>
          <tpl fld="9" item="53"/>
          <tpl fld="12" item="2"/>
          <tpl hier="40" item="2"/>
          <tpl fld="17" item="0"/>
        </tpls>
      </n>
      <n v="-477952">
        <tpls c="7">
          <tpl fld="2" item="1"/>
          <tpl fld="16" item="7"/>
          <tpl fld="0" item="1"/>
          <tpl fld="9" item="74"/>
          <tpl fld="12" item="17"/>
          <tpl fld="1" item="1"/>
          <tpl fld="17" item="0"/>
        </tpls>
      </n>
      <n v="0">
        <tpls c="6">
          <tpl fld="2" item="1"/>
          <tpl fld="16" item="10"/>
          <tpl fld="0" item="1"/>
          <tpl fld="12" item="14"/>
          <tpl fld="1" item="1"/>
          <tpl fld="17" item="0"/>
        </tpls>
      </n>
      <n v="0">
        <tpls c="6">
          <tpl fld="2" item="1"/>
          <tpl fld="16" item="8"/>
          <tpl fld="0" item="1"/>
          <tpl fld="12" item="12"/>
          <tpl fld="1" item="1"/>
          <tpl fld="17" item="0"/>
        </tpls>
      </n>
      <m>
        <tpls c="7">
          <tpl fld="3" item="1"/>
          <tpl fld="16" item="9"/>
          <tpl hier="31" item="1"/>
          <tpl fld="9" item="32"/>
          <tpl fld="12" item="5"/>
          <tpl hier="40" item="2"/>
          <tpl fld="17" item="0"/>
        </tpls>
      </m>
      <n v="54229630">
        <tpls c="5">
          <tpl fld="2" item="0"/>
          <tpl fld="0" item="0"/>
          <tpl fld="12" item="9"/>
          <tpl hier="40" item="2"/>
          <tpl fld="17" item="0"/>
        </tpls>
      </n>
      <m>
        <tpls c="7">
          <tpl fld="3" item="0"/>
          <tpl fld="16" item="3"/>
          <tpl hier="31" item="3"/>
          <tpl fld="9" item="32"/>
          <tpl fld="12" item="5"/>
          <tpl hier="40" item="2"/>
          <tpl fld="17" item="0"/>
        </tpls>
      </m>
      <n v="1278943">
        <tpls c="5">
          <tpl fld="10" item="1"/>
          <tpl hier="31" item="0"/>
          <tpl fld="12" item="5"/>
          <tpl hier="40" item="2"/>
          <tpl fld="17" item="0"/>
        </tpls>
      </n>
      <n v="24705151">
        <tpls c="6">
          <tpl fld="2" item="1"/>
          <tpl fld="16" item="11"/>
          <tpl fld="0" item="1"/>
          <tpl fld="12" item="16"/>
          <tpl fld="1" item="1"/>
          <tpl fld="17" item="0"/>
        </tpls>
      </n>
      <n v="7448731">
        <tpls c="5">
          <tpl fld="2" item="3"/>
          <tpl fld="0" item="2"/>
          <tpl fld="12" item="16"/>
          <tpl fld="1" item="1"/>
          <tpl fld="17" item="0"/>
        </tpls>
      </n>
      <n v="0">
        <tpls c="7">
          <tpl fld="2" item="1"/>
          <tpl fld="16" item="5"/>
          <tpl fld="0" item="1"/>
          <tpl fld="9" item="51"/>
          <tpl fld="12" item="7"/>
          <tpl fld="1" item="1"/>
          <tpl fld="17" item="0"/>
        </tpls>
      </n>
      <n v="2299995">
        <tpls c="6">
          <tpl fld="2" item="0"/>
          <tpl fld="0" item="0"/>
          <tpl fld="9" item="31"/>
          <tpl fld="12" item="2"/>
          <tpl hier="40" item="2"/>
          <tpl fld="17" item="0"/>
        </tpls>
      </n>
      <n v="0">
        <tpls c="7">
          <tpl fld="3" item="0"/>
          <tpl fld="16" item="0"/>
          <tpl hier="31" item="3"/>
          <tpl fld="9" item="13"/>
          <tpl fld="12" item="3"/>
          <tpl hier="40" item="2"/>
          <tpl fld="17" item="0"/>
        </tpls>
      </n>
      <n v="3795131">
        <tpls c="6">
          <tpl fld="2" item="2"/>
          <tpl fld="0" item="2"/>
          <tpl fld="9" item="34"/>
          <tpl fld="12" item="17"/>
          <tpl fld="1" item="1"/>
          <tpl fld="17" item="0"/>
        </tpls>
      </n>
      <n v="615349">
        <tpls c="7">
          <tpl fld="3" item="0"/>
          <tpl fld="16" item="3"/>
          <tpl hier="31" item="3"/>
          <tpl fld="9" item="24"/>
          <tpl fld="12" item="6"/>
          <tpl hier="40" item="2"/>
          <tpl fld="17" item="0"/>
        </tpls>
      </n>
      <n v="155000">
        <tpls c="7">
          <tpl fld="3" item="1"/>
          <tpl fld="16" item="10"/>
          <tpl hier="31" item="1"/>
          <tpl fld="9" item="35"/>
          <tpl fld="12" item="3"/>
          <tpl hier="40" item="2"/>
          <tpl fld="17" item="0"/>
        </tpls>
      </n>
      <n v="19152488">
        <tpls c="6">
          <tpl fld="3" item="0"/>
          <tpl fld="16" item="9"/>
          <tpl hier="31" item="3"/>
          <tpl fld="12" item="13"/>
          <tpl hier="40" item="2"/>
          <tpl fld="17" item="0"/>
        </tpls>
      </n>
      <n v="392981">
        <tpls c="7">
          <tpl fld="3" item="0"/>
          <tpl fld="16" item="3"/>
          <tpl hier="31" item="3"/>
          <tpl fld="9" item="38"/>
          <tpl fld="12" item="5"/>
          <tpl hier="40" item="2"/>
          <tpl fld="17" item="0"/>
        </tpls>
      </n>
      <n v="230245237">
        <tpls c="7">
          <tpl fld="3" item="0"/>
          <tpl hier="10" item="4294967295"/>
          <tpl hier="31" item="3"/>
          <tpl fld="9" item="45"/>
          <tpl fld="12" item="13"/>
          <tpl hier="40" item="2"/>
          <tpl fld="17" item="0"/>
        </tpls>
      </n>
      <n v="2124000" in="0">
        <tpls c="3">
          <tpl fld="7" item="2"/>
          <tpl fld="5" item="4"/>
          <tpl fld="17" item="1"/>
        </tpls>
      </n>
      <n v="824350">
        <tpls c="7">
          <tpl fld="3" item="1"/>
          <tpl fld="16" item="10"/>
          <tpl hier="31" item="1"/>
          <tpl fld="9" item="41"/>
          <tpl fld="12" item="3"/>
          <tpl hier="40" item="2"/>
          <tpl fld="17" item="0"/>
        </tpls>
      </n>
      <n v="1200000" in="0">
        <tpls c="3">
          <tpl fld="7" item="7"/>
          <tpl fld="5" item="2"/>
          <tpl fld="17" item="1"/>
        </tpls>
      </n>
      <n v="777949">
        <tpls c="7">
          <tpl fld="2" item="1"/>
          <tpl hier="10" item="4294967295"/>
          <tpl fld="0" item="1"/>
          <tpl fld="9" item="66"/>
          <tpl fld="12" item="4"/>
          <tpl fld="1" item="1"/>
          <tpl fld="17" item="0"/>
        </tpls>
      </n>
      <n v="0">
        <tpls c="7">
          <tpl fld="2" item="1"/>
          <tpl fld="16" item="9"/>
          <tpl fld="0" item="1"/>
          <tpl fld="9" item="76"/>
          <tpl fld="12" item="17"/>
          <tpl fld="1" item="1"/>
          <tpl fld="17" item="0"/>
        </tpls>
      </n>
      <n v="604443071">
        <tpls c="6">
          <tpl fld="2" item="1"/>
          <tpl fld="16" item="11"/>
          <tpl fld="0" item="1"/>
          <tpl fld="12" item="17"/>
          <tpl fld="1" item="1"/>
          <tpl fld="17" item="0"/>
        </tpls>
      </n>
      <m>
        <tpls c="7">
          <tpl fld="3" item="1"/>
          <tpl fld="16" item="5"/>
          <tpl hier="31" item="1"/>
          <tpl fld="9" item="36"/>
          <tpl fld="12" item="3"/>
          <tpl hier="40" item="2"/>
          <tpl fld="17" item="0"/>
        </tpls>
      </m>
      <n v="487058">
        <tpls c="7">
          <tpl fld="3" item="0"/>
          <tpl hier="10" item="4294967295"/>
          <tpl hier="31" item="3"/>
          <tpl fld="9" item="7"/>
          <tpl fld="12" item="3"/>
          <tpl hier="40" item="2"/>
          <tpl fld="17" item="0"/>
        </tpls>
      </n>
      <n v="-50604">
        <tpls c="7">
          <tpl fld="2" item="1"/>
          <tpl fld="16" item="0"/>
          <tpl fld="0" item="1"/>
          <tpl fld="9" item="54"/>
          <tpl fld="12" item="16"/>
          <tpl fld="1" item="1"/>
          <tpl fld="17" item="0"/>
        </tpls>
      </n>
      <n v="1102126">
        <tpls c="7">
          <tpl fld="3" item="0"/>
          <tpl fld="16" item="7"/>
          <tpl hier="31" item="3"/>
          <tpl fld="9" item="25"/>
          <tpl fld="12" item="2"/>
          <tpl hier="40" item="2"/>
          <tpl fld="17" item="0"/>
        </tpls>
      </n>
      <n v="0">
        <tpls c="7">
          <tpl fld="2" item="1"/>
          <tpl fld="16" item="2"/>
          <tpl fld="0" item="1"/>
          <tpl fld="9" item="26"/>
          <tpl fld="12" item="14"/>
          <tpl fld="1" item="1"/>
          <tpl fld="17" item="0"/>
        </tpls>
      </n>
      <n v="0">
        <tpls c="6">
          <tpl fld="2" item="1"/>
          <tpl fld="16" item="1"/>
          <tpl fld="0" item="1"/>
          <tpl fld="12" item="14"/>
          <tpl fld="1" item="1"/>
          <tpl fld="17" item="0"/>
        </tpls>
      </n>
      <n v="52500">
        <tpls c="6">
          <tpl fld="10" item="0"/>
          <tpl hier="31" item="1"/>
          <tpl fld="9" item="17"/>
          <tpl fld="8" item="0"/>
          <tpl hier="40" item="2"/>
          <tpl fld="17" item="0"/>
        </tpls>
      </n>
      <n v="256421">
        <tpls c="7">
          <tpl fld="3" item="1"/>
          <tpl fld="16" item="5"/>
          <tpl hier="31" item="1"/>
          <tpl fld="9" item="24"/>
          <tpl fld="12" item="6"/>
          <tpl hier="40" item="2"/>
          <tpl fld="17" item="0"/>
        </tpls>
      </n>
      <n v="0">
        <tpls c="7">
          <tpl fld="3" item="0"/>
          <tpl fld="16" item="10"/>
          <tpl hier="31" item="3"/>
          <tpl fld="9" item="12"/>
          <tpl fld="12" item="5"/>
          <tpl hier="40" item="2"/>
          <tpl fld="17" item="0"/>
        </tpls>
      </n>
      <n v="2800112">
        <tpls c="7">
          <tpl fld="3" item="0"/>
          <tpl fld="16" item="3"/>
          <tpl hier="31" item="3"/>
          <tpl fld="9" item="5"/>
          <tpl fld="12" item="2"/>
          <tpl hier="40" item="2"/>
          <tpl fld="17" item="0"/>
        </tpls>
      </n>
      <m>
        <tpls c="3">
          <tpl fld="6" item="0"/>
          <tpl fld="4" item="4"/>
          <tpl fld="17" item="1"/>
        </tpls>
      </m>
      <n v="2200801">
        <tpls c="7">
          <tpl fld="2" item="1"/>
          <tpl hier="10" item="4294967295"/>
          <tpl fld="0" item="1"/>
          <tpl fld="9" item="34"/>
          <tpl fld="12" item="17"/>
          <tpl fld="1" item="1"/>
          <tpl fld="17" item="0"/>
        </tpls>
      </n>
      <m>
        <tpls c="3">
          <tpl fld="4" item="0"/>
          <tpl fld="5" item="1"/>
          <tpl fld="17" item="1"/>
        </tpls>
      </m>
      <m>
        <tpls c="3">
          <tpl fld="6" item="8"/>
          <tpl fld="4" item="6"/>
          <tpl fld="17" item="1"/>
        </tpls>
      </m>
      <n v="12126">
        <tpls c="7">
          <tpl fld="3" item="0"/>
          <tpl fld="16" item="5"/>
          <tpl hier="31" item="3"/>
          <tpl fld="9" item="17"/>
          <tpl fld="12" item="2"/>
          <tpl hier="40" item="2"/>
          <tpl fld="17" item="0"/>
        </tpls>
      </n>
      <n v="3939366">
        <tpls c="6">
          <tpl fld="10" item="3"/>
          <tpl hier="31" item="1"/>
          <tpl fld="9" item="4"/>
          <tpl fld="8" item="1"/>
          <tpl hier="40" item="2"/>
          <tpl fld="17" item="0"/>
        </tpls>
      </n>
      <n v="52500">
        <tpls c="6">
          <tpl fld="10" item="0"/>
          <tpl hier="31" item="0"/>
          <tpl fld="9" item="17"/>
          <tpl fld="12" item="2"/>
          <tpl hier="40" item="2"/>
          <tpl fld="17" item="0"/>
        </tpls>
      </n>
      <n v="0">
        <tpls c="7">
          <tpl fld="2" item="1"/>
          <tpl fld="16" item="2"/>
          <tpl fld="0" item="1"/>
          <tpl fld="9" item="68"/>
          <tpl fld="12" item="18"/>
          <tpl fld="1" item="1"/>
          <tpl fld="17" item="0"/>
        </tpls>
      </n>
      <n v="1831">
        <tpls c="6">
          <tpl fld="2" item="2"/>
          <tpl fld="0" item="2"/>
          <tpl fld="9" item="48"/>
          <tpl fld="8" item="2"/>
          <tpl hier="40" item="2"/>
          <tpl fld="17" item="0"/>
        </tpls>
      </n>
      <n v="5000001">
        <tpls c="6">
          <tpl fld="10" item="0"/>
          <tpl hier="31" item="0"/>
          <tpl fld="9" item="18"/>
          <tpl fld="12" item="2"/>
          <tpl hier="40" item="2"/>
          <tpl fld="17" item="0"/>
        </tpls>
      </n>
      <n v="1666667">
        <tpls c="7">
          <tpl fld="3" item="1"/>
          <tpl fld="16" item="0"/>
          <tpl hier="31" item="1"/>
          <tpl fld="9" item="18"/>
          <tpl fld="12" item="2"/>
          <tpl hier="40" item="2"/>
          <tpl fld="17" item="0"/>
        </tpls>
      </n>
      <n v="1768943">
        <tpls c="5">
          <tpl fld="10" item="0"/>
          <tpl hier="31" item="0"/>
          <tpl fld="12" item="5"/>
          <tpl hier="40" item="2"/>
          <tpl fld="17" item="0"/>
        </tpls>
      </n>
      <n v="21188">
        <tpls c="7">
          <tpl fld="3" item="1"/>
          <tpl fld="16" item="10"/>
          <tpl hier="31" item="1"/>
          <tpl fld="9" item="21"/>
          <tpl fld="12" item="3"/>
          <tpl hier="40" item="2"/>
          <tpl fld="17" item="0"/>
        </tpls>
      </n>
      <n v="4320465">
        <tpls c="6">
          <tpl fld="2" item="2"/>
          <tpl fld="0" item="2"/>
          <tpl fld="9" item="9"/>
          <tpl fld="8" item="1"/>
          <tpl hier="40" item="2"/>
          <tpl fld="17" item="0"/>
        </tpls>
      </n>
      <m>
        <tpls c="7">
          <tpl fld="3" item="1"/>
          <tpl fld="16" item="8"/>
          <tpl hier="31" item="1"/>
          <tpl fld="9" item="6"/>
          <tpl fld="12" item="1"/>
          <tpl hier="40" item="2"/>
          <tpl fld="17" item="0"/>
        </tpls>
      </m>
      <n v="18903586">
        <tpls c="7">
          <tpl fld="3" item="0"/>
          <tpl fld="16" item="5"/>
          <tpl hier="31" item="3"/>
          <tpl fld="9" item="45"/>
          <tpl fld="12" item="13"/>
          <tpl hier="40" item="2"/>
          <tpl fld="17" item="0"/>
        </tpls>
      </n>
      <n v="0">
        <tpls c="7">
          <tpl fld="2" item="1"/>
          <tpl fld="16" item="10"/>
          <tpl fld="0" item="1"/>
          <tpl fld="9" item="65"/>
          <tpl fld="12" item="14"/>
          <tpl fld="1" item="1"/>
          <tpl fld="17" item="0"/>
        </tpls>
      </n>
      <n v="59217768">
        <tpls c="7">
          <tpl fld="2" item="1"/>
          <tpl hier="10" item="4294967295"/>
          <tpl fld="0" item="1"/>
          <tpl fld="9" item="72"/>
          <tpl fld="12" item="17"/>
          <tpl fld="1" item="1"/>
          <tpl fld="17" item="0"/>
        </tpls>
      </n>
      <n v="0">
        <tpls c="6">
          <tpl fld="2" item="1"/>
          <tpl fld="16" item="5"/>
          <tpl fld="0" item="1"/>
          <tpl fld="12" item="7"/>
          <tpl fld="1" item="1"/>
          <tpl fld="17" item="0"/>
        </tpls>
      </n>
      <n v="1271328">
        <tpls c="7">
          <tpl fld="3" item="0"/>
          <tpl fld="16" item="0"/>
          <tpl hier="31" item="3"/>
          <tpl fld="9" item="25"/>
          <tpl fld="12" item="2"/>
          <tpl hier="40" item="2"/>
          <tpl fld="17" item="0"/>
        </tpls>
      </n>
      <n v="826000" in="0">
        <tpls c="3">
          <tpl fld="4" item="5"/>
          <tpl fld="5" item="1"/>
          <tpl fld="17" item="1"/>
        </tpls>
      </n>
      <n v="6293">
        <tpls c="5">
          <tpl fld="2" item="1"/>
          <tpl fld="0" item="1"/>
          <tpl fld="12" item="22"/>
          <tpl hier="40" item="2"/>
          <tpl fld="17" item="0"/>
        </tpls>
      </n>
      <n v="-173856">
        <tpls c="7">
          <tpl fld="2" item="1"/>
          <tpl fld="16" item="8"/>
          <tpl fld="0" item="1"/>
          <tpl fld="9" item="34"/>
          <tpl fld="12" item="17"/>
          <tpl fld="1" item="1"/>
          <tpl fld="17" item="0"/>
        </tpls>
      </n>
      <m>
        <tpls c="3">
          <tpl fld="6" item="0"/>
          <tpl fld="4" item="2"/>
          <tpl fld="17" item="1"/>
        </tpls>
      </m>
      <n v="0">
        <tpls c="7">
          <tpl fld="2" item="1"/>
          <tpl fld="16" item="10"/>
          <tpl fld="0" item="1"/>
          <tpl fld="9" item="61"/>
          <tpl fld="12" item="0"/>
          <tpl fld="1" item="1"/>
          <tpl fld="17" item="0"/>
        </tpls>
      </n>
      <m>
        <tpls c="7">
          <tpl fld="3" item="1"/>
          <tpl fld="16" item="4"/>
          <tpl hier="31" item="1"/>
          <tpl fld="9" item="6"/>
          <tpl fld="12" item="1"/>
          <tpl hier="40" item="2"/>
          <tpl fld="17" item="0"/>
        </tpls>
      </m>
      <n v="4134867">
        <tpls c="6">
          <tpl fld="3" item="0"/>
          <tpl fld="16" item="4"/>
          <tpl hier="31" item="3"/>
          <tpl fld="12" item="9"/>
          <tpl hier="40" item="2"/>
          <tpl fld="17" item="0"/>
        </tpls>
      </n>
      <n v="781442">
        <tpls c="6">
          <tpl fld="2" item="1"/>
          <tpl fld="0" item="1"/>
          <tpl fld="9" item="52"/>
          <tpl fld="8" item="1"/>
          <tpl hier="40" item="2"/>
          <tpl fld="17" item="0"/>
        </tpls>
      </n>
      <n v="18323581">
        <tpls c="6">
          <tpl fld="2" item="1"/>
          <tpl fld="0" item="1"/>
          <tpl fld="9" item="18"/>
          <tpl fld="12" item="2"/>
          <tpl hier="40" item="2"/>
          <tpl fld="17" item="0"/>
        </tpls>
      </n>
      <n v="1540">
        <tpls c="7">
          <tpl fld="3" item="0"/>
          <tpl fld="16" item="9"/>
          <tpl hier="31" item="3"/>
          <tpl fld="9" item="7"/>
          <tpl fld="12" item="3"/>
          <tpl hier="40" item="2"/>
          <tpl fld="17" item="0"/>
        </tpls>
      </n>
      <n v="0">
        <tpls c="6">
          <tpl fld="2" item="1"/>
          <tpl fld="16" item="11"/>
          <tpl fld="0" item="1"/>
          <tpl fld="12" item="18"/>
          <tpl fld="1" item="1"/>
          <tpl fld="17" item="0"/>
        </tpls>
      </n>
      <n v="14562">
        <tpls c="7">
          <tpl fld="3" item="0"/>
          <tpl fld="16" item="10"/>
          <tpl hier="31" item="3"/>
          <tpl fld="9" item="17"/>
          <tpl fld="12" item="2"/>
          <tpl hier="40" item="2"/>
          <tpl fld="17" item="0"/>
        </tpls>
      </n>
      <n v="697806">
        <tpls c="6">
          <tpl fld="2" item="2"/>
          <tpl fld="0" item="2"/>
          <tpl fld="9" item="47"/>
          <tpl fld="12" item="17"/>
          <tpl fld="1" item="1"/>
          <tpl fld="17" item="0"/>
        </tpls>
      </n>
      <n v="12375">
        <tpls c="7">
          <tpl fld="3" item="0"/>
          <tpl fld="16" item="9"/>
          <tpl hier="31" item="3"/>
          <tpl fld="9" item="13"/>
          <tpl fld="12" item="3"/>
          <tpl hier="40" item="2"/>
          <tpl fld="17" item="0"/>
        </tpls>
      </n>
      <n v="554497">
        <tpls c="7">
          <tpl fld="3" item="0"/>
          <tpl fld="16" item="10"/>
          <tpl hier="31" item="3"/>
          <tpl fld="9" item="41"/>
          <tpl fld="12" item="3"/>
          <tpl hier="40" item="2"/>
          <tpl fld="17" item="0"/>
        </tpls>
      </n>
      <n v="110198">
        <tpls c="6">
          <tpl fld="2" item="2"/>
          <tpl fld="0" item="2"/>
          <tpl fld="9" item="36"/>
          <tpl fld="12" item="3"/>
          <tpl hier="40" item="2"/>
          <tpl fld="17" item="0"/>
        </tpls>
      </n>
      <n v="176082377">
        <tpls c="6">
          <tpl fld="2" item="2"/>
          <tpl fld="0" item="2"/>
          <tpl fld="9" item="5"/>
          <tpl fld="12" item="2"/>
          <tpl hier="40" item="2"/>
          <tpl fld="17" item="0"/>
        </tpls>
      </n>
      <m>
        <tpls c="7">
          <tpl fld="3" item="1"/>
          <tpl fld="16" item="10"/>
          <tpl hier="31" item="1"/>
          <tpl fld="9" item="36"/>
          <tpl fld="12" item="3"/>
          <tpl hier="40" item="2"/>
          <tpl fld="17" item="0"/>
        </tpls>
      </m>
      <n v="57250">
        <tpls c="6">
          <tpl fld="2" item="2"/>
          <tpl fld="0" item="2"/>
          <tpl fld="9" item="11"/>
          <tpl fld="8" item="1"/>
          <tpl hier="40" item="2"/>
          <tpl fld="17" item="0"/>
        </tpls>
      </n>
      <n v="499627">
        <tpls c="7">
          <tpl fld="3" item="0"/>
          <tpl fld="16" item="3"/>
          <tpl hier="31" item="3"/>
          <tpl fld="9" item="40"/>
          <tpl fld="12" item="3"/>
          <tpl hier="40" item="2"/>
          <tpl fld="17" item="0"/>
        </tpls>
      </n>
      <n v="18678858">
        <tpls c="7">
          <tpl fld="3" item="0"/>
          <tpl fld="16" item="2"/>
          <tpl hier="31" item="3"/>
          <tpl fld="9" item="45"/>
          <tpl fld="12" item="13"/>
          <tpl hier="40" item="2"/>
          <tpl fld="17" item="0"/>
        </tpls>
      </n>
      <n v="-392981">
        <tpls c="7">
          <tpl fld="2" item="1"/>
          <tpl fld="16" item="2"/>
          <tpl fld="0" item="1"/>
          <tpl fld="9" item="16"/>
          <tpl fld="12" item="11"/>
          <tpl fld="1" item="1"/>
          <tpl fld="17" item="0"/>
        </tpls>
      </n>
      <n v="-1897153">
        <tpls c="7">
          <tpl fld="2" item="1"/>
          <tpl fld="16" item="0"/>
          <tpl fld="0" item="1"/>
          <tpl fld="9" item="72"/>
          <tpl fld="12" item="17"/>
          <tpl fld="1" item="1"/>
          <tpl fld="17" item="0"/>
        </tpls>
      </n>
      <n v="302210">
        <tpls c="7">
          <tpl fld="2" item="1"/>
          <tpl hier="10" item="4294967295"/>
          <tpl fld="0" item="1"/>
          <tpl fld="9" item="73"/>
          <tpl fld="12" item="4"/>
          <tpl fld="1" item="1"/>
          <tpl fld="17" item="0"/>
        </tpls>
      </n>
      <n v="833">
        <tpls c="7">
          <tpl fld="3" item="1"/>
          <tpl fld="16" item="5"/>
          <tpl hier="31" item="1"/>
          <tpl fld="9" item="3"/>
          <tpl fld="12" item="2"/>
          <tpl hier="40" item="2"/>
          <tpl fld="17" item="0"/>
        </tpls>
      </n>
      <n v="39901485">
        <tpls c="6">
          <tpl fld="2" item="3"/>
          <tpl fld="0" item="2"/>
          <tpl fld="9" item="72"/>
          <tpl fld="12" item="17"/>
          <tpl fld="1" item="1"/>
          <tpl fld="17" item="0"/>
        </tpls>
      </n>
      <n v="949745">
        <tpls c="7">
          <tpl fld="3" item="1"/>
          <tpl fld="16" item="5"/>
          <tpl hier="31" item="1"/>
          <tpl fld="9" item="25"/>
          <tpl fld="12" item="2"/>
          <tpl hier="40" item="2"/>
          <tpl fld="17" item="0"/>
        </tpls>
      </n>
      <n v="7122">
        <tpls c="7">
          <tpl fld="3" item="0"/>
          <tpl fld="16" item="6"/>
          <tpl hier="31" item="3"/>
          <tpl fld="9" item="20"/>
          <tpl fld="12" item="2"/>
          <tpl hier="40" item="2"/>
          <tpl fld="17" item="0"/>
        </tpls>
      </n>
      <n v="59081004">
        <tpls c="7">
          <tpl fld="2" item="1"/>
          <tpl fld="16" item="11"/>
          <tpl fld="0" item="1"/>
          <tpl fld="9" item="65"/>
          <tpl fld="12" item="14"/>
          <tpl fld="1" item="1"/>
          <tpl fld="17" item="0"/>
        </tpls>
      </n>
      <n v="287367650">
        <tpls c="5">
          <tpl fld="2" item="3"/>
          <tpl fld="0" item="2"/>
          <tpl fld="12" item="19"/>
          <tpl fld="1" item="1"/>
          <tpl fld="17" item="0"/>
        </tpls>
      </n>
      <m>
        <tpls c="6">
          <tpl fld="2" item="2"/>
          <tpl fld="0" item="2"/>
          <tpl fld="9" item="60"/>
          <tpl fld="8" item="2"/>
          <tpl hier="40" item="2"/>
          <tpl fld="17" item="0"/>
        </tpls>
      </m>
      <n v="1000">
        <tpls c="6">
          <tpl fld="3" item="1"/>
          <tpl fld="16" item="7"/>
          <tpl hier="31" item="1"/>
          <tpl fld="12" item="22"/>
          <tpl hier="40" item="2"/>
          <tpl fld="17" item="0"/>
        </tpls>
      </n>
      <n v="15000">
        <tpls c="6">
          <tpl fld="10" item="2"/>
          <tpl hier="31" item="1"/>
          <tpl fld="9" item="44"/>
          <tpl fld="8" item="0"/>
          <tpl hier="40" item="2"/>
          <tpl fld="17" item="0"/>
        </tpls>
      </n>
      <n v="60000">
        <tpls c="6">
          <tpl fld="2" item="0"/>
          <tpl fld="0" item="0"/>
          <tpl fld="9" item="44"/>
          <tpl fld="12" item="2"/>
          <tpl hier="40" item="2"/>
          <tpl fld="17" item="0"/>
        </tpls>
      </n>
      <n v="0">
        <tpls c="7">
          <tpl fld="2" item="1"/>
          <tpl fld="16" item="2"/>
          <tpl fld="0" item="1"/>
          <tpl fld="9" item="61"/>
          <tpl fld="12" item="0"/>
          <tpl fld="1" item="1"/>
          <tpl fld="17" item="0"/>
        </tpls>
      </n>
      <n v="2008441">
        <tpls c="7">
          <tpl fld="3" item="0"/>
          <tpl fld="16" item="5"/>
          <tpl hier="31" item="3"/>
          <tpl fld="9" item="5"/>
          <tpl fld="12" item="2"/>
          <tpl hier="40" item="2"/>
          <tpl fld="17" item="0"/>
        </tpls>
      </n>
      <m>
        <tpls c="7">
          <tpl fld="3" item="1"/>
          <tpl fld="16" item="5"/>
          <tpl hier="31" item="1"/>
          <tpl fld="9" item="49"/>
          <tpl fld="12" item="3"/>
          <tpl hier="40" item="2"/>
          <tpl fld="17" item="0"/>
        </tpls>
      </m>
      <n v="1500">
        <tpls c="6">
          <tpl fld="10" item="0"/>
          <tpl hier="31" item="1"/>
          <tpl fld="9" item="43"/>
          <tpl fld="8" item="2"/>
          <tpl hier="40" item="2"/>
          <tpl fld="17" item="0"/>
        </tpls>
      </n>
      <n v="5468534">
        <tpls c="6">
          <tpl fld="10" item="0"/>
          <tpl hier="31" item="1"/>
          <tpl fld="9" item="5"/>
          <tpl fld="8" item="0"/>
          <tpl hier="40" item="2"/>
          <tpl fld="17" item="0"/>
        </tpls>
      </n>
      <n v="173">
        <tpls c="7">
          <tpl fld="3" item="0"/>
          <tpl fld="16" item="2"/>
          <tpl hier="31" item="3"/>
          <tpl fld="9" item="48"/>
          <tpl fld="12" item="22"/>
          <tpl hier="40" item="2"/>
          <tpl fld="17" item="0"/>
        </tpls>
      </n>
      <n v="225324">
        <tpls c="6">
          <tpl fld="10" item="1"/>
          <tpl hier="31" item="0"/>
          <tpl fld="9" item="33"/>
          <tpl fld="12" item="6"/>
          <tpl hier="40" item="2"/>
          <tpl fld="17" item="0"/>
        </tpls>
      </n>
      <n v="0">
        <tpls c="7">
          <tpl fld="3" item="0"/>
          <tpl fld="16" item="11"/>
          <tpl hier="31" item="3"/>
          <tpl fld="9" item="14"/>
          <tpl fld="12" item="3"/>
          <tpl hier="40" item="2"/>
          <tpl fld="17" item="0"/>
        </tpls>
      </n>
      <n v="769263">
        <tpls c="6">
          <tpl fld="10" item="3"/>
          <tpl hier="31" item="1"/>
          <tpl fld="9" item="24"/>
          <tpl fld="8" item="1"/>
          <tpl hier="40" item="2"/>
          <tpl fld="17" item="0"/>
        </tpls>
      </n>
      <m>
        <tpls c="7">
          <tpl fld="3" item="1"/>
          <tpl fld="16" item="10"/>
          <tpl hier="31" item="1"/>
          <tpl fld="9" item="6"/>
          <tpl fld="12" item="1"/>
          <tpl hier="40" item="2"/>
          <tpl fld="17" item="0"/>
        </tpls>
      </m>
      <n v="20007791">
        <tpls c="7">
          <tpl fld="3" item="1"/>
          <tpl fld="16" item="1"/>
          <tpl hier="31" item="1"/>
          <tpl fld="9" item="45"/>
          <tpl fld="12" item="13"/>
          <tpl hier="40" item="2"/>
          <tpl fld="17" item="0"/>
        </tpls>
      </n>
      <n v="86079840">
        <tpls c="5">
          <tpl fld="2" item="2"/>
          <tpl fld="0" item="2"/>
          <tpl fld="12" item="10"/>
          <tpl fld="1" item="1"/>
          <tpl fld="17" item="0"/>
        </tpls>
      </n>
      <n v="-1528">
        <tpls c="7">
          <tpl fld="2" item="1"/>
          <tpl fld="16" item="8"/>
          <tpl fld="0" item="1"/>
          <tpl fld="9" item="47"/>
          <tpl fld="12" item="17"/>
          <tpl fld="1" item="1"/>
          <tpl fld="17" item="0"/>
        </tpls>
      </n>
      <m>
        <tpls c="7">
          <tpl fld="3" item="1"/>
          <tpl fld="16" item="10"/>
          <tpl hier="31" item="1"/>
          <tpl fld="9" item="22"/>
          <tpl fld="12" item="2"/>
          <tpl hier="40" item="2"/>
          <tpl fld="17" item="0"/>
        </tpls>
      </m>
      <n v="0">
        <tpls c="7">
          <tpl fld="2" item="1"/>
          <tpl fld="16" item="5"/>
          <tpl fld="0" item="1"/>
          <tpl fld="9" item="62"/>
          <tpl fld="12" item="12"/>
          <tpl fld="1" item="1"/>
          <tpl fld="17" item="0"/>
        </tpls>
      </n>
      <n v="392981">
        <tpls c="6">
          <tpl fld="3" item="0"/>
          <tpl fld="16" item="1"/>
          <tpl hier="31" item="3"/>
          <tpl fld="12" item="5"/>
          <tpl hier="40" item="2"/>
          <tpl fld="17" item="0"/>
        </tpls>
      </n>
      <n v="2">
        <tpls c="7">
          <tpl fld="2" item="1"/>
          <tpl fld="16" item="6"/>
          <tpl fld="0" item="1"/>
          <tpl fld="9" item="59"/>
          <tpl fld="12" item="4"/>
          <tpl fld="1" item="1"/>
          <tpl fld="17" item="0"/>
        </tpls>
      </n>
      <m>
        <tpls c="3">
          <tpl fld="7" item="6"/>
          <tpl fld="5" item="3"/>
          <tpl fld="17" item="1"/>
        </tpls>
      </m>
      <n v="558163">
        <tpls c="7">
          <tpl fld="3" item="0"/>
          <tpl fld="16" item="0"/>
          <tpl hier="31" item="3"/>
          <tpl fld="9" item="4"/>
          <tpl fld="12" item="3"/>
          <tpl hier="40" item="2"/>
          <tpl fld="17" item="0"/>
        </tpls>
      </n>
      <m>
        <tpls c="3">
          <tpl fld="6" item="14"/>
          <tpl fld="4" item="7"/>
          <tpl fld="17" item="1"/>
        </tpls>
      </m>
      <n v="406156412">
        <tpls c="6">
          <tpl fld="2" item="2"/>
          <tpl fld="0" item="2"/>
          <tpl fld="9" item="76"/>
          <tpl fld="12" item="17"/>
          <tpl fld="1" item="1"/>
          <tpl fld="17" item="0"/>
        </tpls>
      </n>
      <n v="1340409">
        <tpls c="6">
          <tpl fld="3" item="1"/>
          <tpl fld="16" item="8"/>
          <tpl hier="31" item="1"/>
          <tpl fld="12" item="6"/>
          <tpl hier="40" item="2"/>
          <tpl fld="17" item="0"/>
        </tpls>
      </n>
      <n v="21188">
        <tpls c="7">
          <tpl fld="3" item="1"/>
          <tpl fld="16" item="5"/>
          <tpl hier="31" item="1"/>
          <tpl fld="9" item="21"/>
          <tpl fld="12" item="3"/>
          <tpl hier="40" item="2"/>
          <tpl fld="17" item="0"/>
        </tpls>
      </n>
      <n v="11434">
        <tpls c="7">
          <tpl fld="3" item="0"/>
          <tpl fld="16" item="8"/>
          <tpl hier="31" item="3"/>
          <tpl fld="9" item="17"/>
          <tpl fld="12" item="2"/>
          <tpl hier="40" item="2"/>
          <tpl fld="17" item="0"/>
        </tpls>
      </n>
      <n v="-66605">
        <tpls c="7">
          <tpl fld="2" item="1"/>
          <tpl fld="16" item="10"/>
          <tpl fld="0" item="1"/>
          <tpl fld="9" item="54"/>
          <tpl fld="12" item="16"/>
          <tpl fld="1" item="1"/>
          <tpl fld="17" item="0"/>
        </tpls>
      </n>
      <n v="2679804">
        <tpls c="6">
          <tpl fld="2" item="2"/>
          <tpl fld="0" item="2"/>
          <tpl fld="9" item="40"/>
          <tpl fld="8" item="1"/>
          <tpl hier="40" item="2"/>
          <tpl fld="17" item="0"/>
        </tpls>
      </n>
      <n v="2180001">
        <tpls c="6">
          <tpl fld="10" item="2"/>
          <tpl hier="31" item="0"/>
          <tpl fld="9" item="9"/>
          <tpl fld="12" item="6"/>
          <tpl hier="40" item="2"/>
          <tpl fld="17" item="0"/>
        </tpls>
      </n>
      <n v="173">
        <tpls c="7">
          <tpl fld="3" item="0"/>
          <tpl fld="16" item="6"/>
          <tpl hier="31" item="3"/>
          <tpl fld="9" item="48"/>
          <tpl fld="12" item="22"/>
          <tpl hier="40" item="2"/>
          <tpl fld="17" item="0"/>
        </tpls>
      </n>
      <n v="361061273">
        <tpls c="5">
          <tpl fld="2" item="0"/>
          <tpl fld="0" item="0"/>
          <tpl fld="12" item="2"/>
          <tpl hier="40" item="2"/>
          <tpl fld="17" item="0"/>
        </tpls>
      </n>
      <n v="0">
        <tpls c="7">
          <tpl fld="3" item="0"/>
          <tpl fld="16" item="11"/>
          <tpl hier="31" item="3"/>
          <tpl fld="9" item="19"/>
          <tpl fld="12" item="5"/>
          <tpl hier="40" item="2"/>
          <tpl fld="17" item="0"/>
        </tpls>
      </n>
      <n v="10314">
        <tpls c="6">
          <tpl fld="10" item="1"/>
          <tpl hier="31" item="1"/>
          <tpl fld="9" item="10"/>
          <tpl fld="8" item="1"/>
          <tpl hier="40" item="2"/>
          <tpl fld="17" item="0"/>
        </tpls>
      </n>
      <n v="5000001">
        <tpls c="6">
          <tpl fld="10" item="3"/>
          <tpl hier="31" item="1"/>
          <tpl fld="9" item="18"/>
          <tpl fld="8" item="0"/>
          <tpl hier="40" item="2"/>
          <tpl fld="17" item="0"/>
        </tpls>
      </n>
      <n v="121393152">
        <tpls c="6">
          <tpl fld="2" item="1"/>
          <tpl hier="10" item="4294967295"/>
          <tpl fld="0" item="1"/>
          <tpl fld="12" item="14"/>
          <tpl fld="1" item="1"/>
          <tpl fld="17" item="0"/>
        </tpls>
      </n>
      <n v="36988">
        <tpls c="6">
          <tpl fld="2" item="1"/>
          <tpl fld="16" item="6"/>
          <tpl fld="0" item="1"/>
          <tpl fld="12" item="4"/>
          <tpl fld="1" item="1"/>
          <tpl fld="17" item="0"/>
        </tpls>
      </n>
      <n v="75108">
        <tpls c="7">
          <tpl fld="3" item="1"/>
          <tpl fld="16" item="5"/>
          <tpl hier="31" item="1"/>
          <tpl fld="9" item="33"/>
          <tpl fld="12" item="6"/>
          <tpl hier="40" item="2"/>
          <tpl fld="17" item="0"/>
        </tpls>
      </n>
      <n v="0">
        <tpls c="6">
          <tpl fld="2" item="1"/>
          <tpl fld="16" item="6"/>
          <tpl fld="0" item="1"/>
          <tpl fld="12" item="7"/>
          <tpl fld="1" item="1"/>
          <tpl fld="17" item="0"/>
        </tpls>
      </n>
      <n v="26155391">
        <tpls c="6">
          <tpl fld="3" item="1"/>
          <tpl fld="16" item="5"/>
          <tpl hier="31" item="1"/>
          <tpl fld="12" item="13"/>
          <tpl hier="40" item="2"/>
          <tpl fld="17" item="0"/>
        </tpls>
      </n>
      <n v="1000581">
        <tpls c="6">
          <tpl fld="2" item="2"/>
          <tpl fld="0" item="2"/>
          <tpl fld="9" item="53"/>
          <tpl fld="8" item="0"/>
          <tpl hier="40" item="2"/>
          <tpl fld="17" item="0"/>
        </tpls>
      </n>
      <n v="5152877">
        <tpls c="6">
          <tpl fld="3" item="1"/>
          <tpl fld="16" item="0"/>
          <tpl hier="31" item="1"/>
          <tpl fld="12" item="3"/>
          <tpl hier="40" item="2"/>
          <tpl fld="17" item="0"/>
        </tpls>
      </n>
      <n v="1403327">
        <tpls c="7">
          <tpl fld="3" item="1"/>
          <tpl fld="16" item="2"/>
          <tpl hier="31" item="1"/>
          <tpl fld="9" item="15"/>
          <tpl fld="12" item="3"/>
          <tpl hier="40" item="2"/>
          <tpl fld="17" item="0"/>
        </tpls>
      </n>
      <n v="10314">
        <tpls c="6">
          <tpl fld="10" item="0"/>
          <tpl hier="31" item="0"/>
          <tpl fld="9" item="10"/>
          <tpl fld="12" item="6"/>
          <tpl hier="40" item="2"/>
          <tpl fld="17" item="0"/>
        </tpls>
      </n>
      <n v="240424089">
        <tpls c="7">
          <tpl fld="3" item="1"/>
          <tpl hier="10" item="4294967295"/>
          <tpl hier="31" item="1"/>
          <tpl fld="9" item="45"/>
          <tpl fld="12" item="13"/>
          <tpl hier="40" item="2"/>
          <tpl fld="17" item="0"/>
        </tpls>
      </n>
      <n v="107860">
        <tpls c="7">
          <tpl fld="3" item="1"/>
          <tpl fld="16" item="10"/>
          <tpl hier="31" item="1"/>
          <tpl fld="9" item="29"/>
          <tpl fld="12" item="2"/>
          <tpl hier="40" item="2"/>
          <tpl fld="17" item="0"/>
        </tpls>
      </n>
      <m>
        <tpls c="3">
          <tpl fld="6" item="1"/>
          <tpl fld="4" item="7"/>
          <tpl fld="17" item="1"/>
        </tpls>
      </m>
      <m>
        <tpls c="6">
          <tpl fld="2" item="2"/>
          <tpl fld="0" item="2"/>
          <tpl fld="9" item="0"/>
          <tpl fld="12" item="2"/>
          <tpl hier="40" item="2"/>
          <tpl fld="17" item="0"/>
        </tpls>
      </m>
      <n v="1155956">
        <tpls c="7">
          <tpl fld="3" item="0"/>
          <tpl fld="16" item="2"/>
          <tpl hier="31" item="3"/>
          <tpl fld="9" item="5"/>
          <tpl fld="12" item="2"/>
          <tpl hier="40" item="2"/>
          <tpl fld="17" item="0"/>
        </tpls>
      </n>
      <n v="0">
        <tpls c="7">
          <tpl fld="3" item="0"/>
          <tpl fld="16" item="1"/>
          <tpl hier="31" item="3"/>
          <tpl fld="9" item="22"/>
          <tpl fld="12" item="2"/>
          <tpl hier="40" item="2"/>
          <tpl fld="17" item="0"/>
        </tpls>
      </n>
      <m>
        <tpls c="3">
          <tpl fld="4" item="3"/>
          <tpl fld="5" item="1"/>
          <tpl fld="17" item="1"/>
        </tpls>
      </m>
      <n v="0">
        <tpls c="7">
          <tpl fld="3" item="0"/>
          <tpl fld="16" item="5"/>
          <tpl hier="31" item="3"/>
          <tpl fld="9" item="1"/>
          <tpl fld="12" item="1"/>
          <tpl hier="40" item="2"/>
          <tpl fld="17" item="0"/>
        </tpls>
      </n>
      <n v="11647944">
        <tpls c="6">
          <tpl fld="2" item="0"/>
          <tpl fld="0" item="0"/>
          <tpl fld="9" item="0"/>
          <tpl fld="8" item="0"/>
          <tpl hier="40" item="2"/>
          <tpl fld="17" item="0"/>
        </tpls>
      </n>
      <n v="1500">
        <tpls c="6">
          <tpl fld="10" item="2"/>
          <tpl hier="31" item="1"/>
          <tpl fld="9" item="43"/>
          <tpl fld="8" item="2"/>
          <tpl hier="40" item="2"/>
          <tpl fld="17" item="0"/>
        </tpls>
      </n>
      <m>
        <tpls c="7">
          <tpl fld="3" item="0"/>
          <tpl fld="16" item="5"/>
          <tpl hier="31" item="3"/>
          <tpl fld="9" item="27"/>
          <tpl fld="12" item="5"/>
          <tpl hier="40" item="2"/>
          <tpl fld="17" item="0"/>
        </tpls>
      </m>
      <n v="250500">
        <tpls c="6">
          <tpl fld="10" item="2"/>
          <tpl hier="31" item="0"/>
          <tpl fld="9" item="52"/>
          <tpl fld="12" item="3"/>
          <tpl hier="40" item="2"/>
          <tpl fld="17" item="0"/>
        </tpls>
      </n>
      <m>
        <tpls c="6">
          <tpl fld="10" item="3"/>
          <tpl hier="31" item="1"/>
          <tpl fld="9" item="2"/>
          <tpl fld="8" item="3"/>
          <tpl hier="40" item="2"/>
          <tpl fld="17" item="0"/>
        </tpls>
      </m>
      <n v="292646501">
        <tpls c="6">
          <tpl fld="2" item="1"/>
          <tpl fld="16" item="11"/>
          <tpl fld="0" item="1"/>
          <tpl fld="12" item="19"/>
          <tpl fld="1" item="1"/>
          <tpl fld="17" item="0"/>
        </tpls>
      </n>
      <n v="54000">
        <tpls c="6">
          <tpl fld="10" item="1"/>
          <tpl hier="31" item="1"/>
          <tpl fld="9" item="11"/>
          <tpl fld="8" item="1"/>
          <tpl hier="40" item="2"/>
          <tpl fld="17" item="0"/>
        </tpls>
      </n>
      <n v="3029536">
        <tpls c="6">
          <tpl fld="3" item="0"/>
          <tpl fld="16" item="11"/>
          <tpl hier="31" item="3"/>
          <tpl fld="12" item="9"/>
          <tpl hier="40" item="2"/>
          <tpl fld="17" item="0"/>
        </tpls>
      </n>
      <n v="0">
        <tpls c="7">
          <tpl fld="3" item="0"/>
          <tpl fld="16" item="11"/>
          <tpl hier="31" item="3"/>
          <tpl fld="9" item="22"/>
          <tpl fld="12" item="2"/>
          <tpl hier="40" item="2"/>
          <tpl fld="17" item="0"/>
        </tpls>
      </n>
      <n v="1185740">
        <tpls c="7">
          <tpl fld="3" item="0"/>
          <tpl fld="16" item="8"/>
          <tpl hier="31" item="3"/>
          <tpl fld="9" item="41"/>
          <tpl fld="12" item="3"/>
          <tpl hier="40" item="2"/>
          <tpl fld="17" item="0"/>
        </tpls>
      </n>
      <n v="234390">
        <tpls c="7">
          <tpl fld="3" item="1"/>
          <tpl fld="16" item="7"/>
          <tpl hier="31" item="1"/>
          <tpl fld="9" item="40"/>
          <tpl fld="12" item="3"/>
          <tpl hier="40" item="2"/>
          <tpl fld="17" item="0"/>
        </tpls>
      </n>
      <n v="3939366">
        <tpls c="6">
          <tpl fld="10" item="2"/>
          <tpl hier="31" item="0"/>
          <tpl fld="9" item="4"/>
          <tpl fld="12" item="3"/>
          <tpl hier="40" item="2"/>
          <tpl fld="17" item="0"/>
        </tpls>
      </n>
      <n v="0">
        <tpls c="6">
          <tpl fld="2" item="1"/>
          <tpl fld="16" item="9"/>
          <tpl fld="0" item="1"/>
          <tpl fld="12" item="7"/>
          <tpl fld="1" item="1"/>
          <tpl fld="17" item="0"/>
        </tpls>
      </n>
      <n v="0">
        <tpls c="7">
          <tpl fld="2" item="1"/>
          <tpl fld="16" item="8"/>
          <tpl fld="0" item="1"/>
          <tpl fld="9" item="58"/>
          <tpl fld="12" item="19"/>
          <tpl fld="1" item="1"/>
          <tpl fld="17" item="0"/>
        </tpls>
      </n>
      <n v="-1630">
        <tpls c="7">
          <tpl fld="2" item="1"/>
          <tpl fld="16" item="8"/>
          <tpl fld="0" item="1"/>
          <tpl fld="9" item="57"/>
          <tpl fld="12" item="8"/>
          <tpl fld="1" item="1"/>
          <tpl fld="17" item="0"/>
        </tpls>
      </n>
      <n v="0">
        <tpls c="7">
          <tpl fld="2" item="1"/>
          <tpl fld="16" item="8"/>
          <tpl fld="0" item="1"/>
          <tpl fld="9" item="50"/>
          <tpl fld="12" item="16"/>
          <tpl fld="1" item="1"/>
          <tpl fld="17" item="0"/>
        </tpls>
      </n>
      <n v="-392981">
        <tpls c="6">
          <tpl fld="2" item="1"/>
          <tpl fld="16" item="8"/>
          <tpl fld="0" item="1"/>
          <tpl fld="12" item="11"/>
          <tpl fld="1" item="1"/>
          <tpl fld="17" item="0"/>
        </tpls>
      </n>
      <n v="83500">
        <tpls c="7">
          <tpl fld="3" item="1"/>
          <tpl fld="16" item="5"/>
          <tpl hier="31" item="1"/>
          <tpl fld="9" item="52"/>
          <tpl fld="12" item="3"/>
          <tpl hier="40" item="2"/>
          <tpl fld="17" item="0"/>
        </tpls>
      </n>
      <n v="53150">
        <tpls c="7">
          <tpl fld="2" item="1"/>
          <tpl fld="16" item="5"/>
          <tpl fld="0" item="1"/>
          <tpl fld="9" item="76"/>
          <tpl fld="12" item="17"/>
          <tpl fld="1" item="1"/>
          <tpl fld="17" item="0"/>
        </tpls>
      </n>
      <n v="6551">
        <tpls c="7">
          <tpl fld="2" item="1"/>
          <tpl fld="16" item="10"/>
          <tpl fld="0" item="1"/>
          <tpl fld="9" item="76"/>
          <tpl fld="12" item="17"/>
          <tpl fld="1" item="1"/>
          <tpl fld="17" item="0"/>
        </tpls>
      </n>
      <m>
        <tpls c="3">
          <tpl fld="7" item="7"/>
          <tpl fld="5" item="1"/>
          <tpl fld="17" item="1"/>
        </tpls>
      </m>
      <n v="139623">
        <tpls c="6">
          <tpl fld="2" item="2"/>
          <tpl fld="0" item="2"/>
          <tpl fld="9" item="44"/>
          <tpl fld="8" item="0"/>
          <tpl hier="40" item="2"/>
          <tpl fld="17" item="0"/>
        </tpls>
      </n>
      <n v="579515">
        <tpls c="7">
          <tpl fld="3" item="0"/>
          <tpl fld="16" item="9"/>
          <tpl hier="31" item="3"/>
          <tpl fld="9" item="49"/>
          <tpl fld="12" item="3"/>
          <tpl hier="40" item="2"/>
          <tpl fld="17" item="0"/>
        </tpls>
      </n>
      <n v="42188998">
        <tpls c="6">
          <tpl fld="10" item="1"/>
          <tpl hier="31" item="1"/>
          <tpl fld="9" item="23"/>
          <tpl fld="8" item="0"/>
          <tpl hier="40" item="2"/>
          <tpl fld="17" item="0"/>
        </tpls>
      </n>
      <n v="0">
        <tpls c="7">
          <tpl fld="3" item="0"/>
          <tpl fld="16" item="11"/>
          <tpl hier="31" item="3"/>
          <tpl fld="9" item="3"/>
          <tpl fld="12" item="2"/>
          <tpl hier="40" item="2"/>
          <tpl fld="17" item="0"/>
        </tpls>
      </n>
      <n v="13155253">
        <tpls c="6">
          <tpl fld="3" item="0"/>
          <tpl fld="16" item="11"/>
          <tpl hier="31" item="3"/>
          <tpl fld="12" item="2"/>
          <tpl hier="40" item="2"/>
          <tpl fld="17" item="0"/>
        </tpls>
      </n>
      <n v="0">
        <tpls c="7">
          <tpl fld="3" item="0"/>
          <tpl fld="16" item="8"/>
          <tpl hier="31" item="3"/>
          <tpl fld="9" item="1"/>
          <tpl fld="12" item="1"/>
          <tpl hier="40" item="2"/>
          <tpl fld="17" item="0"/>
        </tpls>
      </n>
      <n v="3939366">
        <tpls c="6">
          <tpl fld="10" item="3"/>
          <tpl hier="31" item="0"/>
          <tpl fld="9" item="4"/>
          <tpl fld="12" item="3"/>
          <tpl hier="40" item="2"/>
          <tpl fld="17" item="0"/>
        </tpls>
      </n>
      <n v="0">
        <tpls c="7">
          <tpl fld="2" item="1"/>
          <tpl fld="16" item="8"/>
          <tpl fld="0" item="1"/>
          <tpl fld="9" item="69"/>
          <tpl fld="12" item="10"/>
          <tpl fld="1" item="1"/>
          <tpl fld="17" item="0"/>
        </tpls>
      </n>
      <n v="0">
        <tpls c="7">
          <tpl fld="2" item="1"/>
          <tpl fld="16" item="8"/>
          <tpl fld="0" item="1"/>
          <tpl fld="9" item="42"/>
          <tpl fld="12" item="17"/>
          <tpl fld="1" item="1"/>
          <tpl fld="17" item="0"/>
        </tpls>
      </n>
      <n v="11492145">
        <tpls c="7">
          <tpl fld="3" item="1"/>
          <tpl fld="16" item="5"/>
          <tpl hier="31" item="1"/>
          <tpl fld="9" item="23"/>
          <tpl fld="12" item="2"/>
          <tpl hier="40" item="2"/>
          <tpl fld="17" item="0"/>
        </tpls>
      </n>
      <n v="18000">
        <tpls c="7">
          <tpl fld="3" item="1"/>
          <tpl fld="16" item="5"/>
          <tpl hier="31" item="1"/>
          <tpl fld="9" item="11"/>
          <tpl fld="12" item="3"/>
          <tpl hier="40" item="2"/>
          <tpl fld="17" item="0"/>
        </tpls>
      </n>
      <n v="493966">
        <tpls c="7">
          <tpl fld="3" item="0"/>
          <tpl fld="16" item="10"/>
          <tpl hier="31" item="3"/>
          <tpl fld="9" item="15"/>
          <tpl fld="12" item="3"/>
          <tpl hier="40" item="2"/>
          <tpl fld="17" item="0"/>
        </tpls>
      </n>
      <n v="9788760">
        <tpls c="6">
          <tpl fld="2" item="3"/>
          <tpl fld="0" item="2"/>
          <tpl fld="9" item="55"/>
          <tpl fld="12" item="14"/>
          <tpl fld="1" item="1"/>
          <tpl fld="17" item="0"/>
        </tpls>
      </n>
      <n v="9862126">
        <tpls c="7">
          <tpl fld="3" item="1"/>
          <tpl fld="16" item="10"/>
          <tpl hier="31" item="1"/>
          <tpl fld="9" item="23"/>
          <tpl fld="12" item="2"/>
          <tpl hier="40" item="2"/>
          <tpl fld="17" item="0"/>
        </tpls>
      </n>
      <m>
        <tpls c="6">
          <tpl fld="10" item="2"/>
          <tpl hier="31" item="0"/>
          <tpl fld="9" item="27"/>
          <tpl fld="12" item="5"/>
          <tpl hier="40" item="2"/>
          <tpl fld="17" item="0"/>
        </tpls>
      </m>
      <n v="4047638">
        <tpls c="7">
          <tpl fld="2" item="1"/>
          <tpl hier="10" item="4294967295"/>
          <tpl fld="0" item="1"/>
          <tpl fld="9" item="63"/>
          <tpl fld="12" item="16"/>
          <tpl fld="1" item="1"/>
          <tpl fld="17" item="0"/>
        </tpls>
      </n>
      <n v="3741815">
        <tpls c="6">
          <tpl fld="2" item="1"/>
          <tpl fld="0" item="1"/>
          <tpl fld="9" item="9"/>
          <tpl fld="8" item="1"/>
          <tpl hier="40" item="2"/>
          <tpl fld="17" item="0"/>
        </tpls>
      </n>
      <n v="1798231">
        <tpls c="7">
          <tpl fld="3" item="0"/>
          <tpl fld="16" item="1"/>
          <tpl hier="31" item="3"/>
          <tpl fld="9" item="4"/>
          <tpl fld="12" item="3"/>
          <tpl hier="40" item="2"/>
          <tpl fld="17" item="0"/>
        </tpls>
      </n>
      <n v="4062">
        <tpls c="7">
          <tpl fld="3" item="0"/>
          <tpl fld="16" item="2"/>
          <tpl hier="31" item="3"/>
          <tpl fld="9" item="13"/>
          <tpl fld="12" item="3"/>
          <tpl hier="40" item="2"/>
          <tpl fld="17" item="0"/>
        </tpls>
      </n>
      <n v="126859046">
        <tpls c="5">
          <tpl fld="2" item="3"/>
          <tpl fld="0" item="2"/>
          <tpl fld="12" item="21"/>
          <tpl fld="1" item="1"/>
          <tpl fld="17" item="0"/>
        </tpls>
      </n>
      <n v="0">
        <tpls c="5">
          <tpl fld="2" item="3"/>
          <tpl fld="0" item="2"/>
          <tpl fld="12" item="18"/>
          <tpl fld="1" item="1"/>
          <tpl fld="17" item="0"/>
        </tpls>
      </n>
      <n v="0">
        <tpls c="7">
          <tpl fld="2" item="1"/>
          <tpl fld="16" item="9"/>
          <tpl fld="0" item="1"/>
          <tpl fld="9" item="67"/>
          <tpl fld="12" item="16"/>
          <tpl fld="1" item="1"/>
          <tpl fld="17" item="0"/>
        </tpls>
      </n>
      <m>
        <tpls c="3">
          <tpl fld="7" item="3"/>
          <tpl fld="5" item="1"/>
          <tpl fld="17" item="1"/>
        </tpls>
      </m>
      <n v="0">
        <tpls c="7">
          <tpl fld="2" item="1"/>
          <tpl fld="16" item="1"/>
          <tpl fld="0" item="1"/>
          <tpl fld="9" item="50"/>
          <tpl fld="12" item="16"/>
          <tpl fld="1" item="1"/>
          <tpl fld="17" item="0"/>
        </tpls>
      </n>
      <m>
        <tpls c="7">
          <tpl fld="3" item="1"/>
          <tpl fld="16" item="5"/>
          <tpl hier="31" item="1"/>
          <tpl fld="9" item="32"/>
          <tpl fld="12" item="5"/>
          <tpl hier="40" item="2"/>
          <tpl fld="17" item="0"/>
        </tpls>
      </m>
      <n v="173257">
        <tpls c="7">
          <tpl fld="3" item="1"/>
          <tpl fld="16" item="2"/>
          <tpl hier="31" item="1"/>
          <tpl fld="9" item="31"/>
          <tpl fld="12" item="2"/>
          <tpl hier="40" item="2"/>
          <tpl fld="17" item="0"/>
        </tpls>
      </n>
      <n v="0">
        <tpls c="6">
          <tpl fld="2" item="1"/>
          <tpl fld="16" item="7"/>
          <tpl fld="0" item="1"/>
          <tpl fld="12" item="0"/>
          <tpl fld="1" item="1"/>
          <tpl fld="17" item="0"/>
        </tpls>
      </n>
      <n v="1000008">
        <tpls c="6">
          <tpl fld="2" item="0"/>
          <tpl fld="0" item="0"/>
          <tpl fld="9" item="53"/>
          <tpl fld="8" item="0"/>
          <tpl hier="40" item="2"/>
          <tpl fld="17" item="0"/>
        </tpls>
      </n>
      <n v="0">
        <tpls c="6">
          <tpl fld="2" item="1"/>
          <tpl fld="16" item="9"/>
          <tpl fld="0" item="1"/>
          <tpl fld="12" item="21"/>
          <tpl fld="1" item="1"/>
          <tpl fld="17" item="0"/>
        </tpls>
      </n>
      <n v="0">
        <tpls c="6">
          <tpl fld="2" item="1"/>
          <tpl fld="16" item="8"/>
          <tpl fld="0" item="1"/>
          <tpl fld="12" item="14"/>
          <tpl fld="1" item="1"/>
          <tpl fld="17" item="0"/>
        </tpls>
      </n>
      <n v="487058">
        <tpls c="6">
          <tpl fld="2" item="1"/>
          <tpl fld="0" item="1"/>
          <tpl fld="9" item="7"/>
          <tpl fld="8" item="1"/>
          <tpl hier="40" item="2"/>
          <tpl fld="17" item="0"/>
        </tpls>
      </n>
      <n v="0">
        <tpls c="6">
          <tpl fld="2" item="1"/>
          <tpl fld="16" item="6"/>
          <tpl fld="0" item="1"/>
          <tpl fld="12" item="18"/>
          <tpl fld="1" item="1"/>
          <tpl fld="17" item="0"/>
        </tpls>
      </n>
      <n v="922368">
        <tpls c="6">
          <tpl fld="2" item="1"/>
          <tpl fld="0" item="1"/>
          <tpl fld="9" item="53"/>
          <tpl fld="8" item="0"/>
          <tpl hier="40" item="2"/>
          <tpl fld="17" item="0"/>
        </tpls>
      </n>
      <n v="174935">
        <tpls c="7">
          <tpl fld="3" item="1"/>
          <tpl fld="16" item="5"/>
          <tpl hier="31" item="1"/>
          <tpl fld="9" item="31"/>
          <tpl fld="12" item="2"/>
          <tpl hier="40" item="2"/>
          <tpl fld="17" item="0"/>
        </tpls>
      </n>
      <n v="0">
        <tpls c="7">
          <tpl fld="3" item="0"/>
          <tpl fld="16" item="5"/>
          <tpl hier="31" item="3"/>
          <tpl fld="9" item="12"/>
          <tpl fld="12" item="5"/>
          <tpl hier="40" item="2"/>
          <tpl fld="17" item="0"/>
        </tpls>
      </n>
      <n v="1500">
        <tpls c="6">
          <tpl fld="10" item="0"/>
          <tpl hier="31" item="0"/>
          <tpl fld="9" item="48"/>
          <tpl fld="12" item="22"/>
          <tpl hier="40" item="2"/>
          <tpl fld="17" item="0"/>
        </tpls>
      </n>
      <n v="56744398">
        <tpls c="7">
          <tpl fld="2" item="1"/>
          <tpl fld="16" item="11"/>
          <tpl fld="0" item="1"/>
          <tpl fld="9" item="72"/>
          <tpl fld="12" item="17"/>
          <tpl fld="1" item="1"/>
          <tpl fld="17" item="0"/>
        </tpls>
      </n>
      <n v="126859046">
        <tpls c="7">
          <tpl fld="2" item="1"/>
          <tpl hier="10" item="4294967295"/>
          <tpl fld="0" item="1"/>
          <tpl fld="9" item="75"/>
          <tpl fld="12" item="21"/>
          <tpl fld="1" item="1"/>
          <tpl fld="17" item="0"/>
        </tpls>
      </n>
      <n v="184">
        <tpls c="7">
          <tpl fld="3" item="0"/>
          <tpl fld="16" item="9"/>
          <tpl hier="31" item="3"/>
          <tpl fld="9" item="48"/>
          <tpl fld="12" item="22"/>
          <tpl hier="40" item="2"/>
          <tpl fld="17" item="0"/>
        </tpls>
      </n>
      <n v="40617">
        <tpls c="7">
          <tpl fld="3" item="0"/>
          <tpl hier="10" item="4294967295"/>
          <tpl hier="31" item="3"/>
          <tpl fld="9" item="20"/>
          <tpl fld="12" item="2"/>
          <tpl hier="40" item="2"/>
          <tpl fld="17" item="0"/>
        </tpls>
      </n>
      <n v="392981">
        <tpls c="6">
          <tpl fld="3" item="0"/>
          <tpl fld="16" item="5"/>
          <tpl hier="31" item="3"/>
          <tpl fld="12" item="5"/>
          <tpl hier="40" item="2"/>
          <tpl fld="17" item="0"/>
        </tpls>
      </n>
      <n v="578000">
        <tpls c="6">
          <tpl fld="2" item="0"/>
          <tpl fld="0" item="0"/>
          <tpl fld="9" item="7"/>
          <tpl fld="12" item="3"/>
          <tpl hier="40" item="2"/>
          <tpl fld="17" item="0"/>
        </tpls>
      </n>
      <n v="16512">
        <tpls c="6">
          <tpl fld="2" item="1"/>
          <tpl fld="16" item="1"/>
          <tpl fld="0" item="1"/>
          <tpl fld="12" item="0"/>
          <tpl fld="1" item="1"/>
          <tpl fld="17" item="0"/>
        </tpls>
      </n>
      <n v="4814152">
        <tpls c="6">
          <tpl fld="10" item="1"/>
          <tpl hier="31" item="1"/>
          <tpl fld="9" item="25"/>
          <tpl fld="8" item="0"/>
          <tpl hier="40" item="2"/>
          <tpl fld="17" item="0"/>
        </tpls>
      </n>
      <m>
        <tpls c="7">
          <tpl fld="3" item="0"/>
          <tpl fld="16" item="3"/>
          <tpl hier="31" item="3"/>
          <tpl fld="9" item="49"/>
          <tpl fld="12" item="3"/>
          <tpl hier="40" item="2"/>
          <tpl fld="17" item="0"/>
        </tpls>
      </m>
      <n v="-630806">
        <tpls c="6">
          <tpl fld="2" item="1"/>
          <tpl fld="16" item="5"/>
          <tpl fld="0" item="1"/>
          <tpl fld="12" item="15"/>
          <tpl fld="1" item="1"/>
          <tpl fld="17" item="0"/>
        </tpls>
      </n>
      <n v="-19131709">
        <tpls c="6">
          <tpl fld="2" item="1"/>
          <tpl fld="16" item="6"/>
          <tpl fld="0" item="1"/>
          <tpl fld="12" item="16"/>
          <tpl fld="1" item="1"/>
          <tpl fld="17" item="0"/>
        </tpls>
      </n>
      <n v="270324">
        <tpls c="6">
          <tpl fld="10" item="2"/>
          <tpl hier="31" item="1"/>
          <tpl fld="9" item="33"/>
          <tpl fld="8" item="1"/>
          <tpl hier="40" item="2"/>
          <tpl fld="17" item="0"/>
        </tpls>
      </n>
      <n v="1178943">
        <tpls c="6">
          <tpl fld="10" item="2"/>
          <tpl hier="31" item="0"/>
          <tpl fld="9" item="38"/>
          <tpl fld="12" item="5"/>
          <tpl hier="40" item="2"/>
          <tpl fld="17" item="0"/>
        </tpls>
      </n>
      <n v="18175602">
        <tpls c="6">
          <tpl fld="3" item="0"/>
          <tpl fld="16" item="8"/>
          <tpl hier="31" item="3"/>
          <tpl fld="12" item="13"/>
          <tpl hier="40" item="2"/>
          <tpl fld="17" item="0"/>
        </tpls>
      </n>
      <n v="19">
        <tpls c="7">
          <tpl fld="2" item="1"/>
          <tpl fld="16" item="5"/>
          <tpl fld="0" item="1"/>
          <tpl fld="9" item="59"/>
          <tpl fld="12" item="4"/>
          <tpl fld="1" item="1"/>
          <tpl fld="17" item="0"/>
        </tpls>
      </n>
      <n v="4167">
        <tpls c="7">
          <tpl fld="3" item="1"/>
          <tpl fld="16" item="5"/>
          <tpl hier="31" item="1"/>
          <tpl fld="9" item="20"/>
          <tpl fld="12" item="2"/>
          <tpl hier="40" item="2"/>
          <tpl fld="17" item="0"/>
        </tpls>
      </n>
      <m>
        <tpls c="7">
          <tpl fld="3" item="1"/>
          <tpl fld="16" item="5"/>
          <tpl hier="31" item="1"/>
          <tpl fld="9" item="14"/>
          <tpl fld="12" item="3"/>
          <tpl hier="40" item="2"/>
          <tpl fld="17" item="0"/>
        </tpls>
      </m>
      <n v="88500">
        <tpls c="6">
          <tpl fld="10" item="2"/>
          <tpl hier="31" item="1"/>
          <tpl fld="9" item="7"/>
          <tpl fld="8" item="1"/>
          <tpl hier="40" item="2"/>
          <tpl fld="17" item="0"/>
        </tpls>
      </n>
      <n v="-1528">
        <tpls c="7">
          <tpl fld="2" item="1"/>
          <tpl fld="16" item="9"/>
          <tpl fld="0" item="1"/>
          <tpl fld="9" item="47"/>
          <tpl fld="12" item="17"/>
          <tpl fld="1" item="1"/>
          <tpl fld="17" item="0"/>
        </tpls>
      </n>
      <n v="822747">
        <tpls c="6">
          <tpl fld="2" item="2"/>
          <tpl fld="0" item="2"/>
          <tpl fld="9" item="52"/>
          <tpl fld="12" item="3"/>
          <tpl hier="40" item="2"/>
          <tpl fld="17" item="0"/>
        </tpls>
      </n>
      <n v="3199998">
        <tpls c="6">
          <tpl fld="10" item="3"/>
          <tpl hier="31" item="0"/>
          <tpl fld="9" item="0"/>
          <tpl fld="12" item="2"/>
          <tpl hier="40" item="2"/>
          <tpl fld="17" item="0"/>
        </tpls>
      </n>
      <n v="726667">
        <tpls c="7">
          <tpl fld="3" item="1"/>
          <tpl fld="16" item="2"/>
          <tpl hier="31" item="1"/>
          <tpl fld="9" item="9"/>
          <tpl fld="12" item="6"/>
          <tpl hier="40" item="2"/>
          <tpl fld="17" item="0"/>
        </tpls>
      </n>
      <n v="1519774">
        <tpls c="7">
          <tpl fld="3" item="0"/>
          <tpl fld="16" item="9"/>
          <tpl hier="31" item="3"/>
          <tpl fld="9" item="18"/>
          <tpl fld="12" item="2"/>
          <tpl hier="40" item="2"/>
          <tpl fld="17" item="0"/>
        </tpls>
      </n>
      <n v="4096015">
        <tpls c="6">
          <tpl fld="3" item="1"/>
          <tpl fld="16" item="6"/>
          <tpl hier="31" item="1"/>
          <tpl fld="12" item="9"/>
          <tpl hier="40" item="2"/>
          <tpl fld="17" item="0"/>
        </tpls>
      </n>
      <n v="-514384">
        <tpls c="7">
          <tpl fld="2" item="1"/>
          <tpl fld="16" item="1"/>
          <tpl fld="0" item="1"/>
          <tpl fld="9" item="63"/>
          <tpl fld="12" item="16"/>
          <tpl fld="1" item="1"/>
          <tpl fld="17" item="0"/>
        </tpls>
      </n>
      <n v="0">
        <tpls c="7">
          <tpl fld="2" item="1"/>
          <tpl fld="16" item="1"/>
          <tpl fld="0" item="1"/>
          <tpl fld="9" item="39"/>
          <tpl fld="12" item="0"/>
          <tpl fld="1" item="1"/>
          <tpl fld="17" item="0"/>
        </tpls>
      </n>
      <n v="43778">
        <tpls c="7">
          <tpl fld="2" item="1"/>
          <tpl hier="10" item="4294967295"/>
          <tpl fld="0" item="1"/>
          <tpl fld="9" item="57"/>
          <tpl fld="12" item="8"/>
          <tpl fld="1" item="1"/>
          <tpl fld="17" item="0"/>
        </tpls>
      </n>
      <n v="59539">
        <tpls c="7">
          <tpl fld="2" item="1"/>
          <tpl fld="16" item="10"/>
          <tpl fld="0" item="1"/>
          <tpl fld="9" item="59"/>
          <tpl fld="12" item="4"/>
          <tpl fld="1" item="1"/>
          <tpl fld="17" item="0"/>
        </tpls>
      </n>
      <n v="75108">
        <tpls c="7">
          <tpl fld="3" item="1"/>
          <tpl fld="16" item="4"/>
          <tpl hier="31" item="1"/>
          <tpl fld="9" item="33"/>
          <tpl fld="12" item="6"/>
          <tpl hier="40" item="2"/>
          <tpl fld="17" item="0"/>
        </tpls>
      </n>
      <n v="1110003">
        <tpls c="6">
          <tpl fld="2" item="0"/>
          <tpl fld="0" item="0"/>
          <tpl fld="9" item="29"/>
          <tpl fld="8" item="0"/>
          <tpl hier="40" item="2"/>
          <tpl fld="17" item="0"/>
        </tpls>
      </n>
      <n v="0">
        <tpls c="6">
          <tpl fld="2" item="1"/>
          <tpl fld="0" item="1"/>
          <tpl fld="9" item="22"/>
          <tpl fld="12" item="2"/>
          <tpl hier="40" item="2"/>
          <tpl fld="17" item="0"/>
        </tpls>
      </n>
      <n v="18000">
        <tpls c="7">
          <tpl fld="3" item="1"/>
          <tpl fld="16" item="3"/>
          <tpl hier="31" item="1"/>
          <tpl fld="9" item="11"/>
          <tpl fld="12" item="3"/>
          <tpl hier="40" item="2"/>
          <tpl fld="17" item="0"/>
        </tpls>
      </n>
      <n v="14309">
        <tpls c="7">
          <tpl fld="3" item="0"/>
          <tpl hier="10" item="4294967295"/>
          <tpl hier="31" item="3"/>
          <tpl fld="9" item="19"/>
          <tpl fld="12" item="5"/>
          <tpl hier="40" item="2"/>
          <tpl fld="17" item="0"/>
        </tpls>
      </n>
      <n v="108467551">
        <tpls c="6">
          <tpl fld="2" item="3"/>
          <tpl fld="0" item="2"/>
          <tpl fld="9" item="16"/>
          <tpl fld="12" item="11"/>
          <tpl fld="1" item="1"/>
          <tpl fld="17" item="0"/>
        </tpls>
      </n>
      <m>
        <tpls c="7">
          <tpl fld="3" item="0"/>
          <tpl fld="16" item="4"/>
          <tpl hier="31" item="3"/>
          <tpl fld="9" item="1"/>
          <tpl fld="12" item="1"/>
          <tpl hier="40" item="2"/>
          <tpl fld="17" item="0"/>
        </tpls>
      </m>
      <n v="0">
        <tpls c="7">
          <tpl fld="2" item="1"/>
          <tpl fld="16" item="2"/>
          <tpl fld="0" item="1"/>
          <tpl fld="9" item="58"/>
          <tpl fld="12" item="19"/>
          <tpl fld="1" item="1"/>
          <tpl fld="17" item="0"/>
        </tpls>
      </n>
      <n v="7973667">
        <tpls c="6">
          <tpl fld="2" item="3"/>
          <tpl fld="0" item="2"/>
          <tpl fld="9" item="63"/>
          <tpl fld="12" item="16"/>
          <tpl fld="1" item="1"/>
          <tpl fld="17" item="0"/>
        </tpls>
      </n>
      <m>
        <tpls c="7">
          <tpl fld="3" item="1"/>
          <tpl fld="16" item="11"/>
          <tpl hier="31" item="1"/>
          <tpl fld="9" item="19"/>
          <tpl fld="12" item="5"/>
          <tpl hier="40" item="2"/>
          <tpl fld="17" item="0"/>
        </tpls>
      </m>
      <n v="18903275">
        <tpls c="7">
          <tpl fld="3" item="0"/>
          <tpl fld="16" item="7"/>
          <tpl hier="31" item="3"/>
          <tpl fld="9" item="45"/>
          <tpl fld="12" item="13"/>
          <tpl hier="40" item="2"/>
          <tpl fld="17" item="0"/>
        </tpls>
      </n>
      <n v="0">
        <tpls c="7">
          <tpl fld="2" item="1"/>
          <tpl fld="16" item="9"/>
          <tpl fld="0" item="1"/>
          <tpl fld="9" item="55"/>
          <tpl fld="12" item="14"/>
          <tpl fld="1" item="1"/>
          <tpl fld="17" item="0"/>
        </tpls>
      </n>
      <n v="80000">
        <tpls c="7">
          <tpl fld="3" item="1"/>
          <tpl hier="10" item="4294967295"/>
          <tpl hier="31" item="1"/>
          <tpl fld="9" item="2"/>
          <tpl fld="12" item="1"/>
          <tpl hier="40" item="2"/>
          <tpl fld="17" item="0"/>
        </tpls>
      </n>
      <m>
        <tpls c="7">
          <tpl fld="3" item="1"/>
          <tpl fld="16" item="3"/>
          <tpl hier="31" item="1"/>
          <tpl fld="9" item="1"/>
          <tpl fld="12" item="1"/>
          <tpl hier="40" item="2"/>
          <tpl fld="17" item="0"/>
        </tpls>
      </m>
      <m>
        <tpls c="7">
          <tpl fld="3" item="1"/>
          <tpl fld="16" item="11"/>
          <tpl hier="31" item="1"/>
          <tpl fld="9" item="27"/>
          <tpl fld="12" item="5"/>
          <tpl hier="40" item="2"/>
          <tpl fld="17" item="0"/>
        </tpls>
      </m>
      <n v="630000" in="0">
        <tpls c="3">
          <tpl fld="4" item="4"/>
          <tpl fld="5" item="0"/>
          <tpl fld="17" item="1"/>
        </tpls>
      </n>
      <m>
        <tpls c="3">
          <tpl fld="6" item="16"/>
          <tpl fld="4" item="4"/>
          <tpl fld="17" item="1"/>
        </tpls>
      </m>
      <n v="15656">
        <tpls c="7">
          <tpl fld="3" item="0"/>
          <tpl fld="16" item="3"/>
          <tpl hier="31" item="3"/>
          <tpl fld="9" item="17"/>
          <tpl fld="12" item="2"/>
          <tpl hier="40" item="2"/>
          <tpl fld="17" item="0"/>
        </tpls>
      </n>
      <n v="1500">
        <tpls c="6">
          <tpl fld="10" item="2"/>
          <tpl hier="31" item="0"/>
          <tpl fld="9" item="43"/>
          <tpl fld="12" item="22"/>
          <tpl hier="40" item="2"/>
          <tpl fld="17" item="0"/>
        </tpls>
      </n>
      <n v="9992200">
        <tpls c="6">
          <tpl fld="2" item="0"/>
          <tpl fld="0" item="0"/>
          <tpl fld="9" item="41"/>
          <tpl fld="12" item="3"/>
          <tpl hier="40" item="2"/>
          <tpl fld="17" item="0"/>
        </tpls>
      </n>
      <n v="-1583172">
        <tpls c="7">
          <tpl fld="2" item="1"/>
          <tpl fld="16" item="9"/>
          <tpl fld="0" item="1"/>
          <tpl fld="9" item="72"/>
          <tpl fld="12" item="17"/>
          <tpl fld="1" item="1"/>
          <tpl fld="17" item="0"/>
        </tpls>
      </n>
      <n v="-173856">
        <tpls c="7">
          <tpl fld="2" item="1"/>
          <tpl fld="16" item="1"/>
          <tpl fld="0" item="1"/>
          <tpl fld="9" item="34"/>
          <tpl fld="12" item="17"/>
          <tpl fld="1" item="1"/>
          <tpl fld="17" item="0"/>
        </tpls>
      </n>
      <m>
        <tpls c="7">
          <tpl fld="3" item="1"/>
          <tpl fld="16" item="11"/>
          <tpl hier="31" item="1"/>
          <tpl fld="9" item="7"/>
          <tpl fld="12" item="3"/>
          <tpl hier="40" item="2"/>
          <tpl fld="17" item="0"/>
        </tpls>
      </m>
      <n v="126859046">
        <tpls c="5">
          <tpl fld="2" item="2"/>
          <tpl fld="0" item="2"/>
          <tpl fld="12" item="21"/>
          <tpl fld="1" item="1"/>
          <tpl fld="17" item="0"/>
        </tpls>
      </n>
      <n v="280875">
        <tpls c="6">
          <tpl fld="2" item="1"/>
          <tpl fld="0" item="1"/>
          <tpl fld="9" item="21"/>
          <tpl fld="12" item="3"/>
          <tpl hier="40" item="2"/>
          <tpl fld="17" item="0"/>
        </tpls>
      </n>
      <n v="18000">
        <tpls c="7">
          <tpl fld="3" item="1"/>
          <tpl fld="16" item="2"/>
          <tpl hier="31" item="1"/>
          <tpl fld="9" item="11"/>
          <tpl fld="12" item="3"/>
          <tpl hier="40" item="2"/>
          <tpl fld="17" item="0"/>
        </tpls>
      </n>
      <n v="0">
        <tpls c="7">
          <tpl fld="2" item="1"/>
          <tpl fld="16" item="6"/>
          <tpl fld="0" item="1"/>
          <tpl fld="9" item="30"/>
          <tpl fld="12" item="15"/>
          <tpl fld="1" item="1"/>
          <tpl fld="17" item="0"/>
        </tpls>
      </n>
      <n v="292066">
        <tpls c="6">
          <tpl fld="3" item="0"/>
          <tpl fld="16" item="5"/>
          <tpl hier="31" item="3"/>
          <tpl fld="12" item="6"/>
          <tpl hier="40" item="2"/>
          <tpl fld="17" item="0"/>
        </tpls>
      </n>
      <n v="398500">
        <tpls c="6">
          <tpl fld="10" item="1"/>
          <tpl hier="31" item="1"/>
          <tpl fld="9" item="52"/>
          <tpl fld="8" item="1"/>
          <tpl hier="40" item="2"/>
          <tpl fld="17" item="0"/>
        </tpls>
      </n>
      <n v="0">
        <tpls c="7">
          <tpl fld="2" item="1"/>
          <tpl fld="16" item="9"/>
          <tpl fld="0" item="1"/>
          <tpl fld="9" item="69"/>
          <tpl fld="12" item="10"/>
          <tpl fld="1" item="1"/>
          <tpl fld="17" item="0"/>
        </tpls>
      </n>
      <n v="169348">
        <tpls c="7">
          <tpl fld="3" item="0"/>
          <tpl fld="16" item="8"/>
          <tpl hier="31" item="3"/>
          <tpl fld="9" item="31"/>
          <tpl fld="12" item="2"/>
          <tpl hier="40" item="2"/>
          <tpl fld="17" item="0"/>
        </tpls>
      </n>
      <n v="4740539">
        <tpls c="6">
          <tpl fld="3" item="1"/>
          <tpl fld="16" item="8"/>
          <tpl hier="31" item="1"/>
          <tpl fld="12" item="3"/>
          <tpl hier="40" item="2"/>
          <tpl fld="17" item="0"/>
        </tpls>
      </n>
      <n v="0">
        <tpls c="7">
          <tpl fld="3" item="0"/>
          <tpl fld="16" item="6"/>
          <tpl hier="31" item="3"/>
          <tpl fld="9" item="32"/>
          <tpl fld="12" item="5"/>
          <tpl hier="40" item="2"/>
          <tpl fld="17" item="0"/>
        </tpls>
      </n>
      <n v="1500">
        <tpls c="6">
          <tpl fld="10" item="3"/>
          <tpl hier="31" item="0"/>
          <tpl fld="9" item="43"/>
          <tpl fld="12" item="22"/>
          <tpl hier="40" item="2"/>
          <tpl fld="17" item="0"/>
        </tpls>
      </n>
      <m>
        <tpls c="7">
          <tpl fld="3" item="1"/>
          <tpl fld="16" item="9"/>
          <tpl hier="31" item="1"/>
          <tpl fld="9" item="22"/>
          <tpl fld="12" item="2"/>
          <tpl hier="40" item="2"/>
          <tpl fld="17" item="0"/>
        </tpls>
      </m>
      <n v="-2430269">
        <tpls c="6">
          <tpl fld="2" item="1"/>
          <tpl fld="16" item="8"/>
          <tpl fld="0" item="1"/>
          <tpl fld="12" item="17"/>
          <tpl fld="1" item="1"/>
          <tpl fld="17" item="0"/>
        </tpls>
      </n>
      <m>
        <tpls c="3">
          <tpl fld="6" item="19"/>
          <tpl fld="4" item="6"/>
          <tpl fld="17" item="1"/>
        </tpls>
      </m>
      <m>
        <tpls c="6">
          <tpl fld="2" item="0"/>
          <tpl fld="0" item="0"/>
          <tpl fld="9" item="37"/>
          <tpl fld="8" item="3"/>
          <tpl hier="40" item="2"/>
          <tpl fld="17" item="0"/>
        </tpls>
      </m>
      <n v="0">
        <tpls c="6">
          <tpl fld="2" item="1"/>
          <tpl fld="16" item="8"/>
          <tpl fld="0" item="1"/>
          <tpl fld="12" item="19"/>
          <tpl fld="1" item="1"/>
          <tpl fld="17" item="0"/>
        </tpls>
      </n>
      <n v="392981">
        <tpls c="7">
          <tpl fld="3" item="0"/>
          <tpl fld="16" item="11"/>
          <tpl hier="31" item="3"/>
          <tpl fld="9" item="38"/>
          <tpl fld="12" item="5"/>
          <tpl hier="40" item="2"/>
          <tpl fld="17" item="0"/>
        </tpls>
      </n>
      <n v="34781521">
        <tpls c="6">
          <tpl fld="10" item="0"/>
          <tpl hier="31" item="1"/>
          <tpl fld="9" item="23"/>
          <tpl fld="8" item="0"/>
          <tpl hier="40" item="2"/>
          <tpl fld="17" item="0"/>
        </tpls>
      </n>
      <m>
        <tpls c="7">
          <tpl fld="3" item="1"/>
          <tpl fld="16" item="9"/>
          <tpl hier="31" item="1"/>
          <tpl fld="9" item="27"/>
          <tpl fld="12" item="5"/>
          <tpl hier="40" item="2"/>
          <tpl fld="17" item="0"/>
        </tpls>
      </m>
      <n v="2457635">
        <tpls c="6">
          <tpl fld="3" item="0"/>
          <tpl fld="16" item="0"/>
          <tpl hier="31" item="3"/>
          <tpl fld="12" item="3"/>
          <tpl hier="40" item="2"/>
          <tpl fld="17" item="0"/>
        </tpls>
      </n>
      <n v="-19205">
        <tpls c="7">
          <tpl fld="2" item="1"/>
          <tpl fld="16" item="8"/>
          <tpl fld="0" item="1"/>
          <tpl fld="9" item="46"/>
          <tpl fld="12" item="0"/>
          <tpl fld="1" item="1"/>
          <tpl fld="17" item="0"/>
        </tpls>
      </n>
      <n v="1005442">
        <tpls c="7">
          <tpl fld="3" item="1"/>
          <tpl fld="16" item="8"/>
          <tpl hier="31" item="1"/>
          <tpl fld="9" item="9"/>
          <tpl fld="12" item="6"/>
          <tpl hier="40" item="2"/>
          <tpl fld="17" item="0"/>
        </tpls>
      </n>
      <n v="0">
        <tpls c="7">
          <tpl fld="2" item="1"/>
          <tpl fld="16" item="9"/>
          <tpl fld="0" item="1"/>
          <tpl fld="9" item="42"/>
          <tpl fld="12" item="17"/>
          <tpl fld="1" item="1"/>
          <tpl fld="17" item="0"/>
        </tpls>
      </n>
      <n v="257278">
        <tpls c="6">
          <tpl fld="10" item="0"/>
          <tpl hier="31" item="0"/>
          <tpl fld="9" item="29"/>
          <tpl fld="12" item="2"/>
          <tpl hier="40" item="2"/>
          <tpl fld="17" item="0"/>
        </tpls>
      </n>
      <n v="177253">
        <tpls c="7">
          <tpl fld="2" item="1"/>
          <tpl fld="16" item="5"/>
          <tpl fld="0" item="1"/>
          <tpl fld="9" item="66"/>
          <tpl fld="12" item="4"/>
          <tpl fld="1" item="1"/>
          <tpl fld="17" item="0"/>
        </tpls>
      </n>
      <n v="0">
        <tpls c="7">
          <tpl fld="2" item="1"/>
          <tpl fld="16" item="8"/>
          <tpl fld="0" item="1"/>
          <tpl fld="9" item="75"/>
          <tpl fld="12" item="21"/>
          <tpl fld="1" item="1"/>
          <tpl fld="17" item="0"/>
        </tpls>
      </n>
      <n v="13500001">
        <tpls c="6">
          <tpl fld="2" item="0"/>
          <tpl fld="0" item="0"/>
          <tpl fld="9" item="25"/>
          <tpl fld="12" item="2"/>
          <tpl hier="40" item="2"/>
          <tpl fld="17" item="0"/>
        </tpls>
      </n>
      <n v="83500">
        <tpls c="7">
          <tpl fld="3" item="1"/>
          <tpl fld="16" item="10"/>
          <tpl hier="31" item="1"/>
          <tpl fld="9" item="52"/>
          <tpl fld="12" item="3"/>
          <tpl hier="40" item="2"/>
          <tpl fld="17" item="0"/>
        </tpls>
      </n>
      <n v="0">
        <tpls c="7">
          <tpl fld="2" item="1"/>
          <tpl fld="16" item="10"/>
          <tpl fld="0" item="1"/>
          <tpl fld="9" item="69"/>
          <tpl fld="12" item="10"/>
          <tpl fld="1" item="1"/>
          <tpl fld="17" item="0"/>
        </tpls>
      </n>
      <n v="75593">
        <tpls c="7">
          <tpl fld="3" item="1"/>
          <tpl fld="16" item="5"/>
          <tpl hier="31" item="1"/>
          <tpl fld="9" item="29"/>
          <tpl fld="12" item="2"/>
          <tpl hier="40" item="2"/>
          <tpl fld="17" item="0"/>
        </tpls>
      </n>
      <m>
        <tpls c="6">
          <tpl fld="10" item="3"/>
          <tpl hier="31" item="1"/>
          <tpl fld="9" item="60"/>
          <tpl fld="8" item="2"/>
          <tpl hier="40" item="2"/>
          <tpl fld="17" item="0"/>
        </tpls>
      </m>
      <n v="1975200">
        <tpls c="7">
          <tpl fld="3" item="0"/>
          <tpl hier="10" item="4294967295"/>
          <tpl hier="31" item="3"/>
          <tpl fld="9" item="31"/>
          <tpl fld="12" item="2"/>
          <tpl hier="40" item="2"/>
          <tpl fld="17" item="0"/>
        </tpls>
      </n>
      <n v="83500">
        <tpls c="7">
          <tpl fld="3" item="1"/>
          <tpl fld="16" item="11"/>
          <tpl hier="31" item="1"/>
          <tpl fld="9" item="52"/>
          <tpl fld="12" item="3"/>
          <tpl hier="40" item="2"/>
          <tpl fld="17" item="0"/>
        </tpls>
      </n>
      <n v="328221">
        <tpls c="6">
          <tpl fld="3" item="0"/>
          <tpl fld="16" item="7"/>
          <tpl hier="31" item="3"/>
          <tpl fld="12" item="6"/>
          <tpl hier="40" item="2"/>
          <tpl fld="17" item="0"/>
        </tpls>
      </n>
      <n v="360636">
        <tpls c="3">
          <tpl fld="11" item="9"/>
          <tpl fld="15" item="3"/>
          <tpl fld="17" item="2"/>
        </tpls>
      </n>
      <n v="20007791">
        <tpls c="6">
          <tpl fld="3" item="1"/>
          <tpl fld="16" item="8"/>
          <tpl hier="31" item="1"/>
          <tpl fld="12" item="13"/>
          <tpl hier="40" item="2"/>
          <tpl fld="17" item="0"/>
        </tpls>
      </n>
      <n v="3438">
        <tpls c="7">
          <tpl fld="3" item="1"/>
          <tpl fld="16" item="5"/>
          <tpl hier="31" item="1"/>
          <tpl fld="9" item="10"/>
          <tpl fld="12" item="6"/>
          <tpl hier="40" item="2"/>
          <tpl fld="17" item="0"/>
        </tpls>
      </n>
      <n v="1178943">
        <tpls c="6">
          <tpl fld="10" item="1"/>
          <tpl hier="31" item="1"/>
          <tpl fld="9" item="38"/>
          <tpl fld="8" item="2"/>
          <tpl hier="40" item="2"/>
          <tpl fld="17" item="0"/>
        </tpls>
      </n>
      <n v="100000">
        <tpls c="7">
          <tpl fld="3" item="1"/>
          <tpl hier="10" item="4294967295"/>
          <tpl hier="31" item="1"/>
          <tpl fld="9" item="12"/>
          <tpl fld="12" item="5"/>
          <tpl hier="40" item="2"/>
          <tpl fld="17" item="0"/>
        </tpls>
      </n>
      <n v="150432">
        <tpls c="6">
          <tpl fld="2" item="1"/>
          <tpl fld="16" item="8"/>
          <tpl fld="0" item="1"/>
          <tpl fld="12" item="4"/>
          <tpl fld="1" item="1"/>
          <tpl fld="17" item="0"/>
        </tpls>
      </n>
      <n v="110198">
        <tpls c="6">
          <tpl fld="2" item="2"/>
          <tpl fld="0" item="2"/>
          <tpl fld="9" item="36"/>
          <tpl fld="8" item="1"/>
          <tpl hier="40" item="2"/>
          <tpl fld="17" item="0"/>
        </tpls>
      </n>
      <n v="726667">
        <tpls c="7">
          <tpl fld="3" item="1"/>
          <tpl fld="16" item="10"/>
          <tpl hier="31" item="1"/>
          <tpl fld="9" item="9"/>
          <tpl fld="12" item="6"/>
          <tpl hier="40" item="2"/>
          <tpl fld="17" item="0"/>
        </tpls>
      </n>
      <n v="26669">
        <tpls c="7">
          <tpl fld="3" item="0"/>
          <tpl fld="16" item="2"/>
          <tpl hier="31" item="3"/>
          <tpl fld="9" item="17"/>
          <tpl fld="12" item="2"/>
          <tpl hier="40" item="2"/>
          <tpl fld="17" item="0"/>
        </tpls>
      </n>
      <n v="143505">
        <tpls c="6">
          <tpl fld="2" item="1"/>
          <tpl fld="0" item="1"/>
          <tpl fld="9" item="36"/>
          <tpl fld="8" item="1"/>
          <tpl hier="40" item="2"/>
          <tpl fld="17" item="0"/>
        </tpls>
      </n>
      <m>
        <tpls c="7">
          <tpl fld="3" item="1"/>
          <tpl fld="16" item="11"/>
          <tpl hier="31" item="1"/>
          <tpl fld="9" item="6"/>
          <tpl fld="12" item="1"/>
          <tpl hier="40" item="2"/>
          <tpl fld="17" item="0"/>
        </tpls>
      </m>
      <n v="7281">
        <tpls c="6">
          <tpl fld="2" item="1"/>
          <tpl fld="0" item="1"/>
          <tpl fld="9" item="10"/>
          <tpl fld="8" item="1"/>
          <tpl hier="40" item="2"/>
          <tpl fld="17" item="0"/>
        </tpls>
      </n>
      <n v="1831">
        <tpls c="6">
          <tpl fld="2" item="2"/>
          <tpl fld="0" item="2"/>
          <tpl fld="9" item="48"/>
          <tpl fld="12" item="22"/>
          <tpl hier="40" item="2"/>
          <tpl fld="17" item="0"/>
        </tpls>
      </n>
      <n v="0">
        <tpls c="7">
          <tpl fld="3" item="0"/>
          <tpl fld="16" item="11"/>
          <tpl hier="31" item="3"/>
          <tpl fld="9" item="24"/>
          <tpl fld="12" item="6"/>
          <tpl hier="40" item="2"/>
          <tpl fld="17" item="0"/>
        </tpls>
      </n>
      <n v="14727208">
        <tpls c="5">
          <tpl fld="2" item="0"/>
          <tpl fld="0" item="0"/>
          <tpl fld="12" item="6"/>
          <tpl hier="40" item="2"/>
          <tpl fld="17" item="0"/>
        </tpls>
      </n>
      <n v="1976">
        <tpls c="6">
          <tpl fld="2" item="1"/>
          <tpl fld="0" item="1"/>
          <tpl fld="9" item="48"/>
          <tpl fld="8" item="2"/>
          <tpl hier="40" item="2"/>
          <tpl fld="17" item="0"/>
        </tpls>
      </n>
      <n v="60023373">
        <tpls c="5">
          <tpl fld="10" item="1"/>
          <tpl hier="31" item="0"/>
          <tpl fld="12" item="13"/>
          <tpl hier="40" item="2"/>
          <tpl fld="17" item="0"/>
        </tpls>
      </n>
      <n v="88578">
        <tpls c="7">
          <tpl fld="3" item="0"/>
          <tpl fld="16" item="5"/>
          <tpl hier="31" item="3"/>
          <tpl fld="9" item="53"/>
          <tpl fld="12" item="2"/>
          <tpl hier="40" item="2"/>
          <tpl fld="17" item="0"/>
        </tpls>
      </n>
      <n v="63564">
        <tpls c="6">
          <tpl fld="10" item="3"/>
          <tpl hier="31" item="1"/>
          <tpl fld="9" item="21"/>
          <tpl fld="8" item="1"/>
          <tpl hier="40" item="2"/>
          <tpl fld="17" item="0"/>
        </tpls>
      </n>
      <n v="21481592">
        <tpls c="7">
          <tpl fld="2" item="1"/>
          <tpl fld="16" item="11"/>
          <tpl fld="0" item="1"/>
          <tpl fld="9" item="28"/>
          <tpl fld="12" item="15"/>
          <tpl fld="1" item="1"/>
          <tpl fld="17" item="0"/>
        </tpls>
      </n>
      <n v="13250229">
        <tpls c="6">
          <tpl fld="2" item="1"/>
          <tpl fld="0" item="1"/>
          <tpl fld="9" item="4"/>
          <tpl fld="8" item="1"/>
          <tpl hier="40" item="2"/>
          <tpl fld="17" item="0"/>
        </tpls>
      </n>
      <m>
        <tpls c="7">
          <tpl fld="3" item="1"/>
          <tpl fld="16" item="7"/>
          <tpl hier="31" item="1"/>
          <tpl fld="9" item="6"/>
          <tpl fld="12" item="1"/>
          <tpl hier="40" item="2"/>
          <tpl fld="17" item="0"/>
        </tpls>
      </m>
      <n v="17834372">
        <tpls c="6">
          <tpl fld="2" item="1"/>
          <tpl fld="0" item="1"/>
          <tpl fld="9" item="0"/>
          <tpl fld="12" item="2"/>
          <tpl hier="40" item="2"/>
          <tpl fld="17" item="0"/>
        </tpls>
      </n>
      <n v="14923142">
        <tpls c="5">
          <tpl fld="10" item="0"/>
          <tpl hier="31" item="0"/>
          <tpl fld="12" item="9"/>
          <tpl hier="40" item="2"/>
          <tpl fld="17" item="0"/>
        </tpls>
      </n>
      <n v="115651">
        <tpls c="7">
          <tpl fld="3" item="0"/>
          <tpl fld="16" item="11"/>
          <tpl hier="31" item="3"/>
          <tpl fld="9" item="4"/>
          <tpl fld="12" item="3"/>
          <tpl hier="40" item="2"/>
          <tpl fld="17" item="0"/>
        </tpls>
      </n>
      <n v="908211">
        <tpls c="6">
          <tpl fld="2" item="2"/>
          <tpl fld="0" item="2"/>
          <tpl fld="9" item="13"/>
          <tpl fld="8" item="1"/>
          <tpl hier="40" item="2"/>
          <tpl fld="17" item="0"/>
        </tpls>
      </n>
      <n v="5000001">
        <tpls c="6">
          <tpl fld="10" item="0"/>
          <tpl hier="31" item="1"/>
          <tpl fld="9" item="18"/>
          <tpl fld="8" item="0"/>
          <tpl hier="40" item="2"/>
          <tpl fld="17" item="0"/>
        </tpls>
      </n>
      <n v="0">
        <tpls c="7">
          <tpl fld="2" item="1"/>
          <tpl fld="16" item="5"/>
          <tpl fld="0" item="1"/>
          <tpl fld="9" item="67"/>
          <tpl fld="12" item="16"/>
          <tpl fld="1" item="1"/>
          <tpl fld="17" item="0"/>
        </tpls>
      </n>
      <n v="53868887">
        <tpls c="5">
          <tpl fld="10" item="2"/>
          <tpl hier="31" item="0"/>
          <tpl fld="12" item="2"/>
          <tpl hier="40" item="2"/>
          <tpl fld="17" item="0"/>
        </tpls>
      </n>
      <n v="1056">
        <tpls c="7">
          <tpl fld="2" item="1"/>
          <tpl fld="16" item="8"/>
          <tpl fld="0" item="1"/>
          <tpl fld="9" item="70"/>
          <tpl fld="12" item="8"/>
          <tpl fld="1" item="1"/>
          <tpl fld="17" item="0"/>
        </tpls>
      </n>
      <m>
        <tpls c="6">
          <tpl fld="3" item="1"/>
          <tpl fld="16" item="6"/>
          <tpl hier="31" item="1"/>
          <tpl fld="12" item="20"/>
          <tpl hier="40" item="2"/>
          <tpl fld="17" item="0"/>
        </tpls>
      </m>
      <n v="256421">
        <tpls c="7">
          <tpl fld="3" item="1"/>
          <tpl fld="16" item="4"/>
          <tpl hier="31" item="1"/>
          <tpl fld="9" item="24"/>
          <tpl fld="12" item="6"/>
          <tpl hier="40" item="2"/>
          <tpl fld="17" item="0"/>
        </tpls>
      </n>
      <m>
        <tpls c="7">
          <tpl fld="3" item="0"/>
          <tpl fld="16" item="4"/>
          <tpl hier="31" item="3"/>
          <tpl fld="9" item="27"/>
          <tpl fld="12" item="5"/>
          <tpl hier="40" item="2"/>
          <tpl fld="17" item="0"/>
        </tpls>
      </m>
      <n v="0">
        <tpls c="7">
          <tpl fld="2" item="1"/>
          <tpl fld="16" item="10"/>
          <tpl fld="0" item="1"/>
          <tpl fld="9" item="39"/>
          <tpl fld="12" item="0"/>
          <tpl fld="1" item="1"/>
          <tpl fld="17" item="0"/>
        </tpls>
      </n>
      <n v="3438">
        <tpls c="7">
          <tpl fld="3" item="1"/>
          <tpl fld="16" item="11"/>
          <tpl hier="31" item="1"/>
          <tpl fld="9" item="10"/>
          <tpl fld="12" item="6"/>
          <tpl hier="40" item="2"/>
          <tpl fld="17" item="0"/>
        </tpls>
      </n>
      <n v="1061634">
        <tpls c="6">
          <tpl fld="3" item="1"/>
          <tpl fld="16" item="5"/>
          <tpl hier="31" item="1"/>
          <tpl fld="12" item="6"/>
          <tpl hier="40" item="2"/>
          <tpl fld="17" item="0"/>
        </tpls>
      </n>
      <n v="63612">
        <tpls c="7">
          <tpl fld="3" item="0"/>
          <tpl fld="16" item="10"/>
          <tpl hier="31" item="3"/>
          <tpl fld="9" item="29"/>
          <tpl fld="12" item="2"/>
          <tpl hier="40" item="2"/>
          <tpl fld="17" item="0"/>
        </tpls>
      </n>
      <n v="0">
        <tpls c="7">
          <tpl fld="2" item="1"/>
          <tpl fld="16" item="5"/>
          <tpl fld="0" item="1"/>
          <tpl fld="9" item="73"/>
          <tpl fld="12" item="4"/>
          <tpl fld="1" item="1"/>
          <tpl fld="17" item="0"/>
        </tpls>
      </n>
      <n v="681">
        <tpls c="6">
          <tpl fld="2" item="2"/>
          <tpl fld="0" item="2"/>
          <tpl fld="9" item="6"/>
          <tpl fld="12" item="1"/>
          <tpl hier="40" item="2"/>
          <tpl fld="17" item="0"/>
        </tpls>
      </n>
      <n v="0">
        <tpls c="7">
          <tpl fld="3" item="0"/>
          <tpl fld="16" item="5"/>
          <tpl hier="31" item="3"/>
          <tpl fld="9" item="13"/>
          <tpl fld="12" item="3"/>
          <tpl hier="40" item="2"/>
          <tpl fld="17" item="0"/>
        </tpls>
      </n>
      <n v="0">
        <tpls c="7">
          <tpl fld="2" item="1"/>
          <tpl fld="16" item="1"/>
          <tpl fld="0" item="1"/>
          <tpl fld="9" item="75"/>
          <tpl fld="12" item="21"/>
          <tpl fld="1" item="1"/>
          <tpl fld="17" item="0"/>
        </tpls>
      </n>
      <n v="4715772">
        <tpls c="6">
          <tpl fld="2" item="1"/>
          <tpl fld="0" item="1"/>
          <tpl fld="9" item="38"/>
          <tpl fld="12" item="5"/>
          <tpl hier="40" item="2"/>
          <tpl fld="17" item="0"/>
        </tpls>
      </n>
      <n v="57131378">
        <tpls c="6">
          <tpl fld="10" item="0"/>
          <tpl hier="31" item="1"/>
          <tpl fld="9" item="45"/>
          <tpl fld="8" item="1"/>
          <tpl hier="40" item="2"/>
          <tpl fld="17" item="0"/>
        </tpls>
      </n>
      <n v="75108">
        <tpls c="7">
          <tpl fld="3" item="1"/>
          <tpl fld="16" item="11"/>
          <tpl hier="31" item="1"/>
          <tpl fld="9" item="33"/>
          <tpl fld="12" item="6"/>
          <tpl hier="40" item="2"/>
          <tpl fld="17" item="0"/>
        </tpls>
      </n>
      <n v="5000">
        <tpls c="7">
          <tpl fld="3" item="1"/>
          <tpl fld="16" item="5"/>
          <tpl hier="31" item="1"/>
          <tpl fld="9" item="44"/>
          <tpl fld="12" item="2"/>
          <tpl hier="40" item="2"/>
          <tpl fld="17" item="0"/>
        </tpls>
      </n>
      <n v="22726453">
        <tpls c="6">
          <tpl fld="2" item="1"/>
          <tpl hier="10" item="4294967295"/>
          <tpl fld="0" item="1"/>
          <tpl fld="12" item="16"/>
          <tpl fld="1" item="1"/>
          <tpl fld="17" item="0"/>
        </tpls>
      </n>
      <n v="1038921">
        <tpls c="7">
          <tpl fld="3" item="1"/>
          <tpl fld="16" item="1"/>
          <tpl hier="31" item="1"/>
          <tpl fld="9" item="24"/>
          <tpl fld="12" item="6"/>
          <tpl hier="40" item="2"/>
          <tpl fld="17" item="0"/>
        </tpls>
      </n>
      <m>
        <tpls c="6">
          <tpl fld="2" item="1"/>
          <tpl fld="0" item="1"/>
          <tpl fld="9" item="60"/>
          <tpl fld="8" item="2"/>
          <tpl hier="40" item="2"/>
          <tpl fld="17" item="0"/>
        </tpls>
      </m>
      <n v="500">
        <tpls c="7">
          <tpl fld="3" item="1"/>
          <tpl fld="16" item="9"/>
          <tpl hier="31" item="1"/>
          <tpl fld="9" item="48"/>
          <tpl fld="12" item="22"/>
          <tpl hier="40" item="2"/>
          <tpl fld="17" item="0"/>
        </tpls>
      </n>
      <n v="908211">
        <tpls c="6">
          <tpl fld="2" item="2"/>
          <tpl fld="0" item="2"/>
          <tpl fld="9" item="13"/>
          <tpl fld="12" item="3"/>
          <tpl hier="40" item="2"/>
          <tpl fld="17" item="0"/>
        </tpls>
      </n>
      <n v="3495">
        <tpls c="7">
          <tpl fld="3" item="0"/>
          <tpl fld="16" item="11"/>
          <tpl hier="31" item="3"/>
          <tpl fld="9" item="10"/>
          <tpl fld="12" item="6"/>
          <tpl hier="40" item="2"/>
          <tpl fld="17" item="0"/>
        </tpls>
      </n>
      <n v="250500">
        <tpls c="6">
          <tpl fld="10" item="2"/>
          <tpl hier="31" item="1"/>
          <tpl fld="9" item="52"/>
          <tpl fld="8" item="1"/>
          <tpl hier="40" item="2"/>
          <tpl fld="17" item="0"/>
        </tpls>
      </n>
      <n v="172">
        <tpls c="7">
          <tpl fld="3" item="0"/>
          <tpl fld="16" item="2"/>
          <tpl hier="31" item="3"/>
          <tpl fld="9" item="6"/>
          <tpl fld="12" item="1"/>
          <tpl hier="40" item="2"/>
          <tpl fld="17" item="0"/>
        </tpls>
      </n>
      <n v="18991617">
        <tpls c="7">
          <tpl fld="3" item="1"/>
          <tpl fld="16" item="0"/>
          <tpl hier="31" item="1"/>
          <tpl fld="9" item="45"/>
          <tpl fld="12" item="13"/>
          <tpl hier="40" item="2"/>
          <tpl fld="17" item="0"/>
        </tpls>
      </n>
      <n v="0">
        <tpls c="6">
          <tpl fld="2" item="1"/>
          <tpl fld="16" item="0"/>
          <tpl fld="0" item="1"/>
          <tpl fld="12" item="10"/>
          <tpl fld="1" item="1"/>
          <tpl fld="17" item="0"/>
        </tpls>
      </n>
      <n v="12776143">
        <tpls c="7">
          <tpl fld="3" item="0"/>
          <tpl fld="16" item="5"/>
          <tpl hier="31" item="3"/>
          <tpl fld="9" item="23"/>
          <tpl fld="12" item="2"/>
          <tpl hier="40" item="2"/>
          <tpl fld="17" item="0"/>
        </tpls>
      </n>
      <n v="703170">
        <tpls c="6">
          <tpl fld="10" item="1"/>
          <tpl hier="31" item="1"/>
          <tpl fld="9" item="40"/>
          <tpl fld="8" item="1"/>
          <tpl hier="40" item="2"/>
          <tpl fld="17" item="0"/>
        </tpls>
      </n>
      <m>
        <tpls c="7">
          <tpl fld="3" item="1"/>
          <tpl fld="16" item="5"/>
          <tpl hier="31" item="1"/>
          <tpl fld="9" item="6"/>
          <tpl fld="12" item="1"/>
          <tpl hier="40" item="2"/>
          <tpl fld="17" item="0"/>
        </tpls>
      </m>
      <n v="0">
        <tpls c="6">
          <tpl fld="3" item="0"/>
          <tpl fld="16" item="5"/>
          <tpl hier="31" item="3"/>
          <tpl fld="12" item="20"/>
          <tpl hier="40" item="2"/>
          <tpl fld="17" item="0"/>
        </tpls>
      </n>
      <n v="406156412">
        <tpls c="7">
          <tpl fld="2" item="1"/>
          <tpl fld="16" item="11"/>
          <tpl fld="0" item="1"/>
          <tpl fld="9" item="76"/>
          <tpl fld="12" item="17"/>
          <tpl fld="1" item="1"/>
          <tpl fld="17" item="0"/>
        </tpls>
      </n>
      <n v="0">
        <tpls c="6">
          <tpl fld="2" item="1"/>
          <tpl fld="16" item="10"/>
          <tpl fld="0" item="1"/>
          <tpl fld="12" item="7"/>
          <tpl fld="1" item="1"/>
          <tpl fld="17" item="0"/>
        </tpls>
      </n>
      <m>
        <tpls c="6">
          <tpl fld="3" item="1"/>
          <tpl fld="16" item="0"/>
          <tpl hier="31" item="1"/>
          <tpl fld="12" item="20"/>
          <tpl hier="40" item="2"/>
          <tpl fld="17" item="0"/>
        </tpls>
      </m>
      <n v="0">
        <tpls c="6">
          <tpl fld="2" item="1"/>
          <tpl fld="16" item="6"/>
          <tpl fld="0" item="1"/>
          <tpl fld="12" item="21"/>
          <tpl fld="1" item="1"/>
          <tpl fld="17" item="0"/>
        </tpls>
      </n>
      <n v="-392981">
        <tpls c="7">
          <tpl fld="2" item="1"/>
          <tpl fld="16" item="0"/>
          <tpl fld="0" item="1"/>
          <tpl fld="9" item="16"/>
          <tpl fld="12" item="11"/>
          <tpl fld="1" item="1"/>
          <tpl fld="17" item="0"/>
        </tpls>
      </n>
      <n v="131726">
        <tpls c="7">
          <tpl fld="3" item="0"/>
          <tpl fld="16" item="1"/>
          <tpl hier="31" item="3"/>
          <tpl fld="9" item="52"/>
          <tpl fld="12" item="3"/>
          <tpl hier="40" item="2"/>
          <tpl fld="17" item="0"/>
        </tpls>
      </n>
      <n v="183761">
        <tpls c="7">
          <tpl fld="3" item="0"/>
          <tpl fld="16" item="2"/>
          <tpl hier="31" item="3"/>
          <tpl fld="9" item="33"/>
          <tpl fld="12" item="6"/>
          <tpl hier="40" item="2"/>
          <tpl fld="17" item="0"/>
        </tpls>
      </n>
      <m>
        <tpls c="7">
          <tpl fld="3" item="1"/>
          <tpl fld="16" item="9"/>
          <tpl hier="31" item="1"/>
          <tpl fld="9" item="49"/>
          <tpl fld="12" item="3"/>
          <tpl hier="40" item="2"/>
          <tpl fld="17" item="0"/>
        </tpls>
      </m>
      <n v="1100213">
        <tpls c="7">
          <tpl fld="3" item="1"/>
          <tpl fld="16" item="2"/>
          <tpl hier="31" item="1"/>
          <tpl fld="9" item="25"/>
          <tpl fld="12" item="2"/>
          <tpl hier="40" item="2"/>
          <tpl fld="17" item="0"/>
        </tpls>
      </n>
      <n v="36890000" in="0">
        <tpls c="3">
          <tpl fld="4" item="0"/>
          <tpl hier="22" item="4294967295"/>
          <tpl fld="17" item="1"/>
        </tpls>
      </n>
      <n v="250500">
        <tpls c="6">
          <tpl fld="10" item="3"/>
          <tpl hier="31" item="1"/>
          <tpl fld="9" item="52"/>
          <tpl fld="8" item="1"/>
          <tpl hier="40" item="2"/>
          <tpl fld="17" item="0"/>
        </tpls>
      </n>
      <n v="394629">
        <tpls c="7">
          <tpl fld="3" item="0"/>
          <tpl fld="16" item="9"/>
          <tpl hier="31" item="3"/>
          <tpl fld="9" item="24"/>
          <tpl fld="12" item="6"/>
          <tpl hier="40" item="2"/>
          <tpl fld="17" item="0"/>
        </tpls>
      </n>
      <m>
        <tpls c="7">
          <tpl fld="3" item="1"/>
          <tpl fld="16" item="9"/>
          <tpl hier="31" item="1"/>
          <tpl fld="9" item="2"/>
          <tpl fld="12" item="1"/>
          <tpl hier="40" item="2"/>
          <tpl fld="17" item="0"/>
        </tpls>
      </m>
      <n v="500">
        <tpls c="7">
          <tpl fld="3" item="1"/>
          <tpl fld="16" item="5"/>
          <tpl hier="31" item="1"/>
          <tpl fld="9" item="48"/>
          <tpl fld="12" item="22"/>
          <tpl hier="40" item="2"/>
          <tpl fld="17" item="0"/>
        </tpls>
      </n>
      <n v="13282218">
        <tpls c="7">
          <tpl fld="3" item="1"/>
          <tpl fld="16" item="0"/>
          <tpl hier="31" item="1"/>
          <tpl fld="9" item="23"/>
          <tpl fld="12" item="2"/>
          <tpl hier="40" item="2"/>
          <tpl fld="17" item="0"/>
        </tpls>
      </n>
      <m>
        <tpls c="3">
          <tpl fld="4" item="1"/>
          <tpl fld="5" item="1"/>
          <tpl fld="17" item="1"/>
        </tpls>
      </m>
      <m>
        <tpls c="7">
          <tpl fld="3" item="1"/>
          <tpl fld="16" item="0"/>
          <tpl hier="31" item="1"/>
          <tpl fld="9" item="19"/>
          <tpl fld="12" item="5"/>
          <tpl hier="40" item="2"/>
          <tpl fld="17" item="0"/>
        </tpls>
      </m>
      <n v="56676">
        <tpls c="6">
          <tpl fld="2" item="2"/>
          <tpl fld="0" item="2"/>
          <tpl fld="9" item="2"/>
          <tpl fld="8" item="3"/>
          <tpl hier="40" item="2"/>
          <tpl fld="17" item="0"/>
        </tpls>
      </n>
      <m>
        <tpls c="6">
          <tpl fld="10" item="3"/>
          <tpl hier="31" item="1"/>
          <tpl fld="9" item="36"/>
          <tpl fld="8" item="1"/>
          <tpl hier="40" item="2"/>
          <tpl fld="17" item="0"/>
        </tpls>
      </m>
      <m>
        <tpls c="5">
          <tpl fld="10" item="2"/>
          <tpl hier="31" item="0"/>
          <tpl fld="12" item="20"/>
          <tpl hier="40" item="2"/>
          <tpl fld="17" item="0"/>
        </tpls>
      </m>
      <m>
        <tpls c="6">
          <tpl fld="10" item="2"/>
          <tpl hier="31" item="0"/>
          <tpl fld="9" item="32"/>
          <tpl fld="12" item="5"/>
          <tpl hier="40" item="2"/>
          <tpl fld="17" item="0"/>
        </tpls>
      </m>
      <n v="2983382">
        <tpls c="7">
          <tpl fld="3" item="0"/>
          <tpl fld="16" item="11"/>
          <tpl hier="31" item="3"/>
          <tpl fld="9" item="5"/>
          <tpl fld="12" item="2"/>
          <tpl hier="40" item="2"/>
          <tpl fld="17" item="0"/>
        </tpls>
      </n>
      <n v="230846283">
        <tpls c="6">
          <tpl fld="2" item="2"/>
          <tpl fld="0" item="2"/>
          <tpl fld="9" item="45"/>
          <tpl fld="8" item="1"/>
          <tpl hier="40" item="2"/>
          <tpl fld="17" item="0"/>
        </tpls>
      </n>
      <m>
        <tpls c="6">
          <tpl fld="10" item="3"/>
          <tpl hier="31" item="1"/>
          <tpl fld="9" item="19"/>
          <tpl fld="8" item="2"/>
          <tpl hier="40" item="2"/>
          <tpl fld="17" item="0"/>
        </tpls>
      </m>
      <n v="-477952">
        <tpls c="7">
          <tpl fld="2" item="1"/>
          <tpl fld="16" item="5"/>
          <tpl fld="0" item="1"/>
          <tpl fld="9" item="74"/>
          <tpl fld="12" item="17"/>
          <tpl fld="1" item="1"/>
          <tpl fld="17" item="0"/>
        </tpls>
      </n>
      <n v="3016326">
        <tpls c="6">
          <tpl fld="10" item="1"/>
          <tpl hier="31" item="0"/>
          <tpl fld="9" item="9"/>
          <tpl fld="12" item="6"/>
          <tpl hier="40" item="2"/>
          <tpl fld="17" item="0"/>
        </tpls>
      </n>
      <n v="507059">
        <tpls c="7">
          <tpl fld="2" item="1"/>
          <tpl fld="16" item="11"/>
          <tpl fld="0" item="1"/>
          <tpl fld="9" item="73"/>
          <tpl fld="12" item="4"/>
          <tpl fld="1" item="1"/>
          <tpl fld="17" item="0"/>
        </tpls>
      </n>
      <n v="0">
        <tpls c="6">
          <tpl fld="3" item="0"/>
          <tpl hier="10" item="4294967295"/>
          <tpl hier="31" item="3"/>
          <tpl fld="12" item="20"/>
          <tpl hier="40" item="2"/>
          <tpl fld="17" item="0"/>
        </tpls>
      </n>
      <n v="392981">
        <tpls c="6">
          <tpl fld="3" item="1"/>
          <tpl fld="16" item="5"/>
          <tpl hier="31" item="1"/>
          <tpl fld="12" item="5"/>
          <tpl hier="40" item="2"/>
          <tpl fld="17" item="0"/>
        </tpls>
      </n>
      <n v="50328">
        <tpls c="7">
          <tpl fld="3" item="0"/>
          <tpl fld="16" item="8"/>
          <tpl hier="31" item="3"/>
          <tpl fld="9" item="53"/>
          <tpl fld="12" item="2"/>
          <tpl hier="40" item="2"/>
          <tpl fld="17" item="0"/>
        </tpls>
      </n>
      <n v="0">
        <tpls c="7">
          <tpl fld="2" item="1"/>
          <tpl fld="16" item="6"/>
          <tpl fld="0" item="1"/>
          <tpl fld="9" item="75"/>
          <tpl fld="12" item="21"/>
          <tpl fld="1" item="1"/>
          <tpl fld="17" item="0"/>
        </tpls>
      </n>
      <n v="81068264">
        <tpls c="6">
          <tpl fld="2" item="2"/>
          <tpl fld="0" item="2"/>
          <tpl fld="9" item="56"/>
          <tpl fld="12" item="8"/>
          <tpl fld="1" item="1"/>
          <tpl fld="17" item="0"/>
        </tpls>
      </n>
      <m>
        <tpls c="3">
          <tpl fld="6" item="7"/>
          <tpl fld="4" item="0"/>
          <tpl fld="17" item="1"/>
        </tpls>
      </m>
      <n v="2000175">
        <tpls c="6">
          <tpl fld="3" item="0"/>
          <tpl fld="16" item="10"/>
          <tpl hier="31" item="3"/>
          <tpl fld="12" item="3"/>
          <tpl hier="40" item="2"/>
          <tpl fld="17" item="0"/>
        </tpls>
      </n>
      <n v="59081004">
        <tpls c="6">
          <tpl fld="2" item="2"/>
          <tpl fld="0" item="2"/>
          <tpl fld="9" item="65"/>
          <tpl fld="12" item="14"/>
          <tpl fld="1" item="1"/>
          <tpl fld="17" item="0"/>
        </tpls>
      </n>
      <n v="0">
        <tpls c="7">
          <tpl fld="3" item="0"/>
          <tpl fld="16" item="11"/>
          <tpl hier="31" item="3"/>
          <tpl fld="9" item="33"/>
          <tpl fld="12" item="6"/>
          <tpl hier="40" item="2"/>
          <tpl fld="17" item="0"/>
        </tpls>
      </n>
      <n v="2180001">
        <tpls c="6">
          <tpl fld="10" item="3"/>
          <tpl hier="31" item="1"/>
          <tpl fld="9" item="9"/>
          <tpl fld="8" item="1"/>
          <tpl hier="40" item="2"/>
          <tpl fld="17" item="0"/>
        </tpls>
      </n>
      <n v="256421">
        <tpls c="7">
          <tpl fld="3" item="1"/>
          <tpl fld="16" item="2"/>
          <tpl hier="31" item="1"/>
          <tpl fld="9" item="24"/>
          <tpl fld="12" item="6"/>
          <tpl hier="40" item="2"/>
          <tpl fld="17" item="0"/>
        </tpls>
      </n>
      <n v="0">
        <tpls c="6">
          <tpl fld="2" item="1"/>
          <tpl fld="16" item="5"/>
          <tpl fld="0" item="1"/>
          <tpl fld="12" item="12"/>
          <tpl fld="1" item="1"/>
          <tpl fld="17" item="0"/>
        </tpls>
      </n>
      <n v="4209981">
        <tpls c="6">
          <tpl fld="10" item="0"/>
          <tpl hier="31" item="1"/>
          <tpl fld="9" item="15"/>
          <tpl fld="8" item="1"/>
          <tpl hier="40" item="2"/>
          <tpl fld="17" item="0"/>
        </tpls>
      </n>
      <n v="2885980">
        <tpls c="7">
          <tpl fld="3" item="1"/>
          <tpl fld="16" item="11"/>
          <tpl hier="31" item="1"/>
          <tpl fld="9" item="5"/>
          <tpl fld="12" item="2"/>
          <tpl hier="40" item="2"/>
          <tpl fld="17" item="0"/>
        </tpls>
      </n>
      <n v="0">
        <tpls c="6">
          <tpl fld="2" item="1"/>
          <tpl fld="16" item="8"/>
          <tpl fld="0" item="1"/>
          <tpl fld="12" item="18"/>
          <tpl fld="1" item="1"/>
          <tpl fld="17" item="0"/>
        </tpls>
      </n>
      <n v="18943946">
        <tpls c="7">
          <tpl fld="3" item="0"/>
          <tpl fld="16" item="3"/>
          <tpl hier="31" item="3"/>
          <tpl fld="9" item="45"/>
          <tpl fld="12" item="13"/>
          <tpl hier="40" item="2"/>
          <tpl fld="17" item="0"/>
        </tpls>
      </n>
      <n v="803170">
        <tpls c="6">
          <tpl fld="10" item="2"/>
          <tpl hier="31" item="0"/>
          <tpl fld="9" item="40"/>
          <tpl fld="12" item="3"/>
          <tpl hier="40" item="2"/>
          <tpl fld="17" item="0"/>
        </tpls>
      </n>
      <n v="12501">
        <tpls c="6">
          <tpl fld="10" item="0"/>
          <tpl hier="31" item="0"/>
          <tpl fld="9" item="20"/>
          <tpl fld="12" item="2"/>
          <tpl hier="40" item="2"/>
          <tpl fld="17" item="0"/>
        </tpls>
      </n>
      <n v="163451">
        <tpls c="6">
          <tpl fld="2" item="2"/>
          <tpl fld="0" item="2"/>
          <tpl fld="9" item="33"/>
          <tpl fld="12" item="6"/>
          <tpl hier="40" item="2"/>
          <tpl fld="17" item="0"/>
        </tpls>
      </n>
      <n v="406088">
        <tpls c="6">
          <tpl fld="2" item="2"/>
          <tpl fld="0" item="2"/>
          <tpl fld="9" item="35"/>
          <tpl fld="12" item="3"/>
          <tpl hier="40" item="2"/>
          <tpl fld="17" item="0"/>
        </tpls>
      </n>
      <n v="1722989">
        <tpls c="7">
          <tpl fld="3" item="1"/>
          <tpl fld="16" item="9"/>
          <tpl hier="31" item="1"/>
          <tpl fld="9" item="15"/>
          <tpl fld="12" item="3"/>
          <tpl hier="40" item="2"/>
          <tpl fld="17" item="0"/>
        </tpls>
      </n>
      <n v="850926">
        <tpls c="7">
          <tpl fld="3" item="0"/>
          <tpl fld="16" item="8"/>
          <tpl hier="31" item="3"/>
          <tpl fld="9" item="18"/>
          <tpl fld="12" item="2"/>
          <tpl hier="40" item="2"/>
          <tpl fld="17" item="0"/>
        </tpls>
      </n>
      <n v="392981">
        <tpls c="6">
          <tpl fld="3" item="1"/>
          <tpl fld="16" item="9"/>
          <tpl hier="31" item="1"/>
          <tpl fld="12" item="5"/>
          <tpl hier="40" item="2"/>
          <tpl fld="17" item="0"/>
        </tpls>
      </n>
      <m>
        <tpls c="6">
          <tpl fld="10" item="2"/>
          <tpl hier="31" item="1"/>
          <tpl fld="9" item="19"/>
          <tpl fld="8" item="2"/>
          <tpl hier="40" item="2"/>
          <tpl fld="17" item="0"/>
        </tpls>
      </m>
      <n v="-4100">
        <tpls c="7">
          <tpl fld="2" item="1"/>
          <tpl fld="16" item="0"/>
          <tpl fld="0" item="1"/>
          <tpl fld="9" item="57"/>
          <tpl fld="12" item="8"/>
          <tpl fld="1" item="1"/>
          <tpl fld="17" item="0"/>
        </tpls>
      </n>
      <n v="2180001">
        <tpls c="6">
          <tpl fld="10" item="3"/>
          <tpl hier="31" item="0"/>
          <tpl fld="9" item="9"/>
          <tpl fld="12" item="6"/>
          <tpl hier="40" item="2"/>
          <tpl fld="17" item="0"/>
        </tpls>
      </n>
      <n v="0">
        <tpls c="7">
          <tpl fld="2" item="1"/>
          <tpl fld="16" item="8"/>
          <tpl fld="0" item="1"/>
          <tpl fld="9" item="62"/>
          <tpl fld="12" item="12"/>
          <tpl fld="1" item="1"/>
          <tpl fld="17" item="0"/>
        </tpls>
      </n>
      <n v="83334">
        <tpls c="7">
          <tpl fld="3" item="1"/>
          <tpl fld="16" item="5"/>
          <tpl hier="31" item="1"/>
          <tpl fld="9" item="53"/>
          <tpl fld="12" item="2"/>
          <tpl hier="40" item="2"/>
          <tpl fld="17" item="0"/>
        </tpls>
      </n>
      <n v="0">
        <tpls c="5">
          <tpl fld="2" item="3"/>
          <tpl fld="0" item="2"/>
          <tpl fld="12" item="7"/>
          <tpl fld="1" item="1"/>
          <tpl fld="17" item="0"/>
        </tpls>
      </n>
      <m>
        <tpls c="6">
          <tpl fld="3" item="1"/>
          <tpl fld="16" item="4"/>
          <tpl hier="31" item="1"/>
          <tpl fld="12" item="20"/>
          <tpl hier="40" item="2"/>
          <tpl fld="17" item="0"/>
        </tpls>
      </m>
      <n v="8">
        <tpls c="7">
          <tpl fld="3" item="0"/>
          <tpl fld="16" item="4"/>
          <tpl hier="31" item="3"/>
          <tpl fld="9" item="43"/>
          <tpl fld="12" item="22"/>
          <tpl hier="40" item="2"/>
          <tpl fld="17" item="0"/>
        </tpls>
      </n>
      <n v="10679717">
        <tpls c="7">
          <tpl fld="3" item="1"/>
          <tpl fld="16" item="2"/>
          <tpl hier="31" item="1"/>
          <tpl fld="9" item="23"/>
          <tpl fld="12" item="2"/>
          <tpl hier="40" item="2"/>
          <tpl fld="17" item="0"/>
        </tpls>
      </n>
      <n v="1722989">
        <tpls c="7">
          <tpl fld="3" item="1"/>
          <tpl fld="16" item="5"/>
          <tpl hier="31" item="1"/>
          <tpl fld="9" item="15"/>
          <tpl fld="12" item="3"/>
          <tpl hier="40" item="2"/>
          <tpl fld="17" item="0"/>
        </tpls>
      </n>
      <n v="0">
        <tpls c="6">
          <tpl fld="10" item="0"/>
          <tpl hier="31" item="1"/>
          <tpl fld="9" item="12"/>
          <tpl fld="8" item="2"/>
          <tpl hier="40" item="2"/>
          <tpl fld="17" item="0"/>
        </tpls>
      </n>
      <n v="54000">
        <tpls c="6">
          <tpl fld="10" item="0"/>
          <tpl hier="31" item="0"/>
          <tpl fld="9" item="11"/>
          <tpl fld="12" item="3"/>
          <tpl hier="40" item="2"/>
          <tpl fld="17" item="0"/>
        </tpls>
      </n>
      <m>
        <tpls c="3">
          <tpl fld="6" item="21"/>
          <tpl fld="4" item="3"/>
          <tpl fld="17" item="1"/>
        </tpls>
      </m>
      <n v="17620505">
        <tpls c="6">
          <tpl fld="3" item="1"/>
          <tpl fld="16" item="5"/>
          <tpl hier="31" item="1"/>
          <tpl fld="12" item="2"/>
          <tpl hier="40" item="2"/>
          <tpl fld="17" item="0"/>
        </tpls>
      </n>
      <n v="18511073">
        <tpls c="6">
          <tpl fld="3" item="0"/>
          <tpl fld="16" item="1"/>
          <tpl hier="31" item="3"/>
          <tpl fld="12" item="13"/>
          <tpl hier="40" item="2"/>
          <tpl fld="17" item="0"/>
        </tpls>
      </n>
      <n v="465000">
        <tpls c="6">
          <tpl fld="10" item="2"/>
          <tpl hier="31" item="1"/>
          <tpl fld="9" item="35"/>
          <tpl fld="8" item="1"/>
          <tpl hier="40" item="2"/>
          <tpl fld="17" item="0"/>
        </tpls>
      </n>
      <n v="8814314">
        <tpls c="7">
          <tpl fld="3" item="0"/>
          <tpl fld="16" item="7"/>
          <tpl hier="31" item="3"/>
          <tpl fld="9" item="23"/>
          <tpl fld="12" item="2"/>
          <tpl hier="40" item="2"/>
          <tpl fld="17" item="0"/>
        </tpls>
      </n>
      <m>
        <tpls c="3">
          <tpl fld="6" item="4"/>
          <tpl fld="4" item="7"/>
          <tpl fld="17" item="1"/>
        </tpls>
      </m>
      <n v="4167">
        <tpls c="3">
          <tpl fld="11" item="1"/>
          <tpl fld="15" item="0"/>
          <tpl fld="17" item="2"/>
        </tpls>
      </n>
      <m>
        <tpls c="7">
          <tpl fld="3" item="1"/>
          <tpl fld="16" item="8"/>
          <tpl hier="31" item="1"/>
          <tpl fld="9" item="7"/>
          <tpl fld="12" item="3"/>
          <tpl hier="40" item="2"/>
          <tpl fld="17" item="0"/>
        </tpls>
      </m>
      <m>
        <tpls c="3">
          <tpl fld="4" item="1"/>
          <tpl fld="5" item="2"/>
          <tpl fld="17" item="1"/>
        </tpls>
      </m>
      <n v="630000" in="0">
        <tpls c="3">
          <tpl fld="7" item="2"/>
          <tpl fld="5" item="0"/>
          <tpl fld="17" item="1"/>
        </tpls>
      </n>
      <m>
        <tpls c="3">
          <tpl fld="4" item="6"/>
          <tpl fld="5" item="2"/>
          <tpl fld="17" item="1"/>
        </tpls>
      </m>
      <n v="18903586">
        <tpls c="6">
          <tpl fld="3" item="0"/>
          <tpl fld="16" item="5"/>
          <tpl hier="31" item="3"/>
          <tpl fld="12" item="13"/>
          <tpl hier="40" item="2"/>
          <tpl fld="17" item="0"/>
        </tpls>
      </n>
      <n v="0">
        <tpls c="7">
          <tpl fld="3" item="1"/>
          <tpl fld="16" item="1"/>
          <tpl hier="31" item="1"/>
          <tpl fld="9" item="12"/>
          <tpl fld="12" item="5"/>
          <tpl hier="40" item="2"/>
          <tpl fld="17" item="0"/>
        </tpls>
      </n>
      <m>
        <tpls c="6">
          <tpl fld="10" item="2"/>
          <tpl hier="31" item="1"/>
          <tpl fld="9" item="6"/>
          <tpl fld="8" item="3"/>
          <tpl hier="40" item="2"/>
          <tpl fld="17" item="0"/>
        </tpls>
      </m>
      <n v="4052877">
        <tpls c="6">
          <tpl fld="3" item="1"/>
          <tpl fld="16" item="2"/>
          <tpl hier="31" item="1"/>
          <tpl fld="12" item="3"/>
          <tpl hier="40" item="2"/>
          <tpl fld="17" item="0"/>
        </tpls>
      </n>
      <n v="89685748">
        <tpls c="6">
          <tpl fld="3" item="0"/>
          <tpl fld="16" item="8"/>
          <tpl hier="31" item="3"/>
          <tpl fld="12" item="2"/>
          <tpl hier="40" item="2"/>
          <tpl fld="17" item="0"/>
        </tpls>
      </n>
      <n v="125859">
        <tpls c="7">
          <tpl fld="3" item="0"/>
          <tpl fld="16" item="9"/>
          <tpl hier="31" item="3"/>
          <tpl fld="9" item="40"/>
          <tpl fld="12" item="3"/>
          <tpl hier="40" item="2"/>
          <tpl fld="17" item="0"/>
        </tpls>
      </n>
      <m>
        <tpls c="7">
          <tpl fld="3" item="1"/>
          <tpl fld="16" item="6"/>
          <tpl hier="31" item="1"/>
          <tpl fld="9" item="49"/>
          <tpl fld="12" item="3"/>
          <tpl hier="40" item="2"/>
          <tpl fld="17" item="0"/>
        </tpls>
      </m>
      <n v="-193253">
        <tpls c="7">
          <tpl fld="2" item="1"/>
          <tpl fld="16" item="8"/>
          <tpl fld="0" item="1"/>
          <tpl fld="9" item="64"/>
          <tpl fld="12" item="17"/>
          <tpl fld="1" item="1"/>
          <tpl fld="17" item="0"/>
        </tpls>
      </n>
      <n v="67317595">
        <tpls c="6">
          <tpl fld="2" item="1"/>
          <tpl fld="16" item="8"/>
          <tpl fld="0" item="1"/>
          <tpl fld="12" item="8"/>
          <tpl fld="1" item="1"/>
          <tpl fld="17" item="0"/>
        </tpls>
      </n>
      <n v="393234253">
        <tpls c="6">
          <tpl fld="2" item="3"/>
          <tpl fld="0" item="2"/>
          <tpl fld="9" item="76"/>
          <tpl fld="12" item="17"/>
          <tpl fld="1" item="1"/>
          <tpl fld="17" item="0"/>
        </tpls>
      </n>
      <n v="16">
        <tpls c="7">
          <tpl fld="3" item="0"/>
          <tpl fld="16" item="3"/>
          <tpl hier="31" item="3"/>
          <tpl fld="9" item="43"/>
          <tpl fld="12" item="22"/>
          <tpl hier="40" item="2"/>
          <tpl fld="17" item="0"/>
        </tpls>
      </n>
      <n v="34645388">
        <tpls c="5">
          <tpl fld="2" item="2"/>
          <tpl fld="0" item="2"/>
          <tpl fld="12" item="9"/>
          <tpl hier="40" item="2"/>
          <tpl fld="17" item="0"/>
        </tpls>
      </n>
      <n v="292646501">
        <tpls c="7">
          <tpl fld="2" item="1"/>
          <tpl hier="10" item="4294967295"/>
          <tpl fld="0" item="1"/>
          <tpl fld="9" item="58"/>
          <tpl fld="12" item="19"/>
          <tpl fld="1" item="1"/>
          <tpl fld="17" item="0"/>
        </tpls>
      </n>
      <n v="0">
        <tpls c="7">
          <tpl fld="3" item="0"/>
          <tpl fld="16" item="11"/>
          <tpl hier="31" item="3"/>
          <tpl fld="9" item="49"/>
          <tpl fld="12" item="3"/>
          <tpl hier="40" item="2"/>
          <tpl fld="17" item="0"/>
        </tpls>
      </n>
      <m>
        <tpls c="3">
          <tpl fld="6" item="5"/>
          <tpl fld="4" item="9"/>
          <tpl fld="17" item="1"/>
        </tpls>
      </m>
      <n v="2473050">
        <tpls c="6">
          <tpl fld="10" item="2"/>
          <tpl hier="31" item="1"/>
          <tpl fld="9" item="41"/>
          <tpl fld="8" item="1"/>
          <tpl hier="40" item="2"/>
          <tpl fld="17" item="0"/>
        </tpls>
      </n>
      <n v="4167">
        <tpls c="7">
          <tpl fld="3" item="1"/>
          <tpl fld="16" item="11"/>
          <tpl hier="31" item="1"/>
          <tpl fld="9" item="20"/>
          <tpl fld="12" item="2"/>
          <tpl hier="40" item="2"/>
          <tpl fld="17" item="0"/>
        </tpls>
      </n>
      <n v="155000">
        <tpls c="7">
          <tpl fld="3" item="1"/>
          <tpl fld="16" item="6"/>
          <tpl hier="31" item="1"/>
          <tpl fld="9" item="35"/>
          <tpl fld="12" item="3"/>
          <tpl hier="40" item="2"/>
          <tpl fld="17" item="0"/>
        </tpls>
      </n>
      <n v="4167">
        <tpls c="7">
          <tpl fld="3" item="1"/>
          <tpl fld="16" item="7"/>
          <tpl hier="31" item="1"/>
          <tpl fld="9" item="20"/>
          <tpl fld="12" item="2"/>
          <tpl hier="40" item="2"/>
          <tpl fld="17" item="0"/>
        </tpls>
      </n>
      <m>
        <tpls c="3">
          <tpl fld="6" item="11"/>
          <tpl fld="4" item="4"/>
          <tpl fld="17" item="1"/>
        </tpls>
      </m>
      <n v="-126971">
        <tpls c="6">
          <tpl fld="2" item="1"/>
          <tpl fld="16" item="1"/>
          <tpl fld="0" item="1"/>
          <tpl fld="12" item="4"/>
          <tpl fld="1" item="1"/>
          <tpl fld="17" item="0"/>
        </tpls>
      </n>
      <n v="2231760">
        <tpls c="6">
          <tpl fld="2" item="1"/>
          <tpl fld="0" item="1"/>
          <tpl fld="9" item="40"/>
          <tpl fld="8" item="1"/>
          <tpl hier="40" item="2"/>
          <tpl fld="17" item="0"/>
        </tpls>
      </n>
      <n v="1666667">
        <tpls c="7">
          <tpl fld="3" item="1"/>
          <tpl fld="16" item="5"/>
          <tpl hier="31" item="1"/>
          <tpl fld="9" item="18"/>
          <tpl fld="12" item="2"/>
          <tpl hier="40" item="2"/>
          <tpl fld="17" item="0"/>
        </tpls>
      </n>
      <n v="392981">
        <tpls c="6">
          <tpl fld="3" item="1"/>
          <tpl fld="16" item="8"/>
          <tpl hier="31" item="1"/>
          <tpl fld="12" item="5"/>
          <tpl hier="40" item="2"/>
          <tpl fld="17" item="0"/>
        </tpls>
      </n>
      <n v="360636">
        <tpls c="3">
          <tpl fld="11" item="3"/>
          <tpl fld="15" item="3"/>
          <tpl fld="17" item="2"/>
        </tpls>
      </n>
      <n v="-2421359">
        <tpls c="6">
          <tpl fld="2" item="1"/>
          <tpl fld="16" item="1"/>
          <tpl fld="0" item="1"/>
          <tpl fld="12" item="17"/>
          <tpl fld="1" item="1"/>
          <tpl fld="17" item="0"/>
        </tpls>
      </n>
      <n v="1137">
        <tpls c="6">
          <tpl fld="2" item="2"/>
          <tpl fld="0" item="2"/>
          <tpl fld="9" item="43"/>
          <tpl fld="12" item="22"/>
          <tpl hier="40" item="2"/>
          <tpl fld="17" item="0"/>
        </tpls>
      </n>
      <n v="-1528">
        <tpls c="7">
          <tpl fld="2" item="1"/>
          <tpl fld="16" item="6"/>
          <tpl fld="0" item="1"/>
          <tpl fld="9" item="47"/>
          <tpl fld="12" item="17"/>
          <tpl fld="1" item="1"/>
          <tpl fld="17" item="0"/>
        </tpls>
      </n>
      <m>
        <tpls c="3">
          <tpl fld="6" item="10"/>
          <tpl fld="4" item="0"/>
          <tpl fld="17" item="1"/>
        </tpls>
      </m>
      <n v="1026600">
        <tpls c="7">
          <tpl fld="3" item="1"/>
          <tpl fld="16" item="4"/>
          <tpl hier="31" item="1"/>
          <tpl fld="9" item="13"/>
          <tpl fld="12" item="3"/>
          <tpl hier="40" item="2"/>
          <tpl fld="17" item="0"/>
        </tpls>
      </n>
      <n v="66170973">
        <tpls c="6">
          <tpl fld="10" item="2"/>
          <tpl hier="31" item="1"/>
          <tpl fld="9" item="45"/>
          <tpl fld="8" item="1"/>
          <tpl hier="40" item="2"/>
          <tpl fld="17" item="0"/>
        </tpls>
      </n>
      <n v="0">
        <tpls c="7">
          <tpl fld="2" item="1"/>
          <tpl fld="16" item="5"/>
          <tpl fld="0" item="1"/>
          <tpl fld="9" item="42"/>
          <tpl fld="12" item="17"/>
          <tpl fld="1" item="1"/>
          <tpl fld="17" item="0"/>
        </tpls>
      </n>
      <n v="250500">
        <tpls c="6">
          <tpl fld="10" item="0"/>
          <tpl hier="31" item="0"/>
          <tpl fld="9" item="52"/>
          <tpl fld="12" item="3"/>
          <tpl hier="40" item="2"/>
          <tpl fld="17" item="0"/>
        </tpls>
      </n>
      <n v="19024630">
        <tpls c="7">
          <tpl fld="3" item="1"/>
          <tpl fld="16" item="3"/>
          <tpl hier="31" item="1"/>
          <tpl fld="9" item="45"/>
          <tpl fld="12" item="13"/>
          <tpl hier="40" item="2"/>
          <tpl fld="17" item="0"/>
        </tpls>
      </n>
      <n v="4372539">
        <tpls c="6">
          <tpl fld="3" item="1"/>
          <tpl fld="16" item="5"/>
          <tpl hier="31" item="1"/>
          <tpl fld="12" item="3"/>
          <tpl hier="40" item="2"/>
          <tpl fld="17" item="0"/>
        </tpls>
      </n>
      <n v="0">
        <tpls c="7">
          <tpl fld="2" item="1"/>
          <tpl hier="10" item="4294967295"/>
          <tpl fld="0" item="1"/>
          <tpl fld="9" item="50"/>
          <tpl fld="12" item="16"/>
          <tpl fld="1" item="1"/>
          <tpl fld="17" item="0"/>
        </tpls>
      </n>
      <n v="833">
        <tpls c="7">
          <tpl fld="3" item="1"/>
          <tpl fld="16" item="7"/>
          <tpl hier="31" item="1"/>
          <tpl fld="9" item="3"/>
          <tpl fld="12" item="2"/>
          <tpl hier="40" item="2"/>
          <tpl fld="17" item="0"/>
        </tpls>
      </n>
      <n v="1722989">
        <tpls c="7">
          <tpl fld="3" item="1"/>
          <tpl fld="16" item="11"/>
          <tpl hier="31" item="1"/>
          <tpl fld="9" item="15"/>
          <tpl fld="12" item="3"/>
          <tpl hier="40" item="2"/>
          <tpl fld="17" item="0"/>
        </tpls>
      </n>
      <n v="14982">
        <tpls c="7">
          <tpl fld="2" item="1"/>
          <tpl fld="16" item="0"/>
          <tpl fld="0" item="1"/>
          <tpl fld="9" item="63"/>
          <tpl fld="12" item="16"/>
          <tpl fld="1" item="1"/>
          <tpl fld="17" item="0"/>
        </tpls>
      </n>
      <n v="63564">
        <tpls c="6">
          <tpl fld="10" item="3"/>
          <tpl hier="31" item="0"/>
          <tpl fld="9" item="21"/>
          <tpl fld="12" item="3"/>
          <tpl hier="40" item="2"/>
          <tpl fld="17" item="0"/>
        </tpls>
      </n>
      <n v="420478">
        <tpls c="6">
          <tpl fld="3" item="0"/>
          <tpl fld="16" item="3"/>
          <tpl hier="31" item="3"/>
          <tpl fld="12" item="5"/>
          <tpl hier="40" item="2"/>
          <tpl fld="17" item="0"/>
        </tpls>
      </n>
      <n v="2672095">
        <tpls c="6">
          <tpl fld="2" item="1"/>
          <tpl fld="0" item="1"/>
          <tpl fld="9" item="2"/>
          <tpl fld="8" item="3"/>
          <tpl hier="40" item="2"/>
          <tpl fld="17" item="0"/>
        </tpls>
      </n>
      <m>
        <tpls c="6">
          <tpl fld="3" item="0"/>
          <tpl fld="16" item="4"/>
          <tpl hier="31" item="3"/>
          <tpl fld="12" item="20"/>
          <tpl hier="40" item="2"/>
          <tpl fld="17" item="0"/>
        </tpls>
      </m>
      <m>
        <tpls c="3">
          <tpl fld="6" item="20"/>
          <tpl fld="4" item="2"/>
          <tpl fld="17" item="1"/>
        </tpls>
      </m>
      <n v="-9571008">
        <tpls c="7">
          <tpl fld="2" item="1"/>
          <tpl fld="16" item="2"/>
          <tpl fld="0" item="1"/>
          <tpl fld="9" item="56"/>
          <tpl fld="12" item="8"/>
          <tpl fld="1" item="1"/>
          <tpl fld="17" item="0"/>
        </tpls>
      </n>
      <n v="155000">
        <tpls c="7">
          <tpl fld="3" item="1"/>
          <tpl fld="16" item="8"/>
          <tpl hier="31" item="1"/>
          <tpl fld="9" item="35"/>
          <tpl fld="12" item="3"/>
          <tpl hier="40" item="2"/>
          <tpl fld="17" item="0"/>
        </tpls>
      </n>
      <n v="0">
        <tpls c="7">
          <tpl fld="3" item="0"/>
          <tpl fld="16" item="0"/>
          <tpl hier="31" item="3"/>
          <tpl fld="9" item="49"/>
          <tpl fld="12" item="3"/>
          <tpl hier="40" item="2"/>
          <tpl fld="17" item="0"/>
        </tpls>
      </n>
      <m>
        <tpls c="7">
          <tpl fld="3" item="0"/>
          <tpl fld="16" item="3"/>
          <tpl hier="31" item="3"/>
          <tpl fld="9" item="19"/>
          <tpl fld="12" item="5"/>
          <tpl hier="40" item="2"/>
          <tpl fld="17" item="0"/>
        </tpls>
      </m>
      <n v="0">
        <tpls c="7">
          <tpl fld="3" item="0"/>
          <tpl fld="16" item="11"/>
          <tpl hier="31" item="3"/>
          <tpl fld="9" item="1"/>
          <tpl fld="12" item="1"/>
          <tpl hier="40" item="2"/>
          <tpl fld="17" item="0"/>
        </tpls>
      </n>
      <n v="1000008">
        <tpls c="7">
          <tpl fld="3" item="1"/>
          <tpl hier="10" item="4294967295"/>
          <tpl hier="31" item="1"/>
          <tpl fld="9" item="53"/>
          <tpl fld="12" item="2"/>
          <tpl hier="40" item="2"/>
          <tpl fld="17" item="0"/>
        </tpls>
      </n>
      <n v="0">
        <tpls c="7">
          <tpl fld="2" item="1"/>
          <tpl fld="16" item="9"/>
          <tpl fld="0" item="1"/>
          <tpl fld="9" item="58"/>
          <tpl fld="12" item="19"/>
          <tpl fld="1" item="1"/>
          <tpl fld="17" item="0"/>
        </tpls>
      </n>
      <n v="96921165">
        <tpls c="7">
          <tpl fld="3" item="1"/>
          <tpl fld="16" item="8"/>
          <tpl hier="31" item="1"/>
          <tpl fld="9" item="5"/>
          <tpl fld="12" item="2"/>
          <tpl hier="40" item="2"/>
          <tpl fld="17" item="0"/>
        </tpls>
      </n>
      <m>
        <tpls c="3">
          <tpl fld="6" item="4"/>
          <tpl fld="4" item="5"/>
          <tpl fld="17" item="1"/>
        </tpls>
      </m>
      <n v="1090475">
        <tpls c="7">
          <tpl fld="3" item="0"/>
          <tpl fld="16" item="10"/>
          <tpl hier="31" item="3"/>
          <tpl fld="9" item="25"/>
          <tpl fld="12" item="2"/>
          <tpl hier="40" item="2"/>
          <tpl fld="17" item="0"/>
        </tpls>
      </n>
      <n v="123811405">
        <tpls c="6">
          <tpl fld="2" item="3"/>
          <tpl fld="0" item="2"/>
          <tpl fld="9" item="56"/>
          <tpl fld="12" item="8"/>
          <tpl fld="1" item="1"/>
          <tpl fld="17" item="0"/>
        </tpls>
      </n>
      <m>
        <tpls c="3">
          <tpl fld="6" item="9"/>
          <tpl fld="4" item="2"/>
          <tpl fld="17" item="1"/>
        </tpls>
      </m>
      <m>
        <tpls c="7">
          <tpl fld="3" item="0"/>
          <tpl fld="16" item="6"/>
          <tpl hier="31" item="3"/>
          <tpl fld="9" item="27"/>
          <tpl fld="12" item="5"/>
          <tpl hier="40" item="2"/>
          <tpl fld="17" item="0"/>
        </tpls>
      </m>
      <n v="256421">
        <tpls c="7">
          <tpl fld="3" item="1"/>
          <tpl fld="16" item="8"/>
          <tpl hier="31" item="1"/>
          <tpl fld="9" item="24"/>
          <tpl fld="12" item="6"/>
          <tpl hier="40" item="2"/>
          <tpl fld="17" item="0"/>
        </tpls>
      </n>
      <n v="3859552">
        <tpls c="7">
          <tpl fld="3" item="1"/>
          <tpl hier="10" item="4294967295"/>
          <tpl hier="31" item="1"/>
          <tpl fld="9" item="24"/>
          <tpl fld="12" item="6"/>
          <tpl hier="40" item="2"/>
          <tpl fld="17" item="0"/>
        </tpls>
      </n>
      <n v="10150317">
        <tpls c="7">
          <tpl fld="3" item="0"/>
          <tpl fld="16" item="4"/>
          <tpl hier="31" item="3"/>
          <tpl fld="9" item="23"/>
          <tpl fld="12" item="2"/>
          <tpl hier="40" item="2"/>
          <tpl fld="17" item="0"/>
        </tpls>
      </n>
      <n v="1082262">
        <tpls c="7">
          <tpl fld="3" item="0"/>
          <tpl fld="16" item="4"/>
          <tpl hier="31" item="3"/>
          <tpl fld="9" item="25"/>
          <tpl fld="12" item="2"/>
          <tpl hier="40" item="2"/>
          <tpl fld="17" item="0"/>
        </tpls>
      </n>
      <n v="234390">
        <tpls c="7">
          <tpl fld="3" item="1"/>
          <tpl fld="16" item="0"/>
          <tpl hier="31" item="1"/>
          <tpl fld="9" item="40"/>
          <tpl fld="12" item="3"/>
          <tpl hier="40" item="2"/>
          <tpl fld="17" item="0"/>
        </tpls>
      </n>
      <n v="409852">
        <tpls c="7">
          <tpl fld="2" item="1"/>
          <tpl fld="16" item="10"/>
          <tpl fld="0" item="1"/>
          <tpl fld="9" item="63"/>
          <tpl fld="12" item="16"/>
          <tpl fld="1" item="1"/>
          <tpl fld="17" item="0"/>
        </tpls>
      </n>
      <n v="60207498">
        <tpls c="6">
          <tpl fld="2" item="1"/>
          <tpl fld="16" item="1"/>
          <tpl fld="0" item="1"/>
          <tpl fld="12" item="8"/>
          <tpl fld="1" item="1"/>
          <tpl fld="17" item="0"/>
        </tpls>
      </n>
      <n v="55403">
        <tpls c="7">
          <tpl fld="2" item="1"/>
          <tpl fld="16" item="7"/>
          <tpl fld="0" item="1"/>
          <tpl fld="9" item="54"/>
          <tpl fld="12" item="16"/>
          <tpl fld="1" item="1"/>
          <tpl fld="17" item="0"/>
        </tpls>
      </n>
      <n v="-477952">
        <tpls c="7">
          <tpl fld="2" item="1"/>
          <tpl fld="16" item="10"/>
          <tpl fld="0" item="1"/>
          <tpl fld="9" item="74"/>
          <tpl fld="12" item="17"/>
          <tpl fld="1" item="1"/>
          <tpl fld="17" item="0"/>
        </tpls>
      </n>
      <m>
        <tpls c="3">
          <tpl fld="6" item="21"/>
          <tpl fld="4" item="0"/>
          <tpl fld="17" item="1"/>
        </tpls>
      </m>
      <n v="5000001">
        <tpls c="6">
          <tpl fld="10" item="3"/>
          <tpl hier="31" item="0"/>
          <tpl fld="9" item="18"/>
          <tpl fld="12" item="2"/>
          <tpl hier="40" item="2"/>
          <tpl fld="17" item="0"/>
        </tpls>
      </n>
      <m>
        <tpls c="3">
          <tpl fld="6" item="4"/>
          <tpl fld="4" item="6"/>
          <tpl fld="17" item="1"/>
        </tpls>
      </m>
      <n v="10134688">
        <tpls c="6">
          <tpl fld="2" item="2"/>
          <tpl fld="0" item="2"/>
          <tpl fld="9" item="55"/>
          <tpl fld="12" item="14"/>
          <tpl fld="1" item="1"/>
          <tpl fld="17" item="0"/>
        </tpls>
      </n>
      <n v="18073">
        <tpls c="7">
          <tpl fld="3" item="0"/>
          <tpl fld="16" item="0"/>
          <tpl hier="31" item="3"/>
          <tpl fld="9" item="33"/>
          <tpl fld="12" item="6"/>
          <tpl hier="40" item="2"/>
          <tpl fld="17" item="0"/>
        </tpls>
      </n>
      <n v="292646501">
        <tpls c="6">
          <tpl fld="2" item="2"/>
          <tpl fld="0" item="2"/>
          <tpl fld="9" item="58"/>
          <tpl fld="12" item="19"/>
          <tpl fld="1" item="1"/>
          <tpl fld="17" item="0"/>
        </tpls>
      </n>
      <n v="392981">
        <tpls c="6">
          <tpl fld="3" item="0"/>
          <tpl fld="16" item="7"/>
          <tpl hier="31" item="3"/>
          <tpl fld="12" item="5"/>
          <tpl hier="40" item="2"/>
          <tpl fld="17" item="0"/>
        </tpls>
      </n>
      <n v="-490439">
        <tpls c="6">
          <tpl fld="2" item="1"/>
          <tpl fld="16" item="5"/>
          <tpl fld="0" item="1"/>
          <tpl fld="12" item="16"/>
          <tpl fld="1" item="1"/>
          <tpl fld="17" item="0"/>
        </tpls>
      </n>
      <n v="7281">
        <tpls c="6">
          <tpl fld="2" item="1"/>
          <tpl fld="0" item="1"/>
          <tpl fld="9" item="10"/>
          <tpl fld="12" item="6"/>
          <tpl hier="40" item="2"/>
          <tpl fld="17" item="0"/>
        </tpls>
      </n>
      <n v="176082377">
        <tpls c="6">
          <tpl fld="2" item="2"/>
          <tpl fld="0" item="2"/>
          <tpl fld="9" item="5"/>
          <tpl fld="8" item="0"/>
          <tpl hier="40" item="2"/>
          <tpl fld="17" item="0"/>
        </tpls>
      </n>
      <n v="1061634">
        <tpls c="6">
          <tpl fld="3" item="1"/>
          <tpl fld="16" item="7"/>
          <tpl hier="31" item="1"/>
          <tpl fld="12" item="6"/>
          <tpl hier="40" item="2"/>
          <tpl fld="17" item="0"/>
        </tpls>
      </n>
      <n v="24576493">
        <tpls c="6">
          <tpl fld="3" item="0"/>
          <tpl fld="16" item="10"/>
          <tpl hier="31" item="3"/>
          <tpl fld="12" item="13"/>
          <tpl hier="40" item="2"/>
          <tpl fld="17" item="0"/>
        </tpls>
      </n>
      <n v="17500">
        <tpls c="7">
          <tpl fld="3" item="1"/>
          <tpl fld="16" item="10"/>
          <tpl hier="31" item="1"/>
          <tpl fld="9" item="17"/>
          <tpl fld="12" item="2"/>
          <tpl hier="40" item="2"/>
          <tpl fld="17" item="0"/>
        </tpls>
      </n>
      <n v="149531">
        <tpls c="6">
          <tpl fld="2" item="2"/>
          <tpl fld="0" item="2"/>
          <tpl fld="9" item="17"/>
          <tpl fld="8" item="0"/>
          <tpl hier="40" item="2"/>
          <tpl fld="17" item="0"/>
        </tpls>
      </n>
      <n v="77220704">
        <tpls c="6">
          <tpl fld="2" item="1"/>
          <tpl fld="16" item="11"/>
          <tpl fld="0" item="1"/>
          <tpl fld="12" item="8"/>
          <tpl fld="1" item="1"/>
          <tpl fld="17" item="0"/>
        </tpls>
      </n>
      <n v="289841">
        <tpls c="7">
          <tpl fld="3" item="0"/>
          <tpl fld="16" item="1"/>
          <tpl hier="31" item="3"/>
          <tpl fld="9" item="40"/>
          <tpl fld="12" item="3"/>
          <tpl hier="40" item="2"/>
          <tpl fld="17" item="0"/>
        </tpls>
      </n>
      <n v="277981">
        <tpls c="7">
          <tpl fld="3" item="0"/>
          <tpl fld="16" item="0"/>
          <tpl hier="31" item="3"/>
          <tpl fld="9" item="24"/>
          <tpl fld="12" item="6"/>
          <tpl hier="40" item="2"/>
          <tpl fld="17" item="0"/>
        </tpls>
      </n>
      <n v="365458">
        <tpls c="7">
          <tpl fld="3" item="0"/>
          <tpl fld="16" item="10"/>
          <tpl hier="31" item="3"/>
          <tpl fld="9" item="49"/>
          <tpl fld="12" item="3"/>
          <tpl hier="40" item="2"/>
          <tpl fld="17" item="0"/>
        </tpls>
      </n>
      <n v="285288">
        <tpls c="7">
          <tpl fld="3" item="0"/>
          <tpl fld="16" item="6"/>
          <tpl hier="31" item="3"/>
          <tpl fld="9" item="9"/>
          <tpl fld="12" item="6"/>
          <tpl hier="40" item="2"/>
          <tpl fld="17" item="0"/>
        </tpls>
      </n>
      <n v="91948">
        <tpls c="7">
          <tpl fld="3" item="1"/>
          <tpl fld="16" item="2"/>
          <tpl hier="31" item="1"/>
          <tpl fld="9" item="29"/>
          <tpl fld="12" item="2"/>
          <tpl hier="40" item="2"/>
          <tpl fld="17" item="0"/>
        </tpls>
      </n>
      <n v="58989">
        <tpls c="7">
          <tpl fld="3" item="0"/>
          <tpl fld="16" item="10"/>
          <tpl hier="31" item="3"/>
          <tpl fld="9" item="53"/>
          <tpl fld="12" item="2"/>
          <tpl hier="40" item="2"/>
          <tpl fld="17" item="0"/>
        </tpls>
      </n>
      <m>
        <tpls c="3">
          <tpl fld="6" item="13"/>
          <tpl fld="4" item="0"/>
          <tpl fld="17" item="1"/>
        </tpls>
      </m>
      <n v="121393152">
        <tpls c="5">
          <tpl fld="2" item="2"/>
          <tpl fld="0" item="2"/>
          <tpl fld="12" item="14"/>
          <tpl fld="1" item="1"/>
          <tpl fld="17" item="0"/>
        </tpls>
      </n>
      <n v="0">
        <tpls c="6">
          <tpl fld="2" item="1"/>
          <tpl fld="16" item="7"/>
          <tpl fld="0" item="1"/>
          <tpl fld="12" item="12"/>
          <tpl fld="1" item="1"/>
          <tpl fld="17" item="0"/>
        </tpls>
      </n>
      <n v="0">
        <tpls c="7">
          <tpl fld="2" item="1"/>
          <tpl fld="16" item="0"/>
          <tpl fld="0" item="1"/>
          <tpl fld="9" item="69"/>
          <tpl fld="12" item="10"/>
          <tpl fld="1" item="1"/>
          <tpl fld="17" item="0"/>
        </tpls>
      </n>
      <n v="0">
        <tpls c="7">
          <tpl fld="2" item="1"/>
          <tpl fld="16" item="5"/>
          <tpl fld="0" item="1"/>
          <tpl fld="9" item="39"/>
          <tpl fld="12" item="0"/>
          <tpl fld="1" item="1"/>
          <tpl fld="17" item="0"/>
        </tpls>
      </n>
      <n v="-1576668">
        <tpls c="7">
          <tpl fld="2" item="1"/>
          <tpl fld="16" item="8"/>
          <tpl fld="0" item="1"/>
          <tpl fld="9" item="72"/>
          <tpl fld="12" item="17"/>
          <tpl fld="1" item="1"/>
          <tpl fld="17" item="0"/>
        </tpls>
      </n>
      <n v="450131">
        <tpls c="6">
          <tpl fld="10" item="2"/>
          <tpl hier="31" item="0"/>
          <tpl fld="9" item="31"/>
          <tpl fld="12" item="2"/>
          <tpl hier="40" item="2"/>
          <tpl fld="17" item="0"/>
        </tpls>
      </n>
      <n v="0">
        <tpls c="7">
          <tpl fld="2" item="1"/>
          <tpl fld="16" item="8"/>
          <tpl fld="0" item="1"/>
          <tpl fld="9" item="73"/>
          <tpl fld="12" item="4"/>
          <tpl fld="1" item="1"/>
          <tpl fld="17" item="0"/>
        </tpls>
      </n>
      <m>
        <tpls c="7">
          <tpl fld="3" item="1"/>
          <tpl hier="10" item="4294967295"/>
          <tpl hier="31" item="1"/>
          <tpl fld="9" item="19"/>
          <tpl fld="12" item="5"/>
          <tpl hier="40" item="2"/>
          <tpl fld="17" item="0"/>
        </tpls>
      </m>
      <n v="2499">
        <tpls c="6">
          <tpl fld="10" item="3"/>
          <tpl hier="31" item="1"/>
          <tpl fld="9" item="3"/>
          <tpl fld="8" item="0"/>
          <tpl hier="40" item="2"/>
          <tpl fld="17" item="0"/>
        </tpls>
      </n>
      <n v="0">
        <tpls c="7">
          <tpl fld="2" item="1"/>
          <tpl fld="16" item="2"/>
          <tpl fld="0" item="1"/>
          <tpl fld="9" item="42"/>
          <tpl fld="12" item="17"/>
          <tpl fld="1" item="1"/>
          <tpl fld="17" item="0"/>
        </tpls>
      </n>
      <n v="521">
        <tpls c="7">
          <tpl fld="2" item="1"/>
          <tpl fld="16" item="5"/>
          <tpl fld="0" item="1"/>
          <tpl fld="9" item="70"/>
          <tpl fld="12" item="8"/>
          <tpl fld="1" item="1"/>
          <tpl fld="17" item="0"/>
        </tpls>
      </n>
      <n v="3372650">
        <tpls c="6">
          <tpl fld="3" item="0"/>
          <tpl fld="16" item="0"/>
          <tpl hier="31" item="3"/>
          <tpl fld="12" item="9"/>
          <tpl hier="40" item="2"/>
          <tpl fld="17" item="0"/>
        </tpls>
      </n>
      <n v="4459981">
        <tpls c="6">
          <tpl fld="10" item="3"/>
          <tpl hier="31" item="1"/>
          <tpl fld="9" item="15"/>
          <tpl fld="8" item="1"/>
          <tpl hier="40" item="2"/>
          <tpl fld="17" item="0"/>
        </tpls>
      </n>
      <n v="1340409">
        <tpls c="6">
          <tpl fld="3" item="1"/>
          <tpl fld="16" item="11"/>
          <tpl hier="31" item="1"/>
          <tpl fld="12" item="6"/>
          <tpl hier="40" item="2"/>
          <tpl fld="17" item="0"/>
        </tpls>
      </n>
      <n v="184233">
        <tpls c="7">
          <tpl fld="2" item="1"/>
          <tpl fld="16" item="1"/>
          <tpl fld="0" item="1"/>
          <tpl fld="9" item="71"/>
          <tpl fld="12" item="16"/>
          <tpl fld="1" item="1"/>
          <tpl fld="17" item="0"/>
        </tpls>
      </n>
      <n v="0">
        <tpls c="7">
          <tpl fld="3" item="0"/>
          <tpl fld="16" item="10"/>
          <tpl hier="31" item="3"/>
          <tpl fld="9" item="13"/>
          <tpl fld="12" item="3"/>
          <tpl hier="40" item="2"/>
          <tpl fld="17" item="0"/>
        </tpls>
      </n>
      <m>
        <tpls c="3">
          <tpl fld="6" item="17"/>
          <tpl fld="4" item="0"/>
          <tpl fld="17" item="1"/>
        </tpls>
      </m>
      <n v="-6039823">
        <tpls c="6">
          <tpl fld="2" item="1"/>
          <tpl fld="16" item="7"/>
          <tpl fld="0" item="1"/>
          <tpl fld="12" item="8"/>
          <tpl fld="1" item="1"/>
          <tpl fld="17" item="0"/>
        </tpls>
      </n>
      <n v="0">
        <tpls c="5">
          <tpl fld="2" item="2"/>
          <tpl fld="0" item="2"/>
          <tpl fld="12" item="7"/>
          <tpl fld="1" item="1"/>
          <tpl fld="17" item="0"/>
        </tpls>
      </n>
      <n v="1403327">
        <tpls c="7">
          <tpl fld="3" item="1"/>
          <tpl fld="16" item="10"/>
          <tpl hier="31" item="1"/>
          <tpl fld="9" item="15"/>
          <tpl fld="12" item="3"/>
          <tpl hier="40" item="2"/>
          <tpl fld="17" item="0"/>
        </tpls>
      </n>
      <n v="0">
        <tpls c="7">
          <tpl fld="2" item="1"/>
          <tpl fld="16" item="5"/>
          <tpl fld="0" item="1"/>
          <tpl fld="9" item="58"/>
          <tpl fld="12" item="19"/>
          <tpl fld="1" item="1"/>
          <tpl fld="17" item="0"/>
        </tpls>
      </n>
      <n v="1542325">
        <tpls c="7">
          <tpl fld="3" item="0"/>
          <tpl fld="16" item="11"/>
          <tpl hier="31" item="3"/>
          <tpl fld="9" item="12"/>
          <tpl fld="12" item="5"/>
          <tpl hier="40" item="2"/>
          <tpl fld="17" item="0"/>
        </tpls>
      </n>
      <n v="8958367">
        <tpls c="6">
          <tpl fld="2" item="2"/>
          <tpl fld="0" item="2"/>
          <tpl fld="9" item="41"/>
          <tpl fld="12" item="3"/>
          <tpl hier="40" item="2"/>
          <tpl fld="17" item="0"/>
        </tpls>
      </n>
      <n v="246000">
        <tpls c="6">
          <tpl fld="2" item="0"/>
          <tpl fld="0" item="0"/>
          <tpl fld="9" item="11"/>
          <tpl fld="12" item="3"/>
          <tpl hier="40" item="2"/>
          <tpl fld="17" item="0"/>
        </tpls>
      </n>
      <n v="1180000" in="0">
        <tpls c="3">
          <tpl fld="6" item="13"/>
          <tpl fld="4" item="5"/>
          <tpl fld="17" item="1"/>
        </tpls>
      </n>
      <m>
        <tpls c="7">
          <tpl fld="3" item="1"/>
          <tpl fld="16" item="5"/>
          <tpl hier="31" item="1"/>
          <tpl fld="9" item="7"/>
          <tpl fld="12" item="3"/>
          <tpl hier="40" item="2"/>
          <tpl fld="17" item="0"/>
        </tpls>
      </m>
      <n v="2473050">
        <tpls c="6">
          <tpl fld="10" item="0"/>
          <tpl hier="31" item="1"/>
          <tpl fld="9" item="41"/>
          <tpl fld="8" item="1"/>
          <tpl hier="40" item="2"/>
          <tpl fld="17" item="0"/>
        </tpls>
      </n>
      <n v="0">
        <tpls c="7">
          <tpl fld="2" item="1"/>
          <tpl fld="16" item="0"/>
          <tpl fld="0" item="1"/>
          <tpl fld="9" item="65"/>
          <tpl fld="12" item="14"/>
          <tpl fld="1" item="1"/>
          <tpl fld="17" item="0"/>
        </tpls>
      </n>
      <m>
        <tpls c="6">
          <tpl fld="3" item="0"/>
          <tpl fld="16" item="3"/>
          <tpl hier="31" item="3"/>
          <tpl fld="12" item="20"/>
          <tpl hier="40" item="2"/>
          <tpl fld="17" item="0"/>
        </tpls>
      </m>
      <n v="155000">
        <tpls c="7">
          <tpl fld="3" item="1"/>
          <tpl fld="16" item="9"/>
          <tpl hier="31" item="1"/>
          <tpl fld="9" item="35"/>
          <tpl fld="12" item="3"/>
          <tpl hier="40" item="2"/>
          <tpl fld="17" item="0"/>
        </tpls>
      </n>
      <n v="-19124567">
        <tpls c="7">
          <tpl fld="2" item="1"/>
          <tpl fld="16" item="5"/>
          <tpl fld="0" item="1"/>
          <tpl fld="9" item="56"/>
          <tpl fld="12" item="8"/>
          <tpl fld="1" item="1"/>
          <tpl fld="17" item="0"/>
        </tpls>
      </n>
      <n v="0">
        <tpls c="7">
          <tpl fld="3" item="0"/>
          <tpl fld="16" item="0"/>
          <tpl hier="31" item="3"/>
          <tpl fld="9" item="11"/>
          <tpl fld="12" item="3"/>
          <tpl hier="40" item="2"/>
          <tpl fld="17" item="0"/>
        </tpls>
      </n>
      <m>
        <tpls c="7">
          <tpl fld="3" item="1"/>
          <tpl fld="16" item="10"/>
          <tpl hier="31" item="1"/>
          <tpl fld="9" item="32"/>
          <tpl fld="12" item="5"/>
          <tpl hier="40" item="2"/>
          <tpl fld="17" item="0"/>
        </tpls>
      </m>
      <n v="0">
        <tpls c="6">
          <tpl fld="2" item="1"/>
          <tpl fld="16" item="6"/>
          <tpl fld="0" item="1"/>
          <tpl fld="12" item="10"/>
          <tpl fld="1" item="1"/>
          <tpl fld="17" item="0"/>
        </tpls>
      </n>
      <n v="3859552">
        <tpls c="6">
          <tpl fld="2" item="0"/>
          <tpl fld="0" item="0"/>
          <tpl fld="9" item="24"/>
          <tpl fld="8" item="1"/>
          <tpl hier="40" item="2"/>
          <tpl fld="17" item="0"/>
        </tpls>
      </n>
      <n v="0">
        <tpls c="7">
          <tpl fld="3" item="1"/>
          <tpl fld="16" item="3"/>
          <tpl hier="31" item="1"/>
          <tpl fld="9" item="12"/>
          <tpl fld="12" item="5"/>
          <tpl hier="40" item="2"/>
          <tpl fld="17" item="0"/>
        </tpls>
      </n>
      <n v="29458859">
        <tpls c="6">
          <tpl fld="3" item="0"/>
          <tpl fld="16" item="6"/>
          <tpl hier="31" item="3"/>
          <tpl fld="12" item="2"/>
          <tpl hier="40" item="2"/>
          <tpl fld="17" item="0"/>
        </tpls>
      </n>
      <n v="256421">
        <tpls c="7">
          <tpl fld="3" item="1"/>
          <tpl fld="16" item="10"/>
          <tpl hier="31" item="1"/>
          <tpl fld="9" item="24"/>
          <tpl fld="12" item="6"/>
          <tpl hier="40" item="2"/>
          <tpl fld="17" item="0"/>
        </tpls>
      </n>
      <m>
        <tpls c="7">
          <tpl fld="3" item="1"/>
          <tpl fld="16" item="0"/>
          <tpl hier="31" item="1"/>
          <tpl fld="9" item="6"/>
          <tpl fld="12" item="1"/>
          <tpl hier="40" item="2"/>
          <tpl fld="17" item="0"/>
        </tpls>
      </m>
      <n v="21188">
        <tpls c="7">
          <tpl fld="3" item="1"/>
          <tpl fld="16" item="8"/>
          <tpl hier="31" item="1"/>
          <tpl fld="9" item="21"/>
          <tpl fld="12" item="3"/>
          <tpl hier="40" item="2"/>
          <tpl fld="17" item="0"/>
        </tpls>
      </n>
      <m>
        <tpls c="6">
          <tpl fld="3" item="1"/>
          <tpl fld="16" item="7"/>
          <tpl hier="31" item="1"/>
          <tpl fld="12" item="20"/>
          <tpl hier="40" item="2"/>
          <tpl fld="17" item="0"/>
        </tpls>
      </m>
      <n v="36416605">
        <tpls c="6">
          <tpl fld="2" item="2"/>
          <tpl fld="0" item="2"/>
          <tpl fld="9" item="30"/>
          <tpl fld="12" item="15"/>
          <tpl fld="1" item="1"/>
          <tpl fld="17" item="0"/>
        </tpls>
      </n>
      <n v="4217209">
        <tpls c="6">
          <tpl fld="3" item="0"/>
          <tpl fld="16" item="1"/>
          <tpl hier="31" item="3"/>
          <tpl fld="12" item="3"/>
          <tpl hier="40" item="2"/>
          <tpl fld="17" item="0"/>
        </tpls>
      </n>
      <m>
        <tpls c="3">
          <tpl fld="6" item="14"/>
          <tpl fld="4" item="0"/>
          <tpl fld="17" item="1"/>
        </tpls>
      </m>
      <n v="57098365">
        <tpls c="5">
          <tpl fld="10" item="3"/>
          <tpl hier="31" item="0"/>
          <tpl fld="12" item="13"/>
          <tpl hier="40" item="2"/>
          <tpl fld="17" item="0"/>
        </tpls>
      </n>
      <n v="552836">
        <tpls c="6">
          <tpl fld="10" item="0"/>
          <tpl hier="31" item="0"/>
          <tpl fld="9" item="31"/>
          <tpl fld="12" item="2"/>
          <tpl hier="40" item="2"/>
          <tpl fld="17" item="0"/>
        </tpls>
      </n>
      <n v="781442">
        <tpls c="6">
          <tpl fld="2" item="1"/>
          <tpl fld="0" item="1"/>
          <tpl fld="9" item="52"/>
          <tpl fld="12" item="3"/>
          <tpl hier="40" item="2"/>
          <tpl fld="17" item="0"/>
        </tpls>
      </n>
      <n v="726667">
        <tpls c="7">
          <tpl fld="3" item="1"/>
          <tpl fld="16" item="4"/>
          <tpl hier="31" item="1"/>
          <tpl fld="9" item="9"/>
          <tpl fld="12" item="6"/>
          <tpl hier="40" item="2"/>
          <tpl fld="17" item="0"/>
        </tpls>
      </n>
      <n v="40120">
        <tpls c="7">
          <tpl fld="3" item="0"/>
          <tpl fld="16" item="8"/>
          <tpl hier="31" item="3"/>
          <tpl fld="9" item="4"/>
          <tpl fld="12" item="3"/>
          <tpl hier="40" item="2"/>
          <tpl fld="17" item="0"/>
        </tpls>
      </n>
      <n v="687981">
        <tpls c="6">
          <tpl fld="3" item="1"/>
          <tpl fld="16" item="3"/>
          <tpl hier="31" item="1"/>
          <tpl fld="12" item="5"/>
          <tpl hier="40" item="2"/>
          <tpl fld="17" item="0"/>
        </tpls>
      </n>
      <n v="0">
        <tpls c="6">
          <tpl fld="10" item="0"/>
          <tpl hier="31" item="0"/>
          <tpl fld="9" item="7"/>
          <tpl fld="12" item="3"/>
          <tpl hier="40" item="2"/>
          <tpl fld="17" item="0"/>
        </tpls>
      </n>
      <n v="0">
        <tpls c="7">
          <tpl fld="2" item="1"/>
          <tpl fld="16" item="2"/>
          <tpl fld="0" item="1"/>
          <tpl fld="9" item="59"/>
          <tpl fld="12" item="4"/>
          <tpl fld="1" item="1"/>
          <tpl fld="17" item="0"/>
        </tpls>
      </n>
      <n v="230245237">
        <tpls c="6">
          <tpl fld="2" item="1"/>
          <tpl fld="0" item="1"/>
          <tpl fld="9" item="45"/>
          <tpl fld="8" item="1"/>
          <tpl hier="40" item="2"/>
          <tpl fld="17" item="0"/>
        </tpls>
      </n>
      <n v="803170">
        <tpls c="6">
          <tpl fld="10" item="2"/>
          <tpl hier="31" item="1"/>
          <tpl fld="9" item="40"/>
          <tpl fld="8" item="1"/>
          <tpl hier="40" item="2"/>
          <tpl fld="17" item="0"/>
        </tpls>
      </n>
      <m>
        <tpls c="6">
          <tpl fld="3" item="1"/>
          <tpl fld="16" item="8"/>
          <tpl hier="31" item="1"/>
          <tpl fld="12" item="20"/>
          <tpl hier="40" item="2"/>
          <tpl fld="17" item="0"/>
        </tpls>
      </m>
      <n v="29597">
        <tpls c="7">
          <tpl fld="3" item="0"/>
          <tpl fld="16" item="4"/>
          <tpl hier="31" item="3"/>
          <tpl fld="9" item="12"/>
          <tpl fld="12" item="5"/>
          <tpl hier="40" item="2"/>
          <tpl fld="17" item="0"/>
        </tpls>
      </n>
      <n v="5000">
        <tpls c="7">
          <tpl fld="3" item="1"/>
          <tpl fld="16" item="11"/>
          <tpl hier="31" item="1"/>
          <tpl fld="9" item="44"/>
          <tpl fld="12" item="2"/>
          <tpl hier="40" item="2"/>
          <tpl fld="17" item="0"/>
        </tpls>
      </n>
      <n v="6293">
        <tpls c="6">
          <tpl fld="3" item="0"/>
          <tpl hier="10" item="4294967295"/>
          <tpl hier="31" item="3"/>
          <tpl fld="12" item="22"/>
          <tpl hier="40" item="2"/>
          <tpl fld="17" item="0"/>
        </tpls>
      </n>
      <n v="155000">
        <tpls c="7">
          <tpl fld="3" item="1"/>
          <tpl fld="16" item="4"/>
          <tpl hier="31" item="1"/>
          <tpl fld="9" item="35"/>
          <tpl fld="12" item="3"/>
          <tpl hier="40" item="2"/>
          <tpl fld="17" item="0"/>
        </tpls>
      </n>
      <n v="88500">
        <tpls c="7">
          <tpl fld="3" item="1"/>
          <tpl fld="16" item="9"/>
          <tpl hier="31" item="1"/>
          <tpl fld="9" item="7"/>
          <tpl fld="12" item="3"/>
          <tpl hier="40" item="2"/>
          <tpl fld="17" item="0"/>
        </tpls>
      </n>
      <n v="14043405">
        <tpls c="6">
          <tpl fld="2" item="1"/>
          <tpl fld="16" item="5"/>
          <tpl fld="0" item="1"/>
          <tpl fld="12" item="17"/>
          <tpl fld="1" item="1"/>
          <tpl fld="17" item="0"/>
        </tpls>
      </n>
      <m>
        <tpls c="7">
          <tpl fld="3" item="1"/>
          <tpl fld="16" item="10"/>
          <tpl hier="31" item="1"/>
          <tpl fld="9" item="19"/>
          <tpl fld="12" item="5"/>
          <tpl hier="40" item="2"/>
          <tpl fld="17" item="0"/>
        </tpls>
      </m>
      <n v="-11757872">
        <tpls c="7">
          <tpl fld="2" item="1"/>
          <tpl fld="16" item="6"/>
          <tpl fld="0" item="1"/>
          <tpl fld="9" item="71"/>
          <tpl fld="12" item="16"/>
          <tpl fld="1" item="1"/>
          <tpl fld="17" item="0"/>
        </tpls>
      </n>
      <m>
        <tpls c="7">
          <tpl fld="3" item="0"/>
          <tpl fld="16" item="9"/>
          <tpl hier="31" item="3"/>
          <tpl fld="9" item="27"/>
          <tpl fld="12" item="5"/>
          <tpl hier="40" item="2"/>
          <tpl fld="17" item="0"/>
        </tpls>
      </m>
      <n v="-354229">
        <tpls c="7">
          <tpl fld="2" item="1"/>
          <tpl fld="16" item="5"/>
          <tpl fld="0" item="1"/>
          <tpl fld="9" item="63"/>
          <tpl fld="12" item="16"/>
          <tpl fld="1" item="1"/>
          <tpl fld="17" item="0"/>
        </tpls>
      </n>
      <n v="16995870">
        <tpls c="7">
          <tpl fld="3" item="1"/>
          <tpl fld="16" item="11"/>
          <tpl hier="31" item="1"/>
          <tpl fld="9" item="23"/>
          <tpl fld="12" item="2"/>
          <tpl hier="40" item="2"/>
          <tpl fld="17" item="0"/>
        </tpls>
      </n>
      <m>
        <tpls c="3">
          <tpl fld="7" item="6"/>
          <tpl fld="5" item="1"/>
          <tpl fld="17" item="1"/>
        </tpls>
      </m>
      <n v="0">
        <tpls c="6">
          <tpl fld="2" item="1"/>
          <tpl fld="0" item="1"/>
          <tpl fld="9" item="3"/>
          <tpl fld="8" item="0"/>
          <tpl hier="40" item="2"/>
          <tpl fld="17" item="0"/>
        </tpls>
      </n>
      <n v="21188">
        <tpls c="7">
          <tpl fld="3" item="1"/>
          <tpl fld="16" item="0"/>
          <tpl hier="31" item="1"/>
          <tpl fld="9" item="21"/>
          <tpl fld="12" item="3"/>
          <tpl hier="40" item="2"/>
          <tpl fld="17" item="0"/>
        </tpls>
      </n>
      <n v="0">
        <tpls c="7">
          <tpl fld="2" item="1"/>
          <tpl fld="16" item="7"/>
          <tpl fld="0" item="1"/>
          <tpl fld="9" item="75"/>
          <tpl fld="12" item="21"/>
          <tpl fld="1" item="1"/>
          <tpl fld="17" item="0"/>
        </tpls>
      </n>
      <n v="0">
        <tpls c="6">
          <tpl fld="2" item="1"/>
          <tpl fld="0" item="1"/>
          <tpl fld="9" item="32"/>
          <tpl fld="8" item="2"/>
          <tpl hier="40" item="2"/>
          <tpl fld="17" item="0"/>
        </tpls>
      </n>
      <n v="0">
        <tpls c="5">
          <tpl fld="2" item="1"/>
          <tpl fld="0" item="1"/>
          <tpl fld="12" item="20"/>
          <tpl hier="40" item="2"/>
          <tpl fld="17" item="0"/>
        </tpls>
      </n>
      <m>
        <tpls c="6">
          <tpl fld="10" item="3"/>
          <tpl hier="31" item="0"/>
          <tpl fld="9" item="6"/>
          <tpl fld="12" item="1"/>
          <tpl hier="40" item="2"/>
          <tpl fld="17" item="0"/>
        </tpls>
      </m>
      <n v="87133">
        <tpls c="7">
          <tpl fld="3" item="0"/>
          <tpl fld="16" item="11"/>
          <tpl hier="31" item="3"/>
          <tpl fld="9" item="15"/>
          <tpl fld="12" item="3"/>
          <tpl hier="40" item="2"/>
          <tpl fld="17" item="0"/>
        </tpls>
      </n>
      <m>
        <tpls c="6">
          <tpl fld="10" item="1"/>
          <tpl hier="31" item="1"/>
          <tpl fld="9" item="2"/>
          <tpl fld="8" item="3"/>
          <tpl hier="40" item="2"/>
          <tpl fld="17" item="0"/>
        </tpls>
      </m>
      <m>
        <tpls c="6">
          <tpl fld="10" item="0"/>
          <tpl hier="31" item="1"/>
          <tpl fld="9" item="19"/>
          <tpl fld="8" item="2"/>
          <tpl hier="40" item="2"/>
          <tpl fld="17" item="0"/>
        </tpls>
      </m>
      <n v="13257176">
        <tpls c="7">
          <tpl fld="2" item="1"/>
          <tpl fld="16" item="9"/>
          <tpl fld="0" item="1"/>
          <tpl fld="9" item="56"/>
          <tpl fld="12" item="8"/>
          <tpl fld="1" item="1"/>
          <tpl fld="17" item="0"/>
        </tpls>
      </n>
      <n v="52255726">
        <tpls c="5">
          <tpl fld="10" item="3"/>
          <tpl hier="31" item="0"/>
          <tpl fld="12" item="2"/>
          <tpl hier="40" item="2"/>
          <tpl fld="17" item="0"/>
        </tpls>
      </n>
      <n v="0">
        <tpls c="7">
          <tpl fld="2" item="1"/>
          <tpl fld="16" item="8"/>
          <tpl fld="0" item="1"/>
          <tpl fld="9" item="55"/>
          <tpl fld="12" item="14"/>
          <tpl fld="1" item="1"/>
          <tpl fld="17" item="0"/>
        </tpls>
      </n>
      <n v="1000">
        <tpls c="6">
          <tpl fld="3" item="1"/>
          <tpl fld="16" item="5"/>
          <tpl hier="31" item="1"/>
          <tpl fld="12" item="22"/>
          <tpl hier="40" item="2"/>
          <tpl fld="17" item="0"/>
        </tpls>
      </n>
      <n v="0">
        <tpls c="6">
          <tpl fld="2" item="1"/>
          <tpl fld="16" item="8"/>
          <tpl fld="0" item="1"/>
          <tpl fld="12" item="7"/>
          <tpl fld="1" item="1"/>
          <tpl fld="17" item="0"/>
        </tpls>
      </n>
      <n v="0">
        <tpls c="6">
          <tpl fld="3" item="0"/>
          <tpl fld="16" item="1"/>
          <tpl hier="31" item="3"/>
          <tpl fld="12" item="20"/>
          <tpl hier="40" item="2"/>
          <tpl fld="17" item="0"/>
        </tpls>
      </n>
      <n v="726667">
        <tpls c="7">
          <tpl fld="3" item="1"/>
          <tpl fld="16" item="5"/>
          <tpl hier="31" item="1"/>
          <tpl fld="9" item="9"/>
          <tpl fld="12" item="6"/>
          <tpl hier="40" item="2"/>
          <tpl fld="17" item="0"/>
        </tpls>
      </n>
      <n v="0">
        <tpls c="6">
          <tpl fld="3" item="0"/>
          <tpl fld="16" item="11"/>
          <tpl hier="31" item="3"/>
          <tpl fld="12" item="20"/>
          <tpl hier="40" item="2"/>
          <tpl fld="17" item="0"/>
        </tpls>
      </n>
      <n v="14309">
        <tpls c="7">
          <tpl fld="3" item="0"/>
          <tpl fld="16" item="0"/>
          <tpl hier="31" item="3"/>
          <tpl fld="9" item="19"/>
          <tpl fld="12" item="5"/>
          <tpl hier="40" item="2"/>
          <tpl fld="17" item="0"/>
        </tpls>
      </n>
      <n v="18000000" in="0">
        <tpls c="3">
          <tpl fld="4" item="9"/>
          <tpl fld="5" item="1"/>
          <tpl fld="17" item="1"/>
        </tpls>
      </n>
      <n v="0">
        <tpls c="6">
          <tpl fld="2" item="1"/>
          <tpl fld="16" item="8"/>
          <tpl fld="0" item="1"/>
          <tpl fld="12" item="10"/>
          <tpl fld="1" item="1"/>
          <tpl fld="17" item="0"/>
        </tpls>
      </n>
      <m>
        <tpls c="7">
          <tpl fld="3" item="1"/>
          <tpl fld="16" item="5"/>
          <tpl hier="31" item="1"/>
          <tpl fld="9" item="19"/>
          <tpl fld="12" item="5"/>
          <tpl hier="40" item="2"/>
          <tpl fld="17" item="0"/>
        </tpls>
      </m>
      <n v="-1623039">
        <tpls c="7">
          <tpl fld="2" item="1"/>
          <tpl fld="16" item="8"/>
          <tpl fld="0" item="1"/>
          <tpl fld="9" item="63"/>
          <tpl fld="12" item="16"/>
          <tpl fld="1" item="1"/>
          <tpl fld="17" item="0"/>
        </tpls>
      </n>
      <n v="4139034">
        <tpls c="6">
          <tpl fld="3" item="1"/>
          <tpl fld="16" item="11"/>
          <tpl hier="31" item="1"/>
          <tpl fld="12" item="9"/>
          <tpl hier="40" item="2"/>
          <tpl fld="17" item="0"/>
        </tpls>
      </n>
      <n v="6825000" in="0">
        <tpls c="3">
          <tpl fld="7" item="0"/>
          <tpl fld="5" item="1"/>
          <tpl fld="17" item="1"/>
        </tpls>
      </n>
      <m>
        <tpls c="7">
          <tpl fld="3" item="1"/>
          <tpl fld="16" item="11"/>
          <tpl hier="31" item="1"/>
          <tpl fld="9" item="2"/>
          <tpl fld="12" item="1"/>
          <tpl hier="40" item="2"/>
          <tpl fld="17" item="0"/>
        </tpls>
      </m>
      <n v="3058669">
        <tpls c="6">
          <tpl fld="3" item="0"/>
          <tpl fld="16" item="6"/>
          <tpl hier="31" item="3"/>
          <tpl fld="12" item="9"/>
          <tpl hier="40" item="2"/>
          <tpl fld="17" item="0"/>
        </tpls>
      </n>
      <n v="921566">
        <tpls c="6">
          <tpl fld="2" item="1"/>
          <tpl fld="0" item="1"/>
          <tpl fld="9" item="13"/>
          <tpl fld="8" item="1"/>
          <tpl hier="40" item="2"/>
          <tpl fld="17" item="0"/>
        </tpls>
      </n>
      <n v="1260000" in="0">
        <tpls c="3">
          <tpl fld="6" item="5"/>
          <tpl fld="4" item="4"/>
          <tpl fld="17" item="1"/>
        </tpls>
      </n>
      <n v="17291848">
        <tpls c="6">
          <tpl fld="3" item="1"/>
          <tpl fld="16" item="9"/>
          <tpl hier="31" item="1"/>
          <tpl fld="12" item="2"/>
          <tpl hier="40" item="2"/>
          <tpl fld="17" item="0"/>
        </tpls>
      </n>
      <n v="-61414">
        <tpls c="7">
          <tpl fld="2" item="1"/>
          <tpl fld="16" item="0"/>
          <tpl fld="0" item="1"/>
          <tpl fld="9" item="66"/>
          <tpl fld="12" item="4"/>
          <tpl fld="1" item="1"/>
          <tpl fld="17" item="0"/>
        </tpls>
      </n>
      <n v="-1194789">
        <tpls c="7">
          <tpl fld="2" item="1"/>
          <tpl fld="16" item="7"/>
          <tpl fld="0" item="1"/>
          <tpl fld="9" item="72"/>
          <tpl fld="12" item="17"/>
          <tpl fld="1" item="1"/>
          <tpl fld="17" item="0"/>
        </tpls>
      </n>
      <n v="13407227">
        <tpls c="7">
          <tpl fld="3" item="1"/>
          <tpl fld="16" item="7"/>
          <tpl hier="31" item="1"/>
          <tpl fld="9" item="23"/>
          <tpl fld="12" item="2"/>
          <tpl hier="40" item="2"/>
          <tpl fld="17" item="0"/>
        </tpls>
      </n>
      <m>
        <tpls c="7">
          <tpl fld="3" item="1"/>
          <tpl fld="16" item="0"/>
          <tpl hier="31" item="1"/>
          <tpl fld="9" item="7"/>
          <tpl fld="12" item="3"/>
          <tpl hier="40" item="2"/>
          <tpl fld="17" item="0"/>
        </tpls>
      </m>
      <n v="2231760">
        <tpls c="6">
          <tpl fld="2" item="1"/>
          <tpl fld="0" item="1"/>
          <tpl fld="9" item="40"/>
          <tpl fld="12" item="3"/>
          <tpl hier="40" item="2"/>
          <tpl fld="17" item="0"/>
        </tpls>
      </n>
      <n v="173">
        <tpls c="6">
          <tpl fld="3" item="0"/>
          <tpl fld="16" item="2"/>
          <tpl hier="31" item="3"/>
          <tpl fld="12" item="22"/>
          <tpl hier="40" item="2"/>
          <tpl fld="17" item="0"/>
        </tpls>
      </n>
      <n v="92265">
        <tpls c="5">
          <tpl fld="2" item="2"/>
          <tpl fld="0" item="2"/>
          <tpl fld="12" item="20"/>
          <tpl hier="40" item="2"/>
          <tpl fld="17" item="0"/>
        </tpls>
      </n>
      <m>
        <tpls c="7">
          <tpl fld="3" item="1"/>
          <tpl fld="16" item="4"/>
          <tpl hier="31" item="1"/>
          <tpl fld="9" item="1"/>
          <tpl fld="12" item="1"/>
          <tpl hier="40" item="2"/>
          <tpl fld="17" item="0"/>
        </tpls>
      </m>
      <n v="66229221">
        <tpls c="7">
          <tpl fld="3" item="0"/>
          <tpl fld="16" item="8"/>
          <tpl hier="31" item="3"/>
          <tpl fld="9" item="5"/>
          <tpl fld="12" item="2"/>
          <tpl hier="40" item="2"/>
          <tpl fld="17" item="0"/>
        </tpls>
      </n>
      <n v="392981">
        <tpls c="6">
          <tpl fld="3" item="1"/>
          <tpl fld="16" item="2"/>
          <tpl hier="31" item="1"/>
          <tpl fld="12" item="5"/>
          <tpl hier="40" item="2"/>
          <tpl fld="17" item="0"/>
        </tpls>
      </n>
      <n v="19067352">
        <tpls c="7">
          <tpl fld="3" item="1"/>
          <tpl fld="16" item="10"/>
          <tpl hier="31" item="1"/>
          <tpl fld="9" item="45"/>
          <tpl fld="12" item="13"/>
          <tpl hier="40" item="2"/>
          <tpl fld="17" item="0"/>
        </tpls>
      </n>
      <n v="0">
        <tpls c="7">
          <tpl fld="2" item="1"/>
          <tpl fld="16" item="1"/>
          <tpl fld="0" item="1"/>
          <tpl fld="9" item="57"/>
          <tpl fld="12" item="8"/>
          <tpl fld="1" item="1"/>
          <tpl fld="17" item="0"/>
        </tpls>
      </n>
      <n v="52500">
        <tpls c="6">
          <tpl fld="10" item="2"/>
          <tpl hier="31" item="0"/>
          <tpl fld="9" item="17"/>
          <tpl fld="12" item="2"/>
          <tpl hier="40" item="2"/>
          <tpl fld="17" item="0"/>
        </tpls>
      </n>
      <n v="2083920">
        <tpls c="7">
          <tpl fld="3" item="1"/>
          <tpl fld="16" item="5"/>
          <tpl hier="31" item="1"/>
          <tpl fld="9" item="5"/>
          <tpl fld="12" item="2"/>
          <tpl hier="40" item="2"/>
          <tpl fld="17" item="0"/>
        </tpls>
      </n>
      <n v="500">
        <tpls c="7">
          <tpl fld="3" item="1"/>
          <tpl fld="16" item="1"/>
          <tpl hier="31" item="1"/>
          <tpl fld="9" item="43"/>
          <tpl fld="12" item="22"/>
          <tpl hier="40" item="2"/>
          <tpl fld="17" item="0"/>
        </tpls>
      </n>
      <n v="79167">
        <tpls c="3">
          <tpl fld="11" item="3"/>
          <tpl fld="15" item="4"/>
          <tpl fld="17" item="2"/>
        </tpls>
      </n>
      <n v="322">
        <tpls c="7">
          <tpl fld="3" item="0"/>
          <tpl fld="16" item="8"/>
          <tpl hier="31" item="3"/>
          <tpl fld="9" item="14"/>
          <tpl fld="12" item="3"/>
          <tpl hier="40" item="2"/>
          <tpl fld="17" item="0"/>
        </tpls>
      </n>
      <m>
        <tpls c="6">
          <tpl fld="3" item="1"/>
          <tpl fld="16" item="9"/>
          <tpl hier="31" item="1"/>
          <tpl fld="12" item="20"/>
          <tpl hier="40" item="2"/>
          <tpl fld="17" item="0"/>
        </tpls>
      </m>
      <n v="160084">
        <tpls c="7">
          <tpl fld="3" item="1"/>
          <tpl fld="16" item="9"/>
          <tpl hier="31" item="1"/>
          <tpl fld="9" item="31"/>
          <tpl fld="12" item="2"/>
          <tpl hier="40" item="2"/>
          <tpl fld="17" item="0"/>
        </tpls>
      </n>
      <n v="10134688">
        <tpls c="7">
          <tpl fld="2" item="1"/>
          <tpl fld="16" item="11"/>
          <tpl fld="0" item="1"/>
          <tpl fld="9" item="55"/>
          <tpl fld="12" item="14"/>
          <tpl fld="1" item="1"/>
          <tpl fld="17" item="0"/>
        </tpls>
      </n>
      <n v="103358798">
        <tpls c="5">
          <tpl fld="2" item="2"/>
          <tpl fld="0" item="2"/>
          <tpl fld="12" item="11"/>
          <tpl fld="1" item="1"/>
          <tpl fld="17" item="0"/>
        </tpls>
      </n>
      <n v="0">
        <tpls c="7">
          <tpl fld="3" item="1"/>
          <tpl hier="10" item="4294967295"/>
          <tpl hier="31" item="1"/>
          <tpl fld="9" item="22"/>
          <tpl fld="12" item="2"/>
          <tpl hier="40" item="2"/>
          <tpl fld="17" item="0"/>
        </tpls>
      </n>
      <n v="41428384">
        <tpls c="6">
          <tpl fld="3" item="0"/>
          <tpl hier="10" item="4294967295"/>
          <tpl hier="31" item="3"/>
          <tpl fld="12" item="9"/>
          <tpl hier="40" item="2"/>
          <tpl fld="17" item="0"/>
        </tpls>
      </n>
      <n v="111859">
        <tpls c="7">
          <tpl fld="3" item="0"/>
          <tpl fld="16" item="8"/>
          <tpl hier="31" item="3"/>
          <tpl fld="9" item="40"/>
          <tpl fld="12" item="3"/>
          <tpl hier="40" item="2"/>
          <tpl fld="17" item="0"/>
        </tpls>
      </n>
      <m>
        <tpls c="6">
          <tpl fld="10" item="0"/>
          <tpl hier="31" item="1"/>
          <tpl fld="9" item="1"/>
          <tpl fld="8" item="3"/>
          <tpl hier="40" item="2"/>
          <tpl fld="17" item="0"/>
        </tpls>
      </m>
      <n v="172515">
        <tpls c="7">
          <tpl fld="3" item="0"/>
          <tpl fld="16" item="7"/>
          <tpl hier="31" item="3"/>
          <tpl fld="9" item="9"/>
          <tpl fld="12" item="6"/>
          <tpl hier="40" item="2"/>
          <tpl fld="17" item="0"/>
        </tpls>
      </n>
      <m>
        <tpls c="3">
          <tpl fld="4" item="9"/>
          <tpl fld="5" item="4"/>
          <tpl fld="17" item="1"/>
        </tpls>
      </m>
      <n v="0">
        <tpls c="7">
          <tpl fld="3" item="0"/>
          <tpl fld="16" item="3"/>
          <tpl hier="31" item="3"/>
          <tpl fld="9" item="2"/>
          <tpl fld="12" item="1"/>
          <tpl hier="40" item="2"/>
          <tpl fld="17" item="0"/>
        </tpls>
      </n>
      <n v="12367846">
        <tpls c="7">
          <tpl fld="2" item="1"/>
          <tpl hier="10" item="4294967295"/>
          <tpl fld="0" item="1"/>
          <tpl fld="9" item="71"/>
          <tpl fld="12" item="16"/>
          <tpl fld="1" item="1"/>
          <tpl fld="17" item="0"/>
        </tpls>
      </n>
      <n v="25975000" in="0">
        <tpls c="3">
          <tpl fld="4" item="6"/>
          <tpl fld="5" item="5"/>
          <tpl fld="17" item="1"/>
        </tpls>
      </n>
      <n v="0">
        <tpls c="7">
          <tpl fld="3" item="0"/>
          <tpl hier="10" item="4294967295"/>
          <tpl hier="31" item="3"/>
          <tpl fld="9" item="22"/>
          <tpl fld="12" item="2"/>
          <tpl hier="40" item="2"/>
          <tpl fld="17" item="0"/>
        </tpls>
      </n>
      <n v="0">
        <tpls c="6">
          <tpl fld="2" item="2"/>
          <tpl fld="0" item="2"/>
          <tpl fld="9" item="19"/>
          <tpl fld="12" item="5"/>
          <tpl hier="40" item="2"/>
          <tpl fld="17" item="0"/>
        </tpls>
      </n>
      <n v="13060974">
        <tpls c="5">
          <tpl fld="10" item="2"/>
          <tpl hier="31" item="0"/>
          <tpl fld="12" item="9"/>
          <tpl hier="40" item="2"/>
          <tpl fld="17" item="0"/>
        </tpls>
      </n>
      <n v="4167">
        <tpls c="7">
          <tpl fld="3" item="1"/>
          <tpl fld="16" item="4"/>
          <tpl hier="31" item="1"/>
          <tpl fld="9" item="20"/>
          <tpl fld="12" item="2"/>
          <tpl hier="40" item="2"/>
          <tpl fld="17" item="0"/>
        </tpls>
      </n>
      <m>
        <tpls c="7">
          <tpl fld="3" item="1"/>
          <tpl fld="16" item="7"/>
          <tpl hier="31" item="1"/>
          <tpl fld="9" item="32"/>
          <tpl fld="12" item="5"/>
          <tpl hier="40" item="2"/>
          <tpl fld="17" item="0"/>
        </tpls>
      </m>
      <n v="5405772">
        <tpls c="6">
          <tpl fld="3" item="1"/>
          <tpl hier="10" item="4294967295"/>
          <tpl hier="31" item="1"/>
          <tpl fld="12" item="5"/>
          <tpl hier="40" item="2"/>
          <tpl fld="17" item="0"/>
        </tpls>
      </n>
      <n v="20007791">
        <tpls c="7">
          <tpl fld="3" item="1"/>
          <tpl fld="16" item="8"/>
          <tpl hier="31" item="1"/>
          <tpl fld="9" item="45"/>
          <tpl fld="12" item="13"/>
          <tpl hier="40" item="2"/>
          <tpl fld="17" item="0"/>
        </tpls>
      </n>
      <n v="0">
        <tpls c="7">
          <tpl fld="2" item="1"/>
          <tpl fld="16" item="7"/>
          <tpl fld="0" item="1"/>
          <tpl fld="9" item="55"/>
          <tpl fld="12" item="14"/>
          <tpl fld="1" item="1"/>
          <tpl fld="17" item="0"/>
        </tpls>
      </n>
      <n v="52500">
        <tpls c="6">
          <tpl fld="10" item="3"/>
          <tpl hier="31" item="0"/>
          <tpl fld="9" item="17"/>
          <tpl fld="12" item="2"/>
          <tpl hier="40" item="2"/>
          <tpl fld="17" item="0"/>
        </tpls>
      </n>
      <n v="259224">
        <tpls c="7">
          <tpl fld="2" item="1"/>
          <tpl fld="16" item="0"/>
          <tpl fld="0" item="1"/>
          <tpl fld="9" item="76"/>
          <tpl fld="12" item="17"/>
          <tpl fld="1" item="1"/>
          <tpl fld="17" item="0"/>
        </tpls>
      </n>
      <n v="1313122">
        <tpls c="7">
          <tpl fld="3" item="1"/>
          <tpl fld="16" item="5"/>
          <tpl hier="31" item="1"/>
          <tpl fld="9" item="4"/>
          <tpl fld="12" item="3"/>
          <tpl hier="40" item="2"/>
          <tpl fld="17" item="0"/>
        </tpls>
      </n>
      <n v="0">
        <tpls c="6">
          <tpl fld="3" item="0"/>
          <tpl fld="16" item="0"/>
          <tpl hier="31" item="3"/>
          <tpl fld="12" item="20"/>
          <tpl hier="40" item="2"/>
          <tpl fld="17" item="0"/>
        </tpls>
      </n>
      <n v="100000">
        <tpls c="6">
          <tpl fld="10" item="1"/>
          <tpl hier="31" item="1"/>
          <tpl fld="9" item="12"/>
          <tpl fld="8" item="2"/>
          <tpl hier="40" item="2"/>
          <tpl fld="17" item="0"/>
        </tpls>
      </n>
      <n v="9">
        <tpls c="7">
          <tpl fld="3" item="0"/>
          <tpl fld="16" item="8"/>
          <tpl hier="31" item="3"/>
          <tpl fld="9" item="43"/>
          <tpl fld="12" item="22"/>
          <tpl hier="40" item="2"/>
          <tpl fld="17" item="0"/>
        </tpls>
      </n>
      <n v="-24675">
        <tpls c="7">
          <tpl fld="2" item="1"/>
          <tpl fld="16" item="2"/>
          <tpl fld="0" item="1"/>
          <tpl fld="9" item="76"/>
          <tpl fld="12" item="17"/>
          <tpl fld="1" item="1"/>
          <tpl fld="17" item="0"/>
        </tpls>
      </n>
      <n v="0">
        <tpls c="6">
          <tpl fld="2" item="1"/>
          <tpl fld="16" item="11"/>
          <tpl fld="0" item="1"/>
          <tpl fld="12" item="7"/>
          <tpl fld="1" item="1"/>
          <tpl fld="17" item="0"/>
        </tpls>
      </n>
      <n v="0">
        <tpls c="7">
          <tpl fld="3" item="0"/>
          <tpl fld="16" item="2"/>
          <tpl hier="31" item="3"/>
          <tpl fld="9" item="43"/>
          <tpl fld="12" item="22"/>
          <tpl hier="40" item="2"/>
          <tpl fld="17" item="0"/>
        </tpls>
      </n>
      <n v="2548962">
        <tpls c="6">
          <tpl fld="10" item="3"/>
          <tpl hier="31" item="0"/>
          <tpl fld="9" item="25"/>
          <tpl fld="12" item="2"/>
          <tpl hier="40" item="2"/>
          <tpl fld="17" item="0"/>
        </tpls>
      </n>
      <n v="1227">
        <tpls c="7">
          <tpl fld="3" item="0"/>
          <tpl fld="16" item="5"/>
          <tpl hier="31" item="3"/>
          <tpl fld="9" item="7"/>
          <tpl fld="12" item="3"/>
          <tpl hier="40" item="2"/>
          <tpl fld="17" item="0"/>
        </tpls>
      </n>
      <n v="1151243">
        <tpls c="6">
          <tpl fld="2" item="0"/>
          <tpl fld="0" item="0"/>
          <tpl fld="9" item="36"/>
          <tpl fld="8" item="1"/>
          <tpl hier="40" item="2"/>
          <tpl fld="17" item="0"/>
        </tpls>
      </n>
      <n v="1500">
        <tpls c="6">
          <tpl fld="10" item="1"/>
          <tpl hier="31" item="0"/>
          <tpl fld="9" item="48"/>
          <tpl fld="12" item="22"/>
          <tpl hier="40" item="2"/>
          <tpl fld="17" item="0"/>
        </tpls>
      </n>
      <m>
        <tpls c="3">
          <tpl fld="6" item="9"/>
          <tpl fld="4" item="8"/>
          <tpl fld="17" item="1"/>
        </tpls>
      </m>
      <n v="4167">
        <tpls c="3">
          <tpl fld="11" item="3"/>
          <tpl fld="15" item="0"/>
          <tpl fld="17" item="2"/>
        </tpls>
      </n>
      <n v="1733680">
        <tpls c="7">
          <tpl fld="3" item="1"/>
          <tpl fld="16" item="8"/>
          <tpl hier="31" item="1"/>
          <tpl fld="9" item="25"/>
          <tpl fld="12" item="2"/>
          <tpl hier="40" item="2"/>
          <tpl fld="17" item="0"/>
        </tpls>
      </n>
      <m>
        <tpls c="3">
          <tpl fld="7" item="0"/>
          <tpl fld="5" item="2"/>
          <tpl fld="17" item="1"/>
        </tpls>
      </m>
      <n v="1200000" in="0">
        <tpls c="3">
          <tpl fld="4" item="3"/>
          <tpl fld="5" item="2"/>
          <tpl fld="17" item="1"/>
        </tpls>
      </n>
      <m>
        <tpls c="3">
          <tpl fld="4" item="2"/>
          <tpl fld="5" item="5"/>
          <tpl fld="17" item="1"/>
        </tpls>
      </m>
      <m>
        <tpls c="3">
          <tpl fld="4" item="2"/>
          <tpl fld="5" item="2"/>
          <tpl fld="17" item="1"/>
        </tpls>
      </m>
      <n v="0">
        <tpls c="7">
          <tpl fld="3" item="0"/>
          <tpl fld="16" item="5"/>
          <tpl hier="31" item="3"/>
          <tpl fld="9" item="3"/>
          <tpl fld="12" item="2"/>
          <tpl hier="40" item="2"/>
          <tpl fld="17" item="0"/>
        </tpls>
      </n>
      <n v="1500">
        <tpls c="6">
          <tpl fld="10" item="3"/>
          <tpl hier="31" item="1"/>
          <tpl fld="9" item="48"/>
          <tpl fld="8" item="2"/>
          <tpl hier="40" item="2"/>
          <tpl fld="17" item="0"/>
        </tpls>
      </n>
      <n v="167299995">
        <tpls c="7">
          <tpl fld="3" item="1"/>
          <tpl hier="10" item="4294967295"/>
          <tpl hier="31" item="1"/>
          <tpl fld="9" item="5"/>
          <tpl fld="12" item="2"/>
          <tpl hier="40" item="2"/>
          <tpl fld="17" item="0"/>
        </tpls>
      </n>
      <n v="0">
        <tpls c="7">
          <tpl fld="3" item="0"/>
          <tpl fld="16" item="5"/>
          <tpl hier="31" item="3"/>
          <tpl fld="9" item="49"/>
          <tpl fld="12" item="3"/>
          <tpl hier="40" item="2"/>
          <tpl fld="17" item="0"/>
        </tpls>
      </n>
      <n v="3939366">
        <tpls c="6">
          <tpl fld="10" item="0"/>
          <tpl hier="31" item="1"/>
          <tpl fld="9" item="4"/>
          <tpl fld="8" item="1"/>
          <tpl hier="40" item="2"/>
          <tpl fld="17" item="0"/>
        </tpls>
      </n>
      <n v="0">
        <tpls c="6">
          <tpl fld="2" item="1"/>
          <tpl hier="10" item="4294967295"/>
          <tpl fld="0" item="1"/>
          <tpl fld="12" item="12"/>
          <tpl fld="1" item="1"/>
          <tpl fld="17" item="0"/>
        </tpls>
      </n>
      <n v="2784362">
        <tpls c="6">
          <tpl fld="3" item="0"/>
          <tpl fld="16" item="4"/>
          <tpl hier="31" item="3"/>
          <tpl fld="12" item="3"/>
          <tpl hier="40" item="2"/>
          <tpl fld="17" item="0"/>
        </tpls>
      </n>
      <n v="1041781">
        <tpls c="7">
          <tpl fld="3" item="0"/>
          <tpl fld="16" item="11"/>
          <tpl hier="31" item="3"/>
          <tpl fld="9" item="25"/>
          <tpl fld="12" item="2"/>
          <tpl hier="40" item="2"/>
          <tpl fld="17" item="0"/>
        </tpls>
      </n>
      <n v="42721">
        <tpls c="7">
          <tpl fld="3" item="0"/>
          <tpl fld="16" item="11"/>
          <tpl hier="31" item="3"/>
          <tpl fld="9" item="29"/>
          <tpl fld="12" item="2"/>
          <tpl hier="40" item="2"/>
          <tpl fld="17" item="0"/>
        </tpls>
      </n>
      <n v="0">
        <tpls c="7">
          <tpl fld="3" item="0"/>
          <tpl fld="16" item="8"/>
          <tpl hier="31" item="3"/>
          <tpl fld="9" item="33"/>
          <tpl fld="12" item="6"/>
          <tpl hier="40" item="2"/>
          <tpl fld="17" item="0"/>
        </tpls>
      </n>
      <n v="68723">
        <tpls c="7">
          <tpl fld="3" item="0"/>
          <tpl fld="16" item="8"/>
          <tpl hier="31" item="3"/>
          <tpl fld="9" item="29"/>
          <tpl fld="12" item="2"/>
          <tpl hier="40" item="2"/>
          <tpl fld="17" item="0"/>
        </tpls>
      </n>
      <n v="1000">
        <tpls c="6">
          <tpl fld="3" item="1"/>
          <tpl fld="16" item="0"/>
          <tpl hier="31" item="1"/>
          <tpl fld="12" item="22"/>
          <tpl hier="40" item="2"/>
          <tpl fld="17" item="0"/>
        </tpls>
      </n>
      <n v="0">
        <tpls c="7">
          <tpl fld="3" item="0"/>
          <tpl fld="16" item="10"/>
          <tpl hier="31" item="3"/>
          <tpl fld="9" item="35"/>
          <tpl fld="12" item="3"/>
          <tpl hier="40" item="2"/>
          <tpl fld="17" item="0"/>
        </tpls>
      </n>
      <m>
        <tpls c="7">
          <tpl fld="3" item="1"/>
          <tpl fld="16" item="6"/>
          <tpl hier="31" item="1"/>
          <tpl fld="9" item="2"/>
          <tpl fld="12" item="1"/>
          <tpl hier="40" item="2"/>
          <tpl fld="17" item="0"/>
        </tpls>
      </m>
      <m>
        <tpls c="7">
          <tpl fld="3" item="1"/>
          <tpl fld="16" item="6"/>
          <tpl hier="31" item="1"/>
          <tpl fld="9" item="36"/>
          <tpl fld="12" item="3"/>
          <tpl hier="40" item="2"/>
          <tpl fld="17" item="0"/>
        </tpls>
      </m>
      <n v="0">
        <tpls c="6">
          <tpl fld="2" item="1"/>
          <tpl fld="16" item="8"/>
          <tpl fld="0" item="1"/>
          <tpl fld="12" item="21"/>
          <tpl fld="1" item="1"/>
          <tpl fld="17" item="0"/>
        </tpls>
      </n>
      <n v="-67175">
        <tpls c="7">
          <tpl fld="2" item="1"/>
          <tpl fld="16" item="8"/>
          <tpl fld="0" item="1"/>
          <tpl fld="9" item="54"/>
          <tpl fld="12" item="16"/>
          <tpl fld="1" item="1"/>
          <tpl fld="17" item="0"/>
        </tpls>
      </n>
      <n v="0">
        <tpls c="7">
          <tpl fld="2" item="1"/>
          <tpl fld="16" item="8"/>
          <tpl fld="0" item="1"/>
          <tpl fld="9" item="65"/>
          <tpl fld="12" item="14"/>
          <tpl fld="1" item="1"/>
          <tpl fld="17" item="0"/>
        </tpls>
      </n>
      <n v="-19205">
        <tpls c="6">
          <tpl fld="2" item="1"/>
          <tpl fld="16" item="8"/>
          <tpl fld="0" item="1"/>
          <tpl fld="12" item="0"/>
          <tpl fld="1" item="1"/>
          <tpl fld="17" item="0"/>
        </tpls>
      </n>
      <n v="0">
        <tpls c="7">
          <tpl fld="3" item="1"/>
          <tpl fld="16" item="5"/>
          <tpl hier="31" item="1"/>
          <tpl fld="9" item="12"/>
          <tpl fld="12" item="5"/>
          <tpl hier="40" item="2"/>
          <tpl fld="17" item="0"/>
        </tpls>
      </n>
      <m>
        <tpls c="7">
          <tpl fld="3" item="1"/>
          <tpl fld="16" item="5"/>
          <tpl hier="31" item="1"/>
          <tpl fld="9" item="22"/>
          <tpl fld="12" item="2"/>
          <tpl hier="40" item="2"/>
          <tpl fld="17" item="0"/>
        </tpls>
      </m>
      <n v="-312200">
        <tpls c="7">
          <tpl fld="2" item="1"/>
          <tpl fld="16" item="1"/>
          <tpl fld="0" item="1"/>
          <tpl fld="9" item="76"/>
          <tpl fld="12" item="17"/>
          <tpl fld="1" item="1"/>
          <tpl fld="17" item="0"/>
        </tpls>
      </n>
      <n v="967">
        <tpls c="7">
          <tpl fld="3" item="0"/>
          <tpl fld="16" item="7"/>
          <tpl hier="31" item="3"/>
          <tpl fld="9" item="43"/>
          <tpl fld="12" item="22"/>
          <tpl hier="40" item="2"/>
          <tpl fld="17" item="0"/>
        </tpls>
      </n>
      <n v="483">
        <tpls c="7">
          <tpl fld="3" item="0"/>
          <tpl fld="16" item="6"/>
          <tpl hier="31" item="3"/>
          <tpl fld="9" item="43"/>
          <tpl fld="12" item="22"/>
          <tpl hier="40" item="2"/>
          <tpl fld="17" item="0"/>
        </tpls>
      </n>
      <n v="69">
        <tpls c="7">
          <tpl fld="3" item="0"/>
          <tpl fld="16" item="0"/>
          <tpl hier="31" item="3"/>
          <tpl fld="9" item="43"/>
          <tpl fld="12" item="22"/>
          <tpl hier="40" item="2"/>
          <tpl fld="17" item="0"/>
        </tpls>
      </n>
      <m>
        <tpls c="7">
          <tpl fld="3" item="1"/>
          <tpl fld="16" item="0"/>
          <tpl hier="31" item="1"/>
          <tpl fld="9" item="27"/>
          <tpl fld="12" item="5"/>
          <tpl hier="40" item="2"/>
          <tpl fld="17" item="0"/>
        </tpls>
      </m>
      <n v="14160000" in="0">
        <tpls c="3">
          <tpl fld="4" item="7"/>
          <tpl fld="5" item="5"/>
          <tpl fld="17" item="1"/>
        </tpls>
      </n>
      <n v="41565">
        <tpls c="7">
          <tpl fld="3" item="0"/>
          <tpl fld="16" item="3"/>
          <tpl hier="31" item="3"/>
          <tpl fld="9" item="33"/>
          <tpl fld="12" item="6"/>
          <tpl hier="40" item="2"/>
          <tpl fld="17" item="0"/>
        </tpls>
      </n>
      <n v="6000">
        <tpls c="6">
          <tpl fld="2" item="0"/>
          <tpl fld="0" item="0"/>
          <tpl fld="9" item="48"/>
          <tpl fld="8" item="2"/>
          <tpl hier="40" item="2"/>
          <tpl fld="17" item="0"/>
        </tpls>
      </n>
      <m>
        <tpls c="6">
          <tpl fld="2" item="1"/>
          <tpl fld="0" item="1"/>
          <tpl fld="9" item="27"/>
          <tpl fld="8" item="2"/>
          <tpl hier="40" item="2"/>
          <tpl fld="17" item="0"/>
        </tpls>
      </m>
      <n v="0">
        <tpls c="7">
          <tpl fld="3" item="0"/>
          <tpl fld="16" item="0"/>
          <tpl hier="31" item="3"/>
          <tpl fld="9" item="44"/>
          <tpl fld="12" item="2"/>
          <tpl hier="40" item="2"/>
          <tpl fld="17" item="0"/>
        </tpls>
      </n>
      <n v="8793652">
        <tpls c="5">
          <tpl fld="2" item="2"/>
          <tpl fld="0" item="2"/>
          <tpl fld="12" item="6"/>
          <tpl hier="40" item="2"/>
          <tpl fld="17" item="0"/>
        </tpls>
      </n>
      <m>
        <tpls c="3">
          <tpl fld="6" item="5"/>
          <tpl fld="4" item="3"/>
          <tpl fld="17" item="1"/>
        </tpls>
      </m>
      <n v="37074011">
        <tpls c="6">
          <tpl fld="3" item="0"/>
          <tpl hier="10" item="4294967295"/>
          <tpl hier="31" item="3"/>
          <tpl fld="12" item="3"/>
          <tpl hier="40" item="2"/>
          <tpl fld="17" item="0"/>
        </tpls>
      </n>
      <n v="2473050">
        <tpls c="6">
          <tpl fld="10" item="2"/>
          <tpl hier="31" item="0"/>
          <tpl fld="9" item="41"/>
          <tpl fld="12" item="3"/>
          <tpl hier="40" item="2"/>
          <tpl fld="17" item="0"/>
        </tpls>
      </n>
      <n v="769263">
        <tpls c="6">
          <tpl fld="10" item="2"/>
          <tpl hier="31" item="0"/>
          <tpl fld="9" item="24"/>
          <tpl fld="12" item="6"/>
          <tpl hier="40" item="2"/>
          <tpl fld="17" item="0"/>
        </tpls>
      </n>
      <n v="98146">
        <tpls c="7">
          <tpl fld="3" item="0"/>
          <tpl fld="16" item="6"/>
          <tpl hier="31" item="3"/>
          <tpl fld="9" item="53"/>
          <tpl fld="12" item="2"/>
          <tpl hier="40" item="2"/>
          <tpl fld="17" item="0"/>
        </tpls>
      </n>
      <n v="155000">
        <tpls c="7">
          <tpl fld="3" item="1"/>
          <tpl fld="16" item="0"/>
          <tpl hier="31" item="1"/>
          <tpl fld="9" item="35"/>
          <tpl fld="12" item="3"/>
          <tpl hier="40" item="2"/>
          <tpl fld="17" item="0"/>
        </tpls>
      </n>
      <m>
        <tpls c="3">
          <tpl fld="6" item="17"/>
          <tpl fld="4" item="8"/>
          <tpl fld="17" item="1"/>
        </tpls>
      </m>
      <n v="155000">
        <tpls c="7">
          <tpl fld="3" item="1"/>
          <tpl fld="16" item="2"/>
          <tpl hier="31" item="1"/>
          <tpl fld="9" item="35"/>
          <tpl fld="12" item="3"/>
          <tpl hier="40" item="2"/>
          <tpl fld="17" item="0"/>
        </tpls>
      </n>
      <m>
        <tpls c="3">
          <tpl fld="6" item="19"/>
          <tpl fld="4" item="4"/>
          <tpl fld="17" item="1"/>
        </tpls>
      </m>
      <n v="292646501">
        <tpls c="7">
          <tpl fld="2" item="1"/>
          <tpl fld="16" item="11"/>
          <tpl fld="0" item="1"/>
          <tpl fld="9" item="58"/>
          <tpl fld="12" item="19"/>
          <tpl fld="1" item="1"/>
          <tpl fld="17" item="0"/>
        </tpls>
      </n>
      <m>
        <tpls c="7">
          <tpl fld="3" item="0"/>
          <tpl fld="16" item="2"/>
          <tpl hier="31" item="3"/>
          <tpl fld="9" item="27"/>
          <tpl fld="12" item="5"/>
          <tpl hier="40" item="2"/>
          <tpl fld="17" item="0"/>
        </tpls>
      </m>
      <n v="0">
        <tpls c="7">
          <tpl fld="3" item="0"/>
          <tpl hier="10" item="4294967295"/>
          <tpl hier="31" item="3"/>
          <tpl fld="9" item="3"/>
          <tpl fld="12" item="2"/>
          <tpl hier="40" item="2"/>
          <tpl fld="17" item="0"/>
        </tpls>
      </n>
      <n v="17834372">
        <tpls c="6">
          <tpl fld="2" item="1"/>
          <tpl fld="0" item="1"/>
          <tpl fld="9" item="0"/>
          <tpl fld="8" item="0"/>
          <tpl hier="40" item="2"/>
          <tpl fld="17" item="0"/>
        </tpls>
      </n>
      <n v="0">
        <tpls c="6">
          <tpl fld="2" item="1"/>
          <tpl fld="16" item="2"/>
          <tpl fld="0" item="1"/>
          <tpl fld="12" item="14"/>
          <tpl fld="1" item="1"/>
          <tpl fld="17" item="0"/>
        </tpls>
      </n>
      <n v="0">
        <tpls c="6">
          <tpl fld="2" item="1"/>
          <tpl fld="16" item="5"/>
          <tpl fld="0" item="1"/>
          <tpl fld="12" item="14"/>
          <tpl fld="1" item="1"/>
          <tpl fld="17" item="0"/>
        </tpls>
      </n>
      <n v="0">
        <tpls c="7">
          <tpl fld="2" item="1"/>
          <tpl fld="16" item="6"/>
          <tpl fld="0" item="1"/>
          <tpl fld="9" item="42"/>
          <tpl fld="12" item="17"/>
          <tpl fld="1" item="1"/>
          <tpl fld="17" item="0"/>
        </tpls>
      </n>
      <m>
        <tpls c="3">
          <tpl fld="6" item="15"/>
          <tpl fld="4" item="4"/>
          <tpl fld="17" item="1"/>
        </tpls>
      </m>
      <n v="0">
        <tpls c="7">
          <tpl fld="2" item="1"/>
          <tpl fld="16" item="2"/>
          <tpl fld="0" item="1"/>
          <tpl fld="9" item="30"/>
          <tpl fld="12" item="15"/>
          <tpl fld="1" item="1"/>
          <tpl fld="17" item="0"/>
        </tpls>
      </n>
      <n v="0">
        <tpls c="7">
          <tpl fld="2" item="1"/>
          <tpl fld="16" item="6"/>
          <tpl fld="0" item="1"/>
          <tpl fld="9" item="50"/>
          <tpl fld="12" item="16"/>
          <tpl fld="1" item="1"/>
          <tpl fld="17" item="0"/>
        </tpls>
      </n>
      <m>
        <tpls c="6">
          <tpl fld="2" item="0"/>
          <tpl fld="0" item="0"/>
          <tpl fld="9" item="1"/>
          <tpl fld="12" item="1"/>
          <tpl hier="40" item="2"/>
          <tpl fld="17" item="0"/>
        </tpls>
      </m>
      <n v="0">
        <tpls c="6">
          <tpl fld="2" item="2"/>
          <tpl fld="0" item="2"/>
          <tpl fld="9" item="68"/>
          <tpl fld="12" item="18"/>
          <tpl fld="1" item="1"/>
          <tpl fld="17" item="0"/>
        </tpls>
      </n>
      <n v="152582">
        <tpls c="7">
          <tpl fld="3" item="0"/>
          <tpl fld="16" item="2"/>
          <tpl hier="31" item="3"/>
          <tpl fld="9" item="24"/>
          <tpl fld="12" item="6"/>
          <tpl hier="40" item="2"/>
          <tpl fld="17" item="0"/>
        </tpls>
      </n>
      <n v="682536">
        <tpls c="7">
          <tpl fld="3" item="1"/>
          <tpl fld="16" item="6"/>
          <tpl hier="31" item="1"/>
          <tpl fld="9" item="25"/>
          <tpl fld="12" item="2"/>
          <tpl hier="40" item="2"/>
          <tpl fld="17" item="0"/>
        </tpls>
      </n>
      <n v="1498987">
        <tpls c="7">
          <tpl fld="3" item="0"/>
          <tpl fld="16" item="1"/>
          <tpl hier="31" item="3"/>
          <tpl fld="9" item="18"/>
          <tpl fld="12" item="2"/>
          <tpl hier="40" item="2"/>
          <tpl fld="17" item="0"/>
        </tpls>
      </n>
      <m>
        <tpls c="7">
          <tpl fld="3" item="1"/>
          <tpl fld="16" item="1"/>
          <tpl hier="31" item="1"/>
          <tpl fld="9" item="13"/>
          <tpl fld="12" item="3"/>
          <tpl hier="40" item="2"/>
          <tpl fld="17" item="0"/>
        </tpls>
      </m>
      <n v="1026600">
        <tpls c="6">
          <tpl fld="10" item="0"/>
          <tpl hier="31" item="1"/>
          <tpl fld="9" item="13"/>
          <tpl fld="8" item="1"/>
          <tpl hier="40" item="2"/>
          <tpl fld="17" item="0"/>
        </tpls>
      </n>
      <n v="67318169">
        <tpls c="7">
          <tpl fld="2" item="1"/>
          <tpl fld="16" item="8"/>
          <tpl fld="0" item="1"/>
          <tpl fld="9" item="56"/>
          <tpl fld="12" item="8"/>
          <tpl fld="1" item="1"/>
          <tpl fld="17" item="0"/>
        </tpls>
      </n>
      <n v="6321653">
        <tpls c="6">
          <tpl fld="3" item="0"/>
          <tpl hier="10" item="4294967295"/>
          <tpl hier="31" item="3"/>
          <tpl fld="12" item="5"/>
          <tpl hier="40" item="2"/>
          <tpl fld="17" item="0"/>
        </tpls>
      </n>
      <n v="0">
        <tpls c="7">
          <tpl fld="2" item="1"/>
          <tpl fld="16" item="8"/>
          <tpl fld="0" item="1"/>
          <tpl fld="9" item="68"/>
          <tpl fld="12" item="18"/>
          <tpl fld="1" item="1"/>
          <tpl fld="17" item="0"/>
        </tpls>
      </n>
      <n v="0">
        <tpls c="6">
          <tpl fld="2" item="1"/>
          <tpl fld="16" item="1"/>
          <tpl fld="0" item="1"/>
          <tpl fld="12" item="7"/>
          <tpl fld="1" item="1"/>
          <tpl fld="17" item="0"/>
        </tpls>
      </n>
      <n v="-1816480">
        <tpls c="6">
          <tpl fld="2" item="1"/>
          <tpl fld="16" item="8"/>
          <tpl fld="0" item="1"/>
          <tpl fld="12" item="16"/>
          <tpl fld="1" item="1"/>
          <tpl fld="17" item="0"/>
        </tpls>
      </n>
      <n v="4751464">
        <tpls c="6">
          <tpl fld="3" item="1"/>
          <tpl fld="16" item="7"/>
          <tpl hier="31" item="1"/>
          <tpl fld="12" item="9"/>
          <tpl hier="40" item="2"/>
          <tpl fld="17" item="0"/>
        </tpls>
      </n>
      <n v="5000">
        <tpls c="7">
          <tpl fld="3" item="1"/>
          <tpl fld="16" item="1"/>
          <tpl hier="31" item="1"/>
          <tpl fld="9" item="44"/>
          <tpl fld="12" item="2"/>
          <tpl hier="40" item="2"/>
          <tpl fld="17" item="0"/>
        </tpls>
      </n>
      <n v="0">
        <tpls c="7">
          <tpl fld="3" item="0"/>
          <tpl fld="16" item="9"/>
          <tpl hier="31" item="3"/>
          <tpl fld="9" item="32"/>
          <tpl fld="12" item="5"/>
          <tpl hier="40" item="2"/>
          <tpl fld="17" item="0"/>
        </tpls>
      </n>
      <n v="0">
        <tpls c="6">
          <tpl fld="2" item="1"/>
          <tpl fld="16" item="2"/>
          <tpl fld="0" item="1"/>
          <tpl fld="12" item="18"/>
          <tpl fld="1" item="1"/>
          <tpl fld="17" item="0"/>
        </tpls>
      </n>
      <n v="1747950">
        <tpls c="6">
          <tpl fld="10" item="1"/>
          <tpl hier="31" item="1"/>
          <tpl fld="9" item="0"/>
          <tpl fld="8" item="0"/>
          <tpl hier="40" item="2"/>
          <tpl fld="17" item="0"/>
        </tpls>
      </n>
      <n v="6811000" in="0">
        <tpls c="3">
          <tpl fld="7" item="1"/>
          <tpl fld="5" item="4"/>
          <tpl fld="17" item="1"/>
        </tpls>
      </n>
      <n v="17500">
        <tpls c="7">
          <tpl fld="3" item="1"/>
          <tpl fld="16" item="2"/>
          <tpl hier="31" item="1"/>
          <tpl fld="9" item="17"/>
          <tpl fld="12" item="2"/>
          <tpl hier="40" item="2"/>
          <tpl fld="17" item="0"/>
        </tpls>
      </n>
      <m>
        <tpls c="7">
          <tpl fld="3" item="1"/>
          <tpl fld="16" item="1"/>
          <tpl hier="31" item="1"/>
          <tpl fld="9" item="27"/>
          <tpl fld="12" item="5"/>
          <tpl hier="40" item="2"/>
          <tpl fld="17" item="0"/>
        </tpls>
      </m>
      <n v="3670000" in="0">
        <tpls c="3">
          <tpl fld="4" item="9"/>
          <tpl fld="5" item="5"/>
          <tpl fld="17" item="1"/>
        </tpls>
      </n>
      <n v="57898197">
        <tpls c="6">
          <tpl fld="2" item="1"/>
          <tpl fld="16" item="11"/>
          <tpl fld="0" item="1"/>
          <tpl fld="12" item="15"/>
          <tpl fld="1" item="1"/>
          <tpl fld="17" item="0"/>
        </tpls>
      </n>
      <n v="0">
        <tpls c="7">
          <tpl fld="3" item="0"/>
          <tpl hier="10" item="4294967295"/>
          <tpl hier="31" item="3"/>
          <tpl fld="9" item="32"/>
          <tpl fld="12" item="5"/>
          <tpl hier="40" item="2"/>
          <tpl fld="17" item="0"/>
        </tpls>
      </n>
      <n v="1666667">
        <tpls c="7">
          <tpl fld="3" item="1"/>
          <tpl fld="16" item="4"/>
          <tpl hier="31" item="1"/>
          <tpl fld="9" item="18"/>
          <tpl fld="12" item="2"/>
          <tpl hier="40" item="2"/>
          <tpl fld="17" item="0"/>
        </tpls>
      </n>
      <n v="18290743">
        <tpls c="7">
          <tpl fld="3" item="0"/>
          <tpl fld="16" item="11"/>
          <tpl hier="31" item="3"/>
          <tpl fld="9" item="45"/>
          <tpl fld="12" item="13"/>
          <tpl hier="40" item="2"/>
          <tpl fld="17" item="0"/>
        </tpls>
      </n>
      <n v="0">
        <tpls c="7">
          <tpl fld="2" item="1"/>
          <tpl fld="16" item="6"/>
          <tpl fld="0" item="1"/>
          <tpl fld="9" item="76"/>
          <tpl fld="12" item="17"/>
          <tpl fld="1" item="1"/>
          <tpl fld="17" item="0"/>
        </tpls>
      </n>
      <m>
        <tpls c="6">
          <tpl fld="3" item="1"/>
          <tpl fld="16" item="5"/>
          <tpl hier="31" item="1"/>
          <tpl fld="12" item="20"/>
          <tpl hier="40" item="2"/>
          <tpl fld="17" item="0"/>
        </tpls>
      </m>
      <n v="0">
        <tpls c="6">
          <tpl fld="3" item="0"/>
          <tpl fld="16" item="2"/>
          <tpl hier="31" item="3"/>
          <tpl fld="12" item="20"/>
          <tpl hier="40" item="2"/>
          <tpl fld="17" item="0"/>
        </tpls>
      </n>
      <n v="0">
        <tpls c="7">
          <tpl fld="2" item="1"/>
          <tpl fld="16" item="9"/>
          <tpl fld="0" item="1"/>
          <tpl fld="9" item="75"/>
          <tpl fld="12" item="21"/>
          <tpl fld="1" item="1"/>
          <tpl fld="17" item="0"/>
        </tpls>
      </n>
      <n v="112844829">
        <tpls c="6">
          <tpl fld="2" item="2"/>
          <tpl fld="0" item="2"/>
          <tpl fld="9" item="23"/>
          <tpl fld="12" item="2"/>
          <tpl hier="40" item="2"/>
          <tpl fld="17" item="0"/>
        </tpls>
      </n>
      <n v="437904">
        <tpls c="7">
          <tpl fld="3" item="0"/>
          <tpl fld="16" item="7"/>
          <tpl hier="31" item="3"/>
          <tpl fld="9" item="41"/>
          <tpl fld="12" item="3"/>
          <tpl hier="40" item="2"/>
          <tpl fld="17" item="0"/>
        </tpls>
      </n>
      <n v="28320">
        <tpls c="6">
          <tpl fld="10" item="1"/>
          <tpl hier="31" item="0"/>
          <tpl fld="9" item="13"/>
          <tpl fld="12" item="3"/>
          <tpl hier="40" item="2"/>
          <tpl fld="17" item="0"/>
        </tpls>
      </n>
      <n v="5000">
        <tpls c="6">
          <tpl fld="10" item="0"/>
          <tpl hier="31" item="1"/>
          <tpl fld="9" item="6"/>
          <tpl fld="8" item="3"/>
          <tpl hier="40" item="2"/>
          <tpl fld="17" item="0"/>
        </tpls>
      </n>
      <n v="19802640">
        <tpls c="7">
          <tpl fld="3" item="0"/>
          <tpl fld="16" item="6"/>
          <tpl hier="31" item="3"/>
          <tpl fld="9" item="23"/>
          <tpl fld="12" item="2"/>
          <tpl hier="40" item="2"/>
          <tpl fld="17" item="0"/>
        </tpls>
      </n>
      <n v="0">
        <tpls c="6">
          <tpl fld="2" item="1"/>
          <tpl fld="0" item="1"/>
          <tpl fld="9" item="1"/>
          <tpl fld="8" item="3"/>
          <tpl hier="40" item="2"/>
          <tpl fld="17" item="0"/>
        </tpls>
      </n>
      <n v="0">
        <tpls c="7">
          <tpl fld="2" item="1"/>
          <tpl fld="16" item="6"/>
          <tpl fld="0" item="1"/>
          <tpl fld="9" item="73"/>
          <tpl fld="12" item="4"/>
          <tpl fld="1" item="1"/>
          <tpl fld="17" item="0"/>
        </tpls>
      </n>
      <n v="921566">
        <tpls c="6">
          <tpl fld="2" item="1"/>
          <tpl fld="0" item="1"/>
          <tpl fld="9" item="13"/>
          <tpl fld="12" item="3"/>
          <tpl hier="40" item="2"/>
          <tpl fld="17" item="0"/>
        </tpls>
      </n>
      <m>
        <tpls c="6">
          <tpl fld="10" item="3"/>
          <tpl hier="31" item="0"/>
          <tpl fld="9" item="2"/>
          <tpl fld="12" item="1"/>
          <tpl hier="40" item="2"/>
          <tpl fld="17" item="0"/>
        </tpls>
      </m>
      <n v="36551571">
        <tpls c="6">
          <tpl fld="10" item="3"/>
          <tpl hier="31" item="1"/>
          <tpl fld="9" item="23"/>
          <tpl fld="8" item="0"/>
          <tpl hier="40" item="2"/>
          <tpl fld="17" item="0"/>
        </tpls>
      </n>
      <n v="34">
        <tpls c="7">
          <tpl fld="3" item="0"/>
          <tpl fld="16" item="5"/>
          <tpl hier="31" item="3"/>
          <tpl fld="9" item="6"/>
          <tpl fld="12" item="1"/>
          <tpl hier="40" item="2"/>
          <tpl fld="17" item="0"/>
        </tpls>
      </n>
      <n v="175515">
        <tpls c="6">
          <tpl fld="2" item="3"/>
          <tpl fld="0" item="2"/>
          <tpl fld="9" item="73"/>
          <tpl fld="12" item="4"/>
          <tpl fld="1" item="1"/>
          <tpl fld="17" item="0"/>
        </tpls>
      </n>
      <n v="500">
        <tpls c="7">
          <tpl fld="3" item="1"/>
          <tpl fld="16" item="5"/>
          <tpl hier="31" item="1"/>
          <tpl fld="9" item="43"/>
          <tpl fld="12" item="22"/>
          <tpl hier="40" item="2"/>
          <tpl fld="17" item="0"/>
        </tpls>
      </n>
      <m>
        <tpls c="6">
          <tpl fld="10" item="3"/>
          <tpl hier="31" item="0"/>
          <tpl fld="9" item="7"/>
          <tpl fld="12" item="3"/>
          <tpl hier="40" item="2"/>
          <tpl fld="17" item="0"/>
        </tpls>
      </m>
      <n v="659225">
        <tpls c="7">
          <tpl fld="3" item="0"/>
          <tpl fld="16" item="11"/>
          <tpl hier="31" item="3"/>
          <tpl fld="9" item="18"/>
          <tpl fld="12" item="2"/>
          <tpl hier="40" item="2"/>
          <tpl fld="17" item="0"/>
        </tpls>
      </n>
      <n v="520249">
        <tpls c="6">
          <tpl fld="3" item="0"/>
          <tpl fld="16" item="2"/>
          <tpl hier="31" item="3"/>
          <tpl fld="12" item="6"/>
          <tpl hier="40" item="2"/>
          <tpl fld="17" item="0"/>
        </tpls>
      </n>
      <m>
        <tpls c="3">
          <tpl fld="7" item="3"/>
          <tpl fld="5" item="4"/>
          <tpl fld="17" item="1"/>
        </tpls>
      </m>
      <n v="316">
        <tpls c="7">
          <tpl fld="3" item="0"/>
          <tpl fld="16" item="5"/>
          <tpl hier="31" item="3"/>
          <tpl fld="9" item="10"/>
          <tpl fld="12" item="6"/>
          <tpl hier="40" item="2"/>
          <tpl fld="17" item="0"/>
        </tpls>
      </n>
      <m>
        <tpls c="7">
          <tpl fld="3" item="1"/>
          <tpl fld="16" item="4"/>
          <tpl hier="31" item="1"/>
          <tpl fld="9" item="49"/>
          <tpl fld="12" item="3"/>
          <tpl hier="40" item="2"/>
          <tpl fld="17" item="0"/>
        </tpls>
      </m>
      <n v="0">
        <tpls c="7">
          <tpl fld="3" item="0"/>
          <tpl fld="16" item="11"/>
          <tpl hier="31" item="3"/>
          <tpl fld="9" item="7"/>
          <tpl fld="12" item="3"/>
          <tpl hier="40" item="2"/>
          <tpl fld="17" item="0"/>
        </tpls>
      </n>
      <n v="1000">
        <tpls c="6">
          <tpl fld="3" item="1"/>
          <tpl fld="16" item="1"/>
          <tpl hier="31" item="1"/>
          <tpl fld="12" item="22"/>
          <tpl hier="40" item="2"/>
          <tpl fld="17" item="0"/>
        </tpls>
      </n>
      <n v="-392981">
        <tpls c="7">
          <tpl fld="2" item="1"/>
          <tpl fld="16" item="8"/>
          <tpl fld="0" item="1"/>
          <tpl fld="9" item="16"/>
          <tpl fld="12" item="11"/>
          <tpl fld="1" item="1"/>
          <tpl fld="17" item="0"/>
        </tpls>
      </n>
      <n v="155000">
        <tpls c="7">
          <tpl fld="3" item="1"/>
          <tpl fld="16" item="5"/>
          <tpl hier="31" item="1"/>
          <tpl fld="9" item="35"/>
          <tpl fld="12" item="3"/>
          <tpl hier="40" item="2"/>
          <tpl fld="17" item="0"/>
        </tpls>
      </n>
      <n v="500">
        <tpls c="7">
          <tpl fld="3" item="1"/>
          <tpl fld="16" item="9"/>
          <tpl hier="31" item="1"/>
          <tpl fld="9" item="43"/>
          <tpl fld="12" item="22"/>
          <tpl hier="40" item="2"/>
          <tpl fld="17" item="0"/>
        </tpls>
      </n>
      <n v="6310969">
        <tpls c="7">
          <tpl fld="2" item="1"/>
          <tpl hier="10" item="4294967295"/>
          <tpl fld="0" item="1"/>
          <tpl fld="9" item="54"/>
          <tpl fld="12" item="16"/>
          <tpl fld="1" item="1"/>
          <tpl fld="17" item="0"/>
        </tpls>
      </n>
      <n v="-1264468">
        <tpls c="7">
          <tpl fld="2" item="1"/>
          <tpl fld="16" item="1"/>
          <tpl fld="0" item="1"/>
          <tpl fld="9" item="72"/>
          <tpl fld="12" item="17"/>
          <tpl fld="1" item="1"/>
          <tpl fld="17" item="0"/>
        </tpls>
      </n>
      <n v="500">
        <tpls c="7">
          <tpl fld="3" item="1"/>
          <tpl fld="16" item="3"/>
          <tpl hier="31" item="1"/>
          <tpl fld="9" item="43"/>
          <tpl fld="12" item="22"/>
          <tpl hier="40" item="2"/>
          <tpl fld="17" item="0"/>
        </tpls>
      </n>
      <n v="384071">
        <tpls c="6">
          <tpl fld="3" item="0"/>
          <tpl fld="16" item="8"/>
          <tpl hier="31" item="3"/>
          <tpl fld="12" item="5"/>
          <tpl hier="40" item="2"/>
          <tpl fld="17" item="0"/>
        </tpls>
      </n>
      <n v="129">
        <tpls c="7">
          <tpl fld="3" item="0"/>
          <tpl fld="16" item="10"/>
          <tpl hier="31" item="3"/>
          <tpl fld="9" item="43"/>
          <tpl fld="12" item="22"/>
          <tpl hier="40" item="2"/>
          <tpl fld="17" item="0"/>
        </tpls>
      </n>
      <n v="0">
        <tpls c="7">
          <tpl fld="2" item="1"/>
          <tpl fld="16" item="8"/>
          <tpl fld="0" item="1"/>
          <tpl fld="9" item="26"/>
          <tpl fld="12" item="14"/>
          <tpl fld="1" item="1"/>
          <tpl fld="17" item="0"/>
        </tpls>
      </n>
      <n v="0">
        <tpls c="6">
          <tpl fld="10" item="2"/>
          <tpl hier="31" item="1"/>
          <tpl fld="9" item="12"/>
          <tpl fld="8" item="2"/>
          <tpl hier="40" item="2"/>
          <tpl fld="17" item="0"/>
        </tpls>
      </n>
      <n v="41148">
        <tpls c="7">
          <tpl fld="3" item="0"/>
          <tpl fld="16" item="9"/>
          <tpl hier="31" item="3"/>
          <tpl fld="9" item="52"/>
          <tpl fld="12" item="3"/>
          <tpl hier="40" item="2"/>
          <tpl fld="17" item="0"/>
        </tpls>
      </n>
      <m>
        <tpls c="6">
          <tpl fld="10" item="3"/>
          <tpl hier="31" item="1"/>
          <tpl fld="9" item="27"/>
          <tpl fld="8" item="2"/>
          <tpl hier="40" item="2"/>
          <tpl fld="17" item="0"/>
        </tpls>
      </m>
      <n v="2231760">
        <tpls c="7">
          <tpl fld="3" item="0"/>
          <tpl hier="10" item="4294967295"/>
          <tpl hier="31" item="3"/>
          <tpl fld="9" item="40"/>
          <tpl fld="12" item="3"/>
          <tpl hier="40" item="2"/>
          <tpl fld="17" item="0"/>
        </tpls>
      </n>
      <n v="0">
        <tpls c="6">
          <tpl fld="2" item="1"/>
          <tpl fld="16" item="0"/>
          <tpl fld="0" item="1"/>
          <tpl fld="12" item="7"/>
          <tpl fld="1" item="1"/>
          <tpl fld="17" item="0"/>
        </tpls>
      </n>
      <n v="0">
        <tpls c="6">
          <tpl fld="3" item="0"/>
          <tpl fld="16" item="6"/>
          <tpl hier="31" item="3"/>
          <tpl fld="12" item="20"/>
          <tpl hier="40" item="2"/>
          <tpl fld="17" item="0"/>
        </tpls>
      </n>
      <m>
        <tpls c="7">
          <tpl fld="3" item="1"/>
          <tpl fld="16" item="6"/>
          <tpl hier="31" item="1"/>
          <tpl fld="9" item="22"/>
          <tpl fld="12" item="2"/>
          <tpl hier="40" item="2"/>
          <tpl fld="17" item="0"/>
        </tpls>
      </m>
      <n v="54229630">
        <tpls c="6">
          <tpl fld="3" item="1"/>
          <tpl hier="10" item="4294967295"/>
          <tpl hier="31" item="1"/>
          <tpl fld="12" item="9"/>
          <tpl hier="40" item="2"/>
          <tpl fld="17" item="0"/>
        </tpls>
      </n>
      <n v="0">
        <tpls c="7">
          <tpl fld="3" item="0"/>
          <tpl fld="16" item="1"/>
          <tpl hier="31" item="3"/>
          <tpl fld="9" item="19"/>
          <tpl fld="12" item="5"/>
          <tpl hier="40" item="2"/>
          <tpl fld="17" item="0"/>
        </tpls>
      </n>
      <n v="53809853">
        <tpls c="5">
          <tpl fld="10" item="0"/>
          <tpl hier="31" item="0"/>
          <tpl fld="12" item="2"/>
          <tpl hier="40" item="2"/>
          <tpl fld="17" item="0"/>
        </tpls>
      </n>
      <n v="20007791">
        <tpls c="7">
          <tpl fld="3" item="1"/>
          <tpl fld="16" item="9"/>
          <tpl hier="31" item="1"/>
          <tpl fld="9" item="45"/>
          <tpl fld="12" item="13"/>
          <tpl hier="40" item="2"/>
          <tpl fld="17" item="0"/>
        </tpls>
      </n>
      <n v="26155391">
        <tpls c="7">
          <tpl fld="3" item="1"/>
          <tpl fld="16" item="5"/>
          <tpl hier="31" item="1"/>
          <tpl fld="9" item="45"/>
          <tpl fld="12" item="13"/>
          <tpl hier="40" item="2"/>
          <tpl fld="17" item="0"/>
        </tpls>
      </n>
      <m>
        <tpls c="7">
          <tpl fld="3" item="1"/>
          <tpl fld="16" item="5"/>
          <tpl hier="31" item="1"/>
          <tpl fld="9" item="2"/>
          <tpl fld="12" item="1"/>
          <tpl hier="40" item="2"/>
          <tpl fld="17" item="0"/>
        </tpls>
      </m>
      <n v="21670000" in="0">
        <tpls c="3">
          <tpl fld="4" item="9"/>
          <tpl hier="22" item="4294967295"/>
          <tpl fld="17" item="1"/>
        </tpls>
      </n>
      <n v="696289">
        <tpls c="6">
          <tpl fld="2" item="2"/>
          <tpl fld="0" item="2"/>
          <tpl fld="9" item="7"/>
          <tpl fld="12" item="3"/>
          <tpl hier="40" item="2"/>
          <tpl fld="17" item="0"/>
        </tpls>
      </n>
      <n v="500">
        <tpls c="7">
          <tpl fld="3" item="1"/>
          <tpl fld="16" item="8"/>
          <tpl hier="31" item="1"/>
          <tpl fld="9" item="48"/>
          <tpl fld="12" item="22"/>
          <tpl hier="40" item="2"/>
          <tpl fld="17" item="0"/>
        </tpls>
      </n>
      <m>
        <tpls c="3">
          <tpl fld="4" item="6"/>
          <tpl fld="5" item="1"/>
          <tpl fld="17" item="1"/>
        </tpls>
      </m>
      <n v="24801">
        <tpls c="7">
          <tpl fld="3" item="0"/>
          <tpl fld="16" item="5"/>
          <tpl hier="31" item="3"/>
          <tpl fld="9" item="21"/>
          <tpl fld="12" item="3"/>
          <tpl hier="40" item="2"/>
          <tpl fld="17" item="0"/>
        </tpls>
      </n>
      <n v="250500">
        <tpls c="6">
          <tpl fld="10" item="0"/>
          <tpl hier="31" item="1"/>
          <tpl fld="9" item="52"/>
          <tpl fld="8" item="1"/>
          <tpl hier="40" item="2"/>
          <tpl fld="17" item="0"/>
        </tpls>
      </n>
      <n v="249889">
        <tpls c="7">
          <tpl fld="3" item="0"/>
          <tpl fld="16" item="11"/>
          <tpl hier="31" item="3"/>
          <tpl fld="9" item="41"/>
          <tpl fld="12" item="3"/>
          <tpl hier="40" item="2"/>
          <tpl fld="17" item="0"/>
        </tpls>
      </n>
      <m>
        <tpls c="7">
          <tpl fld="3" item="1"/>
          <tpl fld="16" item="6"/>
          <tpl hier="31" item="1"/>
          <tpl fld="9" item="19"/>
          <tpl fld="12" item="5"/>
          <tpl hier="40" item="2"/>
          <tpl fld="17" item="0"/>
        </tpls>
      </m>
      <n v="150432">
        <tpls c="7">
          <tpl fld="2" item="1"/>
          <tpl fld="16" item="8"/>
          <tpl fld="0" item="1"/>
          <tpl fld="9" item="66"/>
          <tpl fld="12" item="4"/>
          <tpl fld="1" item="1"/>
          <tpl fld="17" item="0"/>
        </tpls>
      </n>
      <n v="0">
        <tpls c="7">
          <tpl fld="2" item="1"/>
          <tpl fld="16" item="8"/>
          <tpl fld="0" item="1"/>
          <tpl fld="9" item="76"/>
          <tpl fld="12" item="17"/>
          <tpl fld="1" item="1"/>
          <tpl fld="17" item="0"/>
        </tpls>
      </n>
      <n v="500">
        <tpls c="7">
          <tpl fld="3" item="1"/>
          <tpl fld="16" item="10"/>
          <tpl hier="31" item="1"/>
          <tpl fld="9" item="43"/>
          <tpl fld="12" item="22"/>
          <tpl hier="40" item="2"/>
          <tpl fld="17" item="0"/>
        </tpls>
      </n>
      <n v="824350">
        <tpls c="7">
          <tpl fld="3" item="1"/>
          <tpl fld="16" item="0"/>
          <tpl hier="31" item="1"/>
          <tpl fld="9" item="41"/>
          <tpl fld="12" item="3"/>
          <tpl hier="40" item="2"/>
          <tpl fld="17" item="0"/>
        </tpls>
      </n>
      <n v="246000">
        <tpls c="6">
          <tpl fld="2" item="0"/>
          <tpl fld="0" item="0"/>
          <tpl fld="9" item="11"/>
          <tpl fld="8" item="1"/>
          <tpl hier="40" item="2"/>
          <tpl fld="17" item="0"/>
        </tpls>
      </n>
      <n v="405159367">
        <tpls c="7">
          <tpl fld="2" item="1"/>
          <tpl hier="10" item="4294967295"/>
          <tpl fld="0" item="1"/>
          <tpl fld="9" item="76"/>
          <tpl fld="12" item="17"/>
          <tpl fld="1" item="1"/>
          <tpl fld="17" item="0"/>
        </tpls>
      </n>
      <m>
        <tpls c="3">
          <tpl fld="4" item="5"/>
          <tpl fld="5" item="2"/>
          <tpl fld="17" item="1"/>
        </tpls>
      </m>
      <n v="84000">
        <tpls c="6">
          <tpl fld="10" item="2"/>
          <tpl hier="31" item="1"/>
          <tpl fld="9" item="11"/>
          <tpl fld="8" item="1"/>
          <tpl hier="40" item="2"/>
          <tpl fld="17" item="0"/>
        </tpls>
      </n>
      <n v="0">
        <tpls c="7">
          <tpl fld="2" item="1"/>
          <tpl fld="16" item="8"/>
          <tpl fld="0" item="1"/>
          <tpl fld="9" item="51"/>
          <tpl fld="12" item="7"/>
          <tpl fld="1" item="1"/>
          <tpl fld="17" item="0"/>
        </tpls>
      </n>
      <n v="0">
        <tpls c="6">
          <tpl fld="2" item="1"/>
          <tpl fld="16" item="10"/>
          <tpl fld="0" item="1"/>
          <tpl fld="12" item="21"/>
          <tpl fld="1" item="1"/>
          <tpl fld="17" item="0"/>
        </tpls>
      </n>
      <n v="681">
        <tpls c="6">
          <tpl fld="2" item="2"/>
          <tpl fld="0" item="2"/>
          <tpl fld="9" item="6"/>
          <tpl fld="8" item="3"/>
          <tpl hier="40" item="2"/>
          <tpl fld="17" item="0"/>
        </tpls>
      </n>
      <n v="332864">
        <tpls c="6">
          <tpl fld="10" item="1"/>
          <tpl hier="31" item="0"/>
          <tpl fld="9" item="29"/>
          <tpl fld="12" item="2"/>
          <tpl hier="40" item="2"/>
          <tpl fld="17" item="0"/>
        </tpls>
      </n>
      <n v="19039396">
        <tpls c="7">
          <tpl fld="3" item="1"/>
          <tpl fld="16" item="7"/>
          <tpl hier="31" item="1"/>
          <tpl fld="9" item="45"/>
          <tpl fld="12" item="13"/>
          <tpl hier="40" item="2"/>
          <tpl fld="17" item="0"/>
        </tpls>
      </n>
      <n v="19">
        <tpls c="7">
          <tpl fld="3" item="0"/>
          <tpl fld="16" item="1"/>
          <tpl hier="31" item="3"/>
          <tpl fld="9" item="43"/>
          <tpl fld="12" item="22"/>
          <tpl hier="40" item="2"/>
          <tpl fld="17" item="0"/>
        </tpls>
      </n>
      <m>
        <tpls c="7">
          <tpl fld="3" item="1"/>
          <tpl fld="16" item="7"/>
          <tpl hier="31" item="1"/>
          <tpl fld="9" item="36"/>
          <tpl fld="12" item="3"/>
          <tpl hier="40" item="2"/>
          <tpl fld="17" item="0"/>
        </tpls>
      </m>
      <m>
        <tpls c="7">
          <tpl fld="3" item="1"/>
          <tpl fld="16" item="1"/>
          <tpl hier="31" item="1"/>
          <tpl fld="9" item="6"/>
          <tpl fld="12" item="1"/>
          <tpl hier="40" item="2"/>
          <tpl fld="17" item="0"/>
        </tpls>
      </m>
      <n v="12161657">
        <tpls c="7">
          <tpl fld="2" item="1"/>
          <tpl fld="16" item="11"/>
          <tpl fld="0" item="1"/>
          <tpl fld="9" item="71"/>
          <tpl fld="12" item="16"/>
          <tpl fld="1" item="1"/>
          <tpl fld="17" item="0"/>
        </tpls>
      </n>
      <n v="-90688">
        <tpls c="7">
          <tpl fld="2" item="1"/>
          <tpl fld="16" item="5"/>
          <tpl fld="0" item="1"/>
          <tpl fld="9" item="71"/>
          <tpl fld="12" item="16"/>
          <tpl fld="1" item="1"/>
          <tpl fld="17" item="0"/>
        </tpls>
      </n>
      <n v="500">
        <tpls c="7">
          <tpl fld="3" item="1"/>
          <tpl fld="16" item="10"/>
          <tpl hier="31" item="1"/>
          <tpl fld="9" item="48"/>
          <tpl fld="12" item="22"/>
          <tpl hier="40" item="2"/>
          <tpl fld="17" item="0"/>
        </tpls>
      </n>
      <n v="-1333936">
        <tpls c="6">
          <tpl fld="2" item="1"/>
          <tpl fld="16" item="7"/>
          <tpl fld="0" item="1"/>
          <tpl fld="12" item="15"/>
          <tpl fld="1" item="1"/>
          <tpl fld="17" item="0"/>
        </tpls>
      </n>
      <m>
        <tpls c="6">
          <tpl fld="3" item="1"/>
          <tpl hier="10" item="4294967295"/>
          <tpl hier="31" item="1"/>
          <tpl fld="12" item="20"/>
          <tpl hier="40" item="2"/>
          <tpl fld="17" item="0"/>
        </tpls>
      </m>
      <n v="0">
        <tpls c="6">
          <tpl fld="3" item="0"/>
          <tpl fld="16" item="7"/>
          <tpl hier="31" item="3"/>
          <tpl fld="12" item="20"/>
          <tpl hier="40" item="2"/>
          <tpl fld="17" item="0"/>
        </tpls>
      </n>
      <n v="19024630">
        <tpls c="6">
          <tpl fld="3" item="1"/>
          <tpl fld="16" item="3"/>
          <tpl hier="31" item="1"/>
          <tpl fld="12" item="13"/>
          <tpl hier="40" item="2"/>
          <tpl fld="17" item="0"/>
        </tpls>
      </n>
      <n v="3500000" in="0">
        <tpls c="3">
          <tpl fld="4" item="1"/>
          <tpl fld="5" item="3"/>
          <tpl fld="17" item="1"/>
        </tpls>
      </n>
      <n v="1200000" in="0">
        <tpls c="3">
          <tpl fld="4" item="3"/>
          <tpl hier="22" item="4294967295"/>
          <tpl fld="17" item="1"/>
        </tpls>
      </n>
      <n v="332864">
        <tpls c="6">
          <tpl fld="10" item="1"/>
          <tpl hier="31" item="1"/>
          <tpl fld="9" item="29"/>
          <tpl fld="8" item="0"/>
          <tpl hier="40" item="2"/>
          <tpl fld="17" item="0"/>
        </tpls>
      </n>
      <n v="13312504">
        <tpls c="6">
          <tpl fld="2" item="1"/>
          <tpl fld="16" item="9"/>
          <tpl fld="0" item="1"/>
          <tpl fld="12" item="8"/>
          <tpl fld="1" item="1"/>
          <tpl fld="17" item="0"/>
        </tpls>
      </n>
      <n v="11">
        <tpls c="7">
          <tpl fld="3" item="0"/>
          <tpl fld="16" item="8"/>
          <tpl hier="31" item="3"/>
          <tpl fld="9" item="6"/>
          <tpl fld="12" item="1"/>
          <tpl hier="40" item="2"/>
          <tpl fld="17" item="0"/>
        </tpls>
      </n>
      <n v="83334">
        <tpls c="7">
          <tpl fld="3" item="1"/>
          <tpl fld="16" item="6"/>
          <tpl hier="31" item="1"/>
          <tpl fld="9" item="53"/>
          <tpl fld="12" item="2"/>
          <tpl hier="40" item="2"/>
          <tpl fld="17" item="0"/>
        </tpls>
      </n>
      <n v="0">
        <tpls c="7">
          <tpl fld="2" item="1"/>
          <tpl fld="16" item="8"/>
          <tpl fld="0" item="1"/>
          <tpl fld="9" item="39"/>
          <tpl fld="12" item="0"/>
          <tpl fld="1" item="1"/>
          <tpl fld="17" item="0"/>
        </tpls>
      </n>
      <n v="-979095">
        <tpls c="7">
          <tpl fld="2" item="1"/>
          <tpl fld="16" item="7"/>
          <tpl fld="0" item="1"/>
          <tpl fld="9" item="76"/>
          <tpl fld="12" item="17"/>
          <tpl fld="1" item="1"/>
          <tpl fld="17" item="0"/>
        </tpls>
      </n>
      <n v="73308">
        <tpls c="7">
          <tpl fld="3" item="0"/>
          <tpl fld="16" item="2"/>
          <tpl hier="31" item="3"/>
          <tpl fld="9" item="29"/>
          <tpl fld="12" item="2"/>
          <tpl hier="40" item="2"/>
          <tpl fld="17" item="0"/>
        </tpls>
      </n>
      <n v="8204152">
        <tpls c="6">
          <tpl fld="2" item="2"/>
          <tpl fld="0" item="2"/>
          <tpl fld="9" item="64"/>
          <tpl fld="12" item="17"/>
          <tpl fld="1" item="1"/>
          <tpl fld="17" item="0"/>
        </tpls>
      </n>
      <n v="-173856">
        <tpls c="7">
          <tpl fld="2" item="1"/>
          <tpl fld="16" item="7"/>
          <tpl fld="0" item="1"/>
          <tpl fld="9" item="34"/>
          <tpl fld="12" item="17"/>
          <tpl fld="1" item="1"/>
          <tpl fld="17" item="0"/>
        </tpls>
      </n>
      <n v="1666667">
        <tpls c="7">
          <tpl fld="3" item="1"/>
          <tpl fld="16" item="10"/>
          <tpl hier="31" item="1"/>
          <tpl fld="9" item="18"/>
          <tpl fld="12" item="2"/>
          <tpl hier="40" item="2"/>
          <tpl fld="17" item="0"/>
        </tpls>
      </n>
      <n v="0">
        <tpls c="7">
          <tpl fld="2" item="1"/>
          <tpl fld="16" item="2"/>
          <tpl fld="0" item="1"/>
          <tpl fld="9" item="67"/>
          <tpl fld="12" item="16"/>
          <tpl fld="1" item="1"/>
          <tpl fld="17" item="0"/>
        </tpls>
      </n>
      <n v="18000">
        <tpls c="7">
          <tpl fld="3" item="1"/>
          <tpl fld="16" item="6"/>
          <tpl hier="31" item="1"/>
          <tpl fld="9" item="11"/>
          <tpl fld="12" item="3"/>
          <tpl hier="40" item="2"/>
          <tpl fld="17" item="0"/>
        </tpls>
      </n>
      <n v="-1858213">
        <tpls c="7">
          <tpl fld="2" item="1"/>
          <tpl fld="16" item="10"/>
          <tpl fld="0" item="1"/>
          <tpl fld="9" item="72"/>
          <tpl fld="12" item="17"/>
          <tpl fld="1" item="1"/>
          <tpl fld="17" item="0"/>
        </tpls>
      </n>
      <n v="29500">
        <tpls c="3">
          <tpl fld="11" item="3"/>
          <tpl fld="15" item="1"/>
          <tpl fld="17" item="2"/>
        </tpls>
      </n>
      <n v="500">
        <tpls c="7">
          <tpl fld="3" item="1"/>
          <tpl fld="16" item="8"/>
          <tpl hier="31" item="1"/>
          <tpl fld="9" item="43"/>
          <tpl fld="12" item="22"/>
          <tpl hier="40" item="2"/>
          <tpl fld="17" item="0"/>
        </tpls>
      </n>
      <n v="2679804">
        <tpls c="6">
          <tpl fld="2" item="2"/>
          <tpl fld="0" item="2"/>
          <tpl fld="9" item="40"/>
          <tpl fld="12" item="3"/>
          <tpl hier="40" item="2"/>
          <tpl fld="17" item="0"/>
        </tpls>
      </n>
      <n v="121107">
        <tpls c="7">
          <tpl fld="3" item="1"/>
          <tpl hier="10" item="4294967295"/>
          <tpl hier="31" item="1"/>
          <tpl fld="9" item="3"/>
          <tpl fld="12" item="2"/>
          <tpl hier="40" item="2"/>
          <tpl fld="17" item="0"/>
        </tpls>
      </n>
      <n v="0">
        <tpls c="6">
          <tpl fld="2" item="1"/>
          <tpl fld="16" item="2"/>
          <tpl fld="0" item="1"/>
          <tpl fld="12" item="7"/>
          <tpl fld="1" item="1"/>
          <tpl fld="17" item="0"/>
        </tpls>
      </n>
      <n v="5000001">
        <tpls c="6">
          <tpl fld="10" item="1"/>
          <tpl hier="31" item="0"/>
          <tpl fld="9" item="18"/>
          <tpl fld="12" item="2"/>
          <tpl hier="40" item="2"/>
          <tpl fld="17" item="0"/>
        </tpls>
      </n>
      <n v="0">
        <tpls c="7">
          <tpl fld="3" item="0"/>
          <tpl fld="16" item="5"/>
          <tpl hier="31" item="3"/>
          <tpl fld="9" item="19"/>
          <tpl fld="12" item="5"/>
          <tpl hier="40" item="2"/>
          <tpl fld="17" item="0"/>
        </tpls>
      </n>
      <m>
        <tpls c="7">
          <tpl fld="3" item="1"/>
          <tpl fld="16" item="7"/>
          <tpl hier="31" item="1"/>
          <tpl fld="9" item="27"/>
          <tpl fld="12" item="5"/>
          <tpl hier="40" item="2"/>
          <tpl fld="17" item="0"/>
        </tpls>
      </m>
      <n v="1061634">
        <tpls c="6">
          <tpl fld="3" item="1"/>
          <tpl fld="16" item="2"/>
          <tpl hier="31" item="1"/>
          <tpl fld="12" item="6"/>
          <tpl hier="40" item="2"/>
          <tpl fld="17" item="0"/>
        </tpls>
      </n>
      <n v="1100000">
        <tpls c="7">
          <tpl fld="3" item="1"/>
          <tpl hier="10" item="4294967295"/>
          <tpl hier="31" item="1"/>
          <tpl fld="9" item="49"/>
          <tpl fld="12" item="3"/>
          <tpl hier="40" item="2"/>
          <tpl fld="17" item="0"/>
        </tpls>
      </n>
      <n v="30240122">
        <tpls c="6">
          <tpl fld="10" item="2"/>
          <tpl hier="31" item="1"/>
          <tpl fld="9" item="23"/>
          <tpl fld="8" item="0"/>
          <tpl hier="40" item="2"/>
          <tpl fld="17" item="0"/>
        </tpls>
      </n>
      <n v="0">
        <tpls c="7">
          <tpl fld="3" item="0"/>
          <tpl fld="16" item="2"/>
          <tpl hier="31" item="3"/>
          <tpl fld="9" item="35"/>
          <tpl fld="12" item="3"/>
          <tpl hier="40" item="2"/>
          <tpl fld="17" item="0"/>
        </tpls>
      </n>
      <m>
        <tpls c="6">
          <tpl fld="10" item="3"/>
          <tpl hier="31" item="0"/>
          <tpl fld="9" item="19"/>
          <tpl fld="12" item="5"/>
          <tpl hier="40" item="2"/>
          <tpl fld="17" item="0"/>
        </tpls>
      </m>
      <n v="3806072">
        <tpls c="6">
          <tpl fld="10" item="0"/>
          <tpl hier="31" item="1"/>
          <tpl fld="9" item="25"/>
          <tpl fld="8" item="0"/>
          <tpl hier="40" item="2"/>
          <tpl fld="17" item="0"/>
        </tpls>
      </n>
      <m>
        <tpls c="6">
          <tpl fld="10" item="1"/>
          <tpl hier="31" item="1"/>
          <tpl fld="9" item="1"/>
          <tpl fld="8" item="3"/>
          <tpl hier="40" item="2"/>
          <tpl fld="17" item="0"/>
        </tpls>
      </m>
      <m>
        <tpls c="3">
          <tpl fld="4" item="8"/>
          <tpl fld="5" item="4"/>
          <tpl fld="17" item="1"/>
        </tpls>
      </m>
      <n v="0">
        <tpls c="7">
          <tpl fld="3" item="1"/>
          <tpl fld="16" item="7"/>
          <tpl hier="31" item="1"/>
          <tpl fld="9" item="12"/>
          <tpl fld="12" item="5"/>
          <tpl hier="40" item="2"/>
          <tpl fld="17" item="0"/>
        </tpls>
      </n>
      <n v="1150000">
        <tpls c="6">
          <tpl fld="2" item="0"/>
          <tpl fld="0" item="0"/>
          <tpl fld="9" item="52"/>
          <tpl fld="12" item="3"/>
          <tpl hier="40" item="2"/>
          <tpl fld="17" item="0"/>
        </tpls>
      </n>
      <n v="86079840">
        <tpls c="6">
          <tpl fld="2" item="3"/>
          <tpl fld="0" item="2"/>
          <tpl fld="9" item="69"/>
          <tpl fld="12" item="10"/>
          <tpl fld="1" item="1"/>
          <tpl fld="17" item="0"/>
        </tpls>
      </n>
      <m>
        <tpls c="6">
          <tpl fld="10" item="0"/>
          <tpl hier="31" item="1"/>
          <tpl fld="9" item="32"/>
          <tpl fld="8" item="2"/>
          <tpl hier="40" item="2"/>
          <tpl fld="17" item="0"/>
        </tpls>
      </m>
      <n v="14309">
        <tpls c="6">
          <tpl fld="2" item="1"/>
          <tpl fld="0" item="1"/>
          <tpl fld="9" item="19"/>
          <tpl fld="12" item="5"/>
          <tpl hier="40" item="2"/>
          <tpl fld="17" item="0"/>
        </tpls>
      </n>
      <n v="437232">
        <tpls c="7">
          <tpl fld="3" item="0"/>
          <tpl fld="16" item="1"/>
          <tpl hier="31" item="3"/>
          <tpl fld="9" item="9"/>
          <tpl fld="12" item="6"/>
          <tpl hier="40" item="2"/>
          <tpl fld="17" item="0"/>
        </tpls>
      </n>
      <n v="0">
        <tpls c="7">
          <tpl fld="3" item="0"/>
          <tpl fld="16" item="6"/>
          <tpl hier="31" item="3"/>
          <tpl fld="9" item="22"/>
          <tpl fld="12" item="2"/>
          <tpl hier="40" item="2"/>
          <tpl fld="17" item="0"/>
        </tpls>
      </n>
      <n v="1000">
        <tpls c="6">
          <tpl fld="3" item="1"/>
          <tpl fld="16" item="10"/>
          <tpl hier="31" item="1"/>
          <tpl fld="12" item="22"/>
          <tpl hier="40" item="2"/>
          <tpl fld="17" item="0"/>
        </tpls>
      </n>
      <n v="14868">
        <tpls c="7">
          <tpl fld="3" item="0"/>
          <tpl fld="16" item="9"/>
          <tpl hier="31" item="3"/>
          <tpl fld="9" item="21"/>
          <tpl fld="12" item="3"/>
          <tpl hier="40" item="2"/>
          <tpl fld="17" item="0"/>
        </tpls>
      </n>
      <n v="398500">
        <tpls c="6">
          <tpl fld="10" item="1"/>
          <tpl hier="31" item="0"/>
          <tpl fld="9" item="52"/>
          <tpl fld="12" item="3"/>
          <tpl hier="40" item="2"/>
          <tpl fld="17" item="0"/>
        </tpls>
      </n>
      <n v="1178943">
        <tpls c="6">
          <tpl fld="10" item="2"/>
          <tpl hier="31" item="1"/>
          <tpl fld="9" item="38"/>
          <tpl fld="8" item="2"/>
          <tpl hier="40" item="2"/>
          <tpl fld="17" item="0"/>
        </tpls>
      </n>
      <m>
        <tpls c="3">
          <tpl fld="6" item="6"/>
          <tpl fld="4" item="8"/>
          <tpl fld="17" item="1"/>
        </tpls>
      </m>
      <n v="6825000" in="0">
        <tpls c="3">
          <tpl fld="6" item="3"/>
          <tpl fld="4" item="8"/>
          <tpl fld="17" item="1"/>
        </tpls>
      </n>
      <m>
        <tpls c="3">
          <tpl fld="6" item="0"/>
          <tpl fld="4" item="1"/>
          <tpl fld="17" item="1"/>
        </tpls>
      </m>
      <m>
        <tpls c="3">
          <tpl fld="6" item="10"/>
          <tpl fld="4" item="7"/>
          <tpl fld="17" item="1"/>
        </tpls>
      </m>
      <n v="360636">
        <tpls c="3">
          <tpl fld="11" item="8"/>
          <tpl fld="15" item="3"/>
          <tpl fld="17" item="2"/>
        </tpls>
      </n>
      <n v="4167">
        <tpls c="3">
          <tpl fld="11" item="2"/>
          <tpl fld="15" item="0"/>
          <tpl fld="17" item="2"/>
        </tpls>
      </n>
      <n v="24583">
        <tpls c="3">
          <tpl fld="11" item="4"/>
          <tpl fld="15" item="2"/>
          <tpl fld="17" item="2"/>
        </tpls>
      </n>
      <n v="284376">
        <tpls c="3">
          <tpl fld="11" item="4"/>
          <tpl fld="15" item="3"/>
          <tpl fld="17" item="2"/>
        </tpls>
      </n>
      <n v="4167">
        <tpls c="3">
          <tpl fld="11" item="10"/>
          <tpl fld="15" item="0"/>
          <tpl fld="17" item="2"/>
        </tpls>
      </n>
      <n v="4167">
        <tpls c="3">
          <tpl fld="11" item="0"/>
          <tpl fld="15" item="0"/>
          <tpl fld="17" item="2"/>
        </tpls>
      </n>
      <n v="4167">
        <tpls c="3">
          <tpl fld="11" item="7"/>
          <tpl fld="15" item="0"/>
          <tpl fld="17" item="2"/>
        </tpls>
      </n>
      <n v="4167">
        <tpls c="3">
          <tpl fld="11" item="4"/>
          <tpl fld="15" item="0"/>
          <tpl fld="17" item="2"/>
        </tpls>
      </n>
      <n v="24583">
        <tpls c="3">
          <tpl fld="11" item="7"/>
          <tpl fld="15" item="2"/>
          <tpl fld="17" item="2"/>
        </tpls>
      </n>
      <m>
        <tpls c="3">
          <tpl fld="7" item="0"/>
          <tpl fld="5" item="0"/>
          <tpl fld="17" item="1"/>
        </tpls>
      </m>
      <n v="2000000" in="0">
        <tpls c="3">
          <tpl fld="4" item="2"/>
          <tpl fld="5" item="3"/>
          <tpl fld="17" item="1"/>
        </tpls>
      </n>
      <n v="6312440">
        <tpls c="5">
          <tpl fld="2" item="1"/>
          <tpl fld="0" item="1"/>
          <tpl fld="12" item="6"/>
          <tpl hier="40" item="2"/>
          <tpl fld="17" item="0"/>
        </tpls>
      </n>
      <n v="230245237">
        <tpls c="5">
          <tpl fld="2" item="1"/>
          <tpl fld="0" item="1"/>
          <tpl fld="12" item="13"/>
          <tpl hier="40" item="2"/>
          <tpl fld="17" item="0"/>
        </tpls>
      </n>
      <n v="167299995">
        <tpls c="6">
          <tpl fld="2" item="0"/>
          <tpl fld="0" item="0"/>
          <tpl fld="9" item="5"/>
          <tpl fld="12" item="2"/>
          <tpl hier="40" item="2"/>
          <tpl fld="17" item="0"/>
        </tpls>
      </n>
      <n v="20000004">
        <tpls c="6">
          <tpl fld="2" item="0"/>
          <tpl fld="0" item="0"/>
          <tpl fld="9" item="18"/>
          <tpl fld="12" item="2"/>
          <tpl hier="40" item="2"/>
          <tpl fld="17" item="0"/>
        </tpls>
      </n>
      <n v="57131378">
        <tpls c="6">
          <tpl fld="10" item="0"/>
          <tpl hier="31" item="0"/>
          <tpl fld="9" item="45"/>
          <tpl fld="12" item="13"/>
          <tpl hier="40" item="2"/>
          <tpl fld="17" item="0"/>
        </tpls>
      </n>
      <n v="656">
        <tpls c="6">
          <tpl fld="3" item="0"/>
          <tpl fld="16" item="6"/>
          <tpl hier="31" item="3"/>
          <tpl fld="12" item="22"/>
          <tpl hier="40" item="2"/>
          <tpl fld="17" item="0"/>
        </tpls>
      </n>
      <n v="1924998">
        <tpls c="7">
          <tpl fld="3" item="0"/>
          <tpl fld="16" item="10"/>
          <tpl hier="31" item="3"/>
          <tpl fld="9" item="18"/>
          <tpl fld="12" item="2"/>
          <tpl hier="40" item="2"/>
          <tpl fld="17" item="0"/>
        </tpls>
      </n>
      <n v="392981">
        <tpls c="7">
          <tpl fld="3" item="0"/>
          <tpl fld="16" item="9"/>
          <tpl hier="31" item="3"/>
          <tpl fld="9" item="38"/>
          <tpl fld="12" item="5"/>
          <tpl hier="40" item="2"/>
          <tpl fld="17" item="0"/>
        </tpls>
      </n>
      <n v="0">
        <tpls c="7">
          <tpl fld="3" item="0"/>
          <tpl fld="16" item="4"/>
          <tpl hier="31" item="3"/>
          <tpl fld="9" item="3"/>
          <tpl fld="12" item="2"/>
          <tpl hier="40" item="2"/>
          <tpl fld="17" item="0"/>
        </tpls>
      </n>
      <n v="4962039">
        <tpls c="6">
          <tpl fld="3" item="1"/>
          <tpl fld="16" item="1"/>
          <tpl hier="31" item="1"/>
          <tpl fld="12" item="3"/>
          <tpl hier="40" item="2"/>
          <tpl fld="17" item="0"/>
        </tpls>
      </n>
      <m>
        <tpls c="7">
          <tpl fld="3" item="1"/>
          <tpl fld="16" item="8"/>
          <tpl hier="31" item="1"/>
          <tpl fld="9" item="49"/>
          <tpl fld="12" item="3"/>
          <tpl hier="40" item="2"/>
          <tpl fld="17" item="0"/>
        </tpls>
      </m>
      <n v="1403327">
        <tpls c="7">
          <tpl fld="3" item="1"/>
          <tpl fld="16" item="4"/>
          <tpl hier="31" item="1"/>
          <tpl fld="9" item="15"/>
          <tpl fld="12" item="3"/>
          <tpl hier="40" item="2"/>
          <tpl fld="17" item="0"/>
        </tpls>
      </n>
      <n v="21188">
        <tpls c="7">
          <tpl fld="3" item="1"/>
          <tpl fld="16" item="4"/>
          <tpl hier="31" item="1"/>
          <tpl fld="9" item="21"/>
          <tpl fld="12" item="3"/>
          <tpl hier="40" item="2"/>
          <tpl fld="17" item="0"/>
        </tpls>
      </n>
      <n v="0">
        <tpls c="7">
          <tpl fld="3" item="0"/>
          <tpl fld="16" item="6"/>
          <tpl hier="31" item="3"/>
          <tpl fld="9" item="14"/>
          <tpl fld="12" item="3"/>
          <tpl hier="40" item="2"/>
          <tpl fld="17" item="0"/>
        </tpls>
      </n>
      <n v="392981">
        <tpls c="6">
          <tpl fld="3" item="1"/>
          <tpl fld="16" item="7"/>
          <tpl hier="31" item="1"/>
          <tpl fld="12" item="5"/>
          <tpl hier="40" item="2"/>
          <tpl fld="17" item="0"/>
        </tpls>
      </n>
      <n v="817710">
        <tpls c="7">
          <tpl fld="3" item="0"/>
          <tpl fld="16" item="7"/>
          <tpl hier="31" item="3"/>
          <tpl fld="9" item="15"/>
          <tpl fld="12" item="3"/>
          <tpl hier="40" item="2"/>
          <tpl fld="17" item="0"/>
        </tpls>
      </n>
      <n v="48477">
        <tpls c="7">
          <tpl fld="3" item="0"/>
          <tpl fld="16" item="6"/>
          <tpl hier="31" item="3"/>
          <tpl fld="9" item="52"/>
          <tpl fld="12" item="3"/>
          <tpl hier="40" item="2"/>
          <tpl fld="17" item="0"/>
        </tpls>
      </n>
      <n v="1005442">
        <tpls c="7">
          <tpl fld="3" item="1"/>
          <tpl fld="16" item="3"/>
          <tpl hier="31" item="1"/>
          <tpl fld="9" item="9"/>
          <tpl fld="12" item="6"/>
          <tpl hier="40" item="2"/>
          <tpl fld="17" item="0"/>
        </tpls>
      </n>
      <m>
        <tpls c="7">
          <tpl fld="3" item="1"/>
          <tpl fld="16" item="0"/>
          <tpl hier="31" item="1"/>
          <tpl fld="9" item="2"/>
          <tpl fld="12" item="1"/>
          <tpl hier="40" item="2"/>
          <tpl fld="17" item="0"/>
        </tpls>
      </m>
      <n v="24550">
        <tpls c="7">
          <tpl fld="3" item="0"/>
          <tpl fld="16" item="8"/>
          <tpl hier="31" item="3"/>
          <tpl fld="9" item="21"/>
          <tpl fld="12" item="3"/>
          <tpl hier="40" item="2"/>
          <tpl fld="17" item="0"/>
        </tpls>
      </n>
      <m>
        <tpls c="7">
          <tpl fld="3" item="1"/>
          <tpl fld="16" item="4"/>
          <tpl hier="31" item="1"/>
          <tpl fld="9" item="32"/>
          <tpl fld="12" item="5"/>
          <tpl hier="40" item="2"/>
          <tpl fld="17" item="0"/>
        </tpls>
      </m>
      <n v="10150">
        <tpls c="7">
          <tpl fld="3" item="0"/>
          <tpl fld="16" item="9"/>
          <tpl hier="31" item="3"/>
          <tpl fld="9" item="44"/>
          <tpl fld="12" item="2"/>
          <tpl hier="40" item="2"/>
          <tpl fld="17" item="0"/>
        </tpls>
      </n>
      <n v="1591572">
        <tpls c="7">
          <tpl fld="3" item="0"/>
          <tpl hier="10" item="4294967295"/>
          <tpl hier="31" item="3"/>
          <tpl fld="9" item="12"/>
          <tpl fld="12" item="5"/>
          <tpl hier="40" item="2"/>
          <tpl fld="17" item="0"/>
        </tpls>
      </n>
      <n v="5000">
        <tpls c="7">
          <tpl fld="3" item="1"/>
          <tpl fld="16" item="7"/>
          <tpl hier="31" item="1"/>
          <tpl fld="9" item="44"/>
          <tpl fld="12" item="2"/>
          <tpl hier="40" item="2"/>
          <tpl fld="17" item="0"/>
        </tpls>
      </n>
      <n v="984606">
        <tpls c="7">
          <tpl fld="3" item="0"/>
          <tpl fld="16" item="6"/>
          <tpl hier="31" item="3"/>
          <tpl fld="9" item="25"/>
          <tpl fld="12" item="2"/>
          <tpl hier="40" item="2"/>
          <tpl fld="17" item="0"/>
        </tpls>
      </n>
      <m>
        <tpls c="7">
          <tpl fld="3" item="1"/>
          <tpl fld="16" item="1"/>
          <tpl hier="31" item="1"/>
          <tpl fld="9" item="19"/>
          <tpl fld="12" item="5"/>
          <tpl hier="40" item="2"/>
          <tpl fld="17" item="0"/>
        </tpls>
      </m>
      <n v="1976">
        <tpls c="7">
          <tpl fld="3" item="0"/>
          <tpl hier="10" item="4294967295"/>
          <tpl hier="31" item="3"/>
          <tpl fld="9" item="48"/>
          <tpl fld="12" item="22"/>
          <tpl hier="40" item="2"/>
          <tpl fld="17" item="0"/>
        </tpls>
      </n>
      <n v="781442">
        <tpls c="7">
          <tpl fld="3" item="0"/>
          <tpl hier="10" item="4294967295"/>
          <tpl hier="31" item="3"/>
          <tpl fld="9" item="52"/>
          <tpl fld="12" item="3"/>
          <tpl hier="40" item="2"/>
          <tpl fld="17" item="0"/>
        </tpls>
      </n>
      <n v="83500">
        <tpls c="7">
          <tpl fld="3" item="1"/>
          <tpl fld="16" item="1"/>
          <tpl hier="31" item="1"/>
          <tpl fld="9" item="52"/>
          <tpl fld="12" item="3"/>
          <tpl hier="40" item="2"/>
          <tpl fld="17" item="0"/>
        </tpls>
      </n>
      <n v="1346434">
        <tpls c="7">
          <tpl fld="3" item="0"/>
          <tpl fld="16" item="4"/>
          <tpl hier="31" item="3"/>
          <tpl fld="9" item="4"/>
          <tpl fld="12" item="3"/>
          <tpl hier="40" item="2"/>
          <tpl fld="17" item="0"/>
        </tpls>
      </n>
      <n v="824350">
        <tpls c="7">
          <tpl fld="3" item="1"/>
          <tpl fld="16" item="8"/>
          <tpl hier="31" item="1"/>
          <tpl fld="9" item="41"/>
          <tpl fld="12" item="3"/>
          <tpl hier="40" item="2"/>
          <tpl fld="17" item="0"/>
        </tpls>
      </n>
      <n v="543651">
        <tpls c="7">
          <tpl fld="3" item="0"/>
          <tpl fld="16" item="6"/>
          <tpl hier="31" item="3"/>
          <tpl fld="9" item="41"/>
          <tpl fld="12" item="3"/>
          <tpl hier="40" item="2"/>
          <tpl fld="17" item="0"/>
        </tpls>
      </n>
      <n v="18000">
        <tpls c="7">
          <tpl fld="3" item="1"/>
          <tpl fld="16" item="4"/>
          <tpl hier="31" item="1"/>
          <tpl fld="9" item="11"/>
          <tpl fld="12" item="3"/>
          <tpl hier="40" item="2"/>
          <tpl fld="17" item="0"/>
        </tpls>
      </n>
      <n v="1225292">
        <tpls c="7">
          <tpl fld="3" item="0"/>
          <tpl fld="16" item="6"/>
          <tpl hier="31" item="3"/>
          <tpl fld="9" item="18"/>
          <tpl fld="12" item="2"/>
          <tpl hier="40" item="2"/>
          <tpl fld="17" item="0"/>
        </tpls>
      </n>
      <m>
        <tpls c="7">
          <tpl fld="3" item="1"/>
          <tpl fld="16" item="3"/>
          <tpl hier="31" item="1"/>
          <tpl fld="9" item="36"/>
          <tpl fld="12" item="3"/>
          <tpl hier="40" item="2"/>
          <tpl fld="17" item="0"/>
        </tpls>
      </m>
      <n v="392981">
        <tpls c="7">
          <tpl fld="3" item="0"/>
          <tpl fld="16" item="0"/>
          <tpl hier="31" item="3"/>
          <tpl fld="9" item="38"/>
          <tpl fld="12" item="5"/>
          <tpl hier="40" item="2"/>
          <tpl fld="17" item="0"/>
        </tpls>
      </n>
      <n v="21088">
        <tpls c="7">
          <tpl fld="3" item="0"/>
          <tpl fld="16" item="7"/>
          <tpl hier="31" item="3"/>
          <tpl fld="9" item="33"/>
          <tpl fld="12" item="6"/>
          <tpl hier="40" item="2"/>
          <tpl fld="17" item="0"/>
        </tpls>
      </n>
      <n v="442627">
        <tpls c="6">
          <tpl fld="3" item="0"/>
          <tpl fld="16" item="4"/>
          <tpl hier="31" item="3"/>
          <tpl fld="12" item="6"/>
          <tpl hier="40" item="2"/>
          <tpl fld="17" item="0"/>
        </tpls>
      </n>
      <n v="0">
        <tpls c="7">
          <tpl fld="3" item="0"/>
          <tpl fld="16" item="3"/>
          <tpl hier="31" item="3"/>
          <tpl fld="9" item="36"/>
          <tpl fld="12" item="3"/>
          <tpl hier="40" item="2"/>
          <tpl fld="17" item="0"/>
        </tpls>
      </n>
      <n v="2826765">
        <tpls c="7">
          <tpl fld="3" item="1"/>
          <tpl fld="16" item="3"/>
          <tpl hier="31" item="1"/>
          <tpl fld="9" item="5"/>
          <tpl fld="12" item="2"/>
          <tpl hier="40" item="2"/>
          <tpl fld="17" item="0"/>
        </tpls>
      </n>
      <m>
        <tpls c="7">
          <tpl fld="3" item="1"/>
          <tpl fld="16" item="9"/>
          <tpl hier="31" item="1"/>
          <tpl fld="9" item="1"/>
          <tpl fld="12" item="1"/>
          <tpl hier="40" item="2"/>
          <tpl fld="17" item="0"/>
        </tpls>
      </m>
      <n v="22135">
        <tpls c="7">
          <tpl fld="3" item="0"/>
          <tpl fld="16" item="0"/>
          <tpl hier="31" item="3"/>
          <tpl fld="9" item="21"/>
          <tpl fld="12" item="3"/>
          <tpl hier="40" item="2"/>
          <tpl fld="17" item="0"/>
        </tpls>
      </n>
      <n v="142491">
        <tpls c="7">
          <tpl fld="3" item="0"/>
          <tpl fld="16" item="0"/>
          <tpl hier="31" item="3"/>
          <tpl fld="9" item="9"/>
          <tpl fld="12" item="6"/>
          <tpl hier="40" item="2"/>
          <tpl fld="17" item="0"/>
        </tpls>
      </n>
      <n v="0">
        <tpls c="7">
          <tpl fld="3" item="0"/>
          <tpl fld="16" item="9"/>
          <tpl hier="31" item="3"/>
          <tpl fld="9" item="36"/>
          <tpl fld="12" item="3"/>
          <tpl hier="40" item="2"/>
          <tpl fld="17" item="0"/>
        </tpls>
      </n>
      <n v="0">
        <tpls c="7">
          <tpl fld="3" item="0"/>
          <tpl fld="16" item="9"/>
          <tpl hier="31" item="3"/>
          <tpl fld="9" item="12"/>
          <tpl fld="12" item="5"/>
          <tpl hier="40" item="2"/>
          <tpl fld="17" item="0"/>
        </tpls>
      </n>
      <m>
        <tpls c="7">
          <tpl fld="3" item="1"/>
          <tpl fld="16" item="8"/>
          <tpl hier="31" item="1"/>
          <tpl fld="9" item="2"/>
          <tpl fld="12" item="1"/>
          <tpl hier="40" item="2"/>
          <tpl fld="17" item="0"/>
        </tpls>
      </m>
      <m>
        <tpls c="7">
          <tpl fld="3" item="1"/>
          <tpl fld="16" item="3"/>
          <tpl hier="31" item="1"/>
          <tpl fld="9" item="13"/>
          <tpl fld="12" item="3"/>
          <tpl hier="40" item="2"/>
          <tpl fld="17" item="0"/>
        </tpls>
      </m>
      <n v="3438">
        <tpls c="7">
          <tpl fld="3" item="1"/>
          <tpl fld="16" item="10"/>
          <tpl hier="31" item="1"/>
          <tpl fld="9" item="10"/>
          <tpl fld="12" item="6"/>
          <tpl hier="40" item="2"/>
          <tpl fld="17" item="0"/>
        </tpls>
      </n>
      <n v="5000">
        <tpls c="7">
          <tpl fld="3" item="1"/>
          <tpl fld="16" item="4"/>
          <tpl hier="31" item="1"/>
          <tpl fld="9" item="44"/>
          <tpl fld="12" item="2"/>
          <tpl hier="40" item="2"/>
          <tpl fld="17" item="0"/>
        </tpls>
      </n>
      <n v="824350">
        <tpls c="7">
          <tpl fld="3" item="1"/>
          <tpl fld="16" item="9"/>
          <tpl hier="31" item="1"/>
          <tpl fld="9" item="41"/>
          <tpl fld="12" item="3"/>
          <tpl hier="40" item="2"/>
          <tpl fld="17" item="0"/>
        </tpls>
      </n>
      <n v="209809">
        <tpls c="7">
          <tpl fld="3" item="0"/>
          <tpl fld="16" item="10"/>
          <tpl hier="31" item="3"/>
          <tpl fld="9" item="9"/>
          <tpl fld="12" item="6"/>
          <tpl hier="40" item="2"/>
          <tpl fld="17" item="0"/>
        </tpls>
      </n>
      <n v="0">
        <tpls c="7">
          <tpl fld="3" item="1"/>
          <tpl fld="16" item="8"/>
          <tpl hier="31" item="1"/>
          <tpl fld="9" item="12"/>
          <tpl fld="12" item="5"/>
          <tpl hier="40" item="2"/>
          <tpl fld="17" item="0"/>
        </tpls>
      </n>
      <n v="1942989">
        <tpls c="7">
          <tpl fld="3" item="1"/>
          <tpl fld="16" item="8"/>
          <tpl hier="31" item="1"/>
          <tpl fld="9" item="15"/>
          <tpl fld="12" item="3"/>
          <tpl hier="40" item="2"/>
          <tpl fld="17" item="0"/>
        </tpls>
      </n>
      <n v="486772">
        <tpls c="7">
          <tpl fld="3" item="0"/>
          <tpl fld="16" item="1"/>
          <tpl hier="31" item="3"/>
          <tpl fld="9" item="15"/>
          <tpl fld="12" item="3"/>
          <tpl hier="40" item="2"/>
          <tpl fld="17" item="0"/>
        </tpls>
      </n>
      <n v="0">
        <tpls c="7">
          <tpl fld="3" item="1"/>
          <tpl fld="16" item="8"/>
          <tpl hier="31" item="1"/>
          <tpl fld="9" item="22"/>
          <tpl fld="12" item="2"/>
          <tpl hier="40" item="2"/>
          <tpl fld="17" item="0"/>
        </tpls>
      </n>
      <m>
        <tpls c="7">
          <tpl fld="3" item="1"/>
          <tpl fld="16" item="8"/>
          <tpl hier="31" item="1"/>
          <tpl fld="9" item="27"/>
          <tpl fld="12" item="5"/>
          <tpl hier="40" item="2"/>
          <tpl fld="17" item="0"/>
        </tpls>
      </m>
      <n v="181887">
        <tpls c="7">
          <tpl fld="3" item="0"/>
          <tpl fld="16" item="6"/>
          <tpl hier="31" item="3"/>
          <tpl fld="9" item="31"/>
          <tpl fld="12" item="2"/>
          <tpl hier="40" item="2"/>
          <tpl fld="17" item="0"/>
        </tpls>
      </n>
      <n v="1120">
        <tpls c="7">
          <tpl fld="3" item="0"/>
          <tpl fld="16" item="0"/>
          <tpl hier="31" item="3"/>
          <tpl fld="9" item="10"/>
          <tpl fld="12" item="6"/>
          <tpl hier="40" item="2"/>
          <tpl fld="17" item="0"/>
        </tpls>
      </n>
      <m>
        <tpls c="7">
          <tpl fld="3" item="1"/>
          <tpl fld="16" item="9"/>
          <tpl hier="31" item="1"/>
          <tpl fld="9" item="19"/>
          <tpl fld="12" item="5"/>
          <tpl hier="40" item="2"/>
          <tpl fld="17" item="0"/>
        </tpls>
      </m>
      <n v="0">
        <tpls c="7">
          <tpl fld="3" item="0"/>
          <tpl fld="16" item="1"/>
          <tpl hier="31" item="3"/>
          <tpl fld="9" item="10"/>
          <tpl fld="12" item="6"/>
          <tpl hier="40" item="2"/>
          <tpl fld="17" item="0"/>
        </tpls>
      </n>
      <n v="0">
        <tpls c="7">
          <tpl fld="3" item="0"/>
          <tpl fld="16" item="2"/>
          <tpl hier="31" item="3"/>
          <tpl fld="9" item="2"/>
          <tpl fld="12" item="1"/>
          <tpl hier="40" item="2"/>
          <tpl fld="17" item="0"/>
        </tpls>
      </n>
      <n v="699482">
        <tpls c="6">
          <tpl fld="3" item="0"/>
          <tpl fld="16" item="9"/>
          <tpl hier="31" item="3"/>
          <tpl fld="12" item="6"/>
          <tpl hier="40" item="2"/>
          <tpl fld="17" item="0"/>
        </tpls>
      </n>
      <n v="102998">
        <tpls c="7">
          <tpl fld="3" item="1"/>
          <tpl fld="16" item="7"/>
          <tpl hier="31" item="1"/>
          <tpl fld="9" item="29"/>
          <tpl fld="12" item="2"/>
          <tpl hier="40" item="2"/>
          <tpl fld="17" item="0"/>
        </tpls>
      </n>
      <n v="0">
        <tpls c="7">
          <tpl fld="3" item="0"/>
          <tpl fld="16" item="2"/>
          <tpl hier="31" item="3"/>
          <tpl fld="9" item="7"/>
          <tpl fld="12" item="3"/>
          <tpl hier="40" item="2"/>
          <tpl fld="17" item="0"/>
        </tpls>
      </n>
      <n v="726667">
        <tpls c="7">
          <tpl fld="3" item="1"/>
          <tpl fld="16" item="7"/>
          <tpl hier="31" item="1"/>
          <tpl fld="9" item="9"/>
          <tpl fld="12" item="6"/>
          <tpl hier="40" item="2"/>
          <tpl fld="17" item="0"/>
        </tpls>
      </n>
      <n v="54416">
        <tpls c="7">
          <tpl fld="3" item="0"/>
          <tpl fld="16" item="5"/>
          <tpl hier="31" item="3"/>
          <tpl fld="9" item="36"/>
          <tpl fld="12" item="3"/>
          <tpl hier="40" item="2"/>
          <tpl fld="17" item="0"/>
        </tpls>
      </n>
      <n v="0">
        <tpls c="7">
          <tpl fld="3" item="0"/>
          <tpl fld="16" item="10"/>
          <tpl hier="31" item="3"/>
          <tpl fld="9" item="19"/>
          <tpl fld="12" item="5"/>
          <tpl hier="40" item="2"/>
          <tpl fld="17" item="0"/>
        </tpls>
      </n>
      <n v="231500">
        <tpls c="7">
          <tpl fld="3" item="1"/>
          <tpl fld="16" item="8"/>
          <tpl hier="31" item="1"/>
          <tpl fld="9" item="52"/>
          <tpl fld="12" item="3"/>
          <tpl hier="40" item="2"/>
          <tpl fld="17" item="0"/>
        </tpls>
      </n>
      <n v="3223302">
        <tpls c="7">
          <tpl fld="3" item="1"/>
          <tpl fld="16" item="9"/>
          <tpl hier="31" item="1"/>
          <tpl fld="9" item="5"/>
          <tpl fld="12" item="2"/>
          <tpl hier="40" item="2"/>
          <tpl fld="17" item="0"/>
        </tpls>
      </n>
      <m>
        <tpls c="7">
          <tpl fld="3" item="1"/>
          <tpl fld="16" item="2"/>
          <tpl hier="31" item="1"/>
          <tpl fld="9" item="14"/>
          <tpl fld="12" item="3"/>
          <tpl hier="40" item="2"/>
          <tpl fld="17" item="0"/>
        </tpls>
      </m>
      <n v="80">
        <tpls c="7">
          <tpl fld="3" item="0"/>
          <tpl fld="16" item="10"/>
          <tpl hier="31" item="3"/>
          <tpl fld="9" item="48"/>
          <tpl fld="12" item="22"/>
          <tpl hier="40" item="2"/>
          <tpl fld="17" item="0"/>
        </tpls>
      </n>
      <n v="1321575">
        <tpls c="7">
          <tpl fld="3" item="1"/>
          <tpl fld="16" item="2"/>
          <tpl hier="31" item="1"/>
          <tpl fld="9" item="5"/>
          <tpl fld="12" item="2"/>
          <tpl hier="40" item="2"/>
          <tpl fld="17" item="0"/>
        </tpls>
      </n>
      <n v="861232">
        <tpls c="7">
          <tpl fld="3" item="0"/>
          <tpl hier="10" item="4294967295"/>
          <tpl hier="31" item="3"/>
          <tpl fld="9" item="29"/>
          <tpl fld="12" item="2"/>
          <tpl hier="40" item="2"/>
          <tpl fld="17" item="0"/>
        </tpls>
      </n>
      <n v="183">
        <tpls c="7">
          <tpl fld="3" item="0"/>
          <tpl fld="16" item="5"/>
          <tpl hier="31" item="3"/>
          <tpl fld="9" item="48"/>
          <tpl fld="12" item="22"/>
          <tpl hier="40" item="2"/>
          <tpl fld="17" item="0"/>
        </tpls>
      </n>
      <n v="0">
        <tpls c="7">
          <tpl fld="3" item="0"/>
          <tpl fld="16" item="1"/>
          <tpl hier="31" item="3"/>
          <tpl fld="9" item="2"/>
          <tpl fld="12" item="1"/>
          <tpl hier="40" item="2"/>
          <tpl fld="17" item="0"/>
        </tpls>
      </n>
      <m>
        <tpls c="7">
          <tpl fld="3" item="1"/>
          <tpl fld="16" item="1"/>
          <tpl hier="31" item="1"/>
          <tpl fld="9" item="1"/>
          <tpl fld="12" item="1"/>
          <tpl hier="40" item="2"/>
          <tpl fld="17" item="0"/>
        </tpls>
      </m>
      <n v="72585">
        <tpls c="7">
          <tpl fld="3" item="0"/>
          <tpl fld="16" item="4"/>
          <tpl hier="31" item="3"/>
          <tpl fld="9" item="44"/>
          <tpl fld="12" item="2"/>
          <tpl hier="40" item="2"/>
          <tpl fld="17" item="0"/>
        </tpls>
      </n>
      <n v="120108">
        <tpls c="7">
          <tpl fld="3" item="1"/>
          <tpl fld="16" item="9"/>
          <tpl hier="31" item="1"/>
          <tpl fld="9" item="33"/>
          <tpl fld="12" item="6"/>
          <tpl hier="40" item="2"/>
          <tpl fld="17" item="0"/>
        </tpls>
      </n>
      <n v="500">
        <tpls c="7">
          <tpl fld="3" item="1"/>
          <tpl fld="16" item="0"/>
          <tpl hier="31" item="1"/>
          <tpl fld="9" item="48"/>
          <tpl fld="12" item="22"/>
          <tpl hier="40" item="2"/>
          <tpl fld="17" item="0"/>
        </tpls>
      </n>
      <n v="80000">
        <tpls c="7">
          <tpl fld="3" item="1"/>
          <tpl fld="16" item="3"/>
          <tpl hier="31" item="1"/>
          <tpl fld="9" item="2"/>
          <tpl fld="12" item="1"/>
          <tpl hier="40" item="2"/>
          <tpl fld="17" item="0"/>
        </tpls>
      </n>
      <n v="60000">
        <tpls c="7">
          <tpl fld="3" item="1"/>
          <tpl hier="10" item="4294967295"/>
          <tpl hier="31" item="1"/>
          <tpl fld="9" item="44"/>
          <tpl fld="12" item="2"/>
          <tpl hier="40" item="2"/>
          <tpl fld="17" item="0"/>
        </tpls>
      </n>
      <n v="1666667">
        <tpls c="7">
          <tpl fld="3" item="1"/>
          <tpl fld="16" item="7"/>
          <tpl hier="31" item="1"/>
          <tpl fld="9" item="18"/>
          <tpl fld="12" item="2"/>
          <tpl hier="40" item="2"/>
          <tpl fld="17" item="0"/>
        </tpls>
      </n>
      <n v="18000">
        <tpls c="7">
          <tpl fld="3" item="1"/>
          <tpl fld="16" item="1"/>
          <tpl hier="31" item="1"/>
          <tpl fld="9" item="11"/>
          <tpl fld="12" item="3"/>
          <tpl hier="40" item="2"/>
          <tpl fld="17" item="0"/>
        </tpls>
      </n>
      <n v="726667">
        <tpls c="7">
          <tpl fld="3" item="1"/>
          <tpl fld="16" item="9"/>
          <tpl hier="31" item="1"/>
          <tpl fld="9" item="9"/>
          <tpl fld="12" item="6"/>
          <tpl hier="40" item="2"/>
          <tpl fld="17" item="0"/>
        </tpls>
      </n>
      <n v="833">
        <tpls c="7">
          <tpl fld="3" item="1"/>
          <tpl fld="16" item="9"/>
          <tpl hier="31" item="1"/>
          <tpl fld="9" item="3"/>
          <tpl fld="12" item="2"/>
          <tpl hier="40" item="2"/>
          <tpl fld="17" item="0"/>
        </tpls>
      </n>
      <n v="54167">
        <tpls c="3">
          <tpl fld="11" item="8"/>
          <tpl fld="15" item="4"/>
          <tpl fld="17" item="2"/>
        </tpls>
      </n>
      <n v="79167">
        <tpls c="3">
          <tpl fld="11" item="5"/>
          <tpl fld="15" item="4"/>
          <tpl fld="17" item="2"/>
        </tpls>
      </n>
      <n v="26424">
        <tpls c="7">
          <tpl fld="3" item="0"/>
          <tpl fld="16" item="1"/>
          <tpl hier="31" item="3"/>
          <tpl fld="9" item="21"/>
          <tpl fld="12" item="3"/>
          <tpl hier="40" item="2"/>
          <tpl fld="17" item="0"/>
        </tpls>
      </n>
      <n v="0">
        <tpls c="7">
          <tpl fld="3" item="0"/>
          <tpl fld="16" item="1"/>
          <tpl hier="31" item="3"/>
          <tpl fld="9" item="11"/>
          <tpl fld="12" item="3"/>
          <tpl hier="40" item="2"/>
          <tpl fld="17" item="0"/>
        </tpls>
      </n>
      <n v="0">
        <tpls c="7">
          <tpl fld="3" item="0"/>
          <tpl fld="16" item="2"/>
          <tpl hier="31" item="3"/>
          <tpl fld="9" item="49"/>
          <tpl fld="12" item="3"/>
          <tpl hier="40" item="2"/>
          <tpl fld="17" item="0"/>
        </tpls>
      </n>
      <m>
        <tpls c="7">
          <tpl fld="3" item="1"/>
          <tpl fld="16" item="10"/>
          <tpl hier="31" item="1"/>
          <tpl fld="9" item="49"/>
          <tpl fld="12" item="3"/>
          <tpl hier="40" item="2"/>
          <tpl fld="17" item="0"/>
        </tpls>
      </m>
      <n v="465000">
        <tpls c="6">
          <tpl fld="10" item="3"/>
          <tpl hier="31" item="1"/>
          <tpl fld="9" item="35"/>
          <tpl fld="8" item="1"/>
          <tpl hier="40" item="2"/>
          <tpl fld="17" item="0"/>
        </tpls>
      </n>
      <m>
        <tpls c="6">
          <tpl fld="10" item="3"/>
          <tpl hier="31" item="1"/>
          <tpl fld="9" item="13"/>
          <tpl fld="8" item="1"/>
          <tpl hier="40" item="2"/>
          <tpl fld="17" item="0"/>
        </tpls>
      </m>
      <n v="12417102">
        <tpls c="6">
          <tpl fld="10" item="1"/>
          <tpl hier="31" item="1"/>
          <tpl fld="9" item="8"/>
          <tpl fld="8" item="1"/>
          <tpl hier="40" item="2"/>
          <tpl fld="17" item="0"/>
        </tpls>
      </n>
      <n v="13487824">
        <tpls c="6">
          <tpl fld="2" item="2"/>
          <tpl fld="0" item="2"/>
          <tpl fld="9" item="4"/>
          <tpl fld="8" item="1"/>
          <tpl hier="40" item="2"/>
          <tpl fld="17" item="0"/>
        </tpls>
      </n>
      <n v="54229630">
        <tpls c="6">
          <tpl fld="2" item="0"/>
          <tpl fld="0" item="0"/>
          <tpl fld="9" item="8"/>
          <tpl fld="8" item="1"/>
          <tpl hier="40" item="2"/>
          <tpl fld="17" item="0"/>
        </tpls>
      </n>
      <n v="15000">
        <tpls c="6">
          <tpl fld="10" item="0"/>
          <tpl hier="31" item="0"/>
          <tpl fld="9" item="44"/>
          <tpl fld="12" item="2"/>
          <tpl hier="40" item="2"/>
          <tpl fld="17" item="0"/>
        </tpls>
      </n>
      <n v="15000">
        <tpls c="6">
          <tpl fld="10" item="1"/>
          <tpl hier="31" item="0"/>
          <tpl fld="9" item="44"/>
          <tpl fld="12" item="2"/>
          <tpl hier="40" item="2"/>
          <tpl fld="17" item="0"/>
        </tpls>
      </n>
      <n v="15000">
        <tpls c="6">
          <tpl fld="10" item="3"/>
          <tpl hier="31" item="0"/>
          <tpl fld="9" item="44"/>
          <tpl fld="12" item="2"/>
          <tpl hier="40" item="2"/>
          <tpl fld="17" item="0"/>
        </tpls>
      </n>
      <n v="15000">
        <tpls c="6">
          <tpl fld="10" item="2"/>
          <tpl hier="31" item="0"/>
          <tpl fld="9" item="44"/>
          <tpl fld="12" item="2"/>
          <tpl hier="40" item="2"/>
          <tpl fld="17" item="0"/>
        </tpls>
      </n>
      <n v="2912680">
        <tpls c="7">
          <tpl fld="3" item="1"/>
          <tpl hier="10" item="4294967295"/>
          <tpl hier="31" item="1"/>
          <tpl fld="9" item="40"/>
          <tpl fld="12" item="3"/>
          <tpl hier="40" item="2"/>
          <tpl fld="17" item="0"/>
        </tpls>
      </n>
      <n v="254256">
        <tpls c="7">
          <tpl fld="3" item="1"/>
          <tpl hier="10" item="4294967295"/>
          <tpl hier="31" item="1"/>
          <tpl fld="9" item="21"/>
          <tpl fld="12" item="3"/>
          <tpl hier="40" item="2"/>
          <tpl fld="17" item="0"/>
        </tpls>
      </n>
      <n v="1150000">
        <tpls c="7">
          <tpl fld="3" item="1"/>
          <tpl hier="10" item="4294967295"/>
          <tpl hier="31" item="1"/>
          <tpl fld="9" item="52"/>
          <tpl fld="12" item="3"/>
          <tpl hier="40" item="2"/>
          <tpl fld="17" item="0"/>
        </tpls>
      </n>
      <n v="13500001">
        <tpls c="7">
          <tpl fld="3" item="1"/>
          <tpl hier="10" item="4294967295"/>
          <tpl hier="31" item="1"/>
          <tpl fld="9" item="25"/>
          <tpl fld="12" item="2"/>
          <tpl hier="40" item="2"/>
          <tpl fld="17" item="0"/>
        </tpls>
      </n>
      <m>
        <tpls c="7">
          <tpl fld="3" item="1"/>
          <tpl hier="10" item="4294967295"/>
          <tpl hier="31" item="1"/>
          <tpl fld="9" item="1"/>
          <tpl fld="12" item="1"/>
          <tpl hier="40" item="2"/>
          <tpl fld="17" item="0"/>
        </tpls>
      </m>
      <n v="19227896">
        <tpls c="7">
          <tpl fld="3" item="1"/>
          <tpl hier="10" item="4294967295"/>
          <tpl hier="31" item="1"/>
          <tpl fld="9" item="15"/>
          <tpl fld="12" item="3"/>
          <tpl hier="40" item="2"/>
          <tpl fld="17" item="0"/>
        </tpls>
      </n>
      <m>
        <tpls c="7">
          <tpl fld="3" item="1"/>
          <tpl fld="16" item="4"/>
          <tpl hier="31" item="1"/>
          <tpl fld="9" item="19"/>
          <tpl fld="12" item="5"/>
          <tpl hier="40" item="2"/>
          <tpl fld="17" item="0"/>
        </tpls>
      </m>
      <n v="1000">
        <tpls c="6">
          <tpl fld="3" item="1"/>
          <tpl fld="16" item="4"/>
          <tpl hier="31" item="1"/>
          <tpl fld="12" item="22"/>
          <tpl hier="40" item="2"/>
          <tpl fld="17" item="0"/>
        </tpls>
      </n>
      <n v="20341737">
        <tpls c="6">
          <tpl fld="3" item="1"/>
          <tpl fld="16" item="4"/>
          <tpl hier="31" item="1"/>
          <tpl fld="12" item="2"/>
          <tpl hier="40" item="2"/>
          <tpl fld="17" item="0"/>
        </tpls>
      </n>
      <n v="82665">
        <tpls c="7">
          <tpl fld="3" item="1"/>
          <tpl fld="16" item="4"/>
          <tpl hier="31" item="1"/>
          <tpl fld="9" item="29"/>
          <tpl fld="12" item="2"/>
          <tpl hier="40" item="2"/>
          <tpl fld="17" item="0"/>
        </tpls>
      </n>
      <n v="157804">
        <tpls c="7">
          <tpl fld="3" item="1"/>
          <tpl fld="16" item="4"/>
          <tpl hier="31" item="1"/>
          <tpl fld="9" item="31"/>
          <tpl fld="12" item="2"/>
          <tpl hier="40" item="2"/>
          <tpl fld="17" item="0"/>
        </tpls>
      </n>
      <m>
        <tpls c="7">
          <tpl fld="3" item="1"/>
          <tpl fld="16" item="4"/>
          <tpl hier="31" item="1"/>
          <tpl fld="9" item="2"/>
          <tpl fld="12" item="1"/>
          <tpl hier="40" item="2"/>
          <tpl fld="17" item="0"/>
        </tpls>
      </m>
      <m>
        <tpls c="7">
          <tpl fld="3" item="1"/>
          <tpl fld="16" item="4"/>
          <tpl hier="31" item="1"/>
          <tpl fld="9" item="22"/>
          <tpl fld="12" item="2"/>
          <tpl hier="40" item="2"/>
          <tpl fld="17" item="0"/>
        </tpls>
      </m>
      <n v="3438">
        <tpls c="7">
          <tpl fld="3" item="1"/>
          <tpl fld="16" item="4"/>
          <tpl hier="31" item="1"/>
          <tpl fld="9" item="10"/>
          <tpl fld="12" item="6"/>
          <tpl hier="40" item="2"/>
          <tpl fld="17" item="0"/>
        </tpls>
      </n>
      <n v="1313122">
        <tpls c="7">
          <tpl fld="3" item="1"/>
          <tpl fld="16" item="4"/>
          <tpl hier="31" item="1"/>
          <tpl fld="9" item="4"/>
          <tpl fld="12" item="3"/>
          <tpl hier="40" item="2"/>
          <tpl fld="17" item="0"/>
        </tpls>
      </n>
      <n v="114">
        <tpls c="7">
          <tpl fld="3" item="0"/>
          <tpl fld="16" item="0"/>
          <tpl hier="31" item="3"/>
          <tpl fld="9" item="48"/>
          <tpl fld="12" item="22"/>
          <tpl hier="40" item="2"/>
          <tpl fld="17" item="0"/>
        </tpls>
      </n>
      <n v="189">
        <tpls c="7">
          <tpl fld="3" item="0"/>
          <tpl fld="16" item="11"/>
          <tpl hier="31" item="3"/>
          <tpl fld="9" item="48"/>
          <tpl fld="12" item="22"/>
          <tpl hier="40" item="2"/>
          <tpl fld="17" item="0"/>
        </tpls>
      </n>
      <n v="198">
        <tpls c="7">
          <tpl fld="3" item="0"/>
          <tpl fld="16" item="7"/>
          <tpl hier="31" item="3"/>
          <tpl fld="9" item="48"/>
          <tpl fld="12" item="22"/>
          <tpl hier="40" item="2"/>
          <tpl fld="17" item="0"/>
        </tpls>
      </n>
      <n v="6000">
        <tpls c="7">
          <tpl fld="3" item="1"/>
          <tpl hier="10" item="4294967295"/>
          <tpl hier="31" item="1"/>
          <tpl fld="9" item="48"/>
          <tpl fld="12" item="22"/>
          <tpl hier="40" item="2"/>
          <tpl fld="17" item="0"/>
        </tpls>
      </n>
      <n v="500">
        <tpls c="7">
          <tpl fld="3" item="1"/>
          <tpl fld="16" item="3"/>
          <tpl hier="31" item="1"/>
          <tpl fld="9" item="48"/>
          <tpl fld="12" item="22"/>
          <tpl hier="40" item="2"/>
          <tpl fld="17" item="0"/>
        </tpls>
      </n>
      <n v="125">
        <tpls c="7">
          <tpl fld="3" item="0"/>
          <tpl fld="16" item="8"/>
          <tpl hier="31" item="3"/>
          <tpl fld="9" item="48"/>
          <tpl fld="12" item="22"/>
          <tpl hier="40" item="2"/>
          <tpl fld="17" item="0"/>
        </tpls>
      </n>
      <n v="500">
        <tpls c="7">
          <tpl fld="3" item="1"/>
          <tpl fld="16" item="7"/>
          <tpl hier="31" item="1"/>
          <tpl fld="9" item="48"/>
          <tpl fld="12" item="22"/>
          <tpl hier="40" item="2"/>
          <tpl fld="17" item="0"/>
        </tpls>
      </n>
      <n v="171">
        <tpls c="7">
          <tpl fld="3" item="0"/>
          <tpl fld="16" item="1"/>
          <tpl hier="31" item="3"/>
          <tpl fld="9" item="48"/>
          <tpl fld="12" item="22"/>
          <tpl hier="40" item="2"/>
          <tpl fld="17" item="0"/>
        </tpls>
      </n>
      <n v="-425233">
        <tpls c="6">
          <tpl fld="2" item="3"/>
          <tpl fld="0" item="2"/>
          <tpl fld="9" item="71"/>
          <tpl fld="12" item="16"/>
          <tpl fld="1" item="1"/>
          <tpl fld="17" item="0"/>
        </tpls>
      </n>
      <n v="12144490">
        <tpls c="7">
          <tpl fld="2" item="1"/>
          <tpl fld="16" item="9"/>
          <tpl fld="0" item="1"/>
          <tpl fld="9" item="71"/>
          <tpl fld="12" item="16"/>
          <tpl fld="1" item="1"/>
          <tpl fld="17" item="0"/>
        </tpls>
      </n>
      <n v="13500001">
        <tpls c="6">
          <tpl fld="2" item="0"/>
          <tpl fld="0" item="0"/>
          <tpl fld="9" item="25"/>
          <tpl fld="8" item="0"/>
          <tpl hier="40" item="2"/>
          <tpl fld="17" item="0"/>
        </tpls>
      </n>
      <n v="11771385">
        <tpls c="6">
          <tpl fld="2" item="2"/>
          <tpl fld="0" item="2"/>
          <tpl fld="9" item="25"/>
          <tpl fld="8" item="0"/>
          <tpl hier="40" item="2"/>
          <tpl fld="17" item="0"/>
        </tpls>
      </n>
      <n v="15708">
        <tpls c="7">
          <tpl fld="3" item="0"/>
          <tpl fld="16" item="1"/>
          <tpl hier="31" item="3"/>
          <tpl fld="9" item="17"/>
          <tpl fld="12" item="2"/>
          <tpl hier="40" item="2"/>
          <tpl fld="17" item="0"/>
        </tpls>
      </n>
      <n v="12543">
        <tpls c="7">
          <tpl fld="3" item="0"/>
          <tpl fld="16" item="7"/>
          <tpl hier="31" item="3"/>
          <tpl fld="9" item="17"/>
          <tpl fld="12" item="2"/>
          <tpl hier="40" item="2"/>
          <tpl fld="17" item="0"/>
        </tpls>
      </n>
      <n v="18775">
        <tpls c="7">
          <tpl fld="3" item="0"/>
          <tpl fld="16" item="4"/>
          <tpl hier="31" item="3"/>
          <tpl fld="9" item="17"/>
          <tpl fld="12" item="2"/>
          <tpl hier="40" item="2"/>
          <tpl fld="17" item="0"/>
        </tpls>
      </n>
      <n v="17500">
        <tpls c="7">
          <tpl fld="3" item="1"/>
          <tpl fld="16" item="1"/>
          <tpl hier="31" item="1"/>
          <tpl fld="9" item="17"/>
          <tpl fld="12" item="2"/>
          <tpl hier="40" item="2"/>
          <tpl fld="17" item="0"/>
        </tpls>
      </n>
      <n v="210000">
        <tpls c="7">
          <tpl fld="3" item="1"/>
          <tpl hier="10" item="4294967295"/>
          <tpl hier="31" item="1"/>
          <tpl fld="9" item="17"/>
          <tpl fld="12" item="2"/>
          <tpl hier="40" item="2"/>
          <tpl fld="17" item="0"/>
        </tpls>
      </n>
      <n v="15306">
        <tpls c="7">
          <tpl fld="3" item="0"/>
          <tpl fld="16" item="0"/>
          <tpl hier="31" item="3"/>
          <tpl fld="9" item="17"/>
          <tpl fld="12" item="2"/>
          <tpl hier="40" item="2"/>
          <tpl fld="17" item="0"/>
        </tpls>
      </n>
      <n v="17500">
        <tpls c="7">
          <tpl fld="3" item="1"/>
          <tpl fld="16" item="6"/>
          <tpl hier="31" item="1"/>
          <tpl fld="9" item="17"/>
          <tpl fld="12" item="2"/>
          <tpl hier="40" item="2"/>
          <tpl fld="17" item="0"/>
        </tpls>
      </n>
      <n v="17500">
        <tpls c="7">
          <tpl fld="3" item="1"/>
          <tpl fld="16" item="0"/>
          <tpl hier="31" item="1"/>
          <tpl fld="9" item="17"/>
          <tpl fld="12" item="2"/>
          <tpl hier="40" item="2"/>
          <tpl fld="17" item="0"/>
        </tpls>
      </n>
      <n v="17500">
        <tpls c="7">
          <tpl fld="3" item="1"/>
          <tpl fld="16" item="11"/>
          <tpl hier="31" item="1"/>
          <tpl fld="9" item="17"/>
          <tpl fld="12" item="2"/>
          <tpl hier="40" item="2"/>
          <tpl fld="17" item="0"/>
        </tpls>
      </n>
      <n v="17500">
        <tpls c="7">
          <tpl fld="3" item="1"/>
          <tpl fld="16" item="9"/>
          <tpl hier="31" item="1"/>
          <tpl fld="9" item="17"/>
          <tpl fld="12" item="2"/>
          <tpl hier="40" item="2"/>
          <tpl fld="17" item="0"/>
        </tpls>
      </n>
      <n v="-477952">
        <tpls c="7">
          <tpl fld="2" item="1"/>
          <tpl fld="16" item="2"/>
          <tpl fld="0" item="1"/>
          <tpl fld="9" item="74"/>
          <tpl fld="12" item="17"/>
          <tpl fld="1" item="1"/>
          <tpl fld="17" item="0"/>
        </tpls>
      </n>
      <n v="129468263">
        <tpls c="6">
          <tpl fld="2" item="2"/>
          <tpl fld="0" item="2"/>
          <tpl fld="9" item="74"/>
          <tpl fld="12" item="17"/>
          <tpl fld="1" item="1"/>
          <tpl fld="17" item="0"/>
        </tpls>
      </n>
      <n v="135681639">
        <tpls c="6">
          <tpl fld="2" item="3"/>
          <tpl fld="0" item="2"/>
          <tpl fld="9" item="74"/>
          <tpl fld="12" item="17"/>
          <tpl fld="1" item="1"/>
          <tpl fld="17" item="0"/>
        </tpls>
      </n>
      <n v="124681731">
        <tpls c="7">
          <tpl fld="2" item="1"/>
          <tpl hier="10" item="4294967295"/>
          <tpl fld="0" item="1"/>
          <tpl fld="9" item="74"/>
          <tpl fld="12" item="17"/>
          <tpl fld="1" item="1"/>
          <tpl fld="17" item="0"/>
        </tpls>
      </n>
      <n v="0">
        <tpls c="7">
          <tpl fld="2" item="1"/>
          <tpl fld="16" item="5"/>
          <tpl fld="0" item="1"/>
          <tpl fld="9" item="75"/>
          <tpl fld="12" item="21"/>
          <tpl fld="1" item="1"/>
          <tpl fld="17" item="0"/>
        </tpls>
      </n>
      <n v="126859046">
        <tpls c="6">
          <tpl fld="2" item="2"/>
          <tpl fld="0" item="2"/>
          <tpl fld="9" item="75"/>
          <tpl fld="12" item="21"/>
          <tpl fld="1" item="1"/>
          <tpl fld="17" item="0"/>
        </tpls>
      </n>
      <n v="0">
        <tpls c="7">
          <tpl fld="2" item="1"/>
          <tpl fld="16" item="2"/>
          <tpl fld="0" item="1"/>
          <tpl fld="9" item="75"/>
          <tpl fld="12" item="21"/>
          <tpl fld="1" item="1"/>
          <tpl fld="17" item="0"/>
        </tpls>
      </n>
      <n v="824350">
        <tpls c="7">
          <tpl fld="3" item="1"/>
          <tpl fld="16" item="5"/>
          <tpl hier="31" item="1"/>
          <tpl fld="9" item="41"/>
          <tpl fld="12" item="3"/>
          <tpl hier="40" item="2"/>
          <tpl fld="17" item="0"/>
        </tpls>
      </n>
      <m>
        <tpls c="7">
          <tpl fld="3" item="1"/>
          <tpl fld="16" item="5"/>
          <tpl hier="31" item="1"/>
          <tpl fld="9" item="27"/>
          <tpl fld="12" item="5"/>
          <tpl hier="40" item="2"/>
          <tpl fld="17" item="0"/>
        </tpls>
      </m>
      <n v="17500">
        <tpls c="7">
          <tpl fld="3" item="1"/>
          <tpl fld="16" item="5"/>
          <tpl hier="31" item="1"/>
          <tpl fld="9" item="17"/>
          <tpl fld="12" item="2"/>
          <tpl hier="40" item="2"/>
          <tpl fld="17" item="0"/>
        </tpls>
      </n>
      <n v="1500">
        <tpls c="6">
          <tpl fld="10" item="0"/>
          <tpl hier="31" item="0"/>
          <tpl fld="9" item="43"/>
          <tpl fld="12" item="22"/>
          <tpl hier="40" item="2"/>
          <tpl fld="17" item="0"/>
        </tpls>
      </n>
      <n v="1500">
        <tpls c="6">
          <tpl fld="10" item="1"/>
          <tpl hier="31" item="0"/>
          <tpl fld="9" item="43"/>
          <tpl fld="12" item="22"/>
          <tpl hier="40" item="2"/>
          <tpl fld="17" item="0"/>
        </tpls>
      </n>
      <n v="0">
        <tpls c="7">
          <tpl fld="2" item="1"/>
          <tpl fld="16" item="8"/>
          <tpl fld="0" item="1"/>
          <tpl fld="9" item="61"/>
          <tpl fld="12" item="0"/>
          <tpl fld="1" item="1"/>
          <tpl fld="17" item="0"/>
        </tpls>
      </n>
      <n v="-126266">
        <tpls c="7">
          <tpl fld="2" item="1"/>
          <tpl fld="16" item="8"/>
          <tpl fld="0" item="1"/>
          <tpl fld="9" item="71"/>
          <tpl fld="12" item="16"/>
          <tpl fld="1" item="1"/>
          <tpl fld="17" item="0"/>
        </tpls>
      </n>
      <n v="-484964">
        <tpls c="7">
          <tpl fld="2" item="1"/>
          <tpl fld="16" item="8"/>
          <tpl fld="0" item="1"/>
          <tpl fld="9" item="74"/>
          <tpl fld="12" item="17"/>
          <tpl fld="1" item="1"/>
          <tpl fld="17" item="0"/>
        </tpls>
      </n>
      <n v="0">
        <tpls c="7">
          <tpl fld="2" item="1"/>
          <tpl fld="16" item="8"/>
          <tpl fld="0" item="1"/>
          <tpl fld="9" item="30"/>
          <tpl fld="12" item="15"/>
          <tpl fld="1" item="1"/>
          <tpl fld="17" item="0"/>
        </tpls>
      </n>
      <n v="-590840">
        <tpls c="6">
          <tpl fld="2" item="1"/>
          <tpl fld="16" item="8"/>
          <tpl fld="0" item="1"/>
          <tpl fld="12" item="15"/>
          <tpl fld="1" item="1"/>
          <tpl fld="17" item="0"/>
        </tpls>
      </n>
      <m>
        <tpls c="7">
          <tpl fld="3" item="1"/>
          <tpl fld="16" item="6"/>
          <tpl hier="31" item="1"/>
          <tpl fld="9" item="13"/>
          <tpl fld="12" item="3"/>
          <tpl hier="40" item="2"/>
          <tpl fld="17" item="0"/>
        </tpls>
      </m>
      <n v="0">
        <tpls c="7">
          <tpl fld="3" item="1"/>
          <tpl fld="16" item="6"/>
          <tpl hier="31" item="1"/>
          <tpl fld="9" item="12"/>
          <tpl fld="12" item="5"/>
          <tpl hier="40" item="2"/>
          <tpl fld="17" item="0"/>
        </tpls>
      </n>
      <n v="75108">
        <tpls c="7">
          <tpl fld="3" item="1"/>
          <tpl fld="16" item="6"/>
          <tpl hier="31" item="1"/>
          <tpl fld="9" item="33"/>
          <tpl fld="12" item="6"/>
          <tpl hier="40" item="2"/>
          <tpl fld="17" item="0"/>
        </tpls>
      </n>
      <n v="8444991">
        <tpls c="7">
          <tpl fld="3" item="1"/>
          <tpl fld="16" item="6"/>
          <tpl hier="31" item="1"/>
          <tpl fld="9" item="23"/>
          <tpl fld="12" item="2"/>
          <tpl hier="40" item="2"/>
          <tpl fld="17" item="0"/>
        </tpls>
      </n>
      <n v="53050">
        <tpls c="7">
          <tpl fld="3" item="1"/>
          <tpl fld="16" item="6"/>
          <tpl hier="31" item="1"/>
          <tpl fld="9" item="29"/>
          <tpl fld="12" item="2"/>
          <tpl hier="40" item="2"/>
          <tpl fld="17" item="0"/>
        </tpls>
      </n>
      <n v="833">
        <tpls c="7">
          <tpl fld="3" item="1"/>
          <tpl fld="16" item="6"/>
          <tpl hier="31" item="1"/>
          <tpl fld="9" item="3"/>
          <tpl fld="12" item="2"/>
          <tpl hier="40" item="2"/>
          <tpl fld="17" item="0"/>
        </tpls>
      </n>
      <n v="3438">
        <tpls c="7">
          <tpl fld="3" item="1"/>
          <tpl fld="16" item="6"/>
          <tpl hier="31" item="1"/>
          <tpl fld="9" item="10"/>
          <tpl fld="12" item="6"/>
          <tpl hier="40" item="2"/>
          <tpl fld="17" item="0"/>
        </tpls>
      </n>
      <m>
        <tpls c="7">
          <tpl fld="3" item="1"/>
          <tpl fld="16" item="6"/>
          <tpl hier="31" item="1"/>
          <tpl fld="9" item="14"/>
          <tpl fld="12" item="3"/>
          <tpl hier="40" item="2"/>
          <tpl fld="17" item="0"/>
        </tpls>
      </m>
      <n v="824350">
        <tpls c="7">
          <tpl fld="3" item="1"/>
          <tpl fld="16" item="6"/>
          <tpl hier="31" item="1"/>
          <tpl fld="9" item="41"/>
          <tpl fld="12" item="3"/>
          <tpl hier="40" item="2"/>
          <tpl fld="17" item="0"/>
        </tpls>
      </n>
      <n v="1313122">
        <tpls c="7">
          <tpl fld="3" item="1"/>
          <tpl fld="16" item="6"/>
          <tpl hier="31" item="1"/>
          <tpl fld="9" item="4"/>
          <tpl fld="12" item="3"/>
          <tpl hier="40" item="2"/>
          <tpl fld="17" item="0"/>
        </tpls>
      </n>
      <n v="1000">
        <tpls c="6">
          <tpl fld="3" item="1"/>
          <tpl fld="16" item="6"/>
          <tpl hier="31" item="1"/>
          <tpl fld="12" item="22"/>
          <tpl hier="40" item="2"/>
          <tpl fld="17" item="0"/>
        </tpls>
      </n>
      <n v="392981">
        <tpls c="6">
          <tpl fld="3" item="1"/>
          <tpl fld="16" item="6"/>
          <tpl hier="31" item="1"/>
          <tpl fld="12" item="5"/>
          <tpl hier="40" item="2"/>
          <tpl fld="17" item="0"/>
        </tpls>
      </n>
      <n v="4472539">
        <tpls c="6">
          <tpl fld="3" item="1"/>
          <tpl fld="16" item="6"/>
          <tpl hier="31" item="1"/>
          <tpl fld="12" item="3"/>
          <tpl hier="40" item="2"/>
          <tpl fld="17" item="0"/>
        </tpls>
      </n>
      <m>
        <tpls c="7">
          <tpl fld="3" item="1"/>
          <tpl fld="16" item="6"/>
          <tpl hier="31" item="1"/>
          <tpl fld="9" item="6"/>
          <tpl fld="12" item="1"/>
          <tpl hier="40" item="2"/>
          <tpl fld="17" item="0"/>
        </tpls>
      </m>
      <n v="20007791">
        <tpls c="6">
          <tpl fld="3" item="1"/>
          <tpl fld="16" item="6"/>
          <tpl hier="31" item="1"/>
          <tpl fld="12" item="13"/>
          <tpl hier="40" item="2"/>
          <tpl fld="17" item="0"/>
        </tpls>
      </n>
      <n v="500">
        <tpls c="7">
          <tpl fld="3" item="1"/>
          <tpl fld="16" item="6"/>
          <tpl hier="31" item="1"/>
          <tpl fld="9" item="48"/>
          <tpl fld="12" item="22"/>
          <tpl hier="40" item="2"/>
          <tpl fld="17" item="0"/>
        </tpls>
      </n>
      <n v="83500">
        <tpls c="7">
          <tpl fld="3" item="1"/>
          <tpl fld="16" item="6"/>
          <tpl hier="31" item="1"/>
          <tpl fld="9" item="52"/>
          <tpl fld="12" item="3"/>
          <tpl hier="40" item="2"/>
          <tpl fld="17" item="0"/>
        </tpls>
      </n>
      <n v="392981">
        <tpls c="7">
          <tpl fld="3" item="1"/>
          <tpl fld="16" item="6"/>
          <tpl hier="31" item="1"/>
          <tpl fld="9" item="38"/>
          <tpl fld="12" item="5"/>
          <tpl hier="40" item="2"/>
          <tpl fld="17" item="0"/>
        </tpls>
      </n>
      <n v="4167">
        <tpls c="7">
          <tpl fld="3" item="1"/>
          <tpl fld="16" item="6"/>
          <tpl hier="31" item="1"/>
          <tpl fld="9" item="20"/>
          <tpl fld="12" item="2"/>
          <tpl hier="40" item="2"/>
          <tpl fld="17" item="0"/>
        </tpls>
      </n>
      <m>
        <tpls c="7">
          <tpl fld="3" item="1"/>
          <tpl fld="16" item="6"/>
          <tpl hier="31" item="1"/>
          <tpl fld="9" item="27"/>
          <tpl fld="12" item="5"/>
          <tpl hier="40" item="2"/>
          <tpl fld="17" item="0"/>
        </tpls>
      </m>
      <n v="256421">
        <tpls c="7">
          <tpl fld="3" item="1"/>
          <tpl fld="16" item="6"/>
          <tpl hier="31" item="1"/>
          <tpl fld="9" item="24"/>
          <tpl fld="12" item="6"/>
          <tpl hier="40" item="2"/>
          <tpl fld="17" item="0"/>
        </tpls>
      </n>
      <n v="6816678">
        <tpls c="7">
          <tpl fld="3" item="1"/>
          <tpl fld="16" item="6"/>
          <tpl hier="31" item="1"/>
          <tpl fld="9" item="5"/>
          <tpl fld="12" item="2"/>
          <tpl hier="40" item="2"/>
          <tpl fld="17" item="0"/>
        </tpls>
      </n>
      <m>
        <tpls c="7">
          <tpl fld="3" item="1"/>
          <tpl fld="16" item="6"/>
          <tpl hier="31" item="1"/>
          <tpl fld="9" item="1"/>
          <tpl fld="12" item="1"/>
          <tpl hier="40" item="2"/>
          <tpl fld="17" item="0"/>
        </tpls>
      </m>
      <n v="334390">
        <tpls c="7">
          <tpl fld="3" item="1"/>
          <tpl fld="16" item="6"/>
          <tpl hier="31" item="1"/>
          <tpl fld="9" item="40"/>
          <tpl fld="12" item="3"/>
          <tpl hier="40" item="2"/>
          <tpl fld="17" item="0"/>
        </tpls>
      </n>
      <n v="726667">
        <tpls c="7">
          <tpl fld="3" item="1"/>
          <tpl fld="16" item="6"/>
          <tpl hier="31" item="1"/>
          <tpl fld="9" item="9"/>
          <tpl fld="12" item="6"/>
          <tpl hier="40" item="2"/>
          <tpl fld="17" item="0"/>
        </tpls>
      </n>
      <n v="115112">
        <tpls c="7">
          <tpl fld="3" item="1"/>
          <tpl fld="16" item="6"/>
          <tpl hier="31" item="1"/>
          <tpl fld="9" item="31"/>
          <tpl fld="12" item="2"/>
          <tpl hier="40" item="2"/>
          <tpl fld="17" item="0"/>
        </tpls>
      </n>
      <n v="1061634">
        <tpls c="6">
          <tpl fld="3" item="1"/>
          <tpl fld="16" item="6"/>
          <tpl hier="31" item="1"/>
          <tpl fld="12" item="6"/>
          <tpl hier="40" item="2"/>
          <tpl fld="17" item="0"/>
        </tpls>
      </n>
      <n v="1722989">
        <tpls c="7">
          <tpl fld="3" item="1"/>
          <tpl fld="16" item="6"/>
          <tpl hier="31" item="1"/>
          <tpl fld="9" item="15"/>
          <tpl fld="12" item="3"/>
          <tpl hier="40" item="2"/>
          <tpl fld="17" item="0"/>
        </tpls>
      </n>
      <n v="5000">
        <tpls c="7">
          <tpl fld="3" item="1"/>
          <tpl fld="16" item="6"/>
          <tpl hier="31" item="1"/>
          <tpl fld="9" item="44"/>
          <tpl fld="12" item="2"/>
          <tpl hier="40" item="2"/>
          <tpl fld="17" item="0"/>
        </tpls>
      </n>
      <n v="21188">
        <tpls c="7">
          <tpl fld="3" item="1"/>
          <tpl fld="16" item="6"/>
          <tpl hier="31" item="1"/>
          <tpl fld="9" item="21"/>
          <tpl fld="12" item="3"/>
          <tpl hier="40" item="2"/>
          <tpl fld="17" item="0"/>
        </tpls>
      </n>
      <m>
        <tpls c="7">
          <tpl fld="3" item="1"/>
          <tpl fld="16" item="6"/>
          <tpl hier="31" item="1"/>
          <tpl fld="9" item="7"/>
          <tpl fld="12" item="3"/>
          <tpl hier="40" item="2"/>
          <tpl fld="17" item="0"/>
        </tpls>
      </m>
      <m>
        <tpls c="7">
          <tpl fld="3" item="1"/>
          <tpl fld="16" item="6"/>
          <tpl hier="31" item="1"/>
          <tpl fld="9" item="32"/>
          <tpl fld="12" item="5"/>
          <tpl hier="40" item="2"/>
          <tpl fld="17" item="0"/>
        </tpls>
      </m>
      <n v="1666667">
        <tpls c="7">
          <tpl fld="3" item="1"/>
          <tpl fld="16" item="6"/>
          <tpl hier="31" item="1"/>
          <tpl fld="9" item="18"/>
          <tpl fld="12" item="2"/>
          <tpl hier="40" item="2"/>
          <tpl fld="17" item="0"/>
        </tpls>
      </n>
      <n v="18956534">
        <tpls c="6">
          <tpl fld="3" item="1"/>
          <tpl fld="16" item="6"/>
          <tpl hier="31" item="1"/>
          <tpl fld="12" item="2"/>
          <tpl hier="40" item="2"/>
          <tpl fld="17" item="0"/>
        </tpls>
      </n>
      <n v="20007791">
        <tpls c="7">
          <tpl fld="3" item="1"/>
          <tpl fld="16" item="6"/>
          <tpl hier="31" item="1"/>
          <tpl fld="9" item="45"/>
          <tpl fld="12" item="13"/>
          <tpl hier="40" item="2"/>
          <tpl fld="17" item="0"/>
        </tpls>
      </n>
      <m>
        <tpls c="6">
          <tpl fld="3" item="1"/>
          <tpl fld="16" item="10"/>
          <tpl hier="31" item="1"/>
          <tpl fld="12" item="20"/>
          <tpl hier="40" item="2"/>
          <tpl fld="17" item="0"/>
        </tpls>
      </m>
      <n v="0">
        <tpls c="6">
          <tpl fld="3" item="0"/>
          <tpl fld="16" item="10"/>
          <tpl hier="31" item="3"/>
          <tpl fld="12" item="20"/>
          <tpl hier="40" item="2"/>
          <tpl fld="17" item="0"/>
        </tpls>
      </n>
      <m>
        <tpls c="6">
          <tpl fld="3" item="1"/>
          <tpl fld="16" item="1"/>
          <tpl hier="31" item="1"/>
          <tpl fld="12" item="20"/>
          <tpl hier="40" item="2"/>
          <tpl fld="17" item="0"/>
        </tpls>
      </m>
      <n v="0">
        <tpls c="6">
          <tpl fld="3" item="0"/>
          <tpl fld="16" item="8"/>
          <tpl hier="31" item="3"/>
          <tpl fld="12" item="20"/>
          <tpl hier="40" item="2"/>
          <tpl fld="17" item="0"/>
        </tpls>
      </n>
      <m>
        <tpls c="6">
          <tpl fld="3" item="1"/>
          <tpl fld="16" item="3"/>
          <tpl hier="31" item="1"/>
          <tpl fld="12" item="20"/>
          <tpl hier="40" item="2"/>
          <tpl fld="17" item="0"/>
        </tpls>
      </m>
      <m>
        <tpls c="6">
          <tpl fld="3" item="1"/>
          <tpl fld="16" item="2"/>
          <tpl hier="31" item="1"/>
          <tpl fld="12" item="20"/>
          <tpl hier="40" item="2"/>
          <tpl fld="17" item="0"/>
        </tpls>
      </m>
      <n v="0">
        <tpls c="6">
          <tpl fld="3" item="0"/>
          <tpl fld="16" item="9"/>
          <tpl hier="31" item="3"/>
          <tpl fld="12" item="20"/>
          <tpl hier="40" item="2"/>
          <tpl fld="17" item="0"/>
        </tpls>
      </n>
      <n v="703170">
        <tpls c="6">
          <tpl fld="10" item="0"/>
          <tpl hier="31" item="1"/>
          <tpl fld="9" item="40"/>
          <tpl fld="8" item="1"/>
          <tpl hier="40" item="2"/>
          <tpl fld="17" item="0"/>
        </tpls>
      </n>
      <n v="500">
        <tpls c="7">
          <tpl fld="3" item="1"/>
          <tpl fld="16" item="0"/>
          <tpl hier="31" item="1"/>
          <tpl fld="9" item="43"/>
          <tpl fld="12" item="22"/>
          <tpl hier="40" item="2"/>
          <tpl fld="17" item="0"/>
        </tpls>
      </n>
      <n v="500">
        <tpls c="7">
          <tpl fld="3" item="1"/>
          <tpl fld="16" item="7"/>
          <tpl hier="31" item="1"/>
          <tpl fld="9" item="43"/>
          <tpl fld="12" item="22"/>
          <tpl hier="40" item="2"/>
          <tpl fld="17" item="0"/>
        </tpls>
      </n>
      <n v="500">
        <tpls c="7">
          <tpl fld="3" item="1"/>
          <tpl fld="16" item="4"/>
          <tpl hier="31" item="1"/>
          <tpl fld="9" item="43"/>
          <tpl fld="12" item="22"/>
          <tpl hier="40" item="2"/>
          <tpl fld="17" item="0"/>
        </tpls>
      </n>
      <n v="4317">
        <tpls c="7">
          <tpl fld="3" item="0"/>
          <tpl hier="10" item="4294967295"/>
          <tpl hier="31" item="3"/>
          <tpl fld="9" item="43"/>
          <tpl fld="12" item="22"/>
          <tpl hier="40" item="2"/>
          <tpl fld="17" item="0"/>
        </tpls>
      </n>
      <n v="500">
        <tpls c="7">
          <tpl fld="3" item="1"/>
          <tpl fld="16" item="11"/>
          <tpl hier="31" item="1"/>
          <tpl fld="9" item="43"/>
          <tpl fld="12" item="22"/>
          <tpl hier="40" item="2"/>
          <tpl fld="17" item="0"/>
        </tpls>
      </n>
      <n v="500">
        <tpls c="7">
          <tpl fld="3" item="1"/>
          <tpl fld="16" item="2"/>
          <tpl hier="31" item="1"/>
          <tpl fld="9" item="43"/>
          <tpl fld="12" item="22"/>
          <tpl hier="40" item="2"/>
          <tpl fld="17" item="0"/>
        </tpls>
      </n>
      <n v="555">
        <tpls c="7">
          <tpl fld="3" item="0"/>
          <tpl fld="16" item="5"/>
          <tpl hier="31" item="3"/>
          <tpl fld="9" item="43"/>
          <tpl fld="12" item="22"/>
          <tpl hier="40" item="2"/>
          <tpl fld="17" item="0"/>
        </tpls>
      </n>
      <n v="6000">
        <tpls c="7">
          <tpl fld="3" item="1"/>
          <tpl hier="10" item="4294967295"/>
          <tpl hier="31" item="1"/>
          <tpl fld="9" item="43"/>
          <tpl fld="12" item="22"/>
          <tpl hier="40" item="2"/>
          <tpl fld="17" item="0"/>
        </tpls>
      </n>
      <n v="1671">
        <tpls c="7">
          <tpl fld="3" item="0"/>
          <tpl fld="16" item="11"/>
          <tpl hier="31" item="3"/>
          <tpl fld="9" item="43"/>
          <tpl fld="12" item="22"/>
          <tpl hier="40" item="2"/>
          <tpl fld="17" item="0"/>
        </tpls>
      </n>
      <n v="500">
        <tpls c="7">
          <tpl fld="3" item="1"/>
          <tpl fld="16" item="6"/>
          <tpl hier="31" item="1"/>
          <tpl fld="9" item="43"/>
          <tpl fld="12" item="22"/>
          <tpl hier="40" item="2"/>
          <tpl fld="17" item="0"/>
        </tpls>
      </n>
      <n v="391">
        <tpls c="7">
          <tpl fld="3" item="0"/>
          <tpl fld="16" item="9"/>
          <tpl hier="31" item="3"/>
          <tpl fld="9" item="43"/>
          <tpl fld="12" item="22"/>
          <tpl hier="40" item="2"/>
          <tpl fld="17" item="0"/>
        </tpls>
      </n>
      <n v="0">
        <tpls c="6">
          <tpl fld="10" item="3"/>
          <tpl hier="31" item="1"/>
          <tpl fld="9" item="12"/>
          <tpl fld="8" item="2"/>
          <tpl hier="40" item="2"/>
          <tpl fld="17" item="0"/>
        </tpls>
      </n>
      <m>
        <tpls c="7">
          <tpl fld="3" item="1"/>
          <tpl fld="16" item="9"/>
          <tpl hier="31" item="1"/>
          <tpl fld="9" item="6"/>
          <tpl fld="12" item="1"/>
          <tpl hier="40" item="2"/>
          <tpl fld="17" item="0"/>
        </tpls>
      </m>
      <n v="114216168">
        <tpls c="6">
          <tpl fld="3" item="1"/>
          <tpl fld="16" item="8"/>
          <tpl hier="31" item="1"/>
          <tpl fld="12" item="2"/>
          <tpl hier="40" item="2"/>
          <tpl fld="17" item="0"/>
        </tpls>
      </n>
      <n v="81278">
        <tpls c="7">
          <tpl fld="3" item="0"/>
          <tpl fld="16" item="4"/>
          <tpl hier="31" item="3"/>
          <tpl fld="9" item="29"/>
          <tpl fld="12" item="2"/>
          <tpl hier="40" item="2"/>
          <tpl fld="17" item="0"/>
        </tpls>
      </n>
      <n v="1097026">
        <tpls c="7">
          <tpl fld="3" item="0"/>
          <tpl fld="16" item="10"/>
          <tpl hier="31" item="3"/>
          <tpl fld="9" item="5"/>
          <tpl fld="12" item="2"/>
          <tpl hier="40" item="2"/>
          <tpl fld="17" item="0"/>
        </tpls>
      </n>
      <m>
        <tpls c="7">
          <tpl fld="3" item="1"/>
          <tpl fld="16" item="0"/>
          <tpl hier="31" item="1"/>
          <tpl fld="9" item="36"/>
          <tpl fld="12" item="3"/>
          <tpl hier="40" item="2"/>
          <tpl fld="17" item="0"/>
        </tpls>
      </m>
      <n v="63564">
        <tpls c="6">
          <tpl fld="10" item="2"/>
          <tpl hier="31" item="0"/>
          <tpl fld="9" item="21"/>
          <tpl fld="12" item="3"/>
          <tpl hier="40" item="2"/>
          <tpl fld="17" item="0"/>
        </tpls>
      </n>
      <m>
        <tpls c="6">
          <tpl fld="3" item="1"/>
          <tpl fld="16" item="11"/>
          <tpl hier="31" item="1"/>
          <tpl fld="12" item="20"/>
          <tpl hier="40" item="2"/>
          <tpl fld="17" item="0"/>
        </tpls>
      </m>
      <n v="0">
        <tpls c="6">
          <tpl fld="2" item="1"/>
          <tpl fld="0" item="1"/>
          <tpl fld="9" item="1"/>
          <tpl fld="12" item="1"/>
          <tpl hier="40" item="2"/>
          <tpl fld="17" item="0"/>
        </tpls>
      </n>
      <n v="465000">
        <tpls c="6">
          <tpl fld="10" item="1"/>
          <tpl hier="31" item="1"/>
          <tpl fld="9" item="35"/>
          <tpl fld="8" item="1"/>
          <tpl hier="40" item="2"/>
          <tpl fld="17" item="0"/>
        </tpls>
      </n>
      <n v="57098365">
        <tpls c="6">
          <tpl fld="10" item="3"/>
          <tpl hier="31" item="0"/>
          <tpl fld="9" item="45"/>
          <tpl fld="12" item="13"/>
          <tpl hier="40" item="2"/>
          <tpl fld="17" item="0"/>
        </tpls>
      </n>
      <n v="6000">
        <tpls c="6">
          <tpl fld="2" item="0"/>
          <tpl fld="0" item="0"/>
          <tpl fld="9" item="43"/>
          <tpl fld="12" item="22"/>
          <tpl hier="40" item="2"/>
          <tpl fld="17" item="0"/>
        </tpls>
      </n>
      <n v="703170">
        <tpls c="6">
          <tpl fld="10" item="3"/>
          <tpl hier="31" item="1"/>
          <tpl fld="9" item="40"/>
          <tpl fld="8" item="1"/>
          <tpl hier="40" item="2"/>
          <tpl fld="17" item="0"/>
        </tpls>
      </n>
      <n v="54000">
        <tpls c="6">
          <tpl fld="10" item="3"/>
          <tpl hier="31" item="0"/>
          <tpl fld="9" item="11"/>
          <tpl fld="12" item="3"/>
          <tpl hier="40" item="2"/>
          <tpl fld="17" item="0"/>
        </tpls>
      </n>
      <n v="6000">
        <tpls c="6">
          <tpl fld="2" item="0"/>
          <tpl fld="0" item="0"/>
          <tpl fld="9" item="48"/>
          <tpl fld="12" item="22"/>
          <tpl hier="40" item="2"/>
          <tpl fld="17" item="0"/>
        </tpls>
      </n>
      <n v="3438">
        <tpls c="7">
          <tpl fld="3" item="1"/>
          <tpl fld="16" item="9"/>
          <tpl hier="31" item="1"/>
          <tpl fld="9" item="10"/>
          <tpl fld="12" item="6"/>
          <tpl hier="40" item="2"/>
          <tpl fld="17" item="0"/>
        </tpls>
      </n>
      <n v="13508631">
        <tpls c="5">
          <tpl fld="10" item="3"/>
          <tpl hier="31" item="0"/>
          <tpl fld="12" item="3"/>
          <tpl hier="40" item="2"/>
          <tpl fld="17" item="0"/>
        </tpls>
      </n>
      <m>
        <tpls c="7">
          <tpl fld="3" item="1"/>
          <tpl fld="16" item="2"/>
          <tpl hier="31" item="1"/>
          <tpl fld="9" item="1"/>
          <tpl fld="12" item="1"/>
          <tpl hier="40" item="2"/>
          <tpl fld="17" item="0"/>
        </tpls>
      </m>
    </entries>
    <sets count="4">
      <set count="1" maxRank="1" setDefinition="{[fActualAndBudget].[ReportType].[All]}">
        <tpls c="1">
          <tpl hier="31" item="4294967295"/>
        </tpls>
      </set>
      <set count="1" maxRank="1" setDefinition="{[fActualAndBudget].[ReportType].&amp;[План]}">
        <tpls c="1">
          <tpl fld="0" item="0"/>
        </tpls>
      </set>
      <set count="1" maxRank="1" setDefinition="{[fActualAndBudget].[ObrazecIme].&amp;[Finansiski plan_Bilans na uspeh]}">
        <tpls c="1">
          <tpl fld="1" item="0"/>
        </tpls>
      </set>
      <set count="1" maxRank="1" setDefinition="{[fActualAndBudget].[ReportType].&amp;[Предвидување]}">
        <tpls c="1">
          <tpl fld="0" item="1"/>
        </tpls>
      </set>
    </sets>
    <queryCache count="288">
      <query mdx="[Calendar].[Година].&amp;[2022]">
        <tpls c="1">
          <tpl fld="2" item="0"/>
        </tpls>
      </query>
      <query mdx="[Calendar].[Година].&amp;[2021]">
        <tpls c="1">
          <tpl fld="2" item="1"/>
        </tpls>
      </query>
      <query mdx="[Calendar].[Година].&amp;[2020]">
        <tpls c="1">
          <tpl fld="2" item="2"/>
        </tpls>
      </query>
      <query mdx="[Calendar].[Date Hierarchy].[Year].&amp;[2021]">
        <tpls c="1">
          <tpl fld="3" item="0"/>
        </tpls>
      </query>
      <query mdx="[CAPEX].[Очекуван датум на плаќање].&amp;[2022-04-01T00:00:00]">
        <tpls c="1">
          <tpl fld="4" item="0"/>
        </tpls>
      </query>
      <query mdx="[CAPEX].[Конто Средства].&amp;[01363]">
        <tpls c="1">
          <tpl fld="5" item="0"/>
        </tpls>
      </query>
      <query mdx="[CAPEX].[Очекуван датум на плаќање].&amp;[2022-05-01T00:00:00]">
        <tpls c="1">
          <tpl fld="4" item="1"/>
        </tpls>
      </query>
      <query mdx="[CAPEX].[Број на јавна набавка (план)].&amp;[2022-004]">
        <tpls c="1">
          <tpl fld="6" item="0"/>
        </tpls>
      </query>
      <query mdx="[CAPEX].[Конто Средства].&amp;[01213]">
        <tpls c="1">
          <tpl fld="5" item="1"/>
        </tpls>
      </query>
      <query mdx="[CAPEX].[Очекуван датум за ставање во употреба (месец)].&amp;[2022-08-01T00:00:00]"/>
      <query mdx="[CAPEX].[Очекуван датум за ставање во употреба (месец)].&amp;[2022-05-01T00:00:00]">
        <tpls c="1">
          <tpl fld="7" item="0"/>
        </tpls>
      </query>
      <query mdx="[CAPEX].[Очекуван датум за ставање во употреба (месец)].&amp;[2021-11-01T00:00:00]"/>
      <query mdx="[CAPEX].[Очекуван датум за ставање во употреба (месец)].&amp;[2022-03-01T00:00:00]"/>
      <query mdx="[CAPEX].[Очекуван датум на плаќање].&amp;[2021-12-01T00:00:00]">
        <tpls c="1">
          <tpl fld="4" item="2"/>
        </tpls>
      </query>
      <query mdx="[CAPEX].[Број на јавна набавка (план)].&amp;[2022-018]">
        <tpls c="1">
          <tpl fld="6" item="1"/>
        </tpls>
      </query>
      <query mdx="[CAPEX].[Број на јавна набавка (план)].&amp;[2021-014]">
        <tpls c="1">
          <tpl fld="6" item="2"/>
        </tpls>
      </query>
      <query mdx="[CAPEX].[Број на јавна набавка (план)].&amp;[2021-015]">
        <tpls c="1">
          <tpl fld="6" item="3"/>
        </tpls>
      </query>
      <query mdx="[CAPEX].[Очекуван датум за ставање во употреба (месец)].&amp;[2022-09-01T00:00:00]">
        <tpls c="1">
          <tpl fld="7" item="1"/>
        </tpls>
      </query>
      <query mdx="[CAPEX].[Очекуван датум за ставање во употреба (месец)].&amp;[2022-06-01T00:00:00]">
        <tpls c="1">
          <tpl fld="7" item="2"/>
        </tpls>
      </query>
      <query mdx="[CAPEX].[Број на јавна набавка (план)].&amp;[2022-014]"/>
      <query mdx="[CAPEX].[Очекуван датум на плаќање].&amp;[2022-07-01T00:00:00]">
        <tpls c="1">
          <tpl fld="4" item="3"/>
        </tpls>
      </query>
      <query mdx="[CAPEX].[Конто Средства].&amp;[0135]">
        <tpls c="1">
          <tpl fld="5" item="2"/>
        </tpls>
      </query>
      <query mdx="[CAPEX].[Очекуван датум на плаќање].&amp;[2022-01-01T00:00:00]"/>
      <query mdx="[CAPEX].[Очекуван датум за ставање во употреба (месец)].&amp;[2022-01-01T00:00:00]">
        <tpls c="1">
          <tpl fld="7" item="3"/>
        </tpls>
      </query>
      <query mdx="[CAPEX].[Очекуван датум на плаќање].&amp;[2022-06-01T00:00:00]">
        <tpls c="1">
          <tpl fld="4" item="4"/>
        </tpls>
      </query>
      <query mdx="[CAPEX].[Очекуван датум на плаќање].&amp;[2022-10-01T00:00:00]"/>
      <query mdx="[CAPEX].[Очекуван датум на плаќање].&amp;[2022-02-01T00:00:00]">
        <tpls c="1">
          <tpl fld="4" item="5"/>
        </tpls>
      </query>
      <query mdx="[CAPEX].[Очекуван датум за ставање во употреба (месец)].&amp;[2022-12-01T00:00:00]"/>
      <query mdx="[CAPEX].[Очекуван датум за ставање во употреба (месец)].&amp;[2022-02-01T00:00:00]"/>
      <query mdx="[CAPEX].[Број на јавна набавка (план)].&amp;[2022-006]">
        <tpls c="1">
          <tpl fld="6" item="4"/>
        </tpls>
      </query>
      <query mdx="[CAPEX].[Очекуван датум за ставање во употреба (месец)].&amp;[2022-11-01T00:00:00]">
        <tpls c="1">
          <tpl fld="7" item="4"/>
        </tpls>
      </query>
      <query mdx="[CAPEX].[Очекуван датум на плаќање].&amp;[2021-11-01T00:00:00]"/>
      <query mdx="[CAPEX].[Број на јавна набавка (план)].&amp;[2022-016]">
        <tpls c="1">
          <tpl fld="6" item="5"/>
        </tpls>
      </query>
      <query mdx="[CAPEX].[Очекуван датум за ставање во употреба (месец)].&amp;[2022-10-01T00:00:00]">
        <tpls c="1">
          <tpl fld="7" item="5"/>
        </tpls>
      </query>
      <query mdx="[CAPEX].[Конто Средства].&amp;[0191001]">
        <tpls c="1">
          <tpl fld="5" item="3"/>
        </tpls>
      </query>
      <query mdx="[CAPEX].[Број на јавна набавка (план)].&amp;[2022-001]">
        <tpls c="1">
          <tpl fld="6" item="6"/>
        </tpls>
      </query>
      <query mdx="[CAPEX].[Очекуван датум за ставање во употреба (месец)].&amp;[2021-12-01T00:00:00]"/>
      <query mdx="[CAPEX].[Број на јавна набавка (план)].&amp;[2022-002]">
        <tpls c="1">
          <tpl fld="6" item="7"/>
        </tpls>
      </query>
      <query mdx="[CAPEX].[Очекуван датум за ставање во употреба (месец)].&amp;[2022-04-01T00:00:00]">
        <tpls c="1">
          <tpl fld="7" item="6"/>
        </tpls>
      </query>
      <query mdx="[CAPEX].[Очекуван датум на плаќање].&amp;[2022-09-01T00:00:00]">
        <tpls c="1">
          <tpl fld="4" item="6"/>
        </tpls>
      </query>
      <query mdx="[CAPEX].[Број на јавна набавка (план)].&amp;[2022-007]">
        <tpls c="1">
          <tpl fld="6" item="8"/>
        </tpls>
      </query>
      <query mdx="[CAPEX].[Број на јавна набавка (план)].&amp;[2022-012]">
        <tpls c="1">
          <tpl fld="6" item="9"/>
        </tpls>
      </query>
      <query mdx="[CAPEX].[Конто Средства].&amp;[0031]">
        <tpls c="1">
          <tpl fld="5" item="4"/>
        </tpls>
      </query>
      <query mdx="[CAPEX].[Број на јавна набавка (план)].&amp;[2022-015]">
        <tpls c="1">
          <tpl fld="6" item="10"/>
        </tpls>
      </query>
      <query mdx="[CAPEX].[Број на јавна набавка (план)].&amp;[2022-017]">
        <tpls c="1">
          <tpl fld="6" item="11"/>
        </tpls>
      </query>
      <query mdx="[CAPEX].[Очекуван датум на плаќање].&amp;[2022-11-01T00:00:00]">
        <tpls c="1">
          <tpl fld="4" item="7"/>
        </tpls>
      </query>
      <query mdx="[CAPEX].[Број на јавна набавка (план)].&amp;[2022-003]">
        <tpls c="1">
          <tpl fld="6" item="12"/>
        </tpls>
      </query>
      <query mdx="[CAPEX].[Очекуван датум на плаќање].&amp;[2022-08-01T00:00:00]"/>
      <query mdx="[CAPEX].[Конто Средства].&amp;[0030]">
        <tpls c="1">
          <tpl fld="5" item="5"/>
        </tpls>
      </query>
      <query mdx="[CAPEX].[Очекуван датум на плаќање].&amp;[2022-12-01T00:00:00]">
        <tpls c="1">
          <tpl fld="4" item="8"/>
        </tpls>
      </query>
      <query mdx="[CAPEX].[Број на јавна набавка (план)].&amp;[2022-011]"/>
      <query mdx="[CAPEX].[Број на јавна набавка (план)].&amp;[2022-008]">
        <tpls c="1">
          <tpl fld="6" item="13"/>
        </tpls>
      </query>
      <query mdx="[CAPEX].[Број на јавна набавка (план)].&amp;[2022-013]">
        <tpls c="1">
          <tpl fld="6" item="14"/>
        </tpls>
      </query>
      <query mdx="[CAPEX].[Очекуван датум на плаќање].&amp;[2022-03-01T00:00:00]">
        <tpls c="1">
          <tpl fld="4" item="9"/>
        </tpls>
      </query>
      <query mdx="[CAPEX].[Очекуван датум за ставање во употреба (месец)].&amp;[2022-07-01T00:00:00]">
        <tpls c="1">
          <tpl fld="7" item="7"/>
        </tpls>
      </query>
      <query mdx="[CAPEX].[Број на јавна набавка (план)].&amp;[2022-005]">
        <tpls c="1">
          <tpl fld="6" item="15"/>
        </tpls>
      </query>
      <query mdx="[Calendar].[Година].&amp;[2019]">
        <tpls c="1">
          <tpl fld="2" item="3"/>
        </tpls>
      </query>
      <query mdx="[fActualAndBudget].[StavkaGrupa].&amp;[3.1. Приходи од дејноста]">
        <tpls c="1">
          <tpl fld="8" item="0"/>
        </tpls>
      </query>
      <query mdx="[fActualAndBudget].[StavkaImeMK].&amp;[Приходи од регистар на вистински сопственици]">
        <tpls c="1">
          <tpl fld="9" item="0"/>
        </tpls>
      </query>
      <query mdx="[Calendar].[Квартал].&amp;[2022-12-31T00:00:00]">
        <tpls c="1">
          <tpl fld="10" item="0"/>
        </tpls>
      </query>
      <query mdx="[Calendar].[Квартал].&amp;[2022-03-31T00:00:00]">
        <tpls c="1">
          <tpl fld="10" item="1"/>
        </tpls>
      </query>
      <query mdx="[Amortizacija].[Период].&amp;[2022-02-01T00:00:00]">
        <tpls c="1">
          <tpl fld="11" item="0"/>
        </tpls>
      </query>
      <query mdx="[Amortizacija].[Период].&amp;[2022-07-01T00:00:00]">
        <tpls c="1">
          <tpl fld="11" item="1"/>
        </tpls>
      </query>
      <query mdx="[Calendar].[Квартал].&amp;[2022-06-30T00:00:00]">
        <tpls c="1">
          <tpl fld="10" item="2"/>
        </tpls>
      </query>
      <query mdx="[Amortizacija].[Период].&amp;[2022-01-01T00:00:00]">
        <tpls c="1">
          <tpl fld="11" item="2"/>
        </tpls>
      </query>
      <query mdx="[Amortizacija].[Период].&amp;[2022-09-01T00:00:00]">
        <tpls c="1">
          <tpl fld="11" item="3"/>
        </tpls>
      </query>
      <query mdx="[fActualAndBudget].[StavkaKategorija].&amp;[1.2. Побарувања]">
        <tpls c="1">
          <tpl fld="12" item="0"/>
        </tpls>
      </query>
      <query mdx="[Amortizacija].[Период].&amp;[2021-12-01T00:00:00]"/>
      <query mdx="[fActualAndBudget].[StavkaKategorija].&amp;[2.41. Расходи од финансирање]">
        <tpls c="1">
          <tpl fld="12" item="1"/>
        </tpls>
      </query>
      <query mdx="[fActualAndBudget].[StavkaImeMK].&amp;[Загуби и кусоци]">
        <tpls c="1">
          <tpl fld="9" item="1"/>
        </tpls>
      </query>
      <query mdx="[fActualAndBudget].[StavkaImeMK].&amp;[Останати расходи]">
        <tpls c="1">
          <tpl fld="9" item="2"/>
        </tpls>
      </query>
      <query mdx="[Calendar].[Квартал].&amp;[2022-09-30T00:00:00]">
        <tpls c="1">
          <tpl fld="10" item="3"/>
        </tpls>
      </query>
      <query mdx="[fActualAndBudget].[StavkaKategorija].&amp;[2.29. Приходи од продажба]">
        <tpls c="1">
          <tpl fld="12" item="2"/>
        </tpls>
      </query>
      <query mdx="[fActualAndBudget].[StavkaImeMK].&amp;[Приходи од регистар на задолжница]">
        <tpls c="1">
          <tpl fld="9" item="3"/>
        </tpls>
      </query>
      <query mdx="[Amortizacija].[Период].&amp;[2022-05-01T00:00:00]">
        <tpls c="1">
          <tpl fld="11" item="4"/>
        </tpls>
      </query>
      <query mdx="[Amortizacija].[Период].&amp;[2022-10-01T00:00:00]">
        <tpls c="1">
          <tpl fld="11" item="5"/>
        </tpls>
      </query>
      <query mdx="[Amortizacija].[Период].&amp;[2022-08-01T00:00:00]">
        <tpls c="1">
          <tpl fld="11" item="6"/>
        </tpls>
      </query>
      <query mdx="[Amortizacija].[Период].&amp;[2022-04-01T00:00:00]">
        <tpls c="1">
          <tpl fld="11" item="7"/>
        </tpls>
      </query>
      <query mdx="[Calendar].[Date Hierarchy].[Year].&amp;[2022]">
        <tpls c="1">
          <tpl fld="3" item="1"/>
        </tpls>
      </query>
      <query mdx="[fActualAndBudget].[StavkaKategorija].&amp;[2.37. Останати оперативни расходи]">
        <tpls c="1">
          <tpl fld="12" item="3"/>
        </tpls>
      </query>
      <query mdx="[fActualAndBudget].[StavkaImeMK].&amp;[Услуги за одржување и заштита]">
        <tpls c="1">
          <tpl fld="9" item="4"/>
        </tpls>
      </query>
      <query mdx="[fActualAndBudget].[StavkaImeMK].&amp;[Приходи од годишни сметки]">
        <tpls c="1">
          <tpl fld="9" item="5"/>
        </tpls>
      </query>
      <query mdx="[Amortizacija].[Период].&amp;[2022-06-01T00:00:00]">
        <tpls c="1">
          <tpl fld="11" item="8"/>
        </tpls>
      </query>
      <query mdx="[Amortizacija].[Период].&amp;[2022-11-01T00:00:00]">
        <tpls c="1">
          <tpl fld="11" item="9"/>
        </tpls>
      </query>
      <query mdx="[fActualAndBudget].[StavkaImeMK].&amp;[Курсни разлики]">
        <tpls c="1">
          <tpl fld="9" item="6"/>
        </tpls>
      </query>
      <query mdx="[Amortizacija].[Период].&amp;[2022-03-01T00:00:00]">
        <tpls c="1">
          <tpl fld="11" item="10"/>
        </tpls>
      </query>
      <query mdx="[Amortizacija].[Период].&amp;[2022-12-01T00:00:00]">
        <tpls c="1">
          <tpl fld="11" item="11"/>
        </tpls>
      </query>
      <query mdx="[rArtikli_HR_Analiza].[StavkaKategorija.1].&amp;[2.32. Потрошени суровини и материјали]">
        <tpls c="1">
          <tpl fld="13" item="0"/>
        </tpls>
      </query>
      <query mdx="[rArtikli_HR_Analiza].[Категорија Артикл].&amp;[Канцелариски материјал]"/>
      <query mdx="[rArtikli_HR_Analiza].[Ставка].&amp;[Останат канцелариски материјал]">
        <tpls c="1">
          <tpl fld="14" item="0"/>
        </tpls>
      </query>
      <query mdx="[rArtikli_HR_Analiza].[Категорија Артикл].&amp;[Тековно и останато одржување]"/>
      <query mdx="[rArtikli_HR_Analiza].[Ставка].&amp;[Резервни делови - батерии]">
        <tpls c="1">
          <tpl fld="14" item="1"/>
        </tpls>
      </query>
      <query mdx="[rArtikli_HR_Analiza].[Категорија Артикл].&amp;[Потрошен материјал]"/>
      <query mdx="[rArtikli_HR_Analiza].[Ставка].&amp;[Вреќи за отпад, ПВЦ, големи од  90 до 120 литри, од мин. 10 во пакување]">
        <tpls c="1">
          <tpl fld="14" item="2"/>
        </tpls>
      </query>
      <query mdx="[rArtikli_HR_Analiza].[Ставка].&amp;[Резервни делови - чешми]"/>
      <query mdx="[rArtikli_HR_Analiza].[Ставка].&amp;[Средство за дезинфекција на површини]">
        <tpls c="1">
          <tpl fld="14" item="3"/>
        </tpls>
      </query>
      <query mdx="[rArtikli_HR_Analiza].[Категорија Артикл].&amp;[Трошоци за возила]"/>
      <query mdx="[rArtikli_HR_Analiza].[Ставка].&amp;[Зимски пневматици]">
        <tpls c="1">
          <tpl fld="14" item="4"/>
        </tpls>
      </query>
      <query mdx="[rArtikli_HR_Analiza].[Ставка].&amp;[Метли]">
        <tpls c="1">
          <tpl fld="14" item="5"/>
        </tpls>
      </query>
      <query mdx="[rArtikli_HR_Analiza].[Ставка].&amp;[Средство за дезинфекција за вработени]"/>
      <query mdx="[rArtikli_HR_Analiza].[Категорија Артикл].&amp;[Ситен инвентар, авто гуми]"/>
      <query mdx="[rArtikli_HR_Analiza].[Ставка].&amp;[ПП апарати за гаснење пожар со CO2]"/>
      <query mdx="[rArtikli_HR_Analiza].[StavkaKategorija.1].&amp;[2.37. Останати оперативни расходи]">
        <tpls c="1">
          <tpl fld="13" item="1"/>
        </tpls>
      </query>
      <query mdx="[rArtikli_HR_Analiza].[Ставка].&amp;[Ракавици гумени хигиеничарски големина М,L,XL]">
        <tpls c="1">
          <tpl fld="14" item="6"/>
        </tpls>
      </query>
      <query mdx="[rArtikli_HR_Analiza].[Ставка].&amp;[Средство за чистење на подови  кое се состои најмалку од &lt;5% Non-Ionic Surfactants, Perfume, Benzisothiazolinone, алкохол, боја]">
        <tpls c="1">
          <tpl fld="14" item="7"/>
        </tpls>
      </query>
      <query mdx="[rArtikli_HR_Analiza].[Ставка].&amp;[Течен сапун за миење на раце со ph неутрален фактор, антибактериски, во пакување од 300 мл до 1 литар со пумпица]">
        <tpls c="1">
          <tpl fld="14" item="8"/>
        </tpls>
      </query>
      <query mdx="[rArtikli_HR_Analiza].[Ставка].&amp;[Уреди за непрекинато напојување УНН]"/>
      <query mdx="[rArtikli_HR_Analiza].[Категорија Артикл].&amp;[Комуналии]"/>
      <query mdx="[rArtikli_HR_Analiza].[Ставка].&amp;[Потрошено гориво]">
        <tpls c="1">
          <tpl fld="14" item="9"/>
        </tpls>
      </query>
      <query mdx="[rArtikli_HR_Analiza].[Ставка].&amp;[Летни пневматици]">
        <tpls c="1">
          <tpl fld="14" item="10"/>
        </tpls>
      </query>
      <query mdx="[rArtikli_HR_Analiza].[Ставка].&amp;[Средство за миење на садови: 5-15% анјонски активни материи, &lt; 5% нејонски активни материи, парфем, 750 -1000мл]">
        <tpls c="1">
          <tpl fld="14" item="11"/>
        </tpls>
      </query>
      <query mdx="[rArtikli_HR_Analiza].[Ставка].&amp;[Средство за чистење стаклени површини со пумпа распрскувач кое се состои најмалку од &lt;5% Non-Ionic Surfactants, Perfume, Benzisothiazolinone]">
        <tpls c="1">
          <tpl fld="14" item="12"/>
        </tpls>
      </query>
      <query mdx="[rArtikli_HR_Analiza].[Ставка].&amp;[Лопатки за ѓубре]">
        <tpls c="1">
          <tpl fld="14" item="13"/>
        </tpls>
      </query>
      <query mdx="[rArtikli_HR_Analiza].[Ставка].&amp;[Резервни делови - казанчиња]"/>
      <query mdx="[rArtikli_HR_Analiza].[Ставка].&amp;[Џогер Пуцвал со рачка во висина минимум 140 см]">
        <tpls c="1">
          <tpl fld="14" item="14"/>
        </tpls>
      </query>
      <query mdx="[rArtikli_HR_Analiza].[Ставка].&amp;[Потрошена електрична енергија]"/>
      <query mdx="[rArtikli_HR_Analiza].[Ставка].&amp;[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
        <tpls c="1">
          <tpl fld="14" item="15"/>
        </tpls>
      </query>
      <query mdx="[rArtikli_HR_Analiza].[Ставка].&amp;[ПВЦ Кофа за цедење на џогер мин. 10 литри]">
        <tpls c="1">
          <tpl fld="14" item="16"/>
        </tpls>
      </query>
      <query mdx="[rArtikli_HR_Analiza].[Ставка].&amp;[Четка за WC шоља со пластична рачка]">
        <tpls c="1">
          <tpl fld="14" item="17"/>
        </tpls>
      </query>
      <query mdx="[CAPEX].[Број на јавна набавка (план)].&amp;[2019-007]">
        <tpls c="1">
          <tpl fld="6" item="16"/>
        </tpls>
      </query>
      <query mdx="[rArtikli_HR_Analiza].[Ставка].&amp;[Сунѓери со абразивна подлога за миење на садови, димензии мин. 9х5 см]">
        <tpls c="1">
          <tpl fld="14" item="18"/>
        </tpls>
      </query>
      <query mdx="[rArtikli_HR_Analiza].[Ставка].&amp;[Четка за собирање на пајажина со димензии на рачка од 80 см до 120 см]">
        <tpls c="1">
          <tpl fld="14" item="19"/>
        </tpls>
      </query>
      <query mdx="[rArtikli_HR_Analiza].[Ставка].&amp;[Тонери]">
        <tpls c="1">
          <tpl fld="14" item="20"/>
        </tpls>
      </query>
      <query mdx="[rArtikli_HR_Analiza].[Ставка].&amp;[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
        <tpls c="1">
          <tpl fld="14" item="21"/>
        </tpls>
      </query>
      <query mdx="[rArtikli_HR_Analiza].[Ставка].&amp;[Визири]"/>
      <query mdx="[rArtikli_HR_Analiza].[Ставка].&amp;[Средство за чистење на плочки, пакување од  0,5л - 1 литар]">
        <tpls c="1">
          <tpl fld="14" item="22"/>
        </tpls>
      </query>
      <query mdx="[rArtikli_HR_Analiza].[Ставка].&amp;[Заштита од пренапон - приклучници]"/>
      <query mdx="[rArtikli_HR_Analiza].[Ставка].&amp;[Трослојна тоалетна хартија во ролна 100% целулоза, бела боја со најмалку 200 листови со димензии најмалку 100 х 205mm]">
        <tpls c="1">
          <tpl fld="14" item="23"/>
        </tpls>
      </query>
      <query mdx="[rArtikli_HR_Analiza].[Категорија Артикл].&amp;[Едногодишни лиценци на софтверски решенија]"/>
      <query mdx="[rArtikli_HR_Analiza].[Ставка].&amp;[Резервни делови - пловаци]"/>
      <query mdx="[rArtikli_HR_Analiza].[Ставка].&amp;[Останат ситен инвентар]"/>
      <query mdx="[rArtikli_HR_Analiza].[Ставка].&amp;[Крпи за бришење со моќ на впивање на течност, со димензии 200x190x4 мм +/- 20%]">
        <tpls c="1">
          <tpl fld="14" item="24"/>
        </tpls>
      </query>
      <query mdx="[rArtikli_HR_Analiza].[Ставка].&amp;[ПП апарати за гаснење пожар предизивикан од електрична енергија]"/>
      <query mdx="[rArtikli_HR_Analiza].[Ставка].&amp;[Крпи за чистење на маси и други површини (микрофибер), со димензии330х330 мм +/- 20%]">
        <tpls c="1">
          <tpl fld="14" item="25"/>
        </tpls>
      </query>
      <query mdx="[rArtikli_HR_Analiza].[Ставка].&amp;[Резервни делови - продолжен кабел]"/>
      <query mdx="[rArtikli_HR_Analiza].[Ставка].&amp;[Ракавици]"/>
      <query mdx="[rArtikli_HR_Analiza].[Ставка].&amp;[Хартија]">
        <tpls c="1">
          <tpl fld="14" item="26"/>
        </tpls>
      </query>
      <query mdx="[rArtikli_HR_Analiza].[Ставка].&amp;[Алкохол]"/>
      <query mdx="[rArtikli_HR_Analiza].[Ставка].&amp;[Трошоци за нафта за затоплување со склучен договор]">
        <tpls c="1">
          <tpl fld="14" item="27"/>
        </tpls>
      </query>
      <query mdx="[rArtikli_HR_Analiza].[Ставка].&amp;[Резерва за џогер пуцвал]">
        <tpls c="1">
          <tpl fld="14" item="28"/>
        </tpls>
      </query>
      <query mdx="[CAPEX].[Број на јавна набавка (план)].&amp;[2021-011]">
        <tpls c="1">
          <tpl fld="6" item="17"/>
        </tpls>
      </query>
      <query mdx="[Amortizacija].[Конто].&amp;[431001]">
        <tpls c="1">
          <tpl fld="15" item="0"/>
        </tpls>
      </query>
      <query mdx="[CAPEX].[Број на јавна набавка (план)].&amp;[2021-013]">
        <tpls c="1">
          <tpl fld="6" item="18"/>
        </tpls>
      </query>
      <query mdx="[CAPEX].[Број на јавна набавка (план)].&amp;[2019-006]">
        <tpls c="1">
          <tpl fld="6" item="19"/>
        </tpls>
      </query>
      <query mdx="[CAPEX].[Број на јавна набавка (план)].&amp;[2021-012]">
        <tpls c="1">
          <tpl fld="6" item="20"/>
        </tpls>
      </query>
      <query mdx="[fActualAndBudget].[StavkaImeMK].&amp;[Трошоци за промоција,пропаганда, реклама, репрезентација и спонзорство]">
        <tpls c="1">
          <tpl fld="9" item="7"/>
        </tpls>
      </query>
      <query mdx="[fActualAndBudget].[StavkaKategorija].&amp;[1.3. Залихи]">
        <tpls c="1">
          <tpl fld="12" item="4"/>
        </tpls>
      </query>
      <query mdx="[fActualAndBudget].[StavkaGrupa].&amp;[4.1. Расходи од дејноста]">
        <tpls c="1">
          <tpl fld="8" item="1"/>
        </tpls>
      </query>
      <query mdx="[fActualAndBudget].[StavkaImeMK].&amp;[Амортизација по минимални стапки]">
        <tpls c="1">
          <tpl fld="9" item="8"/>
        </tpls>
      </query>
      <query mdx="[fActualAndBudget].[StavkaKategorija].&amp;[2.30. Останати оперативни приходи]">
        <tpls c="1">
          <tpl fld="12" item="5"/>
        </tpls>
      </query>
      <query mdx="[fActualAndBudget].[StavkaKategorija].&amp;[2.32. Потрошени суровини и материјали]">
        <tpls c="1">
          <tpl fld="12" item="6"/>
        </tpls>
      </query>
      <query mdx="[fActualAndBudget].[StavkaImeMK].&amp;[Потрoшена енергија и гориво за возила]">
        <tpls c="1">
          <tpl fld="9" item="9"/>
        </tpls>
      </query>
      <query mdx="[Calendar].[Месец].&amp;[Jul]">
        <tpls c="1">
          <tpl fld="16" item="0"/>
        </tpls>
      </query>
      <query mdx="[fActualAndBudget].[StavkaImeMK].&amp;[Потрошени резервни делови]">
        <tpls c="1">
          <tpl fld="9" item="10"/>
        </tpls>
      </query>
      <query mdx="[fActualAndBudget].[ReportType].&amp;[Остварено]">
        <tpls c="1">
          <tpl fld="0" item="2"/>
        </tpls>
      </query>
      <query mdx="[Calendar].[Месец].&amp;[Mar]">
        <tpls c="1">
          <tpl fld="16" item="1"/>
        </tpls>
      </query>
      <query mdx="[fActualAndBudget].[StavkaImeMK].&amp;[Наемнини и лизинг]">
        <tpls c="1">
          <tpl fld="9" item="11"/>
        </tpls>
      </query>
      <query mdx="[Measures].[Sum of Износ]">
        <tpls c="1">
          <tpl fld="17" item="0"/>
        </tpls>
      </query>
      <query mdx="[fActualAndBudget].[StavkaKategorija].&amp;[1.13. Вонбилансна актива]">
        <tpls c="1">
          <tpl fld="12" item="7"/>
        </tpls>
      </query>
      <query mdx="[fActualAndBudget].[StavkaKategorija].&amp;[1.1. Парични средства]">
        <tpls c="1">
          <tpl fld="12" item="8"/>
        </tpls>
      </query>
      <query mdx="[fActualAndBudget].[StavkaImeMK].&amp;[Други неспомнати приходи]">
        <tpls c="1">
          <tpl fld="9" item="12"/>
        </tpls>
      </query>
      <query mdx="[fActualAndBudget].[StavkaImeMK].&amp;[Даноци,чланарини и други давачки кои не зависат од резултатот]">
        <tpls c="1">
          <tpl fld="9" item="13"/>
        </tpls>
      </query>
      <query mdx="[fActualAndBudget].[StavkaKategorija].&amp;[2.34. Амортизација на материјални средства]">
        <tpls c="1">
          <tpl fld="12" item="9"/>
        </tpls>
      </query>
      <query mdx="[fActualAndBudget].[StavkaImeMK].&amp;[Казни, пенали и надомест на штети затезни камати]">
        <tpls c="1">
          <tpl fld="9" item="14"/>
        </tpls>
      </query>
      <query mdx="[fActualAndBudget].[StavkaKategorija].&amp;[1.17. Долгорочни обврски]">
        <tpls c="1">
          <tpl fld="12" item="10"/>
        </tpls>
      </query>
      <query mdx="[Calendar].[Месец].&amp;[Oct]">
        <tpls c="1">
          <tpl fld="16" item="2"/>
        </tpls>
      </query>
      <query mdx="[fActualAndBudget].[StavkaImeMK].&amp;[Останати услуги]">
        <tpls c="1">
          <tpl fld="9" item="15"/>
        </tpls>
      </query>
      <query mdx="[fActualAndBudget].[StavkaKategorija].&amp;[1.15. Одложено плаќање на трошоци и приходи (ПВР)]">
        <tpls c="1">
          <tpl fld="12" item="11"/>
        </tpls>
      </query>
      <query mdx="[fActualAndBudget].[StavkaImeMK].&amp;[Одложено плаќање на трошоци и признавање на приходи (ПВР)]">
        <tpls c="1">
          <tpl fld="9" item="16"/>
        </tpls>
      </query>
      <query mdx="[fActualAndBudget].[StavkaImeMK].&amp;[Приходи од Регистар на резиденти и нерезиденти]">
        <tpls c="1">
          <tpl fld="9" item="17"/>
        </tpls>
      </query>
      <query mdx="[fActualAndBudget].[StavkaImeMK].&amp;[Приходи од интернет дистрибутивен систем]">
        <tpls c="1">
          <tpl fld="9" item="18"/>
        </tpls>
      </query>
      <query mdx="[fActualAndBudget].[StavkaGrupa].&amp;[3.2. Останати приходи]">
        <tpls c="1">
          <tpl fld="8" item="2"/>
        </tpls>
      </query>
      <query mdx="[fActualAndBudget].[StavkaImeMK].&amp;[Вонредни невообичаени приходи]">
        <tpls c="1">
          <tpl fld="9" item="19"/>
        </tpls>
      </query>
      <query mdx="[Amortizacija].[Конто].&amp;[43030]">
        <tpls c="1">
          <tpl fld="15" item="1"/>
        </tpls>
      </query>
      <query mdx="[Calendar].[Месец].&amp;[Dec]">
        <tpls c="1">
          <tpl fld="16" item="3"/>
        </tpls>
      </query>
      <query mdx="[fActualAndBudget].[StavkaKategorija].&amp;[1.28. Вонбилансна пасива]">
        <tpls c="1">
          <tpl fld="12" item="12"/>
        </tpls>
      </query>
      <query mdx="[fActualAndBudget].[StavkaImeMK].&amp;[Приходи од регистар на недвижности]">
        <tpls c="1">
          <tpl fld="9" item="20"/>
        </tpls>
      </query>
      <query mdx="[fActualAndBudget].[StavkaGrupa].&amp;[4.2. Останати расходи]">
        <tpls c="1">
          <tpl fld="8" item="3"/>
        </tpls>
      </query>
      <query mdx="[fActualAndBudget].[StavkaImeMK].&amp;[Банкарски услуги и трошоци за платен промет]">
        <tpls c="1">
          <tpl fld="9" item="21"/>
        </tpls>
      </query>
      <query mdx="[fActualAndBudget].[StavkaImeMK].&amp;[Приходи од прекршочна постапка]">
        <tpls c="1">
          <tpl fld="9" item="22"/>
        </tpls>
      </query>
      <query mdx="[rObrazecFinansiskiPlan2019].[Спецификации].[Спецификација].&amp;[5.7. Права]"/>
      <query mdx="[fActualAndBudget].[StavkaKategorija].&amp;[2.33. Трошоци за вработените]">
        <tpls c="1">
          <tpl fld="12" item="13"/>
        </tpls>
      </query>
      <query mdx="[fActualAndBudget].[StavkaImeMK].&amp;[Приходи од трговски регистар]">
        <tpls c="1">
          <tpl fld="9" item="23"/>
        </tpls>
      </query>
      <query mdx="[fActualAndBudget].[StavkaImeMK].&amp;[Потрошени суровини и материјали]">
        <tpls c="1">
          <tpl fld="9" item="24"/>
        </tpls>
      </query>
      <query mdx="[fActualAndBudget].[StavkaImeMK].&amp;[Приходи од регистрите за кривични санкции, пресуди и др.]">
        <tpls c="1">
          <tpl fld="9" item="25"/>
        </tpls>
      </query>
      <query mdx="[Calendar].[Месец].&amp;[Nov]">
        <tpls c="1">
          <tpl fld="16" item="4"/>
        </tpls>
      </query>
      <query mdx="[fActualAndBudget].[StavkaKategorija].&amp;[1.5. Други тековни средства (АВР)"/>
      <query mdx="[fActualAndBudget].[ReportType].&amp;[План]">
        <tpls c="1">
          <tpl fld="0" item="0"/>
        </tpls>
      </query>
      <query mdx="[fActualAndBudget].[StavkaKategorija].&amp;[1.23. Резерви]">
        <tpls c="1">
          <tpl fld="12" item="14"/>
        </tpls>
      </query>
      <query mdx="[fActualAndBudget].[StavkaImeMK].&amp;[Останати резерви - резерви за развој]">
        <tpls c="1">
          <tpl fld="9" item="26"/>
        </tpls>
      </query>
      <query mdx="[fActualAndBudget].[StavkaImeMK].&amp;[Приходи од закуп]">
        <tpls c="1">
          <tpl fld="9" item="27"/>
        </tpls>
      </query>
      <query mdx="[fActualAndBudget].[StavkaKategorija].&amp;[1.9. Нематеријални средства]">
        <tpls c="1">
          <tpl fld="12" item="15"/>
        </tpls>
      </query>
      <query mdx="[fActualAndBudget].[StavkaImeMK].&amp;[Софтвер]">
        <tpls c="1">
          <tpl fld="9" item="28"/>
        </tpls>
      </query>
      <query mdx="[fActualAndBudget].[StavkaImeMK].&amp;[Приходи од Регистар на лизинг]">
        <tpls c="1">
          <tpl fld="9" item="29"/>
        </tpls>
      </query>
      <query mdx="[Calendar].[Месец].&amp;[Jun]">
        <tpls c="1">
          <tpl fld="16" item="5"/>
        </tpls>
      </query>
      <query mdx="[fActualAndBudget].[StavkaImeMK].&amp;[Нематеријални средства во подготовка]">
        <tpls c="1">
          <tpl fld="9" item="30"/>
        </tpls>
      </query>
      <query mdx="[fActualAndBudget].[StavkaKategorija].&amp;[1.14. Краткорочни обврски]">
        <tpls c="1">
          <tpl fld="12" item="16"/>
        </tpls>
      </query>
      <query mdx="[fActualAndBudget].[StavkaImeMK].&amp;[Приходи од заложен регистар]">
        <tpls c="1">
          <tpl fld="9" item="31"/>
        </tpls>
      </query>
      <query mdx="[fActualAndBudget].[StavkaImeMK].&amp;[Приходи од продажба на подвижен имот]">
        <tpls c="1">
          <tpl fld="9" item="32"/>
        </tpls>
      </query>
      <query mdx="[fActualAndBudget].[StavkaKategorija].&amp;[1.11. Други средства]"/>
      <query mdx="[fActualAndBudget].[StavkaKategorija].&amp;[1.7. Материјални средства и вложувања во недвижности]">
        <tpls c="1">
          <tpl fld="12" item="17"/>
        </tpls>
      </query>
      <query mdx="[fActualAndBudget].[StavkaImeMK].&amp;[Потрошок на ситен инвентар и автогуми]">
        <tpls c="1">
          <tpl fld="9" item="33"/>
        </tpls>
      </query>
      <query mdx="[fActualAndBudget].[StavkaKategorija].&amp;[1.24. Ревалоризациони резерви]"/>
      <query mdx="[fActualAndBudget].[StavkaImeMK].&amp;[Патнички автомобили]">
        <tpls c="1">
          <tpl fld="9" item="34"/>
        </tpls>
      </query>
      <query mdx="[rObrazecFinansiskiPlan2019].[Спецификации].[Спецификација].&amp;[5.4 Останати материјални основни средства].&amp;[Инвестиции во тек - недвижности]"/>
      <query mdx="[fActualAndBudget].[StavkaImeMK].&amp;[Дневници за службени патувања и патни трошоци]">
        <tpls c="1">
          <tpl fld="9" item="35"/>
        </tpls>
      </query>
      <query mdx="[fActualAndBudget].[StavkaKategorija].&amp;[1.25. Добивка / Загуба за деловната година]">
        <tpls c="1">
          <tpl fld="12" item="18"/>
        </tpls>
      </query>
      <query mdx="[fActualAndBudget].[StavkaImeMK].&amp;[Премии за осигурување]">
        <tpls c="1">
          <tpl fld="9" item="36"/>
        </tpls>
      </query>
      <query mdx="[fActualAndBudget].[StavkaKategorija].&amp;[1.22. Акумулирана добивка]">
        <tpls c="1">
          <tpl fld="12" item="19"/>
        </tpls>
      </query>
      <query mdx="[fActualAndBudget].[StavkaImeMK].&amp;[Вредносно усогласување на тековни и нетековни средства]">
        <tpls c="1">
          <tpl fld="9" item="37"/>
        </tpls>
      </query>
      <query mdx="[fActualAndBudget].[StavkaImeMK].&amp;[Приходи од донации]">
        <tpls c="1">
          <tpl fld="9" item="38"/>
        </tpls>
      </query>
      <query mdx="[Calendar].[Месец].&amp;[Apr]">
        <tpls c="1">
          <tpl fld="16" item="6"/>
        </tpls>
      </query>
      <query mdx="[Calendar].[Месец].[All]">
        <tpls c="1">
          <tpl hier="10" item="4294967295"/>
        </tpls>
      </query>
      <query mdx="[fActualAndBudget].[StavkaImeMK].&amp;[Побарувања од вработените]">
        <tpls c="1">
          <tpl fld="9" item="39"/>
        </tpls>
      </query>
      <query mdx="[Calendar].[Месец].&amp;[Sep]">
        <tpls c="1">
          <tpl fld="16" item="7"/>
        </tpls>
      </query>
      <query mdx="[Measures].[Sum of Проценета вредност на набавка со ДДВ (денари)]">
        <tpls c="1">
          <tpl fld="17" item="1"/>
        </tpls>
      </query>
      <query mdx="[Calendar].[MMM-YYYY].&amp;[Nov-2018]">
        <tpls c="1">
          <tpl fld="18" item="0"/>
        </tpls>
      </query>
      <query mdx="[Amortizacija].[Конто].&amp;[43031]">
        <tpls c="1">
          <tpl fld="15" item="2"/>
        </tpls>
      </query>
      <query mdx="[fActualAndBudget].[StavkaImeMK].&amp;[Останати нематеријални трошоци]">
        <tpls c="1">
          <tpl fld="9" item="40"/>
        </tpls>
      </query>
      <query mdx="[fActualAndBudget].[StavkaKategorija].&amp;[2.35. Вредносно усогласување на тековни средства]">
        <tpls c="1">
          <tpl fld="12" item="20"/>
        </tpls>
      </query>
      <query mdx="[fActualAndBudget].[StavkaImeMK].&amp;[Транспортни услуги]">
        <tpls c="1">
          <tpl fld="9" item="41"/>
        </tpls>
      </query>
      <query mdx="[fActualAndBudget].[StavkaKategorija].&amp;[1.21. Капитал]">
        <tpls c="1">
          <tpl fld="12" item="21"/>
        </tpls>
      </query>
      <query mdx="[fActualAndBudget].[StavkaImeMK].&amp;[Побарувања за аванси за материјални исредства]">
        <tpls c="1">
          <tpl fld="9" item="42"/>
        </tpls>
      </query>
      <query mdx="[fActualAndBudget].[StavkaImeMK].&amp;[Приходи од курсни разлики]">
        <tpls c="1">
          <tpl fld="9" item="43"/>
        </tpls>
      </query>
      <query mdx="[Measures].[Sum of Износ 2]">
        <tpls c="1">
          <tpl fld="17" item="2"/>
        </tpls>
      </query>
      <query mdx="[fActualAndBudget].[StavkaImeMK].&amp;[Приходи од странство]">
        <tpls c="1">
          <tpl fld="9" item="44"/>
        </tpls>
      </query>
      <query mdx="[Calendar].[Месец].&amp;[Feb]">
        <tpls c="1">
          <tpl fld="16" item="8"/>
        </tpls>
      </query>
      <query mdx="[fActualAndBudget].[StavkaImeMK].&amp;[Надомест на трошоци на вработените, подароци и помошти]">
        <tpls c="1">
          <tpl fld="9" item="45"/>
        </tpls>
      </query>
      <query mdx="[rObrazecFinansiskiPlan2019].[Спецификации].[Спецификација].&amp;[5.1 Имот, машини и опрема]"/>
      <query mdx="[fActualAndBudget].[StavkaImeMK].&amp;[Краткорочни финансиски побарувања]">
        <tpls c="1">
          <tpl fld="9" item="46"/>
        </tpls>
      </query>
      <query mdx="[fActualAndBudget].[StavkaImeMK].&amp;[Останати материјални основни средства]">
        <tpls c="1">
          <tpl fld="9" item="47"/>
        </tpls>
      </query>
      <query mdx="[CAPEX].[Конто Средства].[All]">
        <tpls c="1">
          <tpl hier="22" item="4294967295"/>
        </tpls>
      </query>
      <query mdx="[fActualAndBudget].[StavkaKategorija].&amp;[2.40. Приходи од финансирање]">
        <tpls c="1">
          <tpl fld="12" item="22"/>
        </tpls>
      </query>
      <query mdx="[fActualAndBudget].[StavkaImeMK].&amp;[Приходи од камати]">
        <tpls c="1">
          <tpl fld="9" item="48"/>
        </tpls>
      </query>
      <query mdx="[fActualAndBudget].[StavkaImeMK].&amp;[Лиценци за разни софтвери (едногодишни, обновливи)]">
        <tpls c="1">
          <tpl fld="9" item="49"/>
        </tpls>
      </query>
      <query mdx="[fActualAndBudget].[ReportType].&amp;[Предвидување]">
        <tpls c="1">
          <tpl fld="0" item="1"/>
        </tpls>
      </query>
      <query mdx="[Calendar].[Месец].&amp;[May]">
        <tpls c="1">
          <tpl fld="16" item="9"/>
        </tpls>
      </query>
      <query mdx="[fActualAndBudget].[StavkaImeMK].&amp;[Обврски спрема државата]">
        <tpls c="1">
          <tpl fld="9" item="50"/>
        </tpls>
      </query>
      <query mdx="[fActualAndBudget].[StavkaImeMK].&amp;[Вонбилансна актива]">
        <tpls c="1">
          <tpl fld="9" item="51"/>
        </tpls>
      </query>
      <query mdx="[fActualAndBudget].[StavkaImeMK].&amp;[Надворешни услуги]">
        <tpls c="1">
          <tpl fld="9" item="52"/>
        </tpls>
      </query>
      <query mdx="[fActualAndBudget].[StavkaImeMK].&amp;[Приходи од регистар на директни странски инвестиции]">
        <tpls c="1">
          <tpl fld="9" item="53"/>
        </tpls>
      </query>
      <query mdx="[CAPEX].[Број на јавна набавка (план)].&amp;[2021-010]">
        <tpls c="1">
          <tpl fld="6" item="21"/>
        </tpls>
      </query>
      <query mdx="[fActualAndBudget].[StavkaImeMK].&amp;[Обврски за даноци и придонеси]">
        <tpls c="1">
          <tpl fld="9" item="54"/>
        </tpls>
      </query>
      <query mdx="[Calendar].[Месец].&amp;[Aug]">
        <tpls c="1">
          <tpl fld="16" item="10"/>
        </tpls>
      </query>
      <query mdx="[fActualAndBudget].[StavkaImeMK].&amp;[Законска резерва]">
        <tpls c="1">
          <tpl fld="9" item="55"/>
        </tpls>
      </query>
      <query mdx="[fActualAndBudget].[StavkaImeMK].&amp;[Жиро сметки]">
        <tpls c="1">
          <tpl fld="9" item="56"/>
        </tpls>
      </query>
      <query mdx="[fActualAndBudget].[StavkaImeMK].&amp;[Готовина домашна валута]">
        <tpls c="1">
          <tpl fld="9" item="57"/>
        </tpls>
      </query>
      <query mdx="[fActualAndBudget].[StavkaImeMK].&amp;[Акумулирана добивка]">
        <tpls c="1">
          <tpl fld="9" item="58"/>
        </tpls>
      </query>
      <query mdx="[fActualAndBudget].[StavkaKategorija].&amp;[1.4. Краткорочни финансиски средства]"/>
      <query mdx="[fActualAndBudget].[StavkaKategorija].&amp;[1.18. Други долгорочни обврски и резервирања за ризици и трошоци]"/>
      <query mdx="[fActualAndBudget].[StavkaImeMK].&amp;[Залихи на резервни делови]">
        <tpls c="1">
          <tpl fld="9" item="59"/>
        </tpls>
      </query>
      <query mdx="[fActualAndBudget].[StavkaKategorija].&amp;[1.8. Долгорочни финансиски вложувања]"/>
      <query mdx="[fActualAndBudget].[StavkaImeMK].&amp;[Капитална добивка од продажба на материјални и неметеријални средства]">
        <tpls c="1">
          <tpl fld="9" item="60"/>
        </tpls>
      </query>
      <query mdx="[fActualAndBudget].[StavkaImeMK].&amp;[Побарувања од државата]">
        <tpls c="1">
          <tpl fld="9" item="61"/>
        </tpls>
      </query>
      <query mdx="[Calendar].[Месец].&amp;[Jan]">
        <tpls c="1">
          <tpl fld="16" item="11"/>
        </tpls>
      </query>
      <query mdx="[Amortizacija].[Конто].&amp;[43134]">
        <tpls c="1">
          <tpl fld="15" item="3"/>
        </tpls>
      </query>
      <query mdx="[Calendar].[Година].&amp;[2017]">
        <tpls c="1">
          <tpl fld="2" item="4"/>
        </tpls>
      </query>
      <query mdx="[fActualAndBudget].[StavkaImeMK].&amp;[Вонбилансна пасива]">
        <tpls c="1">
          <tpl fld="9" item="62"/>
        </tpls>
      </query>
      <query mdx="[Measures].[Sum of Износ (илјади)]">
        <tpls c="1">
          <tpl fld="17" item="3"/>
        </tpls>
      </query>
      <query mdx="[rObrazecFinansiskiPlan2019].[Спецификации].[Спецификација].&amp;[5.7. Права].&amp;[Права]"/>
      <query mdx="[fActualAndBudget].[StavkaImeMK].&amp;[Обврски кон добавувачи во земјата]">
        <tpls c="1">
          <tpl fld="9" item="63"/>
        </tpls>
      </query>
      <query mdx="[fActualAndBudget].[ObrazecIme].&amp;[Finansiski plan_Bilans na sostojba]">
        <tpls c="1">
          <tpl fld="1" item="1"/>
        </tpls>
      </query>
      <query mdx="[CAPEX].[Број на јавна набавка (план)].[All]">
        <tpls c="1">
          <tpl hier="16" item="4294967295"/>
        </tpls>
      </query>
      <query mdx="[Amortizacija].[Конто].&amp;[43136]">
        <tpls c="1">
          <tpl fld="15" item="4"/>
        </tpls>
      </query>
      <query mdx="[rObrazecFinansiskiPlan2019].[Спецификации].[Спецификација].&amp;[5.2 Возила]"/>
      <query mdx="[fActualAndBudget].[StavkaImeMK].&amp;[Канцелариски мебел]">
        <tpls c="1">
          <tpl fld="9" item="64"/>
        </tpls>
      </query>
      <query mdx="[rObrazecFinansiskiPlan2019].[Спецификации].[Спецификација].&amp;[5.1 Имот, машини и опрема].&amp;[Компјутерска и останата опрема]"/>
      <query mdx="[fActualAndBudget].[StavkaImeMK].&amp;[Реинвестирана добивка]">
        <tpls c="1">
          <tpl fld="9" item="65"/>
        </tpls>
      </query>
      <query mdx="[fActualAndBudget].[StavkaImeMK].&amp;[Залихи на канцелариски и останат материјал]">
        <tpls c="1">
          <tpl fld="9" item="66"/>
        </tpls>
      </query>
      <query mdx="[fActualAndBudget].[StavkaImeMK].&amp;[Останати тековни обврски]">
        <tpls c="1">
          <tpl fld="9" item="67"/>
        </tpls>
      </query>
      <query mdx="[fActualAndBudget].[StavkaImeMK].&amp;[Добивка/ Загуба за деловната година]">
        <tpls c="1">
          <tpl fld="9" item="68"/>
        </tpls>
      </query>
      <query mdx="[rObrazecFinansiskiPlan2019].[Спецификации].[Спецификација].&amp;[5.3 Мебел и вградување на мебел]"/>
      <query mdx="[fActualAndBudget].[StavkaImeMK].&amp;[Долгорочни финансиски обврски]">
        <tpls c="1">
          <tpl fld="9" item="69"/>
        </tpls>
      </query>
      <query mdx="[fActualAndBudget].[StavkaImeMK].&amp;[Готовина странска валута]">
        <tpls c="1">
          <tpl fld="9" item="70"/>
        </tpls>
      </query>
      <query mdx="[fActualAndBudget].[StavkaImeMK].&amp;[Обврски кон вработените]">
        <tpls c="1">
          <tpl fld="9" item="71"/>
        </tpls>
      </query>
      <query mdx="[rObrazecFinansiskiPlan2019].[Спецификации].[Спецификација].&amp;[5.2 Возила].&amp;[Патнички автомобили]"/>
      <query mdx="[rObrazecFinansiskiPlan2019].[Спецификации].[Спецификација].&amp;[5.10 Други нематеријални средства].&amp;[Софтвер]"/>
      <query mdx="[fActualAndBudget].[StavkaImeMK].&amp;[Компјутерска и останата опрема]">
        <tpls c="1">
          <tpl fld="9" item="72"/>
        </tpls>
      </query>
      <query mdx="[fActualAndBudget].[StavkaKategorija].&amp;[1.10. Долгорочни финансиски средства]"/>
      <query mdx="[fActualAndBudget].[StavkaImeMK].&amp;[Залихи на ситен инвентар и авто гуми]">
        <tpls c="1">
          <tpl fld="9" item="73"/>
        </tpls>
      </query>
      <query mdx="[Calendar].[Година].&amp;[2018]">
        <tpls c="1">
          <tpl fld="2" item="5"/>
        </tpls>
      </query>
      <query mdx="[fActualAndBudget].[StavkaImeMK].&amp;[Недвижности]">
        <tpls c="1">
          <tpl fld="9" item="74"/>
        </tpls>
      </query>
      <query mdx="[rObrazecFinansiskiPlan2019].[Спецификации].[Спецификација].&amp;[5.10 Други нематеријални средства]"/>
      <query mdx="[rObrazecFinansiskiPlan2019].[Спецификации].[Спецификација].&amp;[5.4 Останати материјални основни средства]"/>
      <query mdx="[fActualAndBudget].[StavkaImeMK].&amp;[Државен капитал]">
        <tpls c="1">
          <tpl fld="9" item="75"/>
        </tpls>
      </query>
      <query mdx="[rObrazecFinansiskiPlan2019].[Спецификации].[Спецификација].&amp;[5.1 Имот, машини и опрема].&amp;[Недвижности]"/>
      <query mdx="[fActualAndBudget].[StavkaImeMK].&amp;[Инвестиции во тек - недвижности]">
        <tpls c="1">
          <tpl fld="9" item="76"/>
        </tpls>
      </query>
      <query mdx="[rObrazecFinansiskiPlan2019].[Спецификации].[Спецификација].&amp;[5.3 Мебел и вградување на мебел].&amp;[Канцелариски мебел]"/>
    </queryCache>
    <serverFormats count="1">
      <serverFormat format="#,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13888886" createdVersion="5" refreshedVersion="6" minRefreshableVersion="3" recordCount="0" supportSubquery="1" supportAdvancedDrill="1" xr:uid="{00000000-000A-0000-FFFF-FFFF0A000000}">
  <cacheSource type="external" connectionId="25"/>
  <cacheFields count="12">
    <cacheField name="[fActualAndBudget].[Конто].[Конто]" caption="Конто" numFmtId="0" hierarchy="28" level="1">
      <sharedItems containsNonDate="0" count="100">
        <s v="7421"/>
        <s v="7406"/>
        <s v="7409"/>
        <s v="7420"/>
        <s v="74001"/>
        <s v="74002"/>
        <s v="74003"/>
        <s v="74004"/>
        <s v="74021"/>
        <s v="74023"/>
        <s v="74024"/>
        <s v="74025"/>
        <s v="74051"/>
        <s v="74052"/>
        <s v="74053"/>
        <s v="74041"/>
        <s v="74042"/>
        <s v="74043"/>
        <s v="74044"/>
        <s v="74011"/>
        <s v="74031"/>
        <s v="74032"/>
        <s v="74033"/>
        <s v="74035"/>
        <s v="74036"/>
        <s v="74071"/>
        <s v="74072"/>
        <s v="74034"/>
        <s v="7799"/>
        <s v="7672"/>
        <s v="40103"/>
        <s v="40105"/>
        <s v="4030"/>
        <s v="40304"/>
        <s v="4031"/>
        <s v="4051"/>
        <s v="4080"/>
        <s v="4081"/>
        <s v="4200"/>
        <s v="4220"/>
        <s v="42222"/>
        <s v="4223"/>
        <s v="4224"/>
        <s v="43030"/>
        <s v="43134"/>
        <s v="44001"/>
        <s v="4401"/>
        <s v="44011"/>
        <s v="4403"/>
        <s v="44032"/>
        <s v="4170"/>
        <s v="44500"/>
        <s v="44501"/>
        <s v="44502"/>
        <s v="44510"/>
        <s v="4476"/>
        <s v="4460"/>
        <s v="41733"/>
        <s v="44091"/>
        <s v="4422"/>
        <s v="44220"/>
        <s v="4440"/>
        <s v="4459"/>
        <s v="4494"/>
        <s v="4497"/>
        <s v="4499"/>
        <s v="44990"/>
        <s v="4104"/>
        <s v="41101"/>
        <s v="41102"/>
        <s v="41103"/>
        <s v="4111"/>
        <s v="41500"/>
        <s v="41501"/>
        <s v="41502"/>
        <s v="41503"/>
        <s v="41700"/>
        <s v="41701"/>
        <s v="4125"/>
        <s v="4131"/>
        <s v="4132"/>
        <s v="4133"/>
        <s v="4134"/>
        <s v="4143"/>
        <s v="41921"/>
        <s v="41931"/>
        <s v="41934"/>
        <s v="44902"/>
        <s v="44903"/>
        <s v="44904"/>
        <s v="44907"/>
        <s v="44908"/>
        <s v="449083"/>
        <s v="449084"/>
        <s v="4496"/>
        <s v="44970"/>
        <s v="44972"/>
        <s v="44973"/>
        <s v="7709"/>
        <s v="7710"/>
      </sharedItems>
    </cacheField>
    <cacheField name="[fActualAndBudget].[ReportType].[ReportType]" caption="ReportType" numFmtId="0" hierarchy="31" level="1">
      <sharedItems containsSemiMixedTypes="0" containsNonDate="0" containsString="0"/>
    </cacheField>
    <cacheField name="[Measures].[Sum of Износ]" caption="Sum of Износ" numFmtId="0" hierarchy="144" level="32767"/>
    <cacheField name="[Calendar].[Година].[Година]" caption="Година" numFmtId="0" hierarchy="8" level="1">
      <sharedItems containsSemiMixedTypes="0" containsNonDate="0" containsString="0"/>
    </cacheField>
    <cacheField name="[fActualAndBudget].[ObrazecIme].[ObrazecIme]" caption="ObrazecIme" numFmtId="0" hierarchy="40" level="1">
      <sharedItems containsSemiMixedTypes="0" containsNonDate="0" containsString="0"/>
    </cacheField>
    <cacheField name="[Calendar].[Квартал].[Квартал]" caption="Квартал" numFmtId="0" hierarchy="14" level="1">
      <sharedItems containsSemiMixedTypes="0" containsNonDate="0" containsDate="1" containsString="0" minDate="2018-03-31T00:00:00" maxDate="2023-01-01T00:00:00" count="20">
        <d v="2018-03-31T00:00:00"/>
        <d v="2018-06-30T00:00:00"/>
        <d v="2018-09-30T00:00:00"/>
        <d v="2018-12-31T00:00:00"/>
        <d v="2019-03-31T00:00:00"/>
        <d v="2019-06-30T00:00:00"/>
        <d v="2019-09-30T00:00:00"/>
        <d v="2019-12-31T00:00:00"/>
        <d v="2020-03-31T00:00:00"/>
        <d v="2020-06-30T00:00:00"/>
        <d v="2020-09-30T00:00:00"/>
        <d v="2020-12-31T00:00:00"/>
        <d v="2021-03-31T00:00:00"/>
        <d v="2021-06-30T00:00:00"/>
        <d v="2021-09-30T00:00:00"/>
        <d v="2021-12-31T00:00:00"/>
        <d v="2022-03-31T00:00:00"/>
        <d v="2022-06-30T00:00:00"/>
        <d v="2022-09-30T00:00:00"/>
        <d v="2022-12-31T00:00:00"/>
      </sharedItems>
    </cacheField>
    <cacheField name="[fActualAndBudget].[StavkaKategorija].[StavkaKategorija]" caption="StavkaKategorija" numFmtId="0" hierarchy="36" level="1">
      <sharedItems count="9">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5. Вредносно усогласување на тековни средства"/>
        <s v="2.37. Останати оперативни расходи"/>
        <s v="2.40. Приходи од финансирање"/>
        <s v="2.41. Расходи од финансирање"/>
      </sharedItems>
    </cacheField>
    <cacheField name="[fActualAndBudget].[StavkaImeAOP].[StavkaImeAOP]" caption="StavkaImeAOP" numFmtId="0" hierarchy="43" level="1">
      <sharedItems count="1">
        <s v="4.1.10 - Амортизација по минимални стапки"/>
      </sharedItems>
    </cacheField>
    <cacheField name="[fActualAndBudget].[Ставка].[Ставка]" caption="Ставка" numFmtId="0" hierarchy="32" level="1">
      <sharedItems containsNonDate="0" containsBlank="1" count="120">
        <s v="Приходи од регионален портал"/>
        <s v="Приходи од Регистар на вистински сопственици"/>
        <s v="Приходи од прекршочна постапка"/>
        <s v="Интернет дистрибутивен систем"/>
        <s v="Странски пазар"/>
        <s v="Упис на залог до 30 заложени средства"/>
        <s v="Упис на промена на залог до 30 заложни средства и/или заложен должник"/>
        <s v="Издавање на потврда за издадена информација"/>
        <s v="Упис на бришење од залог"/>
        <s v="Извештај од биланс на состојба и податоци од биланс на успех согласно закон за јавни набавки"/>
        <s v="Обработка на поединечна годишна сметка - Електронска - Микро и мал - до 28 Февруари"/>
        <s v="Еден збирен податок од годишни сметки - два критериуми"/>
        <m/>
        <s v="Упис нa вложување во недвижност по итна постапка"/>
        <s v="Упис на промена на вложување во недвижност"/>
        <s v="Упис на бришење на вложување во недвижност по итна постапка"/>
        <s v="Упис на лизинг - Хартиена"/>
        <s v="Упис на промена на лизинг - Хартиена"/>
        <s v="Упис на бришење на лизинг - Хартиена"/>
        <s v="Издавање на потврда за издадена информација - Хартиена"/>
        <s v="Податоци од имотен лист преземени од Агенцијата за катастар на недвижности"/>
        <s v="Упис на основање во хартиена форма во регистрациони канцеларии на Централен регистар - Хартиена - Трговец поединец"/>
        <s v="Упис на промена - една"/>
        <s v="Упис на бришење"/>
        <s v="Фотокопија од решение со прилози и збирка на исправи - до 10 страни"/>
        <s v="Објавување на веб страница"/>
        <s v="Упис на директна инвестиција"/>
        <s v="Промена на други податоци за директната инвестиција (адреса, број на пасош, промена на име) кои се вршат заедно со уписот или промена на инвестицијата"/>
        <s v="Потврда од регистар за сторени кривични дела на правни лица"/>
        <s v="Други неспомнати приходи"/>
        <s v="Приходи од донации"/>
        <s v="POTRO[.KANCELARISKI MATERIJAL"/>
        <s v="POTRO[.MATER.ZA HIGIENA"/>
        <s v="POTR.ELEKT.ENERGIJA"/>
        <s v="POTRO[.NAFTA"/>
        <s v="POTRO[.GORIVO"/>
        <s v="POTR.REZERVNI DELOVI ZA TEKOVNO ODR@UV."/>
        <s v="OTPIS NA SITEN INVENTAR VO UPOTREBA"/>
        <s v="OTPIS NA AVTOGUMI VO UPOTREBA"/>
        <s v="Бруто плата"/>
        <s v="Исплата на апанажа"/>
        <s v="Отпремнина за пензија-бруто"/>
        <s v="Награди-интерни"/>
        <s v="Регрес-бруто"/>
        <s v="Помош за болест и смрт-бруто"/>
        <s v="AMORTIZACIJA NA SOFTVER 0030"/>
        <s v="Microsoft продукти, Microsoft RDP, Microsoft Enterprize  договор за 3 години"/>
        <s v="Thin клиенти со монитори и лиценци за софтверски мониторинг"/>
        <s v="Заедничка платформа за отпочнување на бизнис"/>
        <s v="Набавка на софтвер (набавка на нови компоненти за потребите на проектите, специјализиран софтвер, сертификати за системите) SurveyMonkey, Verifalia, ApexSQL"/>
        <s v="Надградба на систем за складирање на податоци на секундарна локација со миграција на постоечки"/>
        <s v="Надградба на софтверско решение за правење на резервни копии"/>
        <s v="Систем за обновување на услуги за поддршка - управување со компјутерска безбедност"/>
        <s v="Систем за складирање  и управување со резервни копии и архивски податоци"/>
        <s v="Систем за управување со периметарска мрежна безбедност и крајни уреди"/>
        <s v="Системи за zero-day заштита од малициозен софтвер и аналитика на безбедност на мрежен сообраќај и напредно откривање и спречување на закани"/>
        <s v="Софтверско решение за управување со IT процеси"/>
        <s v="Мебел за РК И РРК - работни столици"/>
        <s v="Мебел за скопската канцеларија"/>
        <s v="Метални каси - сефови за персонални досиеја на вработени и за чување на класифицирани информации"/>
        <s v="Мрежна инфраструктура и мониторинг"/>
        <s v="Набавка на решение за обединети комуникации (IP телефонија, call центар и др.) и надградба на серверска инфраструктура"/>
        <s v="Скенери робусни/брзи со ADF и  flatbad"/>
        <s v="Уреди за непрекинатo напојување (УНН) за регионални канцеларии"/>
        <s v="Дневници за службени патувања во странство"/>
        <s v="PATNI TRO[OCI VO ZEMJA"/>
        <s v="PATNI TRO[OCI ZA SLU@BENI PATUVAWA VO STRANSTVO"/>
        <s v="NADOMEST ZA NO]EVAWE VO ZEMJA"/>
        <s v="NADOMEST ZA NO]EVAWE VO STRANSTVO"/>
        <s v="TRO[.ZA REKLAMI,PROPAG.I PROMOC."/>
        <s v="PREMIJA ZA OSIGUR.NA GRADE@NI OBJEKTI"/>
        <s v="PREMIJA ZA OSIGUR.NA TRANSPORTNI SRED."/>
        <s v="PREMIJA ZA OSIGUR.NA KOMPJUTERSKA OPREMA"/>
        <s v="PREMIJA ZA OSIGUR.OD PROF.ODG.ZA [TETI PR.TRETI LICA"/>
        <s v="^LANARINA"/>
        <s v="BANKARSKI USLUGI I TRO[OCI ZA PLATEN PROMET"/>
        <s v="OSTANATI NESPOM.TRO[OCI"/>
        <s v="Закуп на сали за вработени"/>
        <s v="Надоместоци за членови на УО"/>
        <s v="Надоместоци за членови на комисија за жалби"/>
        <s v="TRO[.ZA REPREZENTACIA"/>
        <s v="DR.PREMIJI ZA OSIGURUVAWE"/>
        <s v="TRO[.ZA PRETPL.NA VESNICI I STRU^NI SPISANIA"/>
        <s v="SUDSKI TRO[OCI"/>
        <s v="DR.NESPOMNATI NEMATERIJALNI TRO[OCI"/>
        <s v="DADENA PARI^NA POMO[ NA FIZI^KI LICA"/>
        <s v="TAKSI PREVOZ"/>
        <s v="TRO[.ZA TELEKOMUNIKACII"/>
        <s v="TRO[.ZA INTERNET"/>
        <s v="TRO[.ZA MOBILNA TELEFONIJA"/>
        <s v="PO[TENSKI USLUGI"/>
        <s v="TRO[OCI ZA VODA"/>
        <s v="TRO[OCI ZA SMET"/>
        <s v="TRO[.ZA ODR@UV.NA ZELENILO"/>
        <s v="TRO[.ZA GARA@IRAWE I PARKING"/>
        <s v="OSTANATI TRO[OCI ZA SNIMAWE, FOTO, IKEBANI"/>
        <s v="OGLASI VO PE^ATENI MEDIUMI"/>
        <s v="USLUGI ZA INVESTICIONO ODR@UVAWE"/>
        <s v="USL.ZA TEKOV.ODR@.NA GRADE@NI OBJEKTI"/>
        <s v="USL.ZA TEKOV.ODR@.NA OPREMA"/>
        <s v="USL.ZA TEKOV.ODR@UV.NA OPREMA ZA AOP"/>
        <s v="USL.ZA ODR@UV.NA HIGIENA VO PROSTORII"/>
        <s v="NAEMNINA ZA NEDVI@NOSTI - ZAKUP OD PRAVNO LICE"/>
        <s v="USL.ZA SOVETUV.I SEMINAR"/>
        <s v="Обуки"/>
        <s v="INTELEKTUALNI USLUGI"/>
        <s v="Систематски прегледи"/>
        <s v="PRAVNI,ADVOKATSKI I NOTARSKI USLUGI"/>
        <s v="USLUGI ZA REVIZIJA I PROCENKA"/>
        <s v="USLUGI ZA PREPISI I PREVODI"/>
        <s v="DRUGI DOGOVORNI USLUGI"/>
        <s v="ZAEDN.TRO[OCI SO NBR"/>
        <s v="Договор на дело"/>
        <s v="Агенција за привремени вработувања"/>
        <s v="KOPIRAWE,PE^ATEWE,POVRZUV.I IZDAVAWE"/>
        <s v="TRO[.ZA REGISTR.NA VOZILO"/>
        <s v="SERVISIRAWE I POPRAVKA NA VOZILO"/>
        <s v="DR.TRO[OCI NA VOZILO"/>
        <s v="Приходи од камати"/>
        <s v="Позитивни курсни разлики"/>
      </sharedItems>
    </cacheField>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9"/>
        <fieldUsage x="10"/>
        <fieldUsage x="11"/>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2" memberValueDatatype="7" unbalanced="0">
      <fieldsUsage count="2">
        <fieldUsage x="-1"/>
        <fieldUsage x="5"/>
      </fieldsUsage>
    </cacheHierarchy>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0"/>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1"/>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8"/>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6"/>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4"/>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fieldsUsage count="2">
        <fieldUsage x="-1"/>
        <fieldUsage x="7"/>
      </fieldsUsage>
    </cacheHierarchy>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2"/>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15740741" createdVersion="5" refreshedVersion="6" minRefreshableVersion="3" recordCount="0" supportSubquery="1" supportAdvancedDrill="1" xr:uid="{00000000-000A-0000-FFFF-FFFF0B000000}">
  <cacheSource type="external" connectionId="25"/>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1"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0"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20370368" createdVersion="5" refreshedVersion="6" minRefreshableVersion="3" recordCount="0" supportSubquery="1" supportAdvancedDrill="1" xr:uid="{00000000-000A-0000-FFFF-FFFF0C000000}">
  <cacheSource type="external" connectionId="25"/>
  <cacheFields count="9">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Конто].[Конто]" caption="Конто" numFmtId="0" hierarchy="28" level="1">
      <sharedItems count="126">
        <s v="100001"/>
        <s v="100002"/>
        <s v="100003"/>
        <s v="100004"/>
        <s v="100005"/>
        <s v="100007"/>
        <s v="100009"/>
        <s v="100010"/>
        <s v="1009"/>
        <s v="1020"/>
        <s v="103001"/>
        <s v="103002"/>
        <s v="103003"/>
        <s v="9930"/>
        <s v="2201"/>
        <s v="222001"/>
        <s v="222002"/>
        <s v="222003"/>
        <s v="222004"/>
        <s v="222005"/>
        <s v="222006"/>
        <s v="222007"/>
        <s v="222008"/>
        <s v="222009"/>
        <s v="222010"/>
        <s v="23310"/>
        <s v="2340"/>
        <s v="2343"/>
        <s v="23440"/>
        <s v="23441"/>
        <s v="2345"/>
        <s v="23501"/>
        <s v="23502"/>
        <s v="23503"/>
        <s v="23505"/>
        <s v="23590"/>
        <s v="23591"/>
        <s v="2400"/>
        <s v="2411"/>
        <s v="2420"/>
        <s v="2422"/>
        <s v="2551"/>
        <s v="2552"/>
        <s v="2553"/>
        <s v="2631"/>
        <s v="2940"/>
        <s v="2860"/>
        <s v="120447"/>
        <s v="120448"/>
        <s v="1330"/>
        <s v="1340"/>
        <s v="1350"/>
        <s v="1351"/>
        <s v="1352"/>
        <s v="1353"/>
        <s v="1430"/>
        <s v="1450"/>
        <s v="14510"/>
        <s v="14513"/>
        <s v="14516"/>
        <s v="14517"/>
        <s v="14571"/>
        <s v="1622"/>
        <s v="1625"/>
        <s v="1627"/>
        <s v="9001"/>
        <s v="9010"/>
        <s v="9500"/>
        <s v="9400"/>
        <s v="9420"/>
        <s v="94201"/>
        <s v="94202"/>
        <s v="94203"/>
        <s v="9510"/>
        <s v="9980"/>
        <s v="3000"/>
        <s v="3103"/>
        <s v="3109"/>
        <s v="3500"/>
        <s v="3510"/>
        <s v="3550"/>
        <s v="3551"/>
        <s v="3580"/>
        <s v="3590"/>
        <s v="01100"/>
        <s v="011001"/>
        <s v="011002"/>
        <s v="01212"/>
        <s v="01213"/>
        <s v="01218"/>
        <s v="0132"/>
        <s v="0133"/>
        <s v="01341"/>
        <s v="01349"/>
        <s v="0135"/>
        <s v="01363"/>
        <s v="01391"/>
        <s v="01399"/>
        <s v="0150"/>
        <s v="0155"/>
        <s v="01590"/>
        <s v="0161"/>
        <s v="01690"/>
        <s v="0171"/>
        <s v="0172"/>
        <s v="019100"/>
        <s v="0191001"/>
        <s v="0191002"/>
        <s v="01932"/>
        <s v="01933"/>
        <s v="019341"/>
        <s v="019363"/>
        <s v="019391"/>
        <s v="01955"/>
        <s v="0270"/>
        <s v="1221"/>
        <s v="1222"/>
        <s v="0020"/>
        <s v="0030"/>
        <s v="0031"/>
        <s v="006"/>
        <s v="00920"/>
        <s v="00930"/>
        <s v="00931"/>
        <s v="74025" u="1"/>
        <s v="7409" u="1"/>
      </sharedItems>
    </cacheField>
    <cacheField name="[fActualAndBudget].[ReportType].[ReportType]" caption="ReportType" numFmtId="0" hierarchy="31" level="1">
      <sharedItems count="3">
        <s v="Остварено"/>
        <s v="План"/>
        <s v="Предвидување"/>
      </sharedItems>
    </cacheField>
    <cacheField name="[Measures].[Sum of Износ]" caption="Sum of Износ" numFmtId="0" hierarchy="144" level="32767"/>
    <cacheField name="[Calendar].[Година].[Година]" caption="Година" numFmtId="0" hierarchy="8" level="1">
      <sharedItems containsSemiMixedTypes="0" containsString="0" containsNumber="1" containsInteger="1" minValue="2019" maxValue="2019" count="1">
        <n v="2019"/>
      </sharedItems>
      <extLst>
        <ext xmlns:x15="http://schemas.microsoft.com/office/spreadsheetml/2010/11/main" uri="{4F2E5C28-24EA-4eb8-9CBF-B6C8F9C3D259}">
          <x15:cachedUniqueNames>
            <x15:cachedUniqueName index="0" name="[Calendar].[Година].&amp;[2019]"/>
          </x15:cachedUniqueNames>
        </ext>
      </extLst>
    </cacheField>
    <cacheField name="[fActualAndBudget].[ObrazecIme].[ObrazecIme]" caption="ObrazecIme" numFmtId="0" hierarchy="40" level="1">
      <sharedItems containsSemiMixedTypes="0" containsNonDate="0" containsString="0"/>
    </cacheField>
    <cacheField name="[fActualAndBudget].[StavkaKategorija].[StavkaKategorija]" caption="StavkaKategorija" numFmtId="0" hierarchy="36" level="1">
      <sharedItems count="14">
        <s v="1.1. Парични средства"/>
        <s v="1.13. Вонбилансна актива"/>
        <s v="1.14. Краткорочни обврски"/>
        <s v="1.15. Одложено плаќање на трошоци и приходи (ПВР)"/>
        <s v="1.17. Долгорочни обврски"/>
        <s v="1.2. Побарувања"/>
        <s v="1.21. Капитал"/>
        <s v="1.22. Акумулирана добивка"/>
        <s v="1.23. Резерви"/>
        <s v="1.25. Добивка / Загуба за деловната година"/>
        <s v="1.28. Вонбилансна пасива"/>
        <s v="1.3. Залихи"/>
        <s v="1.7. Материјални средства и вложувања во недвижности"/>
        <s v="1.9. Нематеријални средства"/>
      </sharedItems>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6"/>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3"/>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8"/>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7"/>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5"/>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22222222" createdVersion="5" refreshedVersion="6" minRefreshableVersion="3" recordCount="0" supportSubquery="1" supportAdvancedDrill="1" xr:uid="{00000000-000A-0000-FFFF-FFFF0D000000}">
  <cacheSource type="external" connectionId="25"/>
  <cacheFields count="10">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Конто].[Конто]" caption="Конто" numFmtId="0" hierarchy="28" level="1">
      <sharedItems containsNonDate="0" count="27">
        <s v="01100"/>
        <s v="011001"/>
        <s v="011002"/>
        <s v="0132"/>
        <s v="0133"/>
        <s v="01341"/>
        <s v="01363"/>
        <s v="01391"/>
        <s v="01399"/>
        <s v="0150"/>
        <s v="0155"/>
        <s v="0161"/>
        <s v="01690"/>
        <s v="0171"/>
        <s v="0172"/>
        <s v="019100"/>
        <s v="0191001"/>
        <s v="0191002"/>
        <s v="01932"/>
        <s v="01933"/>
        <s v="019341"/>
        <s v="019363"/>
        <s v="019391"/>
        <s v="01955"/>
        <s v="0270"/>
        <s v="74025" u="1"/>
        <s v="7409" u="1"/>
      </sharedItems>
    </cacheField>
    <cacheField name="[fActualAndBudget].[ReportType].[ReportType]" caption="ReportType" numFmtId="0" hierarchy="31" level="1">
      <sharedItems containsSemiMixedTypes="0" containsNonDate="0" containsString="0"/>
    </cacheField>
    <cacheField name="[Measures].[Sum of Износ]" caption="Sum of Износ" numFmtId="0" hierarchy="144" level="32767"/>
    <cacheField name="[Calendar].[Година].[Година]" caption="Година" numFmtId="0" hierarchy="8" level="1">
      <sharedItems containsSemiMixedTypes="0" containsNonDate="0" containsString="0"/>
    </cacheField>
    <cacheField name="[fActualAndBudget].[ObrazecIme].[ObrazecIme]" caption="ObrazecIme" numFmtId="0" hierarchy="40" level="1">
      <sharedItems containsSemiMixedTypes="0" containsNonDate="0" containsString="0"/>
    </cacheField>
    <cacheField name="[Calendar].[Квартал].[Квартал]" caption="Квартал" numFmtId="0" hierarchy="14" level="1">
      <sharedItems containsSemiMixedTypes="0" containsNonDate="0" containsDate="1" containsString="0" minDate="2019-03-31T00:00:00" maxDate="2019-10-01T00:00:00" count="3">
        <d v="2019-03-31T00:00:00"/>
        <d v="2019-06-30T00:00:00"/>
        <d v="2019-09-30T00:00:00"/>
      </sharedItems>
    </cacheField>
    <cacheField name="[fActualAndBudget].[StavkaKategorija].[StavkaKategorija]" caption="StavkaKategorija" numFmtId="0" hierarchy="36" level="1">
      <sharedItems count="14">
        <s v="1.1. Парични средства"/>
        <s v="1.13. Вонбилансна актива"/>
        <s v="1.14. Краткорочни обврски"/>
        <s v="1.15. Одложено плаќање на трошоци и приходи (ПВР)"/>
        <s v="1.17. Долгорочни обврски"/>
        <s v="1.2. Побарувања"/>
        <s v="1.21. Капитал"/>
        <s v="1.22. Акумулирана добивка"/>
        <s v="1.23. Резерви"/>
        <s v="1.25. Добивка / Загуба за деловната година"/>
        <s v="1.28. Вонбилансна пасива"/>
        <s v="1.3. Залихи"/>
        <s v="1.7. Материјални средства и вложувања во недвижности"/>
        <s v="1.9. Нематеријални средства"/>
      </sharedItems>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6"/>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2" memberValueDatatype="7" unbalanced="0">
      <fieldsUsage count="2">
        <fieldUsage x="-1"/>
        <fieldUsage x="8"/>
      </fieldsUsage>
    </cacheHierarchy>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3"/>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9"/>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7"/>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5"/>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2511574" createdVersion="5" refreshedVersion="6" minRefreshableVersion="3" recordCount="0" supportSubquery="1" supportAdvancedDrill="1" xr:uid="{00000000-000A-0000-FFFF-FFFF0E000000}">
  <cacheSource type="external" connectionId="25"/>
  <cacheFields count="11">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StavkaImeMK].[StavkaImeMK]" caption="StavkaImeMK" numFmtId="0" hierarchy="34" level="1">
      <sharedItems count="44">
        <s v="Приходи од годишни сметки"/>
        <s v="Приходи од заложен регистар"/>
        <s v="Приходи од интернет дистрибутивен систем"/>
        <s v="Приходи од прекршочна постапка"/>
        <s v="Приходи од регионален портал и регистар на вистински сопственици"/>
        <s v="Приходи од регистар на вистински сопственици"/>
        <s v="Приходи од регистар на директни странски инвестиции"/>
        <s v="Приходи од регистар на задолжница"/>
        <s v="Приходи од Регистар на лизинг"/>
        <s v="Приходи од регистар на недвижности"/>
        <s v="Приходи од Регистар на резиденти и нерезиденти"/>
        <s v="Приходи од регистрите за кривични санкции, пресуди и др."/>
        <s v="Приходи од странство"/>
        <s v="Приходи од трговски регистар"/>
        <s v="Вонредни невообичаени приходи"/>
        <s v="Други неспомнати приходи"/>
        <s v="Капитална добивка од продажба на материјални и неметеријални средства"/>
        <s v="Приходи од донации"/>
        <s v="Приходи од закуп"/>
        <s v="Приходи од продажба на подвижен имот"/>
        <s v="Потрoшена енергија и гориво за возила"/>
        <s v="Потрошени резервни делови"/>
        <s v="Потрошени суровини и материјали"/>
        <s v="Потрошок на ситен инвентар и автогуми"/>
        <s v="Надомест на трошоци на вработените, подароци и помошти"/>
        <s v="Амортизација по минимални стапки"/>
        <s v="Банкарски услуги и трошоци за платен промет"/>
        <s v="Даноци,чланарини и други давачки кои не зависат од резултатот"/>
        <s v="Дневници за службени патувања и патни трошоци"/>
        <s v="Казни, пенали и надомест на штети затезни камати"/>
        <s v="Лиценци за разни софтвери (едногодишни, обновливи)"/>
        <s v="Надворешни услуги"/>
        <s v="Наемнини и лизинг"/>
        <s v="Останати нематеријални трошоци"/>
        <s v="Останати услуги"/>
        <s v="Премии за осигурување"/>
        <s v="Транспортни услуги"/>
        <s v="Трошоци за промоција,пропаганда, реклама, репрезентација и спонзорство"/>
        <s v="Услуги за одржување и заштита"/>
        <s v="Приходи од камати"/>
        <s v="Приходи од курсни разлики"/>
        <s v="Загуби и кусоци"/>
        <s v="Курсни разлики"/>
        <s v="Останати расходи"/>
      </sharedItems>
    </cacheField>
    <cacheField name="[fActualAndBudget].[Конто].[Конто]" caption="Конто" numFmtId="0" hierarchy="28" level="1">
      <sharedItems containsNonDate="0" count="24">
        <s v="4030"/>
        <s v="40304"/>
        <s v="4031"/>
        <s v="403101"/>
        <s v="403102"/>
        <s v="403103"/>
        <s v="403104"/>
        <s v="403105"/>
        <s v="403106"/>
        <s v="403107"/>
        <s v="4031601"/>
        <s v="4031602"/>
        <s v="4031603"/>
        <s v="4031604"/>
        <s v="4031605"/>
        <s v="4031606"/>
        <s v="4031607"/>
        <s v="4031608"/>
        <s v="4031609"/>
        <s v="4031610"/>
        <s v="4031611"/>
        <s v="41101" u="1"/>
        <s v="41102" u="1"/>
        <s v="4132" u="1"/>
      </sharedItems>
    </cacheField>
    <cacheField name="[fActualAndBudget].[ReportType].[ReportType]" caption="ReportType" numFmtId="0" hierarchy="31" level="1">
      <sharedItems count="3">
        <s v="Остварено"/>
        <s v="План"/>
        <s v="Предвидување"/>
      </sharedItems>
    </cacheField>
    <cacheField name="[Measures].[Sum of Износ]" caption="Sum of Износ" numFmtId="0" hierarchy="144" level="32767"/>
    <cacheField name="[fActualAndBudget].[StavkaKategorija].[StavkaKategorija]" caption="StavkaKategorija" numFmtId="0" hierarchy="36" level="1">
      <sharedItems count="9">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5. Вредносно усогласување на тековни средства"/>
        <s v="2.37. Останати оперативни расходи"/>
        <s v="2.40. Приходи од финансирање"/>
        <s v="2.41. Расходи од финансирање"/>
      </sharedItems>
    </cacheField>
    <cacheField name="[fActualAndBudget].[Ставка].[Ставка]" caption="Ставка" numFmtId="0" hierarchy="32" level="1">
      <sharedItems containsNonDate="0" count="24">
        <s v="POTR.ELEKT.ENERGIJA"/>
        <s v="POTRO[.NAFTA"/>
        <s v="POTRO[.GORIVO"/>
        <s v="POTRO[ENO GORIVO AK 210 SV"/>
        <s v="POTRO[ENO GORVO SK 2082 AI"/>
        <s v="POTRO[ENO GORIVO SK 2083 AI"/>
        <s v="POTRO[ENO GORIVO SK 2084 AI"/>
        <s v="POTRO[ENO GORIVO SK 2085 AI"/>
        <s v="POTRO[ENO GORIVO SK 783 OC"/>
        <s v="POTRO[ENO GORIVO SK 782 OC"/>
        <s v="POTRO[ENO GORIVO SK 0601 АС"/>
        <s v="POTRO[ENO GORIVO SK 0602 АС"/>
        <s v="POTRO[ENO GORIVO SK 0603 АС"/>
        <s v="POTRO[ENO GORIVO SK 0604 АС"/>
        <s v="POTRO[ENO GORIVO SK 0605 АС"/>
        <s v="POTRO[ENO GORIVO SK 0606 АС"/>
        <s v="POTRO[ENO GORIVO SK 0607 АС"/>
        <s v="POTRO[ENO GORIVO SK 0608 АС"/>
        <s v="POTRO[ENO GORIVO SK 0609 АС"/>
        <s v="POTRO[ENO GORIVO SK 0610 АС"/>
        <s v="POTRO[ENO GORIVO SK 0611 АС"/>
        <s v="TRO[.ZA TELEKOMUNIKACII" u="1"/>
        <s v="TRO[.ZA INTERNET" u="1"/>
        <s v="USL.ZA TEKOV.ODR@.NA OPREMA" u="1"/>
      </sharedItems>
    </cacheField>
    <cacheField name="[Calendar].[Година].[Година]" caption="Година" numFmtId="0" hierarchy="8"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 index="2" name="[Calendar].[Година].&amp;[2021]"/>
          </x15:cachedUniqueNames>
        </ext>
      </extLst>
    </cacheField>
    <cacheField name="[fActualAndBudget].[ObrazecIme].[ObrazecIme]" caption="ObrazecIme" numFmtId="0" hierarchy="40"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9"/>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4"/>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5"/>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8"/>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3"/>
      </fieldsUsage>
    </cacheHierarchy>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7"/>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0"/>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6"/>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26041664" createdVersion="5" refreshedVersion="6" minRefreshableVersion="3" recordCount="0" supportSubquery="1" supportAdvancedDrill="1" xr:uid="{00000000-000A-0000-FFFF-FFFF0F000000}">
  <cacheSource type="external" connectionId="25"/>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1"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0"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26851849" createdVersion="5" refreshedVersion="6" minRefreshableVersion="3" recordCount="0" supportSubquery="1" supportAdvancedDrill="1" xr:uid="{00000000-000A-0000-FFFF-FFFF10000000}">
  <cacheSource type="external" connectionId="25"/>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1"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0"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29629628" createdVersion="5" refreshedVersion="6" minRefreshableVersion="3" recordCount="0" supportSubquery="1" supportAdvancedDrill="1" xr:uid="{00000000-000A-0000-FFFF-FFFF11000000}">
  <cacheSource type="external" connectionId="25"/>
  <cacheFields count="11">
    <cacheField name="[Measures].[Sum of Износ]" caption="Sum of Износ" numFmtId="0" hierarchy="144" level="32767"/>
    <cacheField name="[Calendar].[Година].[Година]" caption="Година" numFmtId="0" hierarchy="8"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 index="2" name="[Calendar].[Година].&amp;[2021]"/>
          </x15:cachedUniqueNames>
        </ext>
      </extLst>
    </cacheField>
    <cacheField name="[fActualAndBudget].[ObrazecIme].[ObrazecIme]" caption="ObrazecIme" numFmtId="0" hierarchy="40" level="1">
      <sharedItems containsSemiMixedTypes="0" containsNonDate="0" containsString="0"/>
    </cacheField>
    <cacheField name="[fActualAndBudget].[StavkaImeAOP].[StavkaImeAOP]" caption="StavkaImeAOP" numFmtId="0" hierarchy="43" level="1">
      <sharedItems count="18">
        <s v="4.1.1 - Потрошени суровини и материјали"/>
        <s v="4.1.10 - Амортизација по минимални стапки"/>
        <s v="4.1.11 - Надомест на трошоци на вработените, подароци и помошти"/>
        <s v="4.1.12 - Дневници за службени патувања и патни трошоци"/>
        <s v="4.1.13 - Трошоци за промоција,пропаганда, реклама, репрезентација и спонзорство"/>
        <s v="4.1.14 - Премии за осигурување"/>
        <s v="4.1.15 - Даноци,чланарини и други давачки кои не зависат од резултатот"/>
        <s v="4.1.16 - Банкарски услуги и трошоци за платен промет"/>
        <s v="4.1.17 - Лиценци за разни софтвери (едногодишни, обновливи)"/>
        <s v="4.1.19 - Останати нематеријални трошоци"/>
        <s v="4.1.2 - Потрoшена енергија и гориво за возила"/>
        <s v="4.1.3 - Потрошени резервни делови"/>
        <s v="4.1.4 - Потрошок на ситен инвентар и автогуми"/>
        <s v="4.1.5 - Транспортни услуги"/>
        <s v="4.1.6 - Надворешни услуги"/>
        <s v="4.1.7 - Услуги за одржување и заштита"/>
        <s v="4.1.8 - Наемнини и лизинг"/>
        <s v="4.1.9 - Останати услуги"/>
      </sharedItems>
    </cacheField>
    <cacheField name="[fActualAndBudget].[ReportType].[ReportType]" caption="ReportType" numFmtId="0" hierarchy="31" level="1">
      <sharedItems count="3">
        <s v="Остварено"/>
        <s v="План"/>
        <s v="Предвидување"/>
      </sharedItems>
    </cacheField>
    <cacheField name="[fActualAndBudget].[StavkaGrupa].[StavkaGrupa]" caption="StavkaGrupa" numFmtId="0" hierarchy="35" level="1">
      <sharedItems count="1">
        <s v="4.1. Расходи од дејноста"/>
      </sharedItems>
    </cacheField>
    <cacheField name="[fActualAndBudget].[Конто Ставка].[Конто Ставка]" caption="Конто Ставка" numFmtId="0" hierarchy="44" level="1">
      <sharedItems containsNonDate="0" count="48">
        <s v="4170 - TRO[.ZA REKLAMI,PROPAG.I PROMOC."/>
        <s v="44500 - PREMIJA ZA OSIGUR.NA GRADE@NI OBJEKTI"/>
        <s v="44501 - PREMIJA ZA OSIGUR.NA TRANSPORTNI SRED."/>
        <s v="44502 - PREMIJA ZA OSIGUR.NA KOMPJUTERSKA OPREMA"/>
        <s v="44510 - PREMIJA ZA OSIGUR.OD PROF.ODG.ZA [TETI PR.TRETI LICA"/>
        <s v="4459 - DR.PREMIJI ZA OSIGURUVAWE"/>
        <s v="4460 - BANKARSKI USLUGI I TRO[OCI ZA PLATEN PROMET"/>
        <s v="41733 - OSTANATI NESPOM.TRO[OCI"/>
        <s v="4409 - OSTANATI NESPOMNATI TRO[OCI"/>
        <s v="44091 - TRO[OCI ZA SPORT I REKREACIJA NA VRABOTENI"/>
        <s v="44091 - Закуп на сали за вработени"/>
        <s v="4422 - NADOM.ZA ^L.NA UPRAVEN ODBOR"/>
        <s v="4422 - Надоместоци за членови на УО"/>
        <s v="44220 - NADOM.ZA ^L.NA KOMISIA ZA @ALBI"/>
        <s v="44220 - Надоместоци за членови на комисија за жалби"/>
        <s v="44221 - NADOM.ZA KOMISIA ZA STRU^EN ISPIT"/>
        <s v="44312 - DONACII NA FIZI^KI LICA"/>
        <s v="4440 - TRO[.ZA REPREZENTACIA"/>
        <s v="4494 - TRO[.ZA PRETPL.NA VESNICI I STRU^NI SPISANIA"/>
        <s v="4497 - SUDSKI TRO[OCI"/>
        <s v="4499 - DR.NESPOMNATI NEMATERIJALNI TRO[OCI"/>
        <s v="44990 - DADENA PARI^NA POMO[ NA FIZI^KI LICA"/>
        <s v="4030 - POTR.ELEKT.ENERGIJA"/>
        <s v="40304 - POTRO[.NAFTA"/>
        <s v="4031 - POTRO[.GORIVO"/>
        <s v="4031 - POTRO[.NAFTA"/>
        <s v="403101 - POTRO[ENO GORIVO AK 210 SV"/>
        <s v="403102 - POTRO[ENO GORVO SK 2082 AI"/>
        <s v="403103 - POTRO[ENO GORIVO SK 2083 AI"/>
        <s v="403104 - POTRO[ENO GORIVO SK 2084 AI"/>
        <s v="403105 - POTRO[ENO GORIVO SK 2085 AI"/>
        <s v="403106 - POTRO[ENO GORIVO SK 783 OC"/>
        <s v="403107 - POTRO[ENO GORIVO SK 782 OC"/>
        <s v="4031601 - POTRO[ENO GORIVO SK 0601 АС"/>
        <s v="4031602 - POTRO[ENO GORIVO SK 0602 АС"/>
        <s v="4031603 - POTRO[ENO GORIVO SK 0603 АС"/>
        <s v="4031604 - POTRO[ENO GORIVO SK 0604 АС"/>
        <s v="4031605 - POTRO[ENO GORIVO SK 0605 АС"/>
        <s v="4031606 - POTRO[ENO GORIVO SK 0606 АС"/>
        <s v="4031607 - POTRO[ENO GORIVO SK 0607 АС"/>
        <s v="4031608 - POTRO[ENO GORIVO SK 0608 АС"/>
        <s v="4031609 - POTRO[ENO GORIVO SK 0609 АС"/>
        <s v="4031610 - POTRO[ENO GORIVO SK 0610 АС"/>
        <s v="4031611 - POTRO[ENO GORIVO SK 0611 АС"/>
        <s v="4051 - POTR.REZERVNI DELOVI ZA TEKOVNO ODR@UV."/>
        <s v="40510 - DRUGI POTRO[ENI REZEVRNI DELOVI"/>
        <s v="4080 - OTPIS NA SITEN INVENTAR VO UPOTREBA"/>
        <s v="4081 - OTPIS NA AVTOGUMI VO UPOTREBA"/>
      </sharedItems>
    </cacheField>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StavkaKategorija].[StavkaKategorija]" caption="StavkaKategorija" numFmtId="0" hierarchy="36"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7"/>
        <fieldUsage x="8"/>
        <fieldUsage x="9"/>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1"/>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5"/>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10"/>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2"/>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fieldsUsage count="2">
        <fieldUsage x="-1"/>
        <fieldUsage x="3"/>
      </fieldsUsage>
    </cacheHierarchy>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2" memberValueDatatype="130" unbalanced="0">
      <fieldsUsage count="2">
        <fieldUsage x="-1"/>
        <fieldUsage x="6"/>
      </fieldsUsage>
    </cacheHierarchy>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0"/>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36574071" createdVersion="5" refreshedVersion="6" minRefreshableVersion="3" recordCount="0" supportSubquery="1" supportAdvancedDrill="1" xr:uid="{00000000-000A-0000-FFFF-FFFF12000000}">
  <cacheSource type="external" connectionId="25"/>
  <cacheFields count="11">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Measures].[Sum of Износ]" caption="Sum of Износ" numFmtId="0" hierarchy="144" level="32767"/>
    <cacheField name="[Calendar].[Година].[Година]" caption="Година" numFmtId="0" hierarchy="8" level="1">
      <sharedItems containsSemiMixedTypes="0" containsString="0" containsNumber="1" containsInteger="1" minValue="2018" maxValue="2020" count="3">
        <n v="2018"/>
        <n v="2019"/>
        <n v="2020"/>
      </sharedItems>
      <extLst>
        <ext xmlns:x15="http://schemas.microsoft.com/office/spreadsheetml/2010/11/main" uri="{4F2E5C28-24EA-4eb8-9CBF-B6C8F9C3D259}">
          <x15:cachedUniqueNames>
            <x15:cachedUniqueName index="0" name="[Calendar].[Година].&amp;[2018]"/>
            <x15:cachedUniqueName index="1" name="[Calendar].[Година].&amp;[2019]"/>
            <x15:cachedUniqueName index="2" name="[Calendar].[Година].&amp;[2020]"/>
          </x15:cachedUniqueNames>
        </ext>
      </extLst>
    </cacheField>
    <cacheField name="[fActualAndBudget].[ObrazecIme].[ObrazecIme]" caption="ObrazecIme" numFmtId="0" hierarchy="40" level="1">
      <sharedItems containsSemiMixedTypes="0" containsNonDate="0" containsString="0"/>
    </cacheField>
    <cacheField name="[fActualAndBudget].[StavkaImeAOP].[StavkaImeAOP]" caption="StavkaImeAOP" numFmtId="0" hierarchy="43" level="1">
      <sharedItems count="44">
        <s v="3.1.1 - Приходи од заложен регистар"/>
        <s v="3.1.10 - Приходи од регионален портал и регистар на вистински сопственици"/>
        <s v="3.1.11 - Приходи од прекршочна постапка"/>
        <s v="3.1.12 - Приходи од интернет дистрибутивен систем"/>
        <s v="3.1.13 - Приходи од странство"/>
        <s v="3.1.14 - Приходи од регистар на задолжница"/>
        <s v="3.1.2 - Приходи од годишни сметки"/>
        <s v="3.1.4 - Приходи од Регистар на резиденти и нерезиденти"/>
        <s v="3.1.5 - Приходи од Регистар на лизинг"/>
        <s v="3.1.6 - Приходи од регистар на недвижности"/>
        <s v="3.1.7 - Приходи од трговски регистар"/>
        <s v="3.1.8 - Приходи од регистар на директни странски инвестиции"/>
        <s v="3.1.9 - Приходи од регистрите за кривични санкции, пресуди и др."/>
        <s v="3.2.1 - Приходи од камати"/>
        <s v="3.2.2 - Приходи од курсни разлики"/>
        <s v="3.2.3 - Други неспомнати приходи"/>
        <s v="3.2.4 - Капитална добивка од продажба на материјални и неметеријални средства"/>
        <s v="3.2.5 - Приходи од донации"/>
        <s v="3.2.6 - Приходи од продажба на подвижен имот"/>
        <s v="3.2.7 - Приходи од закуп"/>
        <s v="3.2.8 - Вонредни невообичаени приходи"/>
        <s v="4.1.1 - Потрошени суровини и материјали"/>
        <s v="4.1.10 - Амортизација по минимални стапки"/>
        <s v="4.1.11 - Надомест на трошоци на вработените, подароци и помошти"/>
        <s v="4.1.12 - Дневници за службени патувања и патни трошоци"/>
        <s v="4.1.13 - Трошоци за промоција,пропаганда, реклама, репрезентација и спонзорство"/>
        <s v="4.1.14 - Премии за осигурување"/>
        <s v="4.1.15 - Даноци,чланарини и други давачки кои не зависат од резултатот"/>
        <s v="4.1.16 - Банкарски услуги и трошоци за платен промет"/>
        <s v="4.1.17 - Лиценци за разни софтвери (едногодишни, обновливи)"/>
        <s v="4.1.19 - Останати нематеријални трошоци"/>
        <s v="4.1.2 - Потрoшена енергија и гориво за возила"/>
        <s v="4.1.3 - Потрошени резервни делови"/>
        <s v="4.1.4 - Потрошок на ситен инвентар и автогуми"/>
        <s v="4.1.5 - Транспортни услуги"/>
        <s v="4.1.6 - Надворешни услуги"/>
        <s v="4.1.7 - Услуги за одржување и заштита"/>
        <s v="4.1.8 - Наемнини и лизинг"/>
        <s v="4.1.9 - Останати услуги"/>
        <s v="4.2.2 - Казни, пенали и надомест на штети затезни камати"/>
        <s v="4.2.3 - Вредносно усогласување на тековни и нетековни средства"/>
        <s v="4.2.5 - Курсни разлики"/>
        <s v="4.2.6 - Загуби и кусоци"/>
        <s v="4.2.7 - Останати расходи"/>
      </sharedItems>
    </cacheField>
    <cacheField name="[fActualAndBudget].[ReportType].[ReportType]" caption="ReportType" numFmtId="0" hierarchy="31" level="1">
      <sharedItems count="3">
        <s v="Остварено"/>
        <s v="План"/>
        <s v="Предвидување"/>
      </sharedItems>
    </cacheField>
    <cacheField name="[fActualAndBudget].[StavkaGrupa].[StavkaGrupa]" caption="StavkaGrupa" numFmtId="0" hierarchy="35" level="1">
      <sharedItems count="4">
        <s v="3.1. Приходи од дејноста"/>
        <s v="3.2. Останати приходи"/>
        <s v="4.1. Расходи од дејноста"/>
        <s v="4.2. Останати расходи"/>
      </sharedItems>
    </cacheField>
    <cacheField name="[fActualAndBudget].[Конто Ставка].[Конто Ставка]" caption="Конто Ставка" numFmtId="0" hierarchy="44" level="1">
      <sharedItems count="37">
        <s v="43010 - "/>
        <s v="43011 - "/>
        <s v="43020 - "/>
        <s v="43030 - "/>
        <s v="43031 - "/>
        <s v="431001 - "/>
        <s v="431002 - "/>
        <s v="43132 - "/>
        <s v="43133 - "/>
        <s v="43134 - "/>
        <s v="43136 - "/>
        <s v="43139 - "/>
        <s v="43155 - "/>
        <s v="43211 - "/>
        <s v="41733 - "/>
        <s v="4409 - "/>
        <s v="44091 - "/>
        <s v="4422 - "/>
        <s v="44220 - "/>
        <s v="44221 - "/>
        <s v="44312 - "/>
        <s v="4440 - "/>
        <s v="4494 - "/>
        <s v="4497 - "/>
        <s v="4499 - "/>
        <s v="44990 - "/>
        <s v="4104 - "/>
        <s v="4106 - "/>
        <s v="41101 - "/>
        <s v="41102 - "/>
        <s v="41103 - "/>
        <s v="4111 - "/>
        <s v="41111 - "/>
        <s v="44990 - DADENA PARI^NA POMO[ NA FIZI^KI LICA" u="1"/>
        <s v="41101 - TRO[.ZA TELEKOMUNIKACII" u="1"/>
        <s v="41102 - TRO[.ZA INTERNET" u="1"/>
        <s v="41103 - TRO[.ZA MOBILNA TELEFONIJA" u="1"/>
      </sharedItems>
    </cacheField>
    <cacheField name="[fActualAndBudget].[StavkaKategorija].[StavkaKategorija]" caption="StavkaKategorija" numFmtId="0" hierarchy="36"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7"/>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8"/>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10"/>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fieldsUsage count="2">
        <fieldUsage x="-1"/>
        <fieldUsage x="6"/>
      </fieldsUsage>
    </cacheHierarchy>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2" memberValueDatatype="130" unbalanced="0">
      <fieldsUsage count="2">
        <fieldUsage x="-1"/>
        <fieldUsage x="9"/>
      </fieldsUsage>
    </cacheHierarchy>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3"/>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40162035" createdVersion="5" refreshedVersion="6" minRefreshableVersion="3" recordCount="0" supportSubquery="1" supportAdvancedDrill="1" xr:uid="{00000000-000A-0000-FFFF-FFFF13000000}">
  <cacheSource type="external" connectionId="25"/>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1"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0"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693865742" createdVersion="5" refreshedVersion="6" minRefreshableVersion="3" recordCount="0" supportSubquery="1" supportAdvancedDrill="1" xr:uid="{00000000-000A-0000-FFFF-FFFF01000000}">
  <cacheSource type="external" connectionId="25"/>
  <cacheFields count="7">
    <cacheField name="[Calendar].[Година].[Година]" caption="Година" numFmtId="0" hierarchy="8" level="1">
      <sharedItems containsSemiMixedTypes="0" containsString="0" containsNumber="1" containsInteger="1" minValue="2020" maxValue="2020" count="1">
        <n v="2020"/>
      </sharedItems>
      <extLst>
        <ext xmlns:x15="http://schemas.microsoft.com/office/spreadsheetml/2010/11/main" uri="{4F2E5C28-24EA-4eb8-9CBF-B6C8F9C3D259}">
          <x15:cachedUniqueNames>
            <x15:cachedUniqueName index="0" name="[Calendar].[Година].&amp;[2020]"/>
          </x15:cachedUniqueNames>
        </ext>
      </extLst>
    </cacheField>
    <cacheField name="[fActualAndBudget].[ObrazecIme].[ObrazecIme]" caption="ObrazecIme" numFmtId="0" hierarchy="40" level="1">
      <sharedItems containsSemiMixedTypes="0" containsNonDate="0" containsString="0"/>
    </cacheField>
    <cacheField name="[fActualAndBudget].[ReportType].[ReportType]" caption="ReportType" numFmtId="0" hierarchy="31" level="1">
      <sharedItems containsSemiMixedTypes="0" containsNonDate="0" containsString="0"/>
    </cacheField>
    <cacheField name="[OPEXAnaliza].[ObrazecIme].[ObrazecIme]" caption="ObrazecIme" numFmtId="0" hierarchy="93" level="1">
      <sharedItems containsSemiMixedTypes="0" containsNonDate="0" containsString="0"/>
    </cacheField>
    <cacheField name="[Measures].[Sum of Износ]" caption="Sum of Износ" numFmtId="0" hierarchy="144" level="32767"/>
    <cacheField name="[fActualAndBudget].[Конто].[Конто]" caption="Конто" numFmtId="0" hierarchy="28" level="1">
      <sharedItems count="144">
        <s v="40103"/>
        <s v="40105"/>
        <s v="40107"/>
        <s v="4030"/>
        <s v="40304"/>
        <s v="403102"/>
        <s v="403103"/>
        <s v="403104"/>
        <s v="403105"/>
        <s v="4031601"/>
        <s v="4031602"/>
        <s v="4031603"/>
        <s v="4031604"/>
        <s v="4031605"/>
        <s v="4031606"/>
        <s v="4031607"/>
        <s v="4031608"/>
        <s v="4031609"/>
        <s v="4031610"/>
        <s v="4031611"/>
        <s v="4051"/>
        <s v="4080"/>
        <s v="4081"/>
        <s v="4104"/>
        <s v="4106"/>
        <s v="41101"/>
        <s v="41102"/>
        <s v="41103"/>
        <s v="4111"/>
        <s v="41111"/>
        <s v="4113"/>
        <s v="4131"/>
        <s v="4132"/>
        <s v="4133"/>
        <s v="41330"/>
        <s v="4134"/>
        <s v="4139"/>
        <s v="4143"/>
        <s v="41500"/>
        <s v="41501"/>
        <s v="41502"/>
        <s v="41503"/>
        <s v="4170"/>
        <s v="41700"/>
        <s v="41701"/>
        <s v="41733"/>
        <s v="41921"/>
        <s v="41925"/>
        <s v="41931"/>
        <s v="41934"/>
        <s v="4200"/>
        <s v="4220"/>
        <s v="42222"/>
        <s v="4223"/>
        <s v="4224"/>
        <s v="43030"/>
        <s v="43031"/>
        <s v="431001"/>
        <s v="431002"/>
        <s v="43132"/>
        <s v="43133"/>
        <s v="43134"/>
        <s v="43136"/>
        <s v="43139"/>
        <s v="43155"/>
        <s v="44001"/>
        <s v="4401"/>
        <s v="44011"/>
        <s v="4403"/>
        <s v="44032"/>
        <s v="44091"/>
        <s v="4422"/>
        <s v="44220"/>
        <s v="4440"/>
        <s v="44500"/>
        <s v="44501"/>
        <s v="44502"/>
        <s v="44510"/>
        <s v="4459"/>
        <s v="4460"/>
        <s v="4476"/>
        <s v="44902"/>
        <s v="44903"/>
        <s v="44904"/>
        <s v="44907"/>
        <s v="449071"/>
        <s v="44908"/>
        <s v="449083"/>
        <s v="4494"/>
        <s v="4496"/>
        <s v="4497"/>
        <s v="44970"/>
        <s v="44972"/>
        <s v="44973"/>
        <s v="44980"/>
        <s v="4499"/>
        <s v="44990"/>
        <s v="4660"/>
        <s v="4750"/>
        <s v="74001"/>
        <s v="74002"/>
        <s v="74003"/>
        <s v="74004"/>
        <s v="74011"/>
        <s v="74021"/>
        <s v="74023"/>
        <s v="74024"/>
        <s v="74025"/>
        <s v="74031"/>
        <s v="74032"/>
        <s v="74033"/>
        <s v="74034"/>
        <s v="74035"/>
        <s v="74036"/>
        <s v="74037"/>
        <s v="74038"/>
        <s v="74041"/>
        <s v="74042"/>
        <s v="74043"/>
        <s v="74044"/>
        <s v="74051"/>
        <s v="74052"/>
        <s v="74053"/>
        <s v="7406"/>
        <s v="740611"/>
        <s v="740615"/>
        <s v="740616"/>
        <s v="740641"/>
        <s v="740642"/>
        <s v="740643"/>
        <s v="740644"/>
        <s v="74071"/>
        <s v="74072"/>
        <s v="74082"/>
        <s v="7409"/>
        <s v="7420"/>
        <s v="7672"/>
        <s v="76721"/>
        <s v="7690"/>
        <s v="7709"/>
        <s v="7710"/>
        <s v="7743"/>
        <s v="7751"/>
        <s v="7799"/>
      </sharedItems>
    </cacheField>
    <cacheField name="[Calendar].[Месец].[Месец]" caption="Месец" numFmtId="0" hierarchy="10" level="1">
      <sharedItems count="12">
        <s v="Jan"/>
        <s v="Feb"/>
        <s v="Mar"/>
        <s v="Apr"/>
        <s v="May"/>
        <s v="Jun"/>
        <s v="Jul"/>
        <s v="Aug"/>
        <s v="Sep"/>
        <s v="Oct"/>
        <s v="Nov"/>
        <s v="Dec"/>
      </sharedItems>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0"/>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6"/>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5"/>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2"/>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2" memberValueDatatype="130" unbalanced="0">
      <fieldsUsage count="2">
        <fieldUsage x="-1"/>
        <fieldUsage x="3"/>
      </fieldsUsage>
    </cacheHierarchy>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4"/>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41203704" createdVersion="5" refreshedVersion="6" minRefreshableVersion="3" recordCount="0" supportSubquery="1" supportAdvancedDrill="1" xr:uid="{00000000-000A-0000-FFFF-FFFF14000000}">
  <cacheSource type="external" connectionId="25"/>
  <cacheFields count="6">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1" level="1">
      <sharedItems containsSemiMixedTypes="0" containsNonDate="0" containsString="0"/>
    </cacheField>
    <cacheField name="[Calendar].[Година].[Година]" caption="Година" numFmtId="0" hierarchy="8" level="1">
      <sharedItems containsSemiMixedTypes="0" containsNonDate="0" containsString="0"/>
    </cacheField>
    <cacheField name="[fActualAndBudget].[ObrazecIme].[ObrazecIme]" caption="ObrazecIme" numFmtId="0" hierarchy="40"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45486115" createdVersion="5" refreshedVersion="6" minRefreshableVersion="3" recordCount="0" supportSubquery="1" supportAdvancedDrill="1" xr:uid="{00000000-000A-0000-FFFF-FFFF15000000}">
  <cacheSource type="external" connectionId="25"/>
  <cacheFields count="10">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ReportType].[ReportType]" caption="ReportType" numFmtId="0" hierarchy="31" level="1">
      <sharedItems containsSemiMixedTypes="0" containsNonDate="0" containsString="0"/>
    </cacheField>
    <cacheField name="[Measures].[Sum of Износ]" caption="Sum of Износ" numFmtId="0" hierarchy="144" level="32767"/>
    <cacheField name="[Calendar].[Година].[Година]" caption="Година" numFmtId="0" hierarchy="8" level="1">
      <sharedItems containsSemiMixedTypes="0" containsNonDate="0" containsString="0"/>
    </cacheField>
    <cacheField name="[fActualAndBudget].[ObrazecIme].[ObrazecIme]" caption="ObrazecIme" numFmtId="0" hierarchy="40" level="1">
      <sharedItems containsSemiMixedTypes="0" containsNonDate="0" containsString="0"/>
    </cacheField>
    <cacheField name="[Calendar].[Квартал].[Квартал]" caption="Квартал" numFmtId="0" hierarchy="14" level="1">
      <sharedItems containsSemiMixedTypes="0" containsNonDate="0" containsDate="1" containsString="0" minDate="2020-03-31T00:00:00" maxDate="2021-01-01T00:00:00" count="4">
        <d v="2020-03-31T00:00:00"/>
        <d v="2020-06-30T00:00:00"/>
        <d v="2020-09-30T00:00:00"/>
        <d v="2020-12-31T00:00:00"/>
      </sharedItems>
    </cacheField>
    <cacheField name="[fActualAndBudget].[StavkaGrupa].[StavkaGrupa]" caption="StavkaGrupa" numFmtId="0" hierarchy="35" level="1">
      <sharedItems count="3">
        <s v="3.1. Приходи од дејноста"/>
        <s v="3.2. Останати приходи"/>
        <s v="4.1. Расходи од дејноста"/>
      </sharedItems>
    </cacheField>
    <cacheField name="[fActualAndBudget].[StavkaImeMK].[StavkaImeMK]" caption="StavkaImeMK" numFmtId="0" hierarchy="34" level="1">
      <sharedItems containsNonDate="0" count="17">
        <s v="Амортизација по минимални стапки"/>
        <s v="Банкарски услуги и трошоци за платен промет"/>
        <s v="Даноци,чланарини и други давачки кои не зависат од резултатот"/>
        <s v="Дневници за службени патувања и патни трошоци"/>
        <s v="Надворешни услуги"/>
        <s v="Надомест на трошоци на вработените, подароци и помошти"/>
        <s v="Наемнини и лизинг"/>
        <s v="Останати нематеријални трошоци"/>
        <s v="Останати услуги"/>
        <s v="Потрoшена енергија и гориво за возила"/>
        <s v="Потрошени резервни делови"/>
        <s v="Потрошени суровини и материјали"/>
        <s v="Потрошок на ситен инвентар и автогуми"/>
        <s v="Премии за осигурување"/>
        <s v="Транспортни услуги"/>
        <s v="Трошоци за промоција,пропаганда, реклама, репрезентација и спонзорство"/>
        <s v="Услуги за одржување и заштита"/>
      </sharedItems>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5"/>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2" memberValueDatatype="7" unbalanced="0">
      <fieldsUsage count="2">
        <fieldUsage x="-1"/>
        <fieldUsage x="7"/>
      </fieldsUsage>
    </cacheHierarchy>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3"/>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9"/>
      </fieldsUsage>
    </cacheHierarchy>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8"/>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6"/>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4"/>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49652779" createdVersion="5" refreshedVersion="6" minRefreshableVersion="3" recordCount="0" supportSubquery="1" supportAdvancedDrill="1" xr:uid="{00000000-000A-0000-FFFF-FFFF16000000}">
  <cacheSource type="external" connectionId="25"/>
  <cacheFields count="10">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Конто].[Конто]" caption="Конто" numFmtId="0" hierarchy="28" level="1">
      <sharedItems count="133">
        <s v="40103"/>
        <s v="40104"/>
        <s v="40105"/>
        <s v="40107"/>
        <s v="40108"/>
        <s v="4030"/>
        <s v="40304"/>
        <s v="4031"/>
        <s v="403101"/>
        <s v="403102"/>
        <s v="403103"/>
        <s v="403104"/>
        <s v="403105"/>
        <s v="403106"/>
        <s v="403107"/>
        <s v="4031601"/>
        <s v="4031602"/>
        <s v="4031603"/>
        <s v="4031604"/>
        <s v="4031605"/>
        <s v="4031606"/>
        <s v="4031607"/>
        <s v="4031608"/>
        <s v="4031609"/>
        <s v="4031610"/>
        <s v="4031611"/>
        <s v="4051"/>
        <s v="40510"/>
        <s v="4080"/>
        <s v="4081"/>
        <s v="4104"/>
        <s v="4106"/>
        <s v="41101"/>
        <s v="41102"/>
        <s v="41103"/>
        <s v="4111"/>
        <s v="41111"/>
        <s v="4113"/>
        <s v="41211"/>
        <s v="4123"/>
        <s v="4125"/>
        <s v="4129"/>
        <s v="4131"/>
        <s v="4132"/>
        <s v="4133"/>
        <s v="41330"/>
        <s v="4134"/>
        <s v="4136"/>
        <s v="4139"/>
        <s v="4143"/>
        <s v="4147"/>
        <s v="41500"/>
        <s v="41501"/>
        <s v="41502"/>
        <s v="41503"/>
        <s v="41504"/>
        <s v="4170"/>
        <s v="41700"/>
        <s v="41701"/>
        <s v="4171"/>
        <s v="41733"/>
        <s v="41921"/>
        <s v="41925"/>
        <s v="41931"/>
        <s v="41934"/>
        <s v="4200"/>
        <s v="4210"/>
        <s v="4220"/>
        <s v="42222"/>
        <s v="4223"/>
        <s v="4224"/>
        <s v="42291"/>
        <s v="43020"/>
        <s v="43030"/>
        <s v="43031"/>
        <s v="431001"/>
        <s v="431002"/>
        <s v="43132"/>
        <s v="43133"/>
        <s v="43134"/>
        <s v="43136"/>
        <s v="43139"/>
        <s v="43155"/>
        <s v="43211"/>
        <s v="44001"/>
        <s v="4401"/>
        <s v="44011"/>
        <s v="4403"/>
        <s v="44031"/>
        <s v="44032"/>
        <s v="4409"/>
        <s v="44091"/>
        <s v="44102"/>
        <s v="4422"/>
        <s v="44220"/>
        <s v="44221"/>
        <s v="4440"/>
        <s v="44500"/>
        <s v="44501"/>
        <s v="44502"/>
        <s v="44510"/>
        <s v="4459"/>
        <s v="4460"/>
        <s v="4476"/>
        <s v="4490"/>
        <s v="44902"/>
        <s v="44903"/>
        <s v="44904"/>
        <s v="44906"/>
        <s v="44907"/>
        <s v="449071"/>
        <s v="44908"/>
        <s v="449083"/>
        <s v="44909"/>
        <s v="4494"/>
        <s v="4496"/>
        <s v="4497"/>
        <s v="44970"/>
        <s v="44972"/>
        <s v="44973"/>
        <s v="44980"/>
        <s v="44983"/>
        <s v="4499"/>
        <s v="44990"/>
        <s v="4512"/>
        <s v="4560"/>
        <s v="4562"/>
        <s v="4600"/>
        <s v="4640"/>
        <s v="4660"/>
        <s v="4691"/>
        <s v="4741"/>
        <s v="4750"/>
      </sharedItems>
    </cacheField>
    <cacheField name="[fActualAndBudget].[ReportType].[ReportType]" caption="ReportType" numFmtId="0" hierarchy="31" level="1">
      <sharedItems containsSemiMixedTypes="0" containsNonDate="0" containsString="0"/>
    </cacheField>
    <cacheField name="[Measures].[Sum of Износ]" caption="Sum of Износ" numFmtId="0" hierarchy="144" level="32767"/>
    <cacheField name="[fActualAndBudget].[Ставка].[Ставка]" caption="Ставка" numFmtId="0" hierarchy="32" level="1">
      <sharedItems containsNonDate="0" count="130">
        <s v="POTRO[.KANCELARISKI MATERIJAL"/>
        <s v="POTRO[.MATER.ZA TEKOVNO ODR@UVAWE"/>
        <s v="POTRO[.MATER.ZA HIGIENA"/>
        <s v="POTR.SRED.ZA ZA[TITA PRI RAB.-RAB.(OBLEKA I OBUVKI"/>
        <s v="POTRO[.DR.MATERIJAL"/>
        <s v="POTR.ELEKT.ENERGIJA"/>
        <s v="POTRO[.NAFTA"/>
        <s v="POTRO[ENO GORIVO AK 210 SV"/>
        <s v="POTRO[ENO GORVO SK 2082 AI"/>
        <s v="POTRO[ENO GORIVO SK 2083 AI"/>
        <s v="POTRO[ENO GORIVO SK 2084 AI"/>
        <s v="POTRO[ENO GORIVO SK 2085 AI"/>
        <s v="POTRO[ENO GORIVO SK 783 OC"/>
        <s v="POTRO[ENO GORIVO SK 782 OC"/>
        <s v="POTRO[ENO GORIVO SK 0601 АС"/>
        <s v="POTRO[ENO GORIVO SK 0602 АС"/>
        <s v="POTRO[ENO GORIVO SK 0603 АС"/>
        <s v="POTRO[ENO GORIVO SK 0604 АС"/>
        <s v="POTRO[ENO GORIVO SK 0605 АС"/>
        <s v="POTRO[ENO GORIVO SK 0606 АС"/>
        <s v="POTRO[ENO GORIVO SK 0607 АС"/>
        <s v="POTRO[ENO GORIVO SK 0608 АС"/>
        <s v="POTRO[ENO GORIVO SK 0609 АС"/>
        <s v="POTRO[ENO GORIVO SK 0610 АС"/>
        <s v="POTRO[ENO GORIVO SK 0611 АС"/>
        <s v="POTR.REZERVNI DELOVI ZA TEKOVNO ODR@UV."/>
        <s v="DRUGI POTRO[ENI REZEVRNI DELOVI"/>
        <s v="OTPIS NA SITEN INVENTAR VO UPOTREBA"/>
        <s v="OTPIS NA AVTOGUMI VO UPOTREBA"/>
        <s v="TAKSI PREVOZ"/>
        <s v="DR.TRANSPORTNI USLUGI"/>
        <s v="TRO[.ZA TELEKOMUNIKACII"/>
        <s v="TRO[.ZA INTERNET"/>
        <s v="TRO[.ZA MOBILNA TELEFONIJA"/>
        <s v="PO[TENSKI USLUGI"/>
        <s v="PO[TENSKI USLUGI PRATKI DO 50 GRAMA"/>
        <s v="OSTANATI NADVORE[.USLUGI"/>
        <s v="NADVORE[NI USLUGI -TRO[OCI KONFERENCIJA CRF"/>
        <s v="TEKOVNO ODR@UVAWE NA DR.NEDVI@NOSTI I OPREMA"/>
        <s v="USLUGI ZA INVESTICIONO ODR@UVAWE"/>
        <s v="DR.USLUGI ZA ODR@UVAWE I ZA[TITA"/>
        <s v="USL.ZA TEKOV.ODR@.NA GRADE@NI OBJEKTI"/>
        <s v="USL.ZA TEKOV.ODR@.NA OPREMA"/>
        <s v="USL.ZA TEKOV.ODR@UV.NA OPREMA ZA AOP"/>
        <s v="USL.ZA TEKOV.ODR@U.NA NEMATERIJALNI VLO@.(LICENCI)"/>
        <s v="USL.ZA ODR@UV.NA HIGIENA VO PROSTORII"/>
        <s v="USL.ZA INVESTICIONO ODR@UV."/>
        <s v="OSTANATI USL.ZA ODR@UVAWE"/>
        <s v="NAEMNINA ZA NEDVI@NOSTI - ZAKUP OD PRAVNO LICE"/>
        <s v="RENTA- KAR TRO[OCI"/>
        <s v="TRO[OCI ZA VODA"/>
        <s v="TRO[OCI ZA SMET"/>
        <s v="TRO[.ZA ODR@UV.NA ZELENILO"/>
        <s v="TRO[.ZA GARA@IRAWE I PARKING"/>
        <s v="TRO[.ZA DERATIZ.I DEZINFEK."/>
        <s v="TRO[.ZA REKLAMI,PROPAG.I PROMOC."/>
        <s v="OSTANATI TRO[OCI ZA SNIMAWE, FOTO, IKEBANI"/>
        <s v="OGLASI VO PE^ATENI MEDIUMI"/>
        <s v="TRO[OCI ZA PROMOCIJA-ORGANIZIRAWE NA CRF 2019"/>
        <s v="OSTANATI NESPOM.TRO[OCI"/>
        <s v="USL.ZA SOVETUV.I SEMINAR"/>
        <s v="USLUGI ZA STRU^NO USOVR[.I OBUKA"/>
        <s v="INTELEKTUALNI USLUGI"/>
        <s v="ZDRAVSTVENI USLUGI"/>
        <s v="BRUTO PLATA I NADOMESTOCI ZA PLATA ZA PROIZVODSTVO"/>
        <s v="PLATA I NADOMESTOCI NA PLATA-BRUTO"/>
        <s v="OTPREMN.ZA ODEWE VO PENZIJA"/>
        <s v="NAGRADI NA VRABOTENI PO OSNOV OCENUVAWE I DR."/>
        <s v="REGRES ZA GOD.ODMOR"/>
        <s v="POMO[ NA SEMEJSTVO VO SLU^AJ NA BOLEST I SMRT"/>
        <s v="NADOMEST PO OSNOV NA BOLEDUVAWE"/>
        <s v="AMORTIZACIJA NA SOFTVER 0030"/>
        <s v="AMORTIZACIJA NA SOFTVER 0031"/>
        <s v="DEPRECIJACIJA NA GRAD. OBJEKTI SOPSTVENI"/>
        <s v="DEPRECIJACIJA NA GRAD. OBJEKTI (SREDSTVA NA KORISTEWE)"/>
        <s v="DEPRECIJACIJA NA TRANSPORTNI SREDSTVA"/>
        <s v="DEPRECIJACIJA NA TELEKOMUNIKACISKI UREDI"/>
        <s v="DEPRECIJACIJA NA KOMPJUTERSKA OPREMA 01341"/>
        <s v="DEPRECIJACIJA NA KANCELARISKI MEBEL 01363"/>
        <s v="DEPRECIJACIJA NA MED.UREDI - DEFIBR. 01391"/>
        <s v="DEPRECIJACIJA NA VLO@UVAWE VO TU\I NEDVI@NOSTI"/>
        <s v="DEPRECIJACIJA NA GRADE@NI OBJEKTI 01100"/>
        <s v="DNEVNICI ZA SLU@BENI PATUVAWA VO STRANSTVO"/>
        <s v="PATNI TRO[OCI VO ZEMJA"/>
        <s v="PATNI TRO[OCI ZA SLU@BENI PATUVAWA VO STRANSTVO"/>
        <s v="NADOMEST ZA NO]EVAWE VO ZEMJA"/>
        <s v="SMESTUVAWE NA NA[I VRABOTENI"/>
        <s v="NADOMEST ZA NO]EVAWE VO STRANSTVO"/>
        <s v="OSTANATI NESPOMNATI TRO[OCI"/>
        <s v="TRO[OCI ZA SPORT I REKREACIJA NA VRABOTENI"/>
        <s v="NADOMEST ZA ODVOEN @IVOT"/>
        <s v="NADOM.ZA ^L.NA UPRAVEN ODBOR"/>
        <s v="NADOM.ZA ^L.NA KOMISIA ZA @ALBI"/>
        <s v="NADOM.ZA KOMISIA ZA STRU^EN ISPIT"/>
        <s v="TRO[.ZA REPREZENTACIA"/>
        <s v="PREMIJA ZA OSIGUR.NA GRADE@NI OBJEKTI"/>
        <s v="PREMIJA ZA OSIGUR.NA TRANSPORTNI SRED."/>
        <s v="PREMIJA ZA OSIGUR.NA KOMPJUTERSKA OPREMA"/>
        <s v="PREMIJA ZA OSIGUR.OD PROF.ODG.ZA [TETI PR.TRETI LICA"/>
        <s v="DR.PREMIJI ZA OSIGURUVAWE"/>
        <s v="BANKARSKI USLUGI I TRO[OCI ZA PLATEN PROMET"/>
        <s v="^LANARINA"/>
        <s v="TRO[OCI ZA INTELEKTUALNI USLUGI"/>
        <s v="PRAVNI,ADVOKATSKI I NOTARSKI USLUGI"/>
        <s v="USLUGI ZA REVIZIJA I PROCENKA"/>
        <s v="USLUGI ZA PREPISI I PREVODI"/>
        <s v="AVTORSKI HONORARI"/>
        <s v="DRUGI DOGOVORNI USLUGI"/>
        <s v="AGENCIJA ZA PRIVREMENI VRABOTUVAWA"/>
        <s v="ZAEDN.TRO[OCI SO NBR"/>
        <s v="TRO[.ZA DOGOVOR ZA DELO"/>
        <s v="DRUGI INTELEKTUALNI USLUGI"/>
        <s v="TRO[.ZA PRETPL.NA VESNICI I STRU^NI SPISANIA"/>
        <s v="KOPIRAWE,PE^ATEWE,POVRZUV.I IZDAVAWE"/>
        <s v="SUDSKI TRO[OCI"/>
        <s v="TRO[.ZA REGISTR.NA VOZILO"/>
        <s v="SERVISIRAWE I POPRAVKA NA VOZILO"/>
        <s v="DR.TRO[OCI NA VOZILO"/>
        <s v="TRO[OCI ZA PATARINA"/>
        <s v="DR.NESPOMNATI NEMATERIJALNI TRO[OCI"/>
        <s v="DADENA PARI^NA POMO[ NA FIZI^KI LICA"/>
        <s v="VREDNOSNO USOGLASUVAWE NA POSTROJKI I OPREMA"/>
        <s v="VREDN.USOGL.NA SUROVINI I MATERIJALI"/>
        <s v="VREDN.USOGL.NA SITEN INVENTAR I AVTOGUMI"/>
        <s v="ZAGUBI VRZ OSNOVA NA RASHODUVAWE NA NEM.I MAT.SRED"/>
        <s v="NAPRAVENI KUSOCI"/>
        <s v="RASHOD OD PORANE[NI GODINI"/>
        <s v="OSTANATI RASHODI OD RABOTEWE"/>
        <s v="ZATEZNA KAMATA"/>
        <s v="KURSNA RAZLIKA"/>
      </sharedItems>
    </cacheField>
    <cacheField name="[Calendar].[Година].[Година]" caption="Година" numFmtId="0" hierarchy="8" level="1">
      <sharedItems containsSemiMixedTypes="0" containsNonDate="0" containsString="0"/>
    </cacheField>
    <cacheField name="[Calendar].[Месец].[Месец]" caption="Месец" numFmtId="0" hierarchy="10" level="1">
      <sharedItems count="10">
        <s v="Jan"/>
        <s v="Feb"/>
        <s v="Mar"/>
        <s v="Apr"/>
        <s v="May"/>
        <s v="Jun"/>
        <s v="Jul"/>
        <s v="Aug"/>
        <s v="Sep"/>
        <s v="Oct" u="1"/>
      </sharedItems>
    </cacheField>
    <cacheField name="[fActualAndBudget].[ObrazecIme].[ObrazecIme]" caption="ObrazecIme" numFmtId="0" hierarchy="40"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7"/>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8"/>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3"/>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6"/>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9"/>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5"/>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51620373" createdVersion="6" refreshedVersion="6" minRefreshableVersion="3" recordCount="0" supportSubquery="1" supportAdvancedDrill="1" xr:uid="{00000000-000A-0000-FFFF-FFFF17000000}">
  <cacheSource type="external" connectionId="25"/>
  <cacheFields count="5">
    <cacheField name="[fActualAndBudget].[Конто].[Конто]" caption="Конто" numFmtId="0" hierarchy="28" level="1">
      <sharedItems containsSemiMixedTypes="0" containsNonDate="0" containsString="0"/>
    </cacheField>
    <cacheField name="[Measures].[Sum of Износ]" caption="Sum of Износ" numFmtId="0" hierarchy="144" level="32767"/>
    <cacheField name="[Calendar].[Месец].[Месец]" caption="Месец" numFmtId="0" hierarchy="10" level="1">
      <sharedItems count="12">
        <s v="Jan"/>
        <s v="Feb"/>
        <s v="Mar"/>
        <s v="Apr"/>
        <s v="May"/>
        <s v="Jun"/>
        <s v="Jul"/>
        <s v="Aug"/>
        <s v="Sep"/>
        <s v="Oct"/>
        <s v="Nov"/>
        <s v="Dec"/>
      </sharedItems>
    </cacheField>
    <cacheField name="[Calendar].[Година].[Година]" caption="Година" numFmtId="0" hierarchy="8" level="1">
      <sharedItems containsSemiMixedTypes="0" containsNonDate="0" containsString="0"/>
    </cacheField>
    <cacheField name="[fActualAndBudget].[ReportType].[ReportType]" caption="ReportType" numFmtId="0" hierarchy="31"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2"/>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0"/>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4"/>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1"/>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57175923" createdVersion="5" refreshedVersion="6" minRefreshableVersion="3" recordCount="0" supportSubquery="1" supportAdvancedDrill="1" xr:uid="{00000000-000A-0000-FFFF-FFFF18000000}">
  <cacheSource type="external" connectionId="25"/>
  <cacheFields count="11">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Measures].[Sum of Износ]" caption="Sum of Износ" numFmtId="0" hierarchy="144" level="32767"/>
    <cacheField name="[Calendar].[Година].[Година]" caption="Година" numFmtId="0" hierarchy="8" level="1">
      <sharedItems containsSemiMixedTypes="0" containsString="0" containsNumber="1" containsInteger="1" minValue="2018" maxValue="2020" count="3">
        <n v="2018"/>
        <n v="2019"/>
        <n v="2020"/>
      </sharedItems>
      <extLst>
        <ext xmlns:x15="http://schemas.microsoft.com/office/spreadsheetml/2010/11/main" uri="{4F2E5C28-24EA-4eb8-9CBF-B6C8F9C3D259}">
          <x15:cachedUniqueNames>
            <x15:cachedUniqueName index="0" name="[Calendar].[Година].&amp;[2018]"/>
            <x15:cachedUniqueName index="1" name="[Calendar].[Година].&amp;[2019]"/>
            <x15:cachedUniqueName index="2" name="[Calendar].[Година].&amp;[2020]"/>
          </x15:cachedUniqueNames>
        </ext>
      </extLst>
    </cacheField>
    <cacheField name="[fActualAndBudget].[ObrazecIme].[ObrazecIme]" caption="ObrazecIme" numFmtId="0" hierarchy="40" level="1">
      <sharedItems containsSemiMixedTypes="0" containsNonDate="0" containsString="0"/>
    </cacheField>
    <cacheField name="[fActualAndBudget].[StavkaImeAOP].[StavkaImeAOP]" caption="StavkaImeAOP" numFmtId="0" hierarchy="43" level="1">
      <sharedItems count="44">
        <s v="3.1.1 - Приходи од заложен регистар"/>
        <s v="3.1.10 - Приходи од регионален портал и регистар на вистински сопственици"/>
        <s v="3.1.11 - Приходи од прекршочна постапка"/>
        <s v="3.1.12 - Приходи од интернет дистрибутивен систем"/>
        <s v="3.1.13 - Приходи од странство"/>
        <s v="3.1.14 - Приходи од регистар на задолжница"/>
        <s v="3.1.2 - Приходи од годишни сметки"/>
        <s v="3.1.4 - Приходи од Регистар на резиденти и нерезиденти"/>
        <s v="3.1.5 - Приходи од Регистар на лизинг"/>
        <s v="3.1.6 - Приходи од регистар на недвижности"/>
        <s v="3.1.7 - Приходи од трговски регистар"/>
        <s v="3.1.8 - Приходи од регистар на директни странски инвестиции"/>
        <s v="3.1.9 - Приходи од регистрите за кривични санкции, пресуди и др."/>
        <s v="3.2.1 - Приходи од камати"/>
        <s v="3.2.2 - Приходи од курсни разлики"/>
        <s v="3.2.3 - Други неспомнати приходи"/>
        <s v="3.2.4 - Капитална добивка од продажба на материјални и неметеријални средства"/>
        <s v="3.2.5 - Приходи од донации"/>
        <s v="3.2.6 - Приходи од продажба на подвижен имот"/>
        <s v="3.2.7 - Приходи од закуп"/>
        <s v="3.2.8 - Вонредни невообичаени приходи"/>
        <s v="4.1.1 - Потрошени суровини и материјали"/>
        <s v="4.1.10 - Амортизација по минимални стапки"/>
        <s v="4.1.11 - Надомест на трошоци на вработените, подароци и помошти"/>
        <s v="4.1.12 - Дневници за службени патувања и патни трошоци"/>
        <s v="4.1.13 - Трошоци за промоција,пропаганда, реклама, репрезентација и спонзорство"/>
        <s v="4.1.14 - Премии за осигурување"/>
        <s v="4.1.15 - Даноци,чланарини и други давачки кои не зависат од резултатот"/>
        <s v="4.1.16 - Банкарски услуги и трошоци за платен промет"/>
        <s v="4.1.17 - Лиценци за разни софтвери (едногодишни, обновливи)"/>
        <s v="4.1.19 - Останати нематеријални трошоци"/>
        <s v="4.1.2 - Потрoшена енергија и гориво за возила"/>
        <s v="4.1.3 - Потрошени резервни делови"/>
        <s v="4.1.4 - Потрошок на ситен инвентар и автогуми"/>
        <s v="4.1.5 - Транспортни услуги"/>
        <s v="4.1.6 - Надворешни услуги"/>
        <s v="4.1.7 - Услуги за одржување и заштита"/>
        <s v="4.1.8 - Наемнини и лизинг"/>
        <s v="4.1.9 - Останати услуги"/>
        <s v="4.2.2 - Казни, пенали и надомест на штети затезни камати"/>
        <s v="4.2.3 - Вредносно усогласување на тековни и нетековни средства"/>
        <s v="4.2.5 - Курсни разлики"/>
        <s v="4.2.6 - Загуби и кусоци"/>
        <s v="4.2.7 - Останати расходи"/>
      </sharedItems>
    </cacheField>
    <cacheField name="[fActualAndBudget].[ReportType].[ReportType]" caption="ReportType" numFmtId="0" hierarchy="31" level="1">
      <sharedItems count="3">
        <s v="Остварено"/>
        <s v="План"/>
        <s v="Предвидување"/>
      </sharedItems>
    </cacheField>
    <cacheField name="[fActualAndBudget].[StavkaGrupa].[StavkaGrupa]" caption="StavkaGrupa" numFmtId="0" hierarchy="35" level="1">
      <sharedItems count="4">
        <s v="3.1. Приходи од дејноста"/>
        <s v="3.2. Останати приходи"/>
        <s v="4.1. Расходи од дејноста"/>
        <s v="4.2. Останати расходи"/>
      </sharedItems>
    </cacheField>
    <cacheField name="[fActualAndBudget].[Конто Ставка].[Конто Ставка]" caption="Конто Ставка" numFmtId="0" hierarchy="44" level="1">
      <sharedItems count="94">
        <s v="43010 - "/>
        <s v="43011 - "/>
        <s v="43020 - "/>
        <s v="43030 - "/>
        <s v="43031 - "/>
        <s v="431001 - "/>
        <s v="431002 - "/>
        <s v="43132 - "/>
        <s v="43133 - "/>
        <s v="43134 - "/>
        <s v="43136 - "/>
        <s v="43139 - "/>
        <s v="43155 - "/>
        <s v="43211 - "/>
        <s v="40103 - POTRO[.KANCELARISKI MATERIJAL" u="1"/>
        <s v="40105 - POTRO[.MATER.ZA HIGIENA" u="1"/>
        <s v="40107 - POTR.SRED.ZA ZA[TITA PRI RAB.-RAB.(OBLEKA I OBUVKI" u="1"/>
        <s v="43030 - AMORTIZACIJA NA SOFTVER 0030" u="1"/>
        <s v="43031 - AMORTIZACIJA NA SOFTVER 0031" u="1"/>
        <s v="43132 - AMORTIZACIJA NA TRANSPORTNI SREDSTVA" u="1"/>
        <s v="43133 - AMORTIZACIJA NA TELEKOMUNIKACISKI UREDI" u="1"/>
        <s v="43136 - AMORTIZACIJA NA KANCELARISKI MEBEL 01363" u="1"/>
        <s v="43139 - AMORTIZACIJA NA MED.UREDI - DEFIBR. 01391" u="1"/>
        <s v="43155 - AMORTIZACIJA NA VLO@UVAWE VO TU\I NEDVI@NOSTI" u="1"/>
        <s v="4401 - PATNI TRO[OCI VO ZEMJA" u="1"/>
        <s v="44011 - PATNI TRO[OCI ZA SLU@BENI PATUVAWA VO STRANSTVO" u="1"/>
        <s v="4403 - NADOMEST ZA NO]EVAWE VO ZEMJA" u="1"/>
        <s v="44032 - NADOMEST ZA NO]EVAWE VO STRANSTVO" u="1"/>
        <s v="4170 - TRO[.ZA REKLAMI,PROPAG.I PROMOC." u="1"/>
        <s v="44500 - PREMIJA ZA OSIGUR.NA GRADE@NI OBJEKTI" u="1"/>
        <s v="44501 - PREMIJA ZA OSIGUR.NA TRANSPORTNI SRED." u="1"/>
        <s v="44502 - PREMIJA ZA OSIGUR.NA KOMPJUTERSKA OPREMA" u="1"/>
        <s v="4459 - DR.PREMIJI ZA OSIGURUVAWE" u="1"/>
        <s v="4476 - ^LANARINA" u="1"/>
        <s v="4460 - BANKARSKI USLUGI I TRO[OCI ZA PLATEN PROMET" u="1"/>
        <s v="41330 - USL.ZA TEKOV.ODR@U.NA NEMATERIJALNI VLO@.(LICENCI)" u="1"/>
        <s v="41733 - OSTANATI NESPOM.TRO[OCI" u="1"/>
        <s v="4440 - TRO[.ZA REPREZENTACIA" u="1"/>
        <s v="4494 - TRO[.ZA PRETPL.NA VESNICI I STRU^NI SPISANIA" u="1"/>
        <s v="4497 - SUDSKI TRO[OCI" u="1"/>
        <s v="4499 - DR.NESPOMNATI NEMATERIJALNI TRO[OCI" u="1"/>
        <s v="44990 - DADENA PARI^NA POMO[ NA FIZI^KI LICA" u="1"/>
        <s v="4030 - POTR.ELEKT.ENERGIJA" u="1"/>
        <s v="40304 - POTRO[.NAFTA" u="1"/>
        <s v="403102 - POTRO[ENO GORVO SK 2082 AI" u="1"/>
        <s v="403103 - POTRO[ENO GORIVO SK 2083 AI" u="1"/>
        <s v="403104 - POTRO[ENO GORIVO SK 2084 AI" u="1"/>
        <s v="403105 - POTRO[ENO GORIVO SK 2085 AI" u="1"/>
        <s v="4031601 - POTRO[ENO GORIVO SK 0601 АС" u="1"/>
        <s v="4031602 - POTRO[ENO GORIVO SK 0602 АС" u="1"/>
        <s v="4031603 - POTRO[ENO GORIVO SK 0603 АС" u="1"/>
        <s v="4031604 - POTRO[ENO GORIVO SK 0604 АС" u="1"/>
        <s v="4031605 - POTRO[ENO GORIVO SK 0605 АС" u="1"/>
        <s v="4031606 - POTRO[ENO GORIVO SK 0606 АС" u="1"/>
        <s v="4031607 - POTRO[ENO GORIVO SK 0607 АС" u="1"/>
        <s v="4031608 - POTRO[ENO GORIVO SK 0608 АС" u="1"/>
        <s v="4031609 - POTRO[ENO GORIVO SK 0609 АС" u="1"/>
        <s v="4031610 - POTRO[ENO GORIVO SK 0610 АС" u="1"/>
        <s v="4031611 - POTRO[ENO GORIVO SK 0611 АС" u="1"/>
        <s v="4051 - POTR.REZERVNI DELOVI ZA TEKOVNO ODR@UV." u="1"/>
        <s v="4080 - OTPIS NA SITEN INVENTAR VO UPOTREBA" u="1"/>
        <s v="4081 - OTPIS NA AVTOGUMI VO UPOTREBA" u="1"/>
        <s v="4104 - TAKSI PREVOZ" u="1"/>
        <s v="4106 - DR.TRANSPORTNI USLUGI" u="1"/>
        <s v="41101 - TRO[.ZA TELEKOMUNIKACII" u="1"/>
        <s v="41102 - TRO[.ZA INTERNET" u="1"/>
        <s v="41103 - TRO[.ZA MOBILNA TELEFONIJA" u="1"/>
        <s v="4111 - PO[TENSKI USLUGI" u="1"/>
        <s v="4113 - OSTANATI NADVORE[.USLUGI" u="1"/>
        <s v="41500 - TRO[OCI ZA VODA" u="1"/>
        <s v="41501 - TRO[OCI ZA SMET" u="1"/>
        <s v="41502 - TRO[.ZA ODR@UV.NA ZELENILO" u="1"/>
        <s v="41503 - TRO[.ZA GARA@IRAWE I PARKING" u="1"/>
        <s v="41700 - OSTANATI TRO[OCI ZA SNIMAWE, FOTO, IKEBANI" u="1"/>
        <s v="41701 - OGLASI VO PE^ATENI MEDIUMI" u="1"/>
        <s v="4131 - USL.ZA TEKOV.ODR@.NA GRADE@NI OBJEKTI" u="1"/>
        <s v="4132 - USL.ZA TEKOV.ODR@.NA OPREMA" u="1"/>
        <s v="4133 - USL.ZA TEKOV.ODR@UV.NA OPREMA ZA AOP" u="1"/>
        <s v="4134 - USL.ZA ODR@UV.NA HIGIENA VO PROSTORII" u="1"/>
        <s v="4139 - OSTANATI USL.ZA ODR@UVAWE" u="1"/>
        <s v="4143 - NAEMNINA ZA NEDVI@NOSTI - ZAKUP OD PRAVNO LICE" u="1"/>
        <s v="41931 - INTELEKTUALNI USLUGI" u="1"/>
        <s v="44902 - PRAVNI,ADVOKATSKI I NOTARSKI USLUGI" u="1"/>
        <s v="44903 - USLUGI ZA REVIZIJA I PROCENKA" u="1"/>
        <s v="44904 - USLUGI ZA PREPISI I PREVODI" u="1"/>
        <s v="44907 - DRUGI DOGOVORNI USLUGI" u="1"/>
        <s v="44908 - ZAEDN.TRO[OCI SO NBR" u="1"/>
        <s v="44909 - DRUGI INTELEKTUALNI USLUGI" u="1"/>
        <s v="4496 - KOPIRAWE,PE^ATEWE,POVRZUV.I IZDAVAWE" u="1"/>
        <s v="44970 - TRO[.ZA REGISTR.NA VOZILO" u="1"/>
        <s v="44972 - SERVISIRAWE I POPRAVKA NA VOZILO" u="1"/>
        <s v="44973 - DR.TRO[OCI NA VOZILO" u="1"/>
        <s v="44980 - TRO[OCI ZA PATARINA" u="1"/>
        <s v="4660 - RASHOD OD PORANE[NI GODINI" u="1"/>
      </sharedItems>
    </cacheField>
    <cacheField name="[fActualAndBudget].[StavkaKategorija].[StavkaKategorija]" caption="StavkaKategorija" numFmtId="0" hierarchy="36"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4"/>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7"/>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2" memberValueDatatype="130" unbalanced="0">
      <fieldsUsage count="2">
        <fieldUsage x="-1"/>
        <fieldUsage x="8"/>
      </fieldsUsage>
    </cacheHierarchy>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10"/>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5"/>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fieldsUsage count="2">
        <fieldUsage x="-1"/>
        <fieldUsage x="6"/>
      </fieldsUsage>
    </cacheHierarchy>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2" memberValueDatatype="130" unbalanced="0">
      <fieldsUsage count="2">
        <fieldUsage x="-1"/>
        <fieldUsage x="9"/>
      </fieldsUsage>
    </cacheHierarchy>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3"/>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61574072" createdVersion="5" refreshedVersion="6" minRefreshableVersion="3" recordCount="0" supportSubquery="1" supportAdvancedDrill="1" xr:uid="{00000000-000A-0000-FFFF-FFFF19000000}">
  <cacheSource type="external" connectionId="25"/>
  <cacheFields count="10">
    <cacheField name="[fActualAndBudget].[ObrazecIme].[ObrazecIme]" caption="ObrazecIme" numFmtId="0" hierarchy="40" level="1">
      <sharedItems containsSemiMixedTypes="0" containsNonDate="0" containsString="0"/>
    </cacheField>
    <cacheField name="[fActualAndBudget].[ReportType].[ReportType]" caption="ReportType" numFmtId="0" hierarchy="31" level="1">
      <sharedItems count="1">
        <s v="План"/>
      </sharedItems>
    </cacheField>
    <cacheField name="[OPEXAnaliza].[ObrazecIme].[ObrazecIme]" caption="ObrazecIme" numFmtId="0" hierarchy="93" level="1">
      <sharedItems containsSemiMixedTypes="0" containsNonDate="0" containsString="0"/>
    </cacheField>
    <cacheField name="[Measures].[Sum of Износ]" caption="Sum of Износ" numFmtId="0" hierarchy="144" level="32767"/>
    <cacheField name="[Calendar].[Date Hierarchy].[Year]" caption="Year" numFmtId="0" hierarchy="7" level="1">
      <sharedItems containsSemiMixedTypes="0" containsString="0" containsNumber="1" containsInteger="1" minValue="2022" maxValue="2022" count="1">
        <n v="2022"/>
      </sharedItems>
      <extLst>
        <ext xmlns:x15="http://schemas.microsoft.com/office/spreadsheetml/2010/11/main" uri="{4F2E5C28-24EA-4eb8-9CBF-B6C8F9C3D259}">
          <x15:cachedUniqueNames>
            <x15:cachedUniqueName index="0" name="[Calendar].[Date Hierarchy].[Year].&amp;[2022]"/>
          </x15:cachedUniqueNames>
        </ext>
      </extLst>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StavkaKategorija].[StavkaKategorija]" caption="StavkaKategorija" numFmtId="0" hierarchy="36" level="1">
      <sharedItems count="8">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7. Останати оперативни расходи"/>
        <s v="2.40. Приходи од финансирање"/>
        <s v="2.41. Расходи од финансирање"/>
      </sharedItems>
    </cacheField>
    <cacheField name="[fActualAndBudget].[Конто].[Конто]" caption="Конто" numFmtId="0" hierarchy="28" level="1">
      <sharedItems count="144">
        <s v="74001"/>
        <s v="74002"/>
        <s v="74003"/>
        <s v="74004"/>
        <s v="74011"/>
        <s v="74021"/>
        <s v="74023"/>
        <s v="74024"/>
        <s v="74025"/>
        <s v="74031"/>
        <s v="74032"/>
        <s v="74033"/>
        <s v="74034"/>
        <s v="74035"/>
        <s v="74036"/>
        <s v="74037"/>
        <s v="74038"/>
        <s v="74041"/>
        <s v="74042"/>
        <s v="74043"/>
        <s v="74044"/>
        <s v="74051"/>
        <s v="74052"/>
        <s v="74053"/>
        <s v="7406"/>
        <s v="740611"/>
        <s v="740615"/>
        <s v="740616"/>
        <s v="740641"/>
        <s v="740642"/>
        <s v="740643"/>
        <s v="740644"/>
        <s v="74071"/>
        <s v="74072"/>
        <s v="74082"/>
        <s v="7409"/>
        <s v="7420"/>
        <s v="7672"/>
        <s v="76721"/>
        <s v="7690"/>
        <s v="7799"/>
        <s v="40103"/>
        <s v="40105"/>
        <s v="40107"/>
        <s v="4030"/>
        <s v="40304"/>
        <s v="403102"/>
        <s v="403103"/>
        <s v="403104"/>
        <s v="403105"/>
        <s v="4031601"/>
        <s v="4031602"/>
        <s v="4031603"/>
        <s v="4031604"/>
        <s v="4031605"/>
        <s v="4031606"/>
        <s v="4031607"/>
        <s v="4031608"/>
        <s v="4031609"/>
        <s v="4031610"/>
        <s v="4031611"/>
        <s v="4051"/>
        <s v="4080"/>
        <s v="4081"/>
        <s v="4200"/>
        <s v="4220"/>
        <s v="42222"/>
        <s v="4223"/>
        <s v="4224"/>
        <s v="43030"/>
        <s v="43031"/>
        <s v="431001"/>
        <s v="431002"/>
        <s v="43132"/>
        <s v="43133"/>
        <s v="43134"/>
        <s v="43136"/>
        <s v="43139"/>
        <s v="43155"/>
        <s v="4104"/>
        <s v="4106"/>
        <s v="41101"/>
        <s v="41102"/>
        <s v="41103"/>
        <s v="4111"/>
        <s v="41111"/>
        <s v="4113"/>
        <s v="4131"/>
        <s v="4132"/>
        <s v="4133"/>
        <s v="41330"/>
        <s v="4134"/>
        <s v="4139"/>
        <s v="4143"/>
        <s v="41500"/>
        <s v="41501"/>
        <s v="41502"/>
        <s v="41503"/>
        <s v="4170"/>
        <s v="41700"/>
        <s v="41701"/>
        <s v="41733"/>
        <s v="41921"/>
        <s v="41925"/>
        <s v="41931"/>
        <s v="41934"/>
        <s v="44001"/>
        <s v="4401"/>
        <s v="44011"/>
        <s v="4403"/>
        <s v="44032"/>
        <s v="44091"/>
        <s v="4422"/>
        <s v="44220"/>
        <s v="4440"/>
        <s v="44500"/>
        <s v="44501"/>
        <s v="44502"/>
        <s v="44510"/>
        <s v="4459"/>
        <s v="4460"/>
        <s v="4476"/>
        <s v="44902"/>
        <s v="44903"/>
        <s v="44904"/>
        <s v="44907"/>
        <s v="449071"/>
        <s v="44908"/>
        <s v="449083"/>
        <s v="4494"/>
        <s v="4496"/>
        <s v="4497"/>
        <s v="44970"/>
        <s v="44972"/>
        <s v="44973"/>
        <s v="44980"/>
        <s v="4499"/>
        <s v="44990"/>
        <s v="7709"/>
        <s v="7710"/>
        <s v="7743"/>
        <s v="7751"/>
        <s v="4660"/>
        <s v="4750"/>
      </sharedItems>
    </cacheField>
    <cacheField name="[fActualAndBudget].[Назив на конто].[Назив на конто]" caption="Назив на конто" numFmtId="0" hierarchy="29" level="1">
      <sharedItems containsNonDate="0" containsString="0" containsBlank="1" count="1">
        <m/>
      </sharedItems>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4"/>
        <fieldUsage x="5"/>
        <fieldUsage x="6"/>
      </fieldsUsage>
    </cacheHierarchy>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8"/>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2" memberValueDatatype="130" unbalanced="0">
      <fieldsUsage count="2">
        <fieldUsage x="-1"/>
        <fieldUsage x="9"/>
      </fieldsUsage>
    </cacheHierarchy>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1"/>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7"/>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0"/>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2" memberValueDatatype="130" unbalanced="0">
      <fieldsUsage count="2">
        <fieldUsage x="-1"/>
        <fieldUsage x="2"/>
      </fieldsUsage>
    </cacheHierarchy>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3"/>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ela Sazdova - Doneva" refreshedDate="44523.444762615742" createdVersion="5" refreshedVersion="6" minRefreshableVersion="3" recordCount="1045" xr:uid="{00000000-000A-0000-FFFF-FFFF1A000000}">
  <cacheSource type="worksheet">
    <worksheetSource name="Javni_nabavki"/>
  </cacheSource>
  <cacheFields count="5">
    <cacheField name="Предмет на јавна набавка" numFmtId="0">
      <sharedItems count="219" longText="1">
        <s v="Отпремнина за пензија"/>
        <s v="Услуги за советувања и семинари"/>
        <s v="Услуги за стручно усовршување и обуки"/>
        <s v="Систематски прегледи"/>
        <s v="Агенција за привремени вработувања"/>
        <s v="Трошоци за спорт и рекреација на вработени"/>
        <s v="Договор на дело"/>
        <s v="Регрес за годишен одмор"/>
        <s v="ZAEDN.TRO[OCI SO NBR"/>
        <s v="USLUGI ZA REVIZIJA I PROCENKA"/>
        <s v="USLUGI ZA PREPISI I PREVODI"/>
        <s v="USL.ZA TEKOV.ODR@UV.NA OPREMA ZA AOP"/>
        <s v="USL.ZA TEKOV.ODR@.NA OPREMA"/>
        <s v="USL.ZA TEKOV.ODR@.NA GRADE@NI OBJEKTI"/>
        <s v="USL.ZA ODR@UV.NA HIGIENA VO PROSTORII"/>
        <s v="TRO[OCI ZA VODA"/>
        <s v="TRO[OCI ZA SMET"/>
        <s v="TRO[.ZA TELEKOMUNIKACII"/>
        <s v="TRO[.ZA REPREZENTACIA"/>
        <s v="TRO[.ZA REKLAMI,PROPAG.I PROMOC."/>
        <s v="TRO[.ZA REGISTR.NA VOZILO"/>
        <s v="TRO[.ZA PRETPL.NA VESNICI I STRU^NI SPISANIA"/>
        <s v="TRO[.ZA ODR@UV.NA ZELENILO"/>
        <s v="TRO[.ZA MOBILNA TELEFONIJA"/>
        <s v="TRO[.ZA INTERNET"/>
        <s v="TRO[.ZA GARA@IRAWE I PARKING"/>
        <s v="TAKSI PREVOZ"/>
        <s v="SUDSKI TRO[OCI"/>
        <s v="SERVISIRAWE I POPRAVKA NA VOZILO"/>
        <s v="PREMIJA ZA OSIGUR.OD PROF.ODG.ZA [TETI PR.TRETI LICA"/>
        <s v="PREMIJA ZA OSIGUR.NA TRANSPORTNI SRED."/>
        <s v="PREMIJA ZA OSIGUR.NA KOMPJUTERSKA OPREMA"/>
        <s v="PREMIJA ZA OSIGUR.NA GRADE@NI OBJEKTI"/>
        <s v="PRAVNI,ADVOKATSKI I NOTARSKI USLUGI"/>
        <s v="POTRO[.NAFTA"/>
        <s v="POTRO[.MATER.ZA HIGIENA"/>
        <s v="POTRO[.KANCELARISKI MATERIJAL"/>
        <s v="POTRO[ENO GORVO SK 2082 AI"/>
        <s v="POTRO[ENO GORIVO SK 2083 AI"/>
        <s v="POTRO[ENO GORIVO SK 2084 AI"/>
        <s v="POTRO[ENO GORIVO SK 2085 AI"/>
        <s v="POTRO[ENO GORIVO SK 0601 АС"/>
        <s v="POTRO[ENO GORIVO SK 0602 АС"/>
        <s v="POTRO[ENO GORIVO SK 0603 АС"/>
        <s v="POTRO[ENO GORIVO SK 0604 АС"/>
        <s v="POTRO[ENO GORIVO SK 0605 АС"/>
        <s v="POTRO[ENO GORIVO SK 0606 АС"/>
        <s v="POTRO[ENO GORIVO SK 0607 АС"/>
        <s v="POTRO[ENO GORIVO SK 0608 АС"/>
        <s v="POTRO[ENO GORIVO SK 0609 АС"/>
        <s v="POTRO[ENO GORIVO SK 0610 АС"/>
        <s v="POTRO[ENO GORIVO SK 0611 АС"/>
        <s v="POTR.REZERVNI DELOVI ZA TEKOVNO ODR@UV."/>
        <s v="POTR.ELEKT.ENERGIJA"/>
        <s v="PO[TENSKI USLUGI"/>
        <s v="PATNI TRO[OCI ZA SLU@BENI PATUVAWA VO STRANSTVO"/>
        <s v="PATNI TRO[OCI VO ZEMJA"/>
        <s v="OTPIS NA SITEN INVENTAR VO UPOTREBA"/>
        <s v="OTPIS NA AVTOGUMI VO UPOTREBA"/>
        <s v="OSTANATI TRO[OCI ZA SNIMAWE, FOTO, IKEBANI"/>
        <s v="OSTANATI NESPOM.TRO[OCI"/>
        <s v="OGLASI VO PE^ATENI MEDIUMI"/>
        <s v="NAEMNINA ZA NEDVI@NOSTI - ZAKUP OD PRAVNO LICE"/>
        <s v="NADOMEST ZA NO]EVAWE VO ZEMJA"/>
        <s v="NADOMEST ZA NO]EVAWE VO STRANSTVO"/>
        <s v="KOPIRAWE,PE^ATEWE,POVRZUV.I IZDAVAWE"/>
        <s v="INTELEKTUALNI USLUGI"/>
        <s v="DRUGI DOGOVORNI USLUGI"/>
        <s v="DR.TRO[OCI NA VOZILO"/>
        <s v="DR.PREMIJI ZA OSIGURUVAWE"/>
        <s v="DR.NESPOMNATI NEMATERIJALNI TRO[OCI"/>
        <s v="DADENA PARI^NA POMO[ NA FIZI^KI LICA"/>
        <s v="BANKARSKI USLUGI I TRO[OCI ZA PLATEN PROMET"/>
        <s v="AMORTIZACIJA NA VLO@UVAWE VO TU\I NEDVI@NOSTI"/>
        <s v="AMORTIZACIJA NA TRANSPORTNI SREDSTVA"/>
        <s v="AMORTIZACIJA NA TELEKOMUNIKACISKI UREDI"/>
        <s v="AMORTIZACIJA NA SOFTVER 0031"/>
        <s v="AMORTIZACIJA NA SOFTVER 0030"/>
        <s v="AMORTIZACIJA NA MED.UREDI - DEFIBR. 01391"/>
        <s v="AMORTIZACIJA NA KOMPJUTERSKA OPREMA 01341"/>
        <s v="OSTANATI NADVORE[.USLUGI"/>
        <s v="AMORTIZACIJA NA KANCELARISKI MEBEL 01363"/>
        <s v="^LANARINA"/>
        <s v="TRO[OCI ZA PATARINA"/>
        <s v="DR.TRANSPORTNI USLUGI"/>
        <s v="POTR.SRED.ZA ZA[TITA PRI RAB.-RAB.(OBLEKA I OBUVKI"/>
        <s v="DEPRECIJACIJA NA GRAD. OBJEKTI SOPSTVENI"/>
        <s v="DEPRECIJACIJA NA GRAD. OBJEKTI SO PRAVO NA KORISTE"/>
        <s v="KURSNA RAZLIKA"/>
        <s v="RASHOD OD PORANE[NI GODINI"/>
        <s v="OSTANATI USL.ZA ODR@UVAWE"/>
        <s v="USL.ZA TEKOV.ODR@U.NA NEMATERIJALNI VLO@.(LICENCI)"/>
        <s v="AMORTIZACIJA NA PATENTI I LICENCI 0020"/>
        <s v="PO[TENSKI USLUGI PRATKI DO 50 GRAMA"/>
        <s v="2021-011 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
        <s v="2021-011 Софтверско решение за водење на порамнувања во регистар на годишни сметки за неподнесена завршна сметка - II фаза техничка спецификација"/>
        <s v="2021-011 Софтверско решение за водење на порамнувања во регистар на годишни сметки за неподнесена завршна сметка - III фаза испорака на софтверско решение"/>
        <s v="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
        <s v="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тест околина"/>
        <s v="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продукциска околина"/>
        <s v="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остаток од исплата по финално завршен проект"/>
        <s v="2019-006 Систем за сметководствена евиденција- напредно електронско решение "/>
        <s v="2019-007 Microsoft лиценци(од 2019 година план, 3 годишна, досега се платени 2 рати)"/>
        <s v="2021-010 Софтверско решение за активација на банкарската сметка преку ЕШС"/>
        <s v="2021-013 Градежно занатски работи во деловниот простор (СИТ) - во тек, ќе се плаќа во 2022"/>
        <s v="2021-014 Периферна компјутерска опрема проект од 2021"/>
        <s v="2022-001 Уреди за непрекинато напојување (УПС)"/>
        <s v="2022-002 Мрежно каблирање "/>
        <s v="2022-003 Надградба на Софтверско решение за управување со IT процеси"/>
        <s v="2022-004 Обнова на лиценци за виртуелизација"/>
        <s v="2022-005 Надградба на софтверско решение за водење на Регистарот на вистински сопственици"/>
        <s v="2022-006 Софтверско решение за генерирање извештаи"/>
        <s v="2022-007 Систем за складирање на податоци "/>
        <s v="2022-008 Обновување на услуги за поддршка - управување со компјутерска безбедност  - Q-radar"/>
        <s v="2021-016 Софтерско решение за заштита од малициозни софтверски програми и спам пораки со 3 години поддршка и лиценци за постоен систем за управување со краjни корисници"/>
        <s v="2022-012 Возобновување на регистар за залог и лизинг и други побарувања што се евидентираат во ЦР во Регистар на обезбедени трансакции"/>
        <s v="2022-013 Тековна состојба со додадена вредност - дополнително поле за издедена валидна дозвола за работа или лиценца"/>
        <s v="2022-015 Работни столици"/>
        <s v="2021-015 Надградба на информатичка инфраструктура"/>
        <s v="2022-016 Надградба и интеграција на Системот за централизирано управување на корисници (ЦМК) со Националниот систем за единствена најава (ССО)"/>
        <s v="2022-017 Градежни работи на објектите низ регионланилите канцеларии"/>
        <s v="2022-018 Клими"/>
        <s v="2021-017 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
        <s v="10 Обнова на лиценци за виртуелизација" u="1"/>
        <s v="2019-007 Microsoft лиценци(од 2019 година план, 3 годишна, досега се платена 2 рата)" u="1"/>
        <s v="2019-014 Набавка на софтвер (набавка на нови компоненти за потребите на проектите, специјализиран софтвер, сертификати за системите) SurveyMonkey, Verifalia, ApexSQL" u="1"/>
        <s v="2020-008 Метални каси - сефови за персонални досиеја на вработени и за чување на класифицирани информации" u="1"/>
        <s v="7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u="1"/>
        <s v="2022 - 010 Гаранција за критичната опрема во систем сали" u="1"/>
        <s v="2019-009 Скенери робусни/брзи со ADF и  flatbad" u="1"/>
        <s v="2019-002 Thin клиенти со монитори и лиценци за софтверски мониторинг" u="1"/>
        <s v="2022 -004 Обнова на лиценци за виртуелизација" u="1"/>
        <s v="2021-011 Софтверско решение за активација на банкарската сметка преку ЕШС" u="1"/>
        <s v="2022-014 Надградба на системот за е-потврди со листинг и скратен исказ од годишни сметки за сите видови на работа" u="1"/>
        <s v="POTRO[ENO GORIVO SK 782 OC" u="1"/>
        <s v="2021-003 Софтверско решение за водење на прекршочни постапки  Фаза 1" u="1"/>
        <s v="2021-003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u="1"/>
        <s v="2021-012 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u="1"/>
        <s v="6 Мрежно каблирање на регионални канцеларии" u="1"/>
        <s v="2020-004 Софтверско решение за управување со IT процеси" u="1"/>
        <s v="Обуки" u="1"/>
        <s v="9 Софтверско решение за управување со IT процеси" u="1"/>
        <s v="2019-010 Воведување на ЕТК со корисниците на услугите" u="1"/>
        <s v="2021-008 Работни столици" u="1"/>
        <s v="2021-014 Мрежнa опрема за Централа и РРК Скопје" u="1"/>
        <s v="2021-014 Мрежно опрема за Централа и РРК Скопје" u="1"/>
        <s v="2020-005 Сефови - метални каси" u="1"/>
        <s v="2020-008 Сефови - метални каси" u="1"/>
        <s v="POTRO[ENO GORIVO SK 783 OC" u="1"/>
        <s v="11 Софтерско решение за заштита од малициозни софтверски програми и спам пораки со 3 години поддршка и лиценци за постоен систем за управување со крани корисници" u="1"/>
        <s v="2020-004 Мебел - столици" u="1"/>
        <s v="2020-007 Мебел - столици" u="1"/>
        <s v="2020-001 Microsoft лиценци(од 2019 година план, 3 годишна, досега е платена 1 рата)" u="1"/>
        <s v="2019-012 Централизирана регистарска платформа" u="1"/>
        <s v="2020-001 Софтверски алатки за развој и администрација на SQL сервер" u="1"/>
        <s v="2020-006 Софтверски алатки за развој и администрација на SQL сервер" u="1"/>
        <s v="2022-017 Градежни работи на објектите низ регионланилите кнацеларии" u="1"/>
        <s v="2021-007 Софтерско решение за заштита од малициозни софтверски програми и спам пораки со 3 години поддршка и лиценци за постоен систем за управување со крани корисници" u="1"/>
        <s v="8 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 u="1"/>
        <s v="USL.ZA SOVETUV.I SEMINAR" u="1"/>
        <s v="Надомест за ноќевање во странство" u="1"/>
        <s v="2021-005 Софтверско решение за управување со IT процеси" u="1"/>
        <s v="2019-016 Опремување на заеднички простории во нов деловен објект" u="1"/>
        <s v="2019-011 Набавка на решение за обединети комуникации (IP телефонија, call центар и др.) и надградба на серверска инфраструктура" u="1"/>
        <s v="2021-2013 Градежно занатски работи во деловниот простор (СИТ)" u="1"/>
        <s v="2021-001 Компјутерска опрема" u="1"/>
        <s v="2021-010 Софтверско решение за водење на прекршочни постапки" u="1"/>
        <s v="2019-006 Систем за сметководствена евиденција со повеќе модули напредно електронско решение " u="1"/>
        <s v="POTRO[ENO GORIVO AK 210 SV" u="1"/>
        <s v="2022-011 Софтерско решение за заштита од малициозни софтверски програми и спам пораки со 3 години поддршка и лиценци за постоен систем за управување со краjни корисници" u="1"/>
        <s v="Патни трошоци за патувања во странство" u="1"/>
        <s v="2020-006 Надградба на софтверско решение за правење на резервни копии" u="1"/>
        <s v="2020-007 Надградба на софтверско решение за правење на резервни копии" u="1"/>
        <s v="2019-018 Мрежна инфраструктура и мониторинг" u="1"/>
        <s v="4 Градежно занатски услуги низ РК и РРК" u="1"/>
        <s v="2021-002 мрежно каблирање на мали регионални канцеларии" u="1"/>
        <s v="2019-015 Градежно занатски работи за прилагодување на просторот во централа Скопје (Се плаќа во 2020)" u="1"/>
        <s v="2020-003 Мобилни телефони" u="1"/>
        <s v="2020-005 Систем за обновување на услуги за поддршка - управување со компјутерска безбедност  " u="1"/>
        <s v="2020-009 Обновување на услуги / лиценци за безбедност на е- пошта" u="1"/>
        <s v="2022-012 Надградба на апликацијата  на Регистарот на вложување во недвижности" u="1"/>
        <s v="2021-009 Клими / инвертер клими " u="1"/>
        <s v="1 Систем за сметководствена евиденција со повеќе модули напредно електронско решение " u="1"/>
        <s v="2020-001 Microsoft продукти, Microsoft RDP, Microsoft Enterprize  договор за 3 години" u="1"/>
        <s v="2019-007 Надградба на систем за складирање на податоци на секундарна локација со миграција на постоечки" u="1"/>
        <s v="Надомест за комисија за стручен испит" u="1"/>
        <s v="2019-003 Рафтови за архивите/плакари за архивски материјал од трајна вредност" u="1"/>
        <s v="2022 - 012 Надградба на апликацијата  на Регистарот на вложување во недвижности" u="1"/>
        <s v="2021-013 Градежно занатски работи во деловниот простор (СИТ)" u="1"/>
        <s v="2019-001 Систем за складирање  и управување со резервни копии и архивски податоци" u="1"/>
        <s v="Закуп на сали за вработени" u="1"/>
        <s v="2022 - 011 Надградба на апликацијата на Регистарот на директни инвестиции" u="1"/>
        <s v="2021-003 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 u="1"/>
        <s v="2021-004 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 u="1"/>
        <s v="2019-017 Мебел за скопската канцеларија" u="1"/>
        <s v="2022 - 005 Надградба на софтверско решение за водење на Регистарот на вистински сопственици" u="1"/>
        <s v="2021-010 Софтверско решение за водење на прекошчни постапки" u="1"/>
        <s v="2021-004 Мобилни телефони" u="1"/>
        <s v="AMORTIZ NA GRAD. OBJEKTI (SREDSTVA NA KORISTEWE)" u="1"/>
        <s v="2022-011 Надградба на апликацијата на Регистарот на директни инвестиции" u="1"/>
        <s v="2019-005 Заедничка платформа за отпочнување на бизнис" u="1"/>
        <s v="2021-011 Софтверско решение за водење на порамнувања во регистар на годишни сметки за неподнесена завршна сметка" u="1"/>
        <s v=" " u="1"/>
        <s v="2021-003 Софтверско решение за водење на прекршочни постапки  " u="1"/>
        <s v="3 Мобилни телефони" u="1"/>
        <s v="2020-007 Мебел за РК И РРК - работни столици" u="1"/>
        <s v="2021-006 Обнова на лиценци за виртуелизација" u="1"/>
        <s v="2019-013 Градежни занатски работи за прилагодување на просторот на РК и РРК" u="1"/>
        <s v="2021-011 Софтверско решение за унапредување на ЕШС за активација на банкарската сметка" u="1"/>
        <s v="2022 - 009 Набавка на софтверски лиценци (продолжување на постоечки лиценци за софтвер за анкети, за валидација на емаил адреси (се користи во сите софтверски решенија), сертификати за системите, софтвер за автоматско испраќање на емаил пораки, софтвер за далечински пристап)" u="1"/>
        <s v="2 Инвертер клими" u="1"/>
        <s v="5 Компјутерска опрема (УНН, лаптопи и печатачи)" u="1"/>
        <s v="2019-007 Microsoft лиценци(од 2019 година план, 3 годишна, досега е платена 1 рата)" u="1"/>
        <s v="2020-002 Системи за zero-day заштита од малициозен софтвер и аналитика на безбедност на мрежен сообраќај и напредно откривање и спречување на закани" u="1"/>
        <s v="2022-013 Надградба на апликацијата за залог и лизинг и интегрирање и издавање на потврдите од регистарот на залог и лизинг и скенирани записи преку системот за е-потврди." u="1"/>
        <s v="2020-003 Систем за управување со периметарска мрежна безбедност и крајни уреди" u="1"/>
        <s v="AMORTIZ NA GRAD. OBJEKTI (SOPSTVENI SREDSTVA)" u="1"/>
        <s v="2019-004 Регистар на крајни сопственици" u="1"/>
        <s v="2019-008 Уреди за непрекинатo напојување (УНН) за регионални канцеларии" u="1"/>
      </sharedItems>
    </cacheField>
    <cacheField name="Предвиден датум на набавка" numFmtId="0">
      <sharedItems containsSemiMixedTypes="0" containsDate="1" containsString="0" containsMixedTypes="1" minDate="1900-01-03T18:50:04" maxDate="1900-01-06T22:50:04" count="76">
        <n v="44749"/>
        <n v="44805"/>
        <n v="44866"/>
        <n v="44562"/>
        <n v="44593"/>
        <n v="44621"/>
        <n v="44652"/>
        <n v="44682"/>
        <n v="44713"/>
        <n v="44743"/>
        <n v="44774"/>
        <n v="44835"/>
        <n v="44896"/>
        <n v="44927"/>
        <n v="44531"/>
        <d v="2020-05-01T00:00:00" u="1"/>
        <d v="2021-05-01T00:00:00" u="1"/>
        <d v="2022-05-01T00:00:00" u="1"/>
        <d v="2021-04-16T00:00:00" u="1"/>
        <d v="2020-11-01T00:00:00" u="1"/>
        <d v="2021-11-01T00:00:00" u="1"/>
        <n v="44470" u="1"/>
        <n v="44249" u="1"/>
        <n v="44378" u="1"/>
        <n v="44075" u="1"/>
        <d v="2020-06-01T00:00:00" u="1"/>
        <d v="2021-06-01T00:00:00" u="1"/>
        <d v="2021-12-05T00:00:00" u="1"/>
        <d v="2019-12-01T00:00:00" u="1"/>
        <d v="2020-12-01T00:00:00" u="1"/>
        <d v="2021-12-01T00:00:00" u="1"/>
        <d v="2022-12-01T00:00:00" u="1"/>
        <d v="2021-07-29T00:00:00" u="1"/>
        <d v="1899-12-30T00:00:00" u="1"/>
        <n v="44228" u="1"/>
        <d v="2020-01-01T00:00:00" u="1"/>
        <d v="2021-01-01T00:00:00" u="1"/>
        <d v="2020-07-01T00:00:00" u="1"/>
        <d v="2021-07-01T00:00:00" u="1"/>
        <n v="44287" u="1"/>
        <d v="2021-12-16T00:00:00" u="1"/>
        <n v="44614" u="1"/>
        <d v="2021-04-30T00:00:00" u="1"/>
        <d v="2022-08-13T00:00:00" u="1"/>
        <d v="2021-10-30T00:00:00" u="1"/>
        <n v="44440" u="1"/>
        <d v="2019-02-01T00:00:00" u="1"/>
        <d v="2020-02-01T00:00:00" u="1"/>
        <d v="2021-11-11T00:00:00" u="1"/>
        <d v="2021-02-01T00:00:00" u="1"/>
        <d v="2021-07-20T00:00:00" u="1"/>
        <d v="2021-08-01T00:00:00" u="1"/>
        <d v="2022-08-01T00:00:00" u="1"/>
        <d v="2022-04-10T00:00:00" u="1"/>
        <n v="44348" u="1"/>
        <n v="44197" u="1"/>
        <d v="2020-03-01T00:00:00" u="1"/>
        <d v="2021-03-01T00:00:00" u="1"/>
        <d v="2022-03-01T00:00:00" u="1"/>
        <d v="2020-09-01T00:00:00" u="1"/>
        <d v="2021-09-01T00:00:00" u="1"/>
        <d v="2022-09-01T00:00:00" u="1"/>
        <n v="44256" u="1"/>
        <n v="44501" u="1"/>
        <d v="2021-04-25T00:00:00" u="1"/>
        <d v="2021-10-29T00:00:00" u="1"/>
        <n v="43709" u="1"/>
        <n v="44409" u="1"/>
        <d v="2020-04-01T00:00:00" u="1"/>
        <d v="2021-04-01T00:00:00" u="1"/>
        <d v="2022-04-01T00:00:00" u="1"/>
        <d v="2020-10-01T00:00:00" u="1"/>
        <n v="44561" u="1"/>
        <d v="2021-10-01T00:00:00" u="1"/>
        <n v="44317" u="1"/>
        <n v="44166" u="1"/>
      </sharedItems>
    </cacheField>
    <cacheField name="Проценета вредност на набавка со ДДВ (денари)" numFmtId="0">
      <sharedItems containsString="0" containsBlank="1" containsNumber="1" containsInteger="1" minValue="0" maxValue="35000000"/>
    </cacheField>
    <cacheField name="Конто" numFmtId="0">
      <sharedItems/>
    </cacheField>
    <cacheField name="ReportType" numFmtId="0">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40.452619328702" createdVersion="5" refreshedVersion="6" minRefreshableVersion="3" recordCount="0" supportSubquery="1" supportAdvancedDrill="1" xr:uid="{00000000-000A-0000-FFFF-FFFF02000000}">
  <cacheSource type="external" connectionId="25"/>
  <cacheFields count="8">
    <cacheField name="[fActualAndBudget].[Конто].[Конто]" caption="Конто" numFmtId="0" hierarchy="28" level="1">
      <sharedItems containsNonDate="0" count="9">
        <s v="44001"/>
        <s v="4401"/>
        <s v="44011"/>
        <s v="4403"/>
        <s v="44031"/>
        <s v="44032"/>
        <s v="44102"/>
        <s v="7409" u="1"/>
        <s v="74025" u="1"/>
      </sharedItems>
    </cacheField>
    <cacheField name="[fActualAndBudget].[ReportType].[ReportType]" caption="ReportType" numFmtId="0" hierarchy="31" level="1">
      <sharedItems count="3">
        <s v="Остварено"/>
        <s v="План"/>
        <s v="Предвидување"/>
      </sharedItems>
    </cacheField>
    <cacheField name="[Measures].[Sum of Износ]" caption="Sum of Износ" numFmtId="0" hierarchy="144" level="32767"/>
    <cacheField name="[Calendar].[Година].[Година]" caption="Година" numFmtId="0" hierarchy="8" level="1">
      <sharedItems containsSemiMixedTypes="0" containsString="0" containsNumber="1" containsInteger="1" minValue="2018" maxValue="2022" count="5">
        <n v="2018"/>
        <n v="2019"/>
        <n v="2020"/>
        <n v="2021"/>
        <n v="2022"/>
      </sharedItems>
      <extLst>
        <ext xmlns:x15="http://schemas.microsoft.com/office/spreadsheetml/2010/11/main" uri="{4F2E5C28-24EA-4eb8-9CBF-B6C8F9C3D259}">
          <x15:cachedUniqueNames>
            <x15:cachedUniqueName index="0" name="[Calendar].[Година].&amp;[2018]"/>
            <x15:cachedUniqueName index="1" name="[Calendar].[Година].&amp;[2019]"/>
            <x15:cachedUniqueName index="2" name="[Calendar].[Година].&amp;[2020]"/>
            <x15:cachedUniqueName index="3" name="[Calendar].[Година].&amp;[2021]"/>
            <x15:cachedUniqueName index="4" name="[Calendar].[Година].&amp;[2022]"/>
          </x15:cachedUniqueNames>
        </ext>
      </extLst>
    </cacheField>
    <cacheField name="[fActualAndBudget].[ObrazecIme].[ObrazecIme]" caption="ObrazecIme" numFmtId="0" hierarchy="40" level="1">
      <sharedItems containsSemiMixedTypes="0" containsNonDate="0" containsString="0"/>
    </cacheField>
    <cacheField name="[fActualAndBudget].[StavkaKategorija].[StavkaKategorija]" caption="StavkaKategorija" numFmtId="0" hierarchy="36" level="1">
      <sharedItems count="9">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5. Вредносно усогласување на тековни средства"/>
        <s v="2.37. Останати оперативни расходи"/>
        <s v="2.40. Приходи од финансирање"/>
        <s v="2.41. Расходи од финансирање"/>
      </sharedItems>
    </cacheField>
    <cacheField name="[fActualAndBudget].[StavkaImeAOP].[StavkaImeAOP]" caption="StavkaImeAOP" numFmtId="0" hierarchy="43" level="1">
      <sharedItems count="45">
        <s v="3.1.1 - Приходи од заложен регистар"/>
        <s v="3.1.10 - Приходи од регионален портал и регистар на вистински сопственици"/>
        <s v="3.1.11 - Приходи од прекршочна постапка"/>
        <s v="3.1.12 - Приходи од интернет дистрибутивен систем"/>
        <s v="3.1.13 - Приходи од странство"/>
        <s v="3.1.14 - Приходи од регистар на задолжница"/>
        <s v="3.1.2 - Приходи од годишни сметки"/>
        <s v="3.1.4 - Приходи од Регистар на резиденти и нерезиденти"/>
        <s v="3.1.5 - Приходи од Регистар на лизинг"/>
        <s v="3.1.6 - Приходи од регистар на недвижности"/>
        <s v="3.1.7 - Приходи од регистар на вистински сопственици"/>
        <s v="3.1.7 - Приходи од трговски регистар"/>
        <s v="3.1.8 - Приходи од регистар на директни странски инвестиции"/>
        <s v="3.1.9 - Приходи од регистрите за кривични санкции, пресуди и др."/>
        <s v="3.2.3 - Други неспомнати приходи"/>
        <s v="3.2.4 - Капитална добивка од продажба на материјални и неметеријални средства"/>
        <s v="3.2.5 - Приходи од донации"/>
        <s v="3.2.6 - Приходи од продажба на подвижен имот"/>
        <s v="3.2.7 - Приходи од закуп"/>
        <s v="3.2.8 - Вонредни невообичаени приходи"/>
        <s v="4.1.1 - Потрошени суровини и материјали"/>
        <s v="4.1.2 - Потрoшена енергија и гориво за возила"/>
        <s v="4.1.3 - Потрошени резервни делови"/>
        <s v="4.1.4 - Потрошок на ситен инвентар и автогуми"/>
        <s v="4.1.11 - Надомест на трошоци на вработените, подароци и помошти"/>
        <s v="4.1.10 - Амортизација по минимални стапки"/>
        <s v="4.2.3 - Вредносно усогласување на тековни и нетековни средства"/>
        <s v="4.1.12 - Дневници за службени патувања и патни трошоци"/>
        <s v="4.1.13 - Трошоци за промоција,пропаганда, реклама, репрезентација и спонзорство"/>
        <s v="4.1.14 - Премии за осигурување"/>
        <s v="4.1.15 - Даноци,чланарини и други давачки кои не зависат од резултатот"/>
        <s v="4.1.16 - Банкарски услуги и трошоци за платен промет"/>
        <s v="4.1.17 - Лиценци за разни софтвери (едногодишни, обновливи)"/>
        <s v="4.1.19 - Останати нематеријални трошоци"/>
        <s v="4.1.5 - Транспортни услуги"/>
        <s v="4.1.6 - Надворешни услуги"/>
        <s v="4.1.7 - Услуги за одржување и заштита"/>
        <s v="4.1.8 - Наемнини и лизинг"/>
        <s v="4.1.9 - Останати услуги"/>
        <s v="4.2.2 - Казни, пенали и надомест на штети затезни камати"/>
        <s v="3.2.1 - Приходи од камати"/>
        <s v="3.2.2 - Приходи од курсни разлики"/>
        <s v="4.2.5 - Курсни разлики"/>
        <s v="4.2.6 - Загуби и кусоци"/>
        <s v="4.2.7 - Останати расходи"/>
      </sharedItems>
    </cacheField>
    <cacheField name="[fActualAndBudget].[Ставка].[Ставка]" caption="Ставка" numFmtId="0" hierarchy="32" level="1">
      <sharedItems containsNonDate="0" containsBlank="1" count="18">
        <m/>
        <s v="Дневници за службени патувања во странство"/>
        <s v="PATNI TRO[OCI VO ZEMJA"/>
        <s v="PATNI TRO[OCI ZA SLU@BENI PATUVAWA VO STRANSTVO"/>
        <s v="NADOMEST ZA NO]EVAWE VO ZEMJA"/>
        <s v="NADOMEST ZA NO]EVAWE VO STRANSTVO"/>
        <s v="INTELEKTUALNI USLUGI" u="1"/>
        <s v="PRAVNI,ADVOKATSKI I NOTARSKI USLUGI" u="1"/>
        <s v="USLUGI ZA REVIZIJA I PROCENKA" u="1"/>
        <s v="USLUGI ZA PREPISI I PREVODI" u="1"/>
        <s v="DRUGI DOGOVORNI USLUGI" u="1"/>
        <s v="ZAEDN.TRO[OCI SO NBR" u="1"/>
        <s v="DRUGI INTELEKTUALNI USLUGI" u="1"/>
        <s v="KOPIRAWE,PE^ATEWE,POVRZUV.I IZDAVAWE" u="1"/>
        <s v="TRO[.ZA REGISTR.NA VOZILO" u="1"/>
        <s v="SERVISIRAWE I POPRAVKA NA VOZILO" u="1"/>
        <s v="DR.TRO[OCI NA VOZILO" u="1"/>
        <s v="TRO[OCI ZA PATARINA" u="1"/>
      </sharedItems>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0"/>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1"/>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7"/>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5"/>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4"/>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fieldsUsage count="2">
        <fieldUsage x="-1"/>
        <fieldUsage x="6"/>
      </fieldsUsage>
    </cacheHierarchy>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2"/>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 Binov" refreshedDate="44502.703988310182" createdVersion="3" refreshedVersion="7" minRefreshableVersion="3" recordCount="0" supportSubquery="1" supportAdvancedDrill="1" xr:uid="{00000000-000A-0000-FFFF-FFFF1B000000}">
  <cacheSource type="external" connectionId="25">
    <extLst>
      <ext xmlns:x14="http://schemas.microsoft.com/office/spreadsheetml/2009/9/main" uri="{F057638F-6D5F-4e77-A914-E7F072B9BCA8}">
        <x14:sourceConnection name="ThisWorkbookDataModel"/>
      </ext>
    </extLst>
  </cacheSource>
  <cacheFields count="0"/>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088040064"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0428241" createdVersion="3" refreshedVersion="6" minRefreshableVersion="3" recordCount="0" supportSubquery="1" supportAdvancedDrill="1" xr:uid="{571EFBA2-9F4E-4C18-B3C0-6B52E57B4424}">
  <cacheSource type="external" connectionId="25">
    <extLst>
      <ext xmlns:x14="http://schemas.microsoft.com/office/spreadsheetml/2009/9/main" uri="{F057638F-6D5F-4e77-A914-E7F072B9BCA8}">
        <x14:sourceConnection name="ThisWorkbookDataModel"/>
      </ext>
    </extLst>
  </cacheSource>
  <cacheFields count="0"/>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870340423"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695486112" createdVersion="6" refreshedVersion="6" minRefreshableVersion="3" recordCount="0" supportSubquery="1" supportAdvancedDrill="1" xr:uid="{00000000-000A-0000-FFFF-FFFF03000000}">
  <cacheSource type="external" connectionId="25"/>
  <cacheFields count="3">
    <cacheField name="[Amortizacija].[Конто].[Конто]" caption="Конто" numFmtId="0" hierarchy="4" level="1">
      <sharedItems count="5">
        <s v="43030"/>
        <s v="43031"/>
        <s v="431001"/>
        <s v="43134"/>
        <s v="43136"/>
      </sharedItems>
    </cacheField>
    <cacheField name="[Amortizacija].[Период].[Период]" caption="Период" numFmtId="0" hierarchy="2" level="1">
      <sharedItems containsSemiMixedTypes="0" containsNonDate="0" containsDate="1" containsString="0" minDate="2022-01-01T00:00:00" maxDate="2022-12-02T00:00:00" count="12">
        <d v="2022-01-01T00:00:00"/>
        <d v="2022-02-01T00:00:00"/>
        <d v="2022-03-01T00:00:00"/>
        <d v="2022-04-01T00:00:00"/>
        <d v="2022-05-01T00:00:00"/>
        <d v="2022-06-01T00:00:00"/>
        <d v="2022-07-01T00:00:00"/>
        <d v="2022-08-01T00:00:00"/>
        <d v="2022-09-01T00:00:00"/>
        <d v="2022-10-01T00:00:00"/>
        <d v="2022-11-01T00:00:00"/>
        <d v="2022-12-01T00:00:00"/>
      </sharedItems>
    </cacheField>
    <cacheField name="[Measures].[Sum of Износ 2]" caption="Sum of Износ 2" numFmtId="0" hierarchy="149" level="32767"/>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2" memberValueDatatype="7" unbalanced="0">
      <fieldsUsage count="2">
        <fieldUsage x="-1"/>
        <fieldUsage x="1"/>
      </fieldsUsage>
    </cacheHierarchy>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2" memberValueDatatype="130" unbalanced="0">
      <fieldsUsage count="2">
        <fieldUsage x="-1"/>
        <fieldUsage x="0"/>
      </fieldsUsage>
    </cacheHierarchy>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oneField="1">
      <fieldsUsage count="1">
        <fieldUsage x="2"/>
      </fieldsUsage>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11921293" createdVersion="3" refreshedVersion="6" minRefreshableVersion="3" recordCount="0" supportSubquery="1" supportAdvancedDrill="1" xr:uid="{36EEE55B-121C-4E10-BBB2-9CDA43682335}">
  <cacheSource type="external" connectionId="25">
    <extLst>
      <ext xmlns:x14="http://schemas.microsoft.com/office/spreadsheetml/2009/9/main" uri="{F057638F-6D5F-4e77-A914-E7F072B9BCA8}">
        <x14:sourceConnection name="ThisWorkbookDataModel"/>
      </ext>
    </extLst>
  </cacheSource>
  <cacheFields count="0"/>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162410884"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17129627" createdVersion="3" refreshedVersion="6" minRefreshableVersion="3" recordCount="0" supportSubquery="1" supportAdvancedDrill="1" xr:uid="{21F87717-D5A1-43E3-9440-4CD3BB318641}">
  <cacheSource type="external" connectionId="25">
    <extLst>
      <ext xmlns:x14="http://schemas.microsoft.com/office/spreadsheetml/2009/9/main" uri="{F057638F-6D5F-4e77-A914-E7F072B9BCA8}">
        <x14:sourceConnection name="ThisWorkbookDataModel"/>
      </ext>
    </extLst>
  </cacheSource>
  <cacheFields count="0"/>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610652361"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28125003" createdVersion="3" refreshedVersion="6" minRefreshableVersion="3" recordCount="0" supportSubquery="1" supportAdvancedDrill="1" xr:uid="{7FB10C6B-8F4B-4D0C-8BE7-C89796C0878B}">
  <cacheSource type="external" connectionId="25">
    <extLst>
      <ext xmlns:x14="http://schemas.microsoft.com/office/spreadsheetml/2009/9/main" uri="{F057638F-6D5F-4e77-A914-E7F072B9BCA8}">
        <x14:sourceConnection name="ThisWorkbookDataModel"/>
      </ext>
    </extLst>
  </cacheSource>
  <cacheFields count="0"/>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2"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620557857"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32638891" createdVersion="3" refreshedVersion="6" minRefreshableVersion="3" recordCount="0" supportSubquery="1" supportAdvancedDrill="1" xr:uid="{BAEA3A41-5BEC-40FD-9324-E46CD05FD9B2}">
  <cacheSource type="external" connectionId="25">
    <extLst>
      <ext xmlns:x14="http://schemas.microsoft.com/office/spreadsheetml/2009/9/main" uri="{F057638F-6D5F-4e77-A914-E7F072B9BCA8}">
        <x14:sourceConnection name="ThisWorkbookDataModel"/>
      </ext>
    </extLst>
  </cacheSource>
  <cacheFields count="0"/>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927463827"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42708336" createdVersion="3" refreshedVersion="6" minRefreshableVersion="3" recordCount="0" supportSubquery="1" supportAdvancedDrill="1" xr:uid="{C5700FE8-CD20-46FC-843D-33D506E5C6C6}">
  <cacheSource type="external" connectionId="25">
    <extLst>
      <ext xmlns:x14="http://schemas.microsoft.com/office/spreadsheetml/2009/9/main" uri="{F057638F-6D5F-4e77-A914-E7F072B9BCA8}">
        <x14:sourceConnection name="ThisWorkbookDataModel"/>
      </ext>
    </extLst>
  </cacheSource>
  <cacheFields count="0"/>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20676000"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53356482" createdVersion="3" refreshedVersion="6" minRefreshableVersion="3" recordCount="0" supportSubquery="1" supportAdvancedDrill="1" xr:uid="{C5C2B9D0-B996-4F7D-8954-220ACEEDAC37}">
  <cacheSource type="external" connectionId="25">
    <extLst>
      <ext xmlns:x14="http://schemas.microsoft.com/office/spreadsheetml/2009/9/main" uri="{F057638F-6D5F-4e77-A914-E7F072B9BCA8}">
        <x14:sourceConnection name="ThisWorkbookDataModel"/>
      </ext>
    </extLst>
  </cacheSource>
  <cacheFields count="0"/>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2"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460008955"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696527775" createdVersion="5" refreshedVersion="6" minRefreshableVersion="3" recordCount="0" supportSubquery="1" supportAdvancedDrill="1" xr:uid="{00000000-000A-0000-FFFF-FFFF04000000}">
  <cacheSource type="external" connectionId="25"/>
  <cacheFields count="11">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Calendar].[Година].[Година]" caption="Година" numFmtId="0" hierarchy="8"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 index="2" name="[Calendar].[Година].&amp;[2021]"/>
          </x15:cachedUniqueNames>
        </ext>
      </extLst>
    </cacheField>
    <cacheField name="[fActualAndBudget].[ObrazecIme].[ObrazecIme]" caption="ObrazecIme" numFmtId="0" hierarchy="40" level="1">
      <sharedItems containsSemiMixedTypes="0" containsNonDate="0" containsString="0"/>
    </cacheField>
    <cacheField name="[rArtikliAnaliza].[ObrazecIme].[ObrazecIme]" caption="ObrazecIme" numFmtId="0" hierarchy="125" level="1">
      <sharedItems containsSemiMixedTypes="0" containsNonDate="0" containsString="0"/>
    </cacheField>
    <cacheField name="[rArtikliAnaliza].[Период (Year)].[Период (Year)]" caption="Период (Year)" numFmtId="0" hierarchy="128" level="1">
      <sharedItems containsSemiMixedTypes="0" containsNonDate="0" containsString="0"/>
    </cacheField>
    <cacheField name="[fArtikliCeni].[ObrazecIme].[ObrazecIme]" caption="ObrazecIme" numFmtId="0" hierarchy="61" level="1">
      <sharedItems containsSemiMixedTypes="0" containsNonDate="0" containsString="0"/>
    </cacheField>
    <cacheField name="[rArtikli_HR_Analiza].[Период].[Период]" caption="Период" numFmtId="0" hierarchy="111" level="1">
      <sharedItems containsSemiMixedTypes="0" containsNonDate="0" containsString="0"/>
    </cacheField>
    <cacheField name="[rArtikli_HR_Analiza].[ObrazecIme].[ObrazecIme]" caption="ObrazecIme" numFmtId="0" hierarchy="116" level="1">
      <sharedItems containsSemiMixedTypes="0" containsNonDate="0" containsString="0"/>
    </cacheField>
    <cacheField name="[rArtikli_HR_Analiza].[StavkaKategorija.1].[StavkaKategorija.1]" caption="StavkaKategorija.1" numFmtId="0" hierarchy="117" level="1">
      <sharedItems count="2">
        <s v="2.32. Потрошени суровини и материјали"/>
        <s v="2.37. Останати оперативни расходи"/>
      </sharedItems>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4"/>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2" memberValueDatatype="130" unbalanced="0">
      <fieldsUsage count="2">
        <fieldUsage x="-1"/>
        <fieldUsage x="7"/>
      </fieldsUsage>
    </cacheHierarchy>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2" memberValueDatatype="7" unbalanced="0">
      <fieldsUsage count="2">
        <fieldUsage x="-1"/>
        <fieldUsage x="8"/>
      </fieldsUsage>
    </cacheHierarchy>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2" memberValueDatatype="130" unbalanced="0">
      <fieldsUsage count="2">
        <fieldUsage x="-1"/>
        <fieldUsage x="9"/>
      </fieldsUsage>
    </cacheHierarchy>
    <cacheHierarchy uniqueName="[rArtikli_HR_Analiza].[StavkaKategorija.1]" caption="StavkaKategorija.1" attribute="1" defaultMemberUniqueName="[rArtikli_HR_Analiza].[StavkaKategorija.1].[All]" allUniqueName="[rArtikli_HR_Analiza].[StavkaKategorija.1].[All]" dimensionUniqueName="[rArtikli_HR_Analiza]" displayFolder="" count="2" memberValueDatatype="130" unbalanced="0">
      <fieldsUsage count="2">
        <fieldUsage x="-1"/>
        <fieldUsage x="10"/>
      </fieldsUsage>
    </cacheHierarchy>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2" memberValueDatatype="130" unbalanced="0">
      <fieldsUsage count="2">
        <fieldUsage x="-1"/>
        <fieldUsage x="5"/>
      </fieldsUsage>
    </cacheHierarchy>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2" memberValueDatatype="130" unbalanced="0">
      <fieldsUsage count="2">
        <fieldUsage x="-1"/>
        <fieldUsage x="6"/>
      </fieldsUsage>
    </cacheHierarchy>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698842592" createdVersion="5" refreshedVersion="6" minRefreshableVersion="3" recordCount="0" supportSubquery="1" supportAdvancedDrill="1" xr:uid="{00000000-000A-0000-FFFF-FFFF05000000}">
  <cacheSource type="external" connectionId="25"/>
  <cacheFields count="19">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Calendar].[Година].[Година]" caption="Година" numFmtId="0" hierarchy="8"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 index="2" name="[Calendar].[Година].&amp;[2021]"/>
          </x15:cachedUniqueNames>
        </ext>
      </extLst>
    </cacheField>
    <cacheField name="[fActualAndBudget].[ObrazecIme].[ObrazecIme]" caption="ObrazecIme" numFmtId="0" hierarchy="40" level="1">
      <sharedItems containsSemiMixedTypes="0" containsNonDate="0" containsString="0"/>
    </cacheField>
    <cacheField name="[rArtikliAnaliza].[ObrazecIme].[ObrazecIme]" caption="ObrazecIme" numFmtId="0" hierarchy="125" level="1">
      <sharedItems containsSemiMixedTypes="0" containsNonDate="0" containsString="0"/>
    </cacheField>
    <cacheField name="[rArtikliAnaliza].[Период (Year)].[Период (Year)]" caption="Период (Year)" numFmtId="0" hierarchy="128" level="1">
      <sharedItems containsSemiMixedTypes="0" containsNonDate="0" containsString="0"/>
    </cacheField>
    <cacheField name="[fArtikliCeni].[ObrazecIme].[ObrazecIme]" caption="ObrazecIme" numFmtId="0" hierarchy="61" level="1">
      <sharedItems containsSemiMixedTypes="0" containsNonDate="0" containsString="0"/>
    </cacheField>
    <cacheField name="[rArtikli_HR_Analiza].[Ставка].[Ставка]" caption="Ставка" numFmtId="0" hierarchy="100" level="1">
      <sharedItems count="7">
        <s v="Агенција за привремени вработувања"/>
        <s v="Дневници за службени патувања во странство"/>
        <s v="Надоместоци за членови на комисија за жалби"/>
        <s v="Надоместоци за членови на УО"/>
        <s v="Трошоци за спорт и рекреација на вработени"/>
        <s v="Услуги за советувања и семинари"/>
        <s v="Услуги за стручно усовршување и обуки"/>
      </sharedItems>
    </cacheField>
    <cacheField name="[rArtikli_HR_Analiza].[Единечна мерка].[Единечна мерка]" caption="Единечна мерка" numFmtId="0" hierarchy="103" level="1">
      <sharedItems containsNonDate="0" containsString="0" containsBlank="1" count="1">
        <m/>
      </sharedItems>
    </cacheField>
    <cacheField name="[rArtikli_HR_Analiza].[Категорија Артикл].[Категорија Артикл]" caption="Категорија Артикл" numFmtId="0" hierarchy="101" level="1">
      <sharedItems containsNonDate="0" containsString="0" containsBlank="1" count="1">
        <m/>
      </sharedItems>
    </cacheField>
    <cacheField name="[Measures].[Sum of Количина 2]" caption="Sum of Количина 2" numFmtId="0" hierarchy="159" level="32767"/>
    <cacheField name="[Measures].[Sum of Единечна цена 2]" caption="Sum of Единечна цена 2" numFmtId="0" hierarchy="160" level="32767"/>
    <cacheField name="[Measures].[Sum of Вкупно трошок 2]" caption="Sum of Вкупно трошок 2" numFmtId="0" hierarchy="161" level="32767"/>
    <cacheField name="[Measures].[Sum of ДДВ 2]" caption="Sum of ДДВ 2" numFmtId="0" hierarchy="162" level="32767"/>
    <cacheField name="[Measures].[Sum of Износ 7]" caption="Sum of Износ 7" numFmtId="0" hierarchy="163" level="32767"/>
    <cacheField name="[rArtikli_HR_Analiza].[Период].[Период]" caption="Период" numFmtId="0" hierarchy="111" level="1">
      <sharedItems containsSemiMixedTypes="0" containsNonDate="0" containsString="0"/>
    </cacheField>
    <cacheField name="[rArtikli_HR_Analiza].[ObrazecIme].[ObrazecIme]" caption="ObrazecIme" numFmtId="0" hierarchy="116" level="1">
      <sharedItems containsSemiMixedTypes="0" containsNonDate="0" containsString="0"/>
    </cacheField>
    <cacheField name="[rArtikli_HR_Analiza].[StavkaKategorija.1].[StavkaKategorija.1]" caption="StavkaKategorija.1" numFmtId="0" hierarchy="117" level="1">
      <sharedItems count="1">
        <s v="2.37. Останати оперативни расходи"/>
      </sharedItems>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4"/>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2" memberValueDatatype="130" unbalanced="0">
      <fieldsUsage count="2">
        <fieldUsage x="-1"/>
        <fieldUsage x="7"/>
      </fieldsUsage>
    </cacheHierarchy>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2" memberValueDatatype="130" unbalanced="0">
      <fieldsUsage count="2">
        <fieldUsage x="-1"/>
        <fieldUsage x="8"/>
      </fieldsUsage>
    </cacheHierarchy>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2" memberValueDatatype="130" unbalanced="0">
      <fieldsUsage count="2">
        <fieldUsage x="-1"/>
        <fieldUsage x="10"/>
      </fieldsUsage>
    </cacheHierarchy>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2" memberValueDatatype="130" unbalanced="0">
      <fieldsUsage count="2">
        <fieldUsage x="-1"/>
        <fieldUsage x="9"/>
      </fieldsUsage>
    </cacheHierarchy>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2" memberValueDatatype="7" unbalanced="0">
      <fieldsUsage count="2">
        <fieldUsage x="-1"/>
        <fieldUsage x="16"/>
      </fieldsUsage>
    </cacheHierarchy>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2" memberValueDatatype="130" unbalanced="0">
      <fieldsUsage count="2">
        <fieldUsage x="-1"/>
        <fieldUsage x="17"/>
      </fieldsUsage>
    </cacheHierarchy>
    <cacheHierarchy uniqueName="[rArtikli_HR_Analiza].[StavkaKategorija.1]" caption="StavkaKategorija.1" attribute="1" defaultMemberUniqueName="[rArtikli_HR_Analiza].[StavkaKategorija.1].[All]" allUniqueName="[rArtikli_HR_Analiza].[StavkaKategorija.1].[All]" dimensionUniqueName="[rArtikli_HR_Analiza]" displayFolder="" count="2" memberValueDatatype="130" unbalanced="0">
      <fieldsUsage count="2">
        <fieldUsage x="-1"/>
        <fieldUsage x="18"/>
      </fieldsUsage>
    </cacheHierarchy>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2" memberValueDatatype="130" unbalanced="0">
      <fieldsUsage count="2">
        <fieldUsage x="-1"/>
        <fieldUsage x="5"/>
      </fieldsUsage>
    </cacheHierarchy>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2" memberValueDatatype="130" unbalanced="0">
      <fieldsUsage count="2">
        <fieldUsage x="-1"/>
        <fieldUsage x="6"/>
      </fieldsUsage>
    </cacheHierarchy>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oneField="1">
      <fieldsUsage count="1">
        <fieldUsage x="11"/>
      </fieldsUsage>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oneField="1">
      <fieldsUsage count="1">
        <fieldUsage x="12"/>
      </fieldsUsage>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oneField="1">
      <fieldsUsage count="1">
        <fieldUsage x="13"/>
      </fieldsUsage>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oneField="1">
      <fieldsUsage count="1">
        <fieldUsage x="14"/>
      </fieldsUsage>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oneField="1">
      <fieldsUsage count="1">
        <fieldUsage x="15"/>
      </fieldsUsage>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00231485" createdVersion="5" refreshedVersion="6" minRefreshableVersion="3" recordCount="0" supportSubquery="1" supportAdvancedDrill="1" xr:uid="{00000000-000A-0000-FFFF-FFFF06000000}">
  <cacheSource type="external" connectionId="25"/>
  <cacheFields count="5">
    <cacheField name="[CAPEX].[Број на јавна набавка (план)].[Број на јавна набавка (план)]" caption="Број на јавна набавка (план)" numFmtId="0" hierarchy="16" level="1">
      <sharedItems count="24">
        <s v="2019-006"/>
        <s v="2019-007"/>
        <s v="2021-010"/>
        <s v="2021-011"/>
        <s v="2021-012"/>
        <s v="2021-013"/>
        <s v="2021-014"/>
        <s v="2021-015"/>
        <s v="2021-016"/>
        <s v="2021-017"/>
        <s v="2022-001"/>
        <s v="2022-002"/>
        <s v="2022-003"/>
        <s v="2022-004"/>
        <s v="2022-005"/>
        <s v="2022-006"/>
        <s v="2022-007"/>
        <s v="2022-008"/>
        <s v="2022-012"/>
        <s v="2022-013"/>
        <s v="2022-015"/>
        <s v="2022-016"/>
        <s v="2022-017"/>
        <s v="2022-018"/>
      </sharedItems>
    </cacheField>
    <cacheField name="[CAPEX].[Предмет на договорот за јавна набавка].[Предмет на договорот за јавна набавка]" caption="Предмет на договорот за јавна набавка" numFmtId="0" hierarchy="17" level="1">
      <sharedItems count="29" longText="1">
        <s v="Систем за сметководствена евиденција- напредно електронско решение"/>
        <s v="Microsoft лиценци(од 2019 година план, 3 годишна, досега се платени 2 рати)"/>
        <s v="Софтверско решение за активација на банкарската сметка преку ЕШС"/>
        <s v="Софтверско решение за водење на порамнувања во регистар на годишни сметки за неподнесена завршна сметка - I фаза бизнис анализа и  функционална  спецификација"/>
        <s v="Софтверско решение за водење на порамнувања во регистар на годишни сметки за неподнесена завршна сметка - II фаза техничка спецификација"/>
        <s v="Софтверско решение за водење на порамнувања во регистар на годишни сметки за неподнесена завршна сметка - III фаза испорака на софтверско решение"/>
        <s v="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остаток од исплата по финално завршен проект"/>
        <s v="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продукциска околина"/>
        <s v="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спецификации функционална и бизнис околина"/>
        <s v="Надградба на Едношалтерскиот систем, заедничката платформа за отпочнување со бизнис, вклучувајќи го системот за размена на податоци со институциите, со нови услуги: интеграција со УЈП и Царинска управа за автоматско добивање на податоци од Потврди за платени даноци и царнски давачки, банките размена на договор и други документи за отворање на сметка) и технолошка надградба на сите постојни сервиси за размена на податоци (со УЈП и банките) - тест околина"/>
        <s v="Градежно занатски работи во деловниот простор (СИТ) - во тек, ќе се плаќа во 2022"/>
        <s v="Периферна компјутерска опрема проект од 2021"/>
        <s v="Надградба на информатичка инфраструктура"/>
        <s v="Софтерско решение за заштита од малициозни софтверски програми и спам пораки со 3 години поддршка и лиценци за постоен систем за управување со краjни корисници"/>
        <s v="Надградба на дистрибутивниот систем, системот за е-потврди и системот за електронско плаќање, со нов модерен интерфејс  согласно дизајнот на новиот портал и можност за динамично формирање на пакети на услуги и можност за нивно користење во определен временски период, со задржување на постојните функционалности, вклучувајќи и нарачка и плаќање на било која услуга, испорака на домашна адреса и нови производи"/>
        <s v="Уреди за непрекинато напојување (УПС)"/>
        <s v="Мрежно каблирање"/>
        <s v="Надградба на Софтверско решение за управување со IT процеси"/>
        <s v="Обнова на лиценци за виртуелизација"/>
        <s v="Надградба на софтверско решение за водење на Регистарот на вистински сопственици"/>
        <s v="Софтверско решение за генерирање извештаи"/>
        <s v="Систем за складирање на податоци"/>
        <s v="Обновување на услуги за поддршка - управување со компјутерска безбедност  - Q-radar"/>
        <s v="Возобновување на регистар за залог и лизинг и други побарувања што се евидентираат во ЦР во Регистар на обезбедени трансакции"/>
        <s v="Тековна состојба со додадена вредност - дополнително поле за издедена валидна дозвола за работа или лиценца"/>
        <s v="Работни столици"/>
        <s v="Надградба и интеграција на Системот за централизирано управување на корисници (ЦМК) со Националниот систем за единствена најава (ССО)"/>
        <s v="Градежни работи на објектите низ регионланилите канцеларии"/>
        <s v="Клими"/>
      </sharedItems>
    </cacheField>
    <cacheField name="[CAPEX].[Очекуван датум на плаќање (Year)].[Очекуван датум на плаќање (Year)]" caption="Очекуван датум на плаќање (Year)" numFmtId="0" hierarchy="25" level="1">
      <sharedItems count="3">
        <s v="2021"/>
        <s v="2022"/>
        <s v="2023"/>
      </sharedItems>
    </cacheField>
    <cacheField name="[Measures].[Sum of Проценета вредност на набавка со ДДВ (денари)]" caption="Sum of Проценета вредност на набавка со ДДВ (денари)" numFmtId="0" hierarchy="148" level="32767"/>
    <cacheField name="[Measures].[Sum of Износ донација]" caption="Sum of Износ донација" numFmtId="0" hierarchy="151" level="32767"/>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2" memberValueDatatype="130" unbalanced="0">
      <fieldsUsage count="2">
        <fieldUsage x="-1"/>
        <fieldUsage x="0"/>
      </fieldsUsage>
    </cacheHierarchy>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2" memberValueDatatype="130" unbalanced="0">
      <fieldsUsage count="2">
        <fieldUsage x="-1"/>
        <fieldUsage x="1"/>
      </fieldsUsage>
    </cacheHierarchy>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2" memberValueDatatype="130" unbalanced="0">
      <fieldsUsage count="2">
        <fieldUsage x="-1"/>
        <fieldUsage x="2"/>
      </fieldsUsage>
    </cacheHierarchy>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0" memberValueDatatype="130" unbalanced="0"/>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0" memberValueDatatype="130" unbalanced="0"/>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0" memberValueDatatype="130" unbalanced="0"/>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oneField="1">
      <fieldsUsage count="1">
        <fieldUsage x="3"/>
      </fieldsUsage>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oneField="1">
      <fieldsUsage count="1">
        <fieldUsage x="4"/>
      </fieldsUsage>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02893517" createdVersion="5" refreshedVersion="6" minRefreshableVersion="3" recordCount="0" supportSubquery="1" supportAdvancedDrill="1" xr:uid="{00000000-000A-0000-FFFF-FFFF07000000}">
  <cacheSource type="external" connectionId="25"/>
  <cacheFields count="14">
    <cacheField name="[Calendar].[Година].[Година]" caption="Година" numFmtId="0" hierarchy="8" level="1">
      <sharedItems containsSemiMixedTypes="0" containsString="0" containsNumber="1" containsInteger="1" minValue="2018" maxValue="2020" count="3">
        <n v="2020"/>
        <n v="2019" u="1"/>
        <n v="2018" u="1"/>
      </sharedItems>
      <extLst>
        <ext xmlns:x15="http://schemas.microsoft.com/office/spreadsheetml/2010/11/main" uri="{4F2E5C28-24EA-4eb8-9CBF-B6C8F9C3D259}">
          <x15:cachedUniqueNames>
            <x15:cachedUniqueName index="0" name="[Calendar].[Година].&amp;[2020]"/>
            <x15:cachedUniqueName index="1" name="[Calendar].[Година].&amp;[2019]"/>
            <x15:cachedUniqueName index="2" name="[Calendar].[Година].&amp;[2018]"/>
          </x15:cachedUniqueNames>
        </ext>
      </extLst>
    </cacheField>
    <cacheField name="[fActualAndBudget].[ObrazecIme].[ObrazecIme]" caption="ObrazecIme" numFmtId="0" hierarchy="40" level="1">
      <sharedItems containsSemiMixedTypes="0" containsNonDate="0" containsString="0"/>
    </cacheField>
    <cacheField name="[fActualAndBudget].[ReportType].[ReportType]" caption="ReportType" numFmtId="0" hierarchy="31" level="1">
      <sharedItems count="1">
        <s v="План"/>
      </sharedItems>
    </cacheField>
    <cacheField name="[fActualAndBudget].[StavkaKategorija].[StavkaKategorija]" caption="StavkaKategorija" numFmtId="0" hierarchy="36" level="1">
      <sharedItems containsSemiMixedTypes="0" containsNonDate="0" containsString="0"/>
    </cacheField>
    <cacheField name="[OPEXAnaliza].[ObrazecIme].[ObrazecIme]" caption="ObrazecIme" numFmtId="0" hierarchy="93" level="1">
      <sharedItems containsSemiMixedTypes="0" containsNonDate="0" containsString="0"/>
    </cacheField>
    <cacheField name="[OPEXAnaliza].[Ставка].[Ставка]" caption="Ставка" numFmtId="0" hierarchy="86" level="1">
      <sharedItems count="14">
        <s v="Систематски прегледи"/>
        <s v="Услуги за советувања и семинари"/>
        <s v="Услуги за стручно усовршување и обуки"/>
        <s v="Агенција за привремени вработувања"/>
        <s v="Договор на дело"/>
        <s v="Надоместоци за членови на комисија за жалби"/>
        <s v="Надоместоци за членови на УО"/>
        <s v="Бруто плата"/>
        <s v="Дневници за службени патувања во странство"/>
        <s v="Награди-интерни"/>
        <s v="Отпремнина за пензија"/>
        <s v="Помош за болест и смрт-бруто"/>
        <s v="Регрес за годишен одмор"/>
        <s v="Трошоци за спорт и рекреација на вработени"/>
      </sharedItems>
    </cacheField>
    <cacheField name="[OPEXAnaliza].[StavkaKategorija].[StavkaKategorija]" caption="StavkaKategorija" numFmtId="0" hierarchy="92" level="1">
      <sharedItems containsBlank="1" count="3">
        <m/>
        <s v="2.33. Трошоци за вработените"/>
        <s v="2.37. Останати оперативни расходи"/>
      </sharedItems>
    </cacheField>
    <cacheField name="[Measures].[Sum of Износ 4]" caption="Sum of Износ 4" numFmtId="0" hierarchy="150" level="32767"/>
    <cacheField name="[OPEXAnaliza].[StavkaImeAOP].[StavkaImeAOP]" caption="StavkaImeAOP" numFmtId="0" hierarchy="96" level="1">
      <sharedItems count="8">
        <s v="211 - Услуги со карактер на материјални трошоци"/>
        <s v="212 - Останати трошоци од работењето"/>
        <s v="214 - 0"/>
        <s v="217 - Останати трошоци за вработените"/>
        <s v="4.1.11 - Надомест на трошоци на вработените, подароци и помошти"/>
        <s v="4.1.12 - Дневници за службени патувања и патни трошоци"/>
        <s v="4.1.19 - Останати нематеријални трошоци"/>
        <s v="4.1.9 - Останати услуги"/>
      </sharedItems>
    </cacheField>
    <cacheField name="[OPEXAnaliza].[Конто].[Конто]" caption="Конто" numFmtId="0" hierarchy="88" level="1">
      <sharedItems containsNonDate="0" count="2">
        <s v="40103"/>
        <s v="40105"/>
      </sharedItems>
    </cacheField>
    <cacheField name="[OPEXAnaliza].[Период].[Период]" caption="Период" numFmtId="0" hierarchy="94" level="1">
      <sharedItems containsNonDate="0" containsDate="1" containsString="0" containsBlank="1" count="59">
        <m/>
        <d v="2018-01-31T00:00:00"/>
        <d v="2018-02-28T00:00:00"/>
        <d v="2018-03-31T00:00:00"/>
        <d v="2018-04-30T00:00:00"/>
        <d v="2018-05-31T00:00:00"/>
        <d v="2018-06-30T00:00:00"/>
        <d v="2018-07-31T00:00:00"/>
        <d v="2018-08-31T00:00:00"/>
        <d v="2018-09-30T00:00:00"/>
        <d v="2018-10-31T00:00:00"/>
        <d v="2018-11-30T00:00:00"/>
        <d v="2018-12-31T00:00:00"/>
        <d v="2019-01-31T00:00:00"/>
        <d v="2019-02-28T00:00:00"/>
        <d v="2019-03-31T00:00:00"/>
        <d v="2019-04-30T00:00:00"/>
        <d v="2019-05-31T00:00:00"/>
        <d v="2019-06-30T00:00:00"/>
        <d v="2019-07-31T00:00:00"/>
        <d v="2019-08-31T00:00:00"/>
        <d v="2019-09-30T00:00:00"/>
        <d v="2019-10-31T00:00:00"/>
        <d v="2019-11-30T00:00:00"/>
        <d v="2019-12-31T00:00:00"/>
        <d v="2020-01-01T00:00:00"/>
        <d v="2020-01-31T00:00:00"/>
        <d v="2020-02-01T00:00:00"/>
        <d v="2020-02-29T00:00:00"/>
        <d v="2020-03-01T00:00:00"/>
        <d v="2020-03-31T00:00:00"/>
        <d v="2020-04-01T00:00:00"/>
        <d v="2020-04-30T00:00:00"/>
        <d v="2020-05-01T00:00:00"/>
        <d v="2020-05-31T00:00:00"/>
        <d v="2020-06-01T00:00:00"/>
        <d v="2020-06-30T00:00:00"/>
        <d v="2020-07-01T00:00:00"/>
        <d v="2020-07-31T00:00:00"/>
        <d v="2020-08-01T00:00:00"/>
        <d v="2020-08-31T00:00:00"/>
        <d v="2020-09-01T00:00:00"/>
        <d v="2020-09-30T00:00:00"/>
        <d v="2020-10-01T00:00:00"/>
        <d v="2020-10-31T00:00:00"/>
        <d v="2020-11-01T00:00:00"/>
        <d v="2020-12-01T00:00:00"/>
        <d v="2021-01-01T00:00:00"/>
        <d v="2021-02-01T00:00:00"/>
        <d v="2021-03-01T00:00:00"/>
        <d v="2021-04-01T00:00:00"/>
        <d v="2021-05-01T00:00:00"/>
        <d v="2021-06-01T00:00:00"/>
        <d v="2021-07-01T00:00:00"/>
        <d v="2021-08-01T00:00:00"/>
        <d v="2021-09-01T00:00:00"/>
        <d v="2021-10-01T00:00:00"/>
        <d v="2021-11-01T00:00:00"/>
        <d v="2021-12-01T00:00:00"/>
      </sharedItems>
    </cacheField>
    <cacheField name="[OPEXAnaliza].[Период (Month)].[Период (Month)]" caption="Период (Month)" numFmtId="0" hierarchy="99" level="1">
      <sharedItems containsNonDate="0" count="1">
        <s v=""/>
      </sharedItems>
    </cacheField>
    <cacheField name="[OPEXAnaliza].[Период (Quarter)].[Период (Quarter)]" caption="Период (Quarter)" numFmtId="0" hierarchy="98" level="1">
      <sharedItems containsNonDate="0" count="4">
        <s v="Qtr1"/>
        <s v="Qtr2"/>
        <s v="Qtr3"/>
        <s v="Qtr4"/>
      </sharedItems>
    </cacheField>
    <cacheField name="[OPEXAnaliza].[Период (Year)].[Период (Year)]" caption="Период (Year)" numFmtId="0" hierarchy="97" level="1">
      <sharedItems count="1">
        <s v=""/>
      </sharedItems>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0"/>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0" memberValueDatatype="130" unbalanced="0"/>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2"/>
      </fieldsUsage>
    </cacheHierarchy>
    <cacheHierarchy uniqueName="[fActualAndBudget].[Ставка]" caption="Ставка" attribute="1" defaultMemberUniqueName="[fActualAndBudget].[Ставка].[All]" allUniqueName="[fActualAndBudget].[Ставка].[All]" dimensionUniqueName="[fActualAndBudget]" displayFolder="" count="0" memberValueDatatype="130" unbalanced="0"/>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0" memberValueDatatype="130" unbalanced="0"/>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3"/>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2" memberValueDatatype="130" unbalanced="0">
      <fieldsUsage count="2">
        <fieldUsage x="-1"/>
        <fieldUsage x="5"/>
      </fieldsUsage>
    </cacheHierarchy>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2" memberValueDatatype="130" unbalanced="0">
      <fieldsUsage count="2">
        <fieldUsage x="-1"/>
        <fieldUsage x="9"/>
      </fieldsUsage>
    </cacheHierarchy>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2" memberValueDatatype="130" unbalanced="0">
      <fieldsUsage count="2">
        <fieldUsage x="-1"/>
        <fieldUsage x="6"/>
      </fieldsUsage>
    </cacheHierarchy>
    <cacheHierarchy uniqueName="[OPEXAnaliza].[ObrazecIme]" caption="ObrazecIme" attribute="1" defaultMemberUniqueName="[OPEXAnaliza].[ObrazecIme].[All]" allUniqueName="[OPEXAnaliza].[ObrazecIme].[All]" dimensionUniqueName="[OPEXAnaliza]" displayFolder="" count="2" memberValueDatatype="130" unbalanced="0">
      <fieldsUsage count="2">
        <fieldUsage x="-1"/>
        <fieldUsage x="4"/>
      </fieldsUsage>
    </cacheHierarchy>
    <cacheHierarchy uniqueName="[OPEXAnaliza].[Период]" caption="Период" attribute="1" time="1" defaultMemberUniqueName="[OPEXAnaliza].[Период].[All]" allUniqueName="[OPEXAnaliza].[Период].[All]" dimensionUniqueName="[OPEXAnaliza]" displayFolder="" count="2" memberValueDatatype="7" unbalanced="0">
      <fieldsUsage count="2">
        <fieldUsage x="-1"/>
        <fieldUsage x="10"/>
      </fieldsUsage>
    </cacheHierarchy>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2" memberValueDatatype="130" unbalanced="0">
      <fieldsUsage count="2">
        <fieldUsage x="-1"/>
        <fieldUsage x="8"/>
      </fieldsUsage>
    </cacheHierarchy>
    <cacheHierarchy uniqueName="[OPEXAnaliza].[Период (Year)]" caption="Период (Year)" attribute="1" defaultMemberUniqueName="[OPEXAnaliza].[Период (Year)].[All]" allUniqueName="[OPEXAnaliza].[Период (Year)].[All]" dimensionUniqueName="[OPEXAnaliza]" displayFolder="" count="2" memberValueDatatype="130" unbalanced="0">
      <fieldsUsage count="2">
        <fieldUsage x="-1"/>
        <fieldUsage x="13"/>
      </fieldsUsage>
    </cacheHierarchy>
    <cacheHierarchy uniqueName="[OPEXAnaliza].[Период (Quarter)]" caption="Период (Quarter)" attribute="1" defaultMemberUniqueName="[OPEXAnaliza].[Период (Quarter)].[All]" allUniqueName="[OPEXAnaliza].[Период (Quarter)].[All]" dimensionUniqueName="[OPEXAnaliza]" displayFolder="" count="2" memberValueDatatype="130" unbalanced="0">
      <fieldsUsage count="2">
        <fieldUsage x="-1"/>
        <fieldUsage x="12"/>
      </fieldsUsage>
    </cacheHierarchy>
    <cacheHierarchy uniqueName="[OPEXAnaliza].[Период (Month)]" caption="Период (Month)" attribute="1" defaultMemberUniqueName="[OPEXAnaliza].[Период (Month)].[All]" allUniqueName="[OPEXAnaliza].[Период (Month)].[All]" dimensionUniqueName="[OPEXAnaliza]" displayFolder="" count="2" memberValueDatatype="130" unbalanced="0">
      <fieldsUsage count="2">
        <fieldUsage x="-1"/>
        <fieldUsage x="11"/>
      </fieldsUsage>
    </cacheHierarchy>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oneField="1">
      <fieldsUsage count="1">
        <fieldUsage x="7"/>
      </fieldsUsage>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07523151" createdVersion="5" refreshedVersion="6" minRefreshableVersion="3" recordCount="0" supportSubquery="1" supportAdvancedDrill="1" xr:uid="{00000000-000A-0000-FFFF-FFFF08000000}">
  <cacheSource type="external" connectionId="25"/>
  <cacheFields count="12">
    <cacheField name="[fActualAndBudget].[StavkaImeMK].[StavkaImeMK]" caption="StavkaImeMK" numFmtId="0" hierarchy="34" level="1">
      <sharedItems count="5">
        <s v="Вонредни невообичаени приходи"/>
        <s v="Други неспомнати приходи"/>
        <s v="Приходи од донации"/>
        <s v="Приходи од продажба на подвижен имот"/>
        <s v="Амортизација по минимални стапки"/>
      </sharedItems>
    </cacheField>
    <cacheField name="[fActualAndBudget].[Конто].[Конто]" caption="Конто" numFmtId="0" hierarchy="28" level="1">
      <sharedItems count="12">
        <s v="43020"/>
        <s v="43030"/>
        <s v="43031"/>
        <s v="431001"/>
        <s v="431002"/>
        <s v="43132"/>
        <s v="43133"/>
        <s v="43134"/>
        <s v="43136"/>
        <s v="43139"/>
        <s v="43155"/>
        <s v="43211"/>
      </sharedItems>
    </cacheField>
    <cacheField name="[fActualAndBudget].[ReportType].[ReportType]" caption="ReportType" numFmtId="0" hierarchy="31" level="1">
      <sharedItems containsSemiMixedTypes="0" containsNonDate="0" containsString="0"/>
    </cacheField>
    <cacheField name="[Measures].[Sum of Износ]" caption="Sum of Износ" numFmtId="0" hierarchy="144" level="32767"/>
    <cacheField name="[fActualAndBudget].[StavkaKategorija].[StavkaKategorija]" caption="StavkaKategorija" numFmtId="0" hierarchy="36" level="1">
      <sharedItems count="24">
        <s v="1.1. Парични средства"/>
        <s v="1.13. Вонбилансна актива"/>
        <s v="1.14. Краткорочни обврски"/>
        <s v="1.15. Одложено плаќање на трошоци и приходи (ПВР)"/>
        <s v="1.17. Долгорочни обврски"/>
        <s v="1.2. Побарувања"/>
        <s v="1.21. Капитал"/>
        <s v="1.22. Акумулирана добивка"/>
        <s v="1.23. Резерви"/>
        <s v="1.25. Добивка / Загуба за деловната година"/>
        <s v="1.28. Вонбилансна пасива"/>
        <s v="1.3. Залихи"/>
        <s v="1.7. Материјални средства и вложувања во недвижности"/>
        <s v="1.9. Нематеријални средства"/>
        <s v="2.29. Приходи од продажба"/>
        <s v="2.30. Останати оперативни приходи"/>
        <s v="2.32. Потрошени суровини и материјали"/>
        <s v="2.33. Трошоци за вработените"/>
        <s v="2.34. Амортизација на материјални средства"/>
        <s v="2.35. Вредносно усогласување на тековни средства"/>
        <s v="2.37. Останати оперативни расходи"/>
        <s v="2.40. Приходи од финансирање"/>
        <s v="2.41. Расходи од финансирање"/>
        <s v="Сопственичка главнина"/>
      </sharedItems>
    </cacheField>
    <cacheField name="[fActualAndBudget].[Ставка].[Ставка]" caption="Ставка" numFmtId="0" hierarchy="32" level="1">
      <sharedItems containsNonDate="0" count="1">
        <s v="Приход еднаков на депрец на с-ва добиени на користење"/>
      </sharedItems>
    </cacheField>
    <cacheField name="[Calendar].[Година].[Година]" caption="Година" numFmtId="0" hierarchy="8" level="1">
      <sharedItems containsSemiMixedTypes="0" containsNonDate="0" containsString="0"/>
    </cacheField>
    <cacheField name="[Calendar].[Месец].[Месец]" caption="Месец" numFmtId="0" hierarchy="10" level="1">
      <sharedItems count="12">
        <s v="Jan"/>
        <s v="Feb"/>
        <s v="Mar"/>
        <s v="Apr"/>
        <s v="May"/>
        <s v="Jun"/>
        <s v="Jul"/>
        <s v="Aug"/>
        <s v="Sep"/>
        <s v="Oct"/>
        <s v="Nov"/>
        <s v="Dec"/>
      </sharedItems>
    </cacheField>
    <cacheField name="[fActualAndBudget].[ObrazecIme].[ObrazecIme]" caption="ObrazecIme" numFmtId="0" hierarchy="40" level="1">
      <sharedItems containsSemiMixedTypes="0" containsNonDate="0" containsString="0"/>
    </cacheField>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9"/>
        <fieldUsage x="10"/>
        <fieldUsage x="11"/>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6"/>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7"/>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1"/>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2"/>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5"/>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0"/>
      </fieldsUsage>
    </cacheHierarchy>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4"/>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8"/>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3"/>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gela Sazdova - Doneva" refreshedDate="44523.444710648146" createdVersion="5" refreshedVersion="6" minRefreshableVersion="3" recordCount="0" supportSubquery="1" supportAdvancedDrill="1" xr:uid="{00000000-000A-0000-FFFF-FFFF09000000}">
  <cacheSource type="external" connectionId="25"/>
  <cacheFields count="12">
    <cacheField name="[Calendar].[Date Hierarchy].[Year]" caption="Year" numFmtId="0" hierarchy="7" level="1">
      <sharedItems containsSemiMixedTypes="0" containsNonDate="0" containsString="0"/>
    </cacheField>
    <cacheField name="[Calendar].[Date Hierarchy].[Month]" caption="Month" numFmtId="0" hierarchy="7" level="2">
      <sharedItems containsSemiMixedTypes="0" containsNonDate="0" containsString="0"/>
    </cacheField>
    <cacheField name="[Calendar].[Date Hierarchy].[DateColumn]" caption="DateColumn" numFmtId="0" hierarchy="7" level="3">
      <sharedItems containsSemiMixedTypes="0" containsNonDate="0" containsString="0"/>
    </cacheField>
    <cacheField name="[fActualAndBudget].[StavkaImeMK].[StavkaImeMK]" caption="StavkaImeMK" numFmtId="0" hierarchy="34" level="1">
      <sharedItems containsNonDate="0" count="24">
        <s v="Одложено плаќање на трошоци и признавање на приходи (ПВР)"/>
        <s v="Долгорочни финансиски обврски"/>
        <s v="Краткорочни финансиски побарувања"/>
        <s v="Побарувања од вработените"/>
        <s v="Побарувања од државата"/>
        <s v="Државен капитал"/>
        <s v="Акумулирана добивка"/>
        <s v="Законска резерва"/>
        <s v="Останати резерви - резерви за развој"/>
        <s v="Реинвестирана добивка"/>
        <s v="Добивка/ Загуба за деловната година"/>
        <s v="Вонбилансна пасива"/>
        <s v="Залихи на канцелариски и останат материјал"/>
        <s v="Залихи на резервни делови"/>
        <s v="Залихи на ситен инвентар и авто гуми"/>
        <s v="Инвестиции во тек - недвижности"/>
        <s v="Канцелариски мебел"/>
        <s v="Компјутерска и останата опрема"/>
        <s v="Недвижности"/>
        <s v="Останати материјални основни средства"/>
        <s v="Патнички автомобили"/>
        <s v="Побарувања за аванси за материјални исредства"/>
        <s v="Нематеријални средства во подготовка"/>
        <s v="Софтвер"/>
      </sharedItems>
    </cacheField>
    <cacheField name="[fActualAndBudget].[Конто].[Конто]" caption="Конто" numFmtId="0" hierarchy="28" level="1">
      <sharedItems containsNonDate="0" count="6">
        <s v="0020"/>
        <s v="0030"/>
        <s v="0031"/>
        <s v="00920"/>
        <s v="00930"/>
        <s v="00931"/>
      </sharedItems>
    </cacheField>
    <cacheField name="[fActualAndBudget].[ReportType].[ReportType]" caption="ReportType" numFmtId="0" hierarchy="31" level="1">
      <sharedItems containsSemiMixedTypes="0" containsNonDate="0" containsString="0"/>
    </cacheField>
    <cacheField name="[Measures].[Sum of Износ]" caption="Sum of Износ" numFmtId="0" hierarchy="144" level="32767"/>
    <cacheField name="[fActualAndBudget].[StavkaKategorija].[StavkaKategorija]" caption="StavkaKategorija" numFmtId="0" hierarchy="36" level="1">
      <sharedItems count="14">
        <s v="1.1. Парични средства"/>
        <s v="1.13. Вонбилансна актива"/>
        <s v="1.14. Краткорочни обврски"/>
        <s v="1.15. Одложено плаќање на трошоци и приходи (ПВР)"/>
        <s v="1.17. Долгорочни обврски"/>
        <s v="1.2. Побарувања"/>
        <s v="1.21. Капитал"/>
        <s v="1.22. Акумулирана добивка"/>
        <s v="1.23. Резерви"/>
        <s v="1.25. Добивка / Загуба за деловната година"/>
        <s v="1.28. Вонбилансна пасива"/>
        <s v="1.3. Залихи"/>
        <s v="1.7. Материјални средства и вложувања во недвижности"/>
        <s v="1.9. Нематеријални средства"/>
      </sharedItems>
    </cacheField>
    <cacheField name="[fActualAndBudget].[Ставка].[Ставка]" caption="Ставка" numFmtId="0" hierarchy="32" level="1">
      <sharedItems containsNonDate="0" containsString="0" containsBlank="1" count="1">
        <m/>
      </sharedItems>
    </cacheField>
    <cacheField name="[Calendar].[Година].[Година]" caption="Година" numFmtId="0" hierarchy="8" level="1">
      <sharedItems containsSemiMixedTypes="0" containsString="0" containsNumber="1" containsInteger="1" minValue="2019" maxValue="2020" count="2">
        <n v="2019"/>
        <n v="2020" u="1"/>
      </sharedItems>
      <extLst>
        <ext xmlns:x15="http://schemas.microsoft.com/office/spreadsheetml/2010/11/main" uri="{4F2E5C28-24EA-4eb8-9CBF-B6C8F9C3D259}">
          <x15:cachedUniqueNames>
            <x15:cachedUniqueName index="0" name="[Calendar].[Година].&amp;[2019]"/>
            <x15:cachedUniqueName index="1" name="[Calendar].[Година].&amp;[2020]"/>
          </x15:cachedUniqueNames>
        </ext>
      </extLst>
    </cacheField>
    <cacheField name="[Calendar].[Месец].[Месец]" caption="Месец" numFmtId="0" hierarchy="10" level="1">
      <sharedItems count="10">
        <s v="Jan"/>
        <s v="Feb"/>
        <s v="Mar"/>
        <s v="Apr"/>
        <s v="May"/>
        <s v="Jun"/>
        <s v="Jul"/>
        <s v="Aug"/>
        <s v="Sep"/>
        <s v="Oct"/>
      </sharedItems>
    </cacheField>
    <cacheField name="[fActualAndBudget].[ObrazecIme].[ObrazecIme]" caption="ObrazecIme" numFmtId="0" hierarchy="40" level="1">
      <sharedItems containsSemiMixedTypes="0" containsNonDate="0" containsString="0"/>
    </cacheField>
  </cacheFields>
  <cacheHierarchies count="176">
    <cacheHierarchy uniqueName="[Amortizacija].[Број на јавна набавка (план)]" caption="Број на јавна набавка (план)" attribute="1" defaultMemberUniqueName="[Amortizacija].[Број на јавна набавка (план)].[All]" allUniqueName="[Amortizacija].[Број на јавна набавка (план)].[All]" dimensionUniqueName="[Amortizacija]" displayFolder="" count="0" memberValueDatatype="130" unbalanced="0"/>
    <cacheHierarchy uniqueName="[Amortizacija].[Ставка]" caption="Ставка" attribute="1" defaultMemberUniqueName="[Amortizacija].[Ставка].[All]" allUniqueName="[Amortizacija].[Ставка].[All]" dimensionUniqueName="[Amortizacija]" displayFolder="" count="0" memberValueDatatype="130" unbalanced="0"/>
    <cacheHierarchy uniqueName="[Amortizacija].[Период]" caption="Период" attribute="1" time="1" defaultMemberUniqueName="[Amortizacija].[Период].[All]" allUniqueName="[Amortizacija].[Период].[All]" dimensionUniqueName="[Amortizacija]" displayFolder="" count="0" memberValueDatatype="7" unbalanced="0"/>
    <cacheHierarchy uniqueName="[Amortizacija].[Износ]" caption="Износ" attribute="1" defaultMemberUniqueName="[Amortizacija].[Износ].[All]" allUniqueName="[Amortizacija].[Износ].[All]" dimensionUniqueName="[Amortizacija]" displayFolder="" count="0" memberValueDatatype="20" unbalanced="0"/>
    <cacheHierarchy uniqueName="[Amortizacija].[Конто]" caption="Конто" attribute="1" defaultMemberUniqueName="[Amortizacija].[Конто].[All]" allUniqueName="[Amortizacija].[Конто].[All]" dimensionUniqueName="[Amortizacija]" displayFolder="" count="0" memberValueDatatype="130" unbalanced="0"/>
    <cacheHierarchy uniqueName="[Amortizacija].[ReportType]" caption="ReportType" attribute="1" defaultMemberUniqueName="[Amortizacija].[ReportType].[All]" allUniqueName="[Amortizacija].[ReportType].[All]" dimensionUniqueName="[Amortizacija]" displayFolder="" count="0" memberValueDatatype="13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Година]" caption="Година" attribute="1" time="1" defaultMemberUniqueName="[Calendar].[Година].[All]" allUniqueName="[Calendar].[Година].[All]" dimensionUniqueName="[Calendar]" displayFolder="" count="2" memberValueDatatype="20" unbalanced="0">
      <fieldsUsage count="2">
        <fieldUsage x="-1"/>
        <fieldUsage x="9"/>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Месец]" caption="Месец" attribute="1" time="1" defaultMemberUniqueName="[Calendar].[Месец].[All]" allUniqueName="[Calendar].[Месец].[All]" dimensionUniqueName="[Calendar]" displayFolder="" count="2" memberValueDatatype="130" unbalanced="0">
      <fieldsUsage count="2">
        <fieldUsage x="-1"/>
        <fieldUsage x="10"/>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Квартал]" caption="Квартал" attribute="1" time="1" defaultMemberUniqueName="[Calendar].[Квартал].[All]" allUniqueName="[Calendar].[Квартал].[All]" dimensionUniqueName="[Calendar]" displayFolder="" count="0" memberValueDatatype="7" unbalanced="0"/>
    <cacheHierarchy uniqueName="[CAPEX].[Година за реализација на проект]" caption="Година за реализација на проект" attribute="1" defaultMemberUniqueName="[CAPEX].[Година за реализација на проект].[All]" allUniqueName="[CAPEX].[Година за реализација на проект].[All]" dimensionUniqueName="[CAPEX]" displayFolder="" count="0" memberValueDatatype="20" unbalanced="0"/>
    <cacheHierarchy uniqueName="[CAPEX].[Број на јавна набавка (план)]" caption="Број на јавна набавка (план)" attribute="1" defaultMemberUniqueName="[CAPEX].[Број на јавна набавка (план)].[All]" allUniqueName="[CAPEX].[Број на јавна набавка (план)].[All]" dimensionUniqueName="[CAPEX]" displayFolder="" count="0" memberValueDatatype="130" unbalanced="0"/>
    <cacheHierarchy uniqueName="[CAPEX].[Предмет на договорот за јавна набавка]" caption="Предмет на договорот за јавна набавка" attribute="1" defaultMemberUniqueName="[CAPEX].[Предмет на договорот за јавна набавка].[All]" allUniqueName="[CAPEX].[Предмет на договорот за јавна набавка].[All]" dimensionUniqueName="[CAPEX]" displayFolder="" count="0" memberValueDatatype="130" unbalanced="0"/>
    <cacheHierarchy uniqueName="[CAPEX].[Очекуван датум на плаќање]" caption="Очекуван датум на плаќање" attribute="1" time="1" defaultMemberUniqueName="[CAPEX].[Очекуван датум на плаќање].[All]" allUniqueName="[CAPEX].[Очекуван датум на плаќање].[All]" dimensionUniqueName="[CAPEX]" displayFolder="" count="0" memberValueDatatype="7" unbalanced="0"/>
    <cacheHierarchy uniqueName="[CAPEX].[Очекуван датум за ставање во употреба (месец)]" caption="Очекуван датум за ставање во употреба (месец)" attribute="1" time="1" defaultMemberUniqueName="[CAPEX].[Очекуван датум за ставање во употреба (месец)].[All]" allUniqueName="[CAPEX].[Очекуван датум за ставање во употреба (месец)].[All]" dimensionUniqueName="[CAPEX]" displayFolder="" count="0" memberValueDatatype="7" unbalanced="0"/>
    <cacheHierarchy uniqueName="[CAPEX].[Проценета вредност на набавка со ДДВ (денари)]" caption="Проценета вредност на набавка со ДДВ (денари)" attribute="1" defaultMemberUniqueName="[CAPEX].[Проценета вредност на набавка со ДДВ (денари)].[All]" allUniqueName="[CAPEX].[Проценета вредност на набавка со ДДВ (денари)].[All]" dimensionUniqueName="[CAPEX]" displayFolder="" count="0" memberValueDatatype="20" unbalanced="0"/>
    <cacheHierarchy uniqueName="[CAPEX].[Стапка на амортизација]" caption="Стапка на амортизација" attribute="1" defaultMemberUniqueName="[CAPEX].[Стапка на амортизација].[All]" allUniqueName="[CAPEX].[Стапка на амортизација].[All]" dimensionUniqueName="[CAPEX]" displayFolder="" count="0" memberValueDatatype="5" unbalanced="0"/>
    <cacheHierarchy uniqueName="[CAPEX].[Конто Средства]" caption="Конто Средства" attribute="1" defaultMemberUniqueName="[CAPEX].[Конто Средства].[All]" allUniqueName="[CAPEX].[Конто Средства].[All]" dimensionUniqueName="[CAPEX]" displayFolder="" count="0" memberValueDatatype="130" unbalanced="0"/>
    <cacheHierarchy uniqueName="[CAPEX].[Конто Амортизација]" caption="Конто Амортизација" attribute="1" defaultMemberUniqueName="[CAPEX].[Конто Амортизација].[All]" allUniqueName="[CAPEX].[Конто Амортизација].[All]" dimensionUniqueName="[CAPEX]" displayFolder="" count="0" memberValueDatatype="130" unbalanced="0"/>
    <cacheHierarchy uniqueName="[CAPEX].[Износ донација]" caption="Износ донација" attribute="1" defaultMemberUniqueName="[CAPEX].[Износ донација].[All]" allUniqueName="[CAPEX].[Износ донација].[All]" dimensionUniqueName="[CAPEX]" displayFolder="" count="0" memberValueDatatype="20" unbalanced="0"/>
    <cacheHierarchy uniqueName="[CAPEX].[Очекуван датум на плаќање (Year)]" caption="Очекуван датум на плаќање (Year)" attribute="1" defaultMemberUniqueName="[CAPEX].[Очекуван датум на плаќање (Year)].[All]" allUniqueName="[CAPEX].[Очекуван датум на плаќање (Year)].[All]" dimensionUniqueName="[CAPEX]" displayFolder="" count="0" memberValueDatatype="130" unbalanced="0"/>
    <cacheHierarchy uniqueName="[CAPEX].[Очекуван датум на плаќање (Quarter)]" caption="Очекуван датум на плаќање (Quarter)" attribute="1" defaultMemberUniqueName="[CAPEX].[Очекуван датум на плаќање (Quarter)].[All]" allUniqueName="[CAPEX].[Очекуван датум на плаќање (Quarter)].[All]" dimensionUniqueName="[CAPEX]" displayFolder="" count="0" memberValueDatatype="130" unbalanced="0"/>
    <cacheHierarchy uniqueName="[CAPEX].[Очекуван датум на плаќање (Month)]" caption="Очекуван датум на плаќање (Month)" attribute="1" defaultMemberUniqueName="[CAPEX].[Очекуван датум на плаќање (Month)].[All]" allUniqueName="[CAPEX].[Очекуван датум на плаќање (Month)].[All]" dimensionUniqueName="[CAPEX]" displayFolder="" count="0" memberValueDatatype="130" unbalanced="0"/>
    <cacheHierarchy uniqueName="[fActualAndBudget].[Конто]" caption="Конто" attribute="1" defaultMemberUniqueName="[fActualAndBudget].[Конто].[All]" allUniqueName="[fActualAndBudget].[Конто].[All]" dimensionUniqueName="[fActualAndBudget]" displayFolder="" count="2" memberValueDatatype="130" unbalanced="0">
      <fieldsUsage count="2">
        <fieldUsage x="-1"/>
        <fieldUsage x="4"/>
      </fieldsUsage>
    </cacheHierarchy>
    <cacheHierarchy uniqueName="[fActualAndBudget].[Назив на конто]" caption="Назив на конто" attribute="1" defaultMemberUniqueName="[fActualAndBudget].[Назив на конто].[All]" allUniqueName="[fActualAndBudget].[Назив на конто].[All]" dimensionUniqueName="[fActualAndBudget]" displayFolder="" count="0" memberValueDatatype="130" unbalanced="0"/>
    <cacheHierarchy uniqueName="[fActualAndBudget].[Период]" caption="Период" attribute="1" time="1" defaultMemberUniqueName="[fActualAndBudget].[Период].[All]" allUniqueName="[fActualAndBudget].[Период].[All]" dimensionUniqueName="[fActualAndBudget]" displayFolder="" count="0" memberValueDatatype="7" unbalanced="0"/>
    <cacheHierarchy uniqueName="[fActualAndBudget].[ReportType]" caption="ReportType" attribute="1" defaultMemberUniqueName="[fActualAndBudget].[ReportType].[All]" allUniqueName="[fActualAndBudget].[ReportType].[All]" dimensionUniqueName="[fActualAndBudget]" displayFolder="" count="2" memberValueDatatype="130" unbalanced="0">
      <fieldsUsage count="2">
        <fieldUsage x="-1"/>
        <fieldUsage x="5"/>
      </fieldsUsage>
    </cacheHierarchy>
    <cacheHierarchy uniqueName="[fActualAndBudget].[Ставка]" caption="Ставка" attribute="1" defaultMemberUniqueName="[fActualAndBudget].[Ставка].[All]" allUniqueName="[fActualAndBudget].[Ставка].[All]" dimensionUniqueName="[fActualAndBudget]" displayFolder="" count="2" memberValueDatatype="130" unbalanced="0">
      <fieldsUsage count="2">
        <fieldUsage x="-1"/>
        <fieldUsage x="8"/>
      </fieldsUsage>
    </cacheHierarchy>
    <cacheHierarchy uniqueName="[fActualAndBudget].[Број на јавна набавка (план)]" caption="Број на јавна набавка (план)" attribute="1" defaultMemberUniqueName="[fActualAndBudget].[Број на јавна набавка (план)].[All]" allUniqueName="[fActualAndBudget].[Број на јавна набавка (план)].[All]" dimensionUniqueName="[fActualAndBudget]" displayFolder="" count="0" memberValueDatatype="130" unbalanced="0"/>
    <cacheHierarchy uniqueName="[fActualAndBudget].[StavkaImeMK]" caption="StavkaImeMK" attribute="1" defaultMemberUniqueName="[fActualAndBudget].[StavkaImeMK].[All]" allUniqueName="[fActualAndBudget].[StavkaImeMK].[All]" dimensionUniqueName="[fActualAndBudget]" displayFolder="" count="2" memberValueDatatype="130" unbalanced="0">
      <fieldsUsage count="2">
        <fieldUsage x="-1"/>
        <fieldUsage x="3"/>
      </fieldsUsage>
    </cacheHierarchy>
    <cacheHierarchy uniqueName="[fActualAndBudget].[StavkaGrupa]" caption="StavkaGrupa" attribute="1" defaultMemberUniqueName="[fActualAndBudget].[StavkaGrupa].[All]" allUniqueName="[fActualAndBudget].[StavkaGrupa].[All]" dimensionUniqueName="[fActualAndBudget]" displayFolder="" count="0" memberValueDatatype="130" unbalanced="0"/>
    <cacheHierarchy uniqueName="[fActualAndBudget].[StavkaKategorija]" caption="StavkaKategorija" attribute="1" defaultMemberUniqueName="[fActualAndBudget].[StavkaKategorija].[All]" allUniqueName="[fActualAndBudget].[StavkaKategorija].[All]" dimensionUniqueName="[fActualAndBudget]" displayFolder="" count="2" memberValueDatatype="130" unbalanced="0">
      <fieldsUsage count="2">
        <fieldUsage x="-1"/>
        <fieldUsage x="7"/>
      </fieldsUsage>
    </cacheHierarchy>
    <cacheHierarchy uniqueName="[fActualAndBudget].[ZnakIzvestaj]" caption="ZnakIzvestaj" attribute="1" defaultMemberUniqueName="[fActualAndBudget].[ZnakIzvestaj].[All]" allUniqueName="[fActualAndBudget].[ZnakIzvestaj].[All]" dimensionUniqueName="[fActualAndBudget]" displayFolder="" count="0" memberValueDatatype="20" unbalanced="0"/>
    <cacheHierarchy uniqueName="[fActualAndBudget].[ObrazecID]" caption="ObrazecID" attribute="1" defaultMemberUniqueName="[fActualAndBudget].[ObrazecID].[All]" allUniqueName="[fActualAndBudget].[ObrazecID].[All]" dimensionUniqueName="[fActualAndBudget]" displayFolder="" count="0" memberValueDatatype="20" unbalanced="0"/>
    <cacheHierarchy uniqueName="[fActualAndBudget].[StavkaAOP]" caption="StavkaAOP" attribute="1" defaultMemberUniqueName="[fActualAndBudget].[StavkaAOP].[All]" allUniqueName="[fActualAndBudget].[StavkaAOP].[All]" dimensionUniqueName="[fActualAndBudget]" displayFolder="" count="0" memberValueDatatype="130" unbalanced="0"/>
    <cacheHierarchy uniqueName="[fActualAndBudget].[ObrazecIme]" caption="ObrazecIme" attribute="1" defaultMemberUniqueName="[fActualAndBudget].[ObrazecIme].[All]" allUniqueName="[fActualAndBudget].[ObrazecIme].[All]" dimensionUniqueName="[fActualAndBudget]" displayFolder="" count="2" memberValueDatatype="130" unbalanced="0">
      <fieldsUsage count="2">
        <fieldUsage x="-1"/>
        <fieldUsage x="11"/>
      </fieldsUsage>
    </cacheHierarchy>
    <cacheHierarchy uniqueName="[fActualAndBudget].[Износ]" caption="Износ" attribute="1" defaultMemberUniqueName="[fActualAndBudget].[Износ].[All]" allUniqueName="[fActualAndBudget].[Износ].[All]" dimensionUniqueName="[fActualAndBudget]" displayFolder="" count="0" memberValueDatatype="20" unbalanced="0"/>
    <cacheHierarchy uniqueName="[fActualAndBudget].[Износ (илјади)]" caption="Износ (илјади)" attribute="1" defaultMemberUniqueName="[fActualAndBudget].[Износ (илјади)].[All]" allUniqueName="[fActualAndBudget].[Износ (илјади)].[All]" dimensionUniqueName="[fActualAndBudget]" displayFolder="" count="0" memberValueDatatype="5" unbalanced="0"/>
    <cacheHierarchy uniqueName="[fActualAndBudget].[StavkaImeAOP]" caption="StavkaImeAOP" attribute="1" defaultMemberUniqueName="[fActualAndBudget].[StavkaImeAOP].[All]" allUniqueName="[fActualAndBudget].[StavkaImeAOP].[All]" dimensionUniqueName="[fActualAndBudget]" displayFolder="" count="0" memberValueDatatype="130" unbalanced="0"/>
    <cacheHierarchy uniqueName="[fActualAndBudget].[Конто Ставка]" caption="Конто Ставка" attribute="1" defaultMemberUniqueName="[fActualAndBudget].[Конто Ставка].[All]" allUniqueName="[fActualAndBudget].[Конто Ставка].[All]" dimensionUniqueName="[fActualAndBudget]" displayFolder="" count="0" memberValueDatatype="130" unbalanced="0"/>
    <cacheHierarchy uniqueName="[fArtikliCeni].[Ставка]" caption="Ставка" attribute="1" defaultMemberUniqueName="[fArtikliCeni].[Ставка].[All]" allUniqueName="[fArtikliCeni].[Ставка].[All]" dimensionUniqueName="[fArtikliCeni]" displayFolder="" count="0" memberValueDatatype="130" unbalanced="0"/>
    <cacheHierarchy uniqueName="[fArtikliCeni].[Категорија Артикл]" caption="Категорија Артикл" attribute="1" defaultMemberUniqueName="[fArtikliCeni].[Категорија Артикл].[All]" allUniqueName="[fArtikliCeni].[Категорија Артикл].[All]" dimensionUniqueName="[fArtikliCeni]" displayFolder="" count="0" memberValueDatatype="130" unbalanced="0"/>
    <cacheHierarchy uniqueName="[fArtikliCeni].[Тип на артикл]" caption="Тип на артикл" attribute="1" defaultMemberUniqueName="[fArtikliCeni].[Тип на артикл].[All]" allUniqueName="[fArtikliCeni].[Тип на артикл].[All]" dimensionUniqueName="[fArtikliCeni]" displayFolder="" count="0" memberValueDatatype="130" unbalanced="0"/>
    <cacheHierarchy uniqueName="[fArtikliCeni].[Единечна мерка]" caption="Единечна мерка" attribute="1" defaultMemberUniqueName="[fArtikliCeni].[Единечна мерка].[All]" allUniqueName="[fArtikliCeni].[Единечна мерка].[All]" dimensionUniqueName="[fArtikliCeni]" displayFolder="" count="0" memberValueDatatype="130" unbalanced="0"/>
    <cacheHierarchy uniqueName="[fArtikliCeni].[Количина]" caption="Количина" attribute="1" defaultMemberUniqueName="[fArtikliCeni].[Количина].[All]" allUniqueName="[fArtikliCeni].[Количина].[All]" dimensionUniqueName="[fArtikliCeni]" displayFolder="" count="0" memberValueDatatype="5" unbalanced="0"/>
    <cacheHierarchy uniqueName="[fArtikliCeni].[Единечна цена]" caption="Единечна цена" attribute="1" defaultMemberUniqueName="[fArtikliCeni].[Единечна цена].[All]" allUniqueName="[fArtikliCeni].[Единечна цена].[All]" dimensionUniqueName="[fArtikliCeni]" displayFolder="" count="0" memberValueDatatype="20" unbalanced="0"/>
    <cacheHierarchy uniqueName="[fArtikliCeni].[Вкупно трошок]" caption="Вкупно трошок" attribute="1" defaultMemberUniqueName="[fArtikliCeni].[Вкупно трошок].[All]" allUniqueName="[fArtikliCeni].[Вкупно трошок].[All]" dimensionUniqueName="[fArtikliCeni]" displayFolder="" count="0" memberValueDatatype="5" unbalanced="0"/>
    <cacheHierarchy uniqueName="[fArtikliCeni].[ДДВ]" caption="ДДВ" attribute="1" defaultMemberUniqueName="[fArtikliCeni].[ДДВ].[All]" allUniqueName="[fArtikliCeni].[ДДВ].[All]" dimensionUniqueName="[fArtikliCeni]" displayFolder="" count="0" memberValueDatatype="5" unbalanced="0"/>
    <cacheHierarchy uniqueName="[fArtikliCeni].[Износ]" caption="Износ" attribute="1" defaultMemberUniqueName="[fArtikliCeni].[Износ].[All]" allUniqueName="[fArtikliCeni].[Износ].[All]" dimensionUniqueName="[fArtikliCeni]" displayFolder="" count="0" memberValueDatatype="5" unbalanced="0"/>
    <cacheHierarchy uniqueName="[fArtikliCeni].[Конто]" caption="Конто" attribute="1" defaultMemberUniqueName="[fArtikliCeni].[Конто].[All]" allUniqueName="[fArtikliCeni].[Конто].[All]" dimensionUniqueName="[fArtikliCeni]" displayFolder="" count="0" memberValueDatatype="130" unbalanced="0"/>
    <cacheHierarchy uniqueName="[fArtikliCeni].[ReportType]" caption="ReportType" attribute="1" defaultMemberUniqueName="[fArtikliCeni].[ReportType].[All]" allUniqueName="[fArtikliCeni].[ReportType].[All]" dimensionUniqueName="[fArtikliCeni]" displayFolder="" count="0" memberValueDatatype="130" unbalanced="0"/>
    <cacheHierarchy uniqueName="[fArtikliCeni].[Период]" caption="Период" attribute="1" time="1" defaultMemberUniqueName="[fArtikliCeni].[Период].[All]" allUniqueName="[fArtikliCeni].[Период].[All]" dimensionUniqueName="[fArtikliCeni]" displayFolder="" count="0" memberValueDatatype="7" unbalanced="0"/>
    <cacheHierarchy uniqueName="[fArtikliCeni].[StavkaImeMK]" caption="StavkaImeMK" attribute="1" defaultMemberUniqueName="[fArtikliCeni].[StavkaImeMK].[All]" allUniqueName="[fArtikliCeni].[StavkaImeMK].[All]" dimensionUniqueName="[fArtikliCeni]" displayFolder="" count="0" memberValueDatatype="130" unbalanced="0"/>
    <cacheHierarchy uniqueName="[fArtikliCeni].[StavkaAOP]" caption="StavkaAOP" attribute="1" defaultMemberUniqueName="[fArtikliCeni].[StavkaAOP].[All]" allUniqueName="[fArtikliCeni].[StavkaAOP].[All]" dimensionUniqueName="[fArtikliCeni]" displayFolder="" count="0" memberValueDatatype="130" unbalanced="0"/>
    <cacheHierarchy uniqueName="[fArtikliCeni].[StavkaGrupa]" caption="StavkaGrupa" attribute="1" defaultMemberUniqueName="[fArtikliCeni].[StavkaGrupa].[All]" allUniqueName="[fArtikliCeni].[StavkaGrupa].[All]" dimensionUniqueName="[fArtikliCeni]" displayFolder="" count="0" memberValueDatatype="130" unbalanced="0"/>
    <cacheHierarchy uniqueName="[fArtikliCeni].[StavkaKategorija]" caption="StavkaKategorija" attribute="1" defaultMemberUniqueName="[fArtikliCeni].[StavkaKategorija].[All]" allUniqueName="[fArtikliCeni].[StavkaKategorija].[All]" dimensionUniqueName="[fArtikliCeni]" displayFolder="" count="0" memberValueDatatype="130" unbalanced="0"/>
    <cacheHierarchy uniqueName="[fArtikliCeni].[ObrazecIme]" caption="ObrazecIme" attribute="1" defaultMemberUniqueName="[fArtikliCeni].[ObrazecIme].[All]" allUniqueName="[fArtikliCeni].[ObrazecIme].[All]" dimensionUniqueName="[fArtikliCeni]" displayFolder="" count="0" memberValueDatatype="130" unbalanced="0"/>
    <cacheHierarchy uniqueName="[fCoveckiResursi].[Ставка]" caption="Ставка" attribute="1" defaultMemberUniqueName="[fCoveckiResursi].[Ставка].[All]" allUniqueName="[fCoveckiResursi].[Ставка].[All]" dimensionUniqueName="[fCoveckiResursi]" displayFolder="" count="0" memberValueDatatype="130" unbalanced="0"/>
    <cacheHierarchy uniqueName="[fCoveckiResursi].[Тип на вработување]" caption="Тип на вработување" attribute="1" defaultMemberUniqueName="[fCoveckiResursi].[Тип на вработување].[All]" allUniqueName="[fCoveckiResursi].[Тип на вработување].[All]" dimensionUniqueName="[fCoveckiResursi]" displayFolder="" count="0" memberValueDatatype="130" unbalanced="0"/>
    <cacheHierarchy uniqueName="[fCoveckiResursi].[Планиран прилив/(одлив)]" caption="Планиран прилив/(одлив)" attribute="1" defaultMemberUniqueName="[fCoveckiResursi].[Планиран прилив/(одлив)].[All]" allUniqueName="[fCoveckiResursi].[Планиран прилив/(одлив)].[All]" dimensionUniqueName="[fCoveckiResursi]" displayFolder="" count="0" memberValueDatatype="20" unbalanced="0"/>
    <cacheHierarchy uniqueName="[fCoveckiResursi].[Период]" caption="Период" attribute="1" time="1" defaultMemberUniqueName="[fCoveckiResursi].[Период].[All]" allUniqueName="[fCoveckiResursi].[Период].[All]" dimensionUniqueName="[fCoveckiResursi]" displayFolder="" count="0" memberValueDatatype="7" unbalanced="0"/>
    <cacheHierarchy uniqueName="[fCoveckiResursi].[Крајна состојба вработени]" caption="Крајна состојба вработени" attribute="1" defaultMemberUniqueName="[fCoveckiResursi].[Крајна состојба вработени].[All]" allUniqueName="[fCoveckiResursi].[Крајна состојба вработени].[All]" dimensionUniqueName="[fCoveckiResursi]" displayFolder="" count="0" memberValueDatatype="20" unbalanced="0"/>
    <cacheHierarchy uniqueName="[fCoveckiResursi].[Износ]" caption="Износ" attribute="1" defaultMemberUniqueName="[fCoveckiResursi].[Износ].[All]" allUniqueName="[fCoveckiResursi].[Износ].[All]" dimensionUniqueName="[fCoveckiResursi]" displayFolder="" count="0" memberValueDatatype="20" unbalanced="0"/>
    <cacheHierarchy uniqueName="[fCoveckiResursi].[Конто]" caption="Конто" attribute="1" defaultMemberUniqueName="[fCoveckiResursi].[Конто].[All]" allUniqueName="[fCoveckiResursi].[Конто].[All]" dimensionUniqueName="[fCoveckiResursi]" displayFolder="" count="0" memberValueDatatype="130" unbalanced="0"/>
    <cacheHierarchy uniqueName="[fCoveckiResursi].[ReportType]" caption="ReportType" attribute="1" defaultMemberUniqueName="[fCoveckiResursi].[ReportType].[All]" allUniqueName="[fCoveckiResursi].[ReportType].[All]" dimensionUniqueName="[fCoveckiResursi]" displayFolder="" count="0" memberValueDatatype="130" unbalanced="0"/>
    <cacheHierarchy uniqueName="[fCoveckiResursi].[Период (Year)]" caption="Период (Year)" attribute="1" defaultMemberUniqueName="[fCoveckiResursi].[Период (Year)].[All]" allUniqueName="[fCoveckiResursi].[Период (Year)].[All]" dimensionUniqueName="[fCoveckiResursi]" displayFolder="" count="0" memberValueDatatype="130" unbalanced="0"/>
    <cacheHierarchy uniqueName="[fCoveckiResursi].[Период (Quarter)]" caption="Период (Quarter)" attribute="1" defaultMemberUniqueName="[fCoveckiResursi].[Период (Quarter)].[All]" allUniqueName="[fCoveckiResursi].[Период (Quarter)].[All]" dimensionUniqueName="[fCoveckiResursi]" displayFolder="" count="0" memberValueDatatype="130" unbalanced="0"/>
    <cacheHierarchy uniqueName="[fCoveckiResursi].[Период (Month)]" caption="Период (Month)" attribute="1" defaultMemberUniqueName="[fCoveckiResursi].[Период (Month)].[All]" allUniqueName="[fCoveckiResursi].[Период (Month)].[All]" dimensionUniqueName="[fCoveckiResursi]" displayFolder="" count="0" memberValueDatatype="130" unbalanced="0"/>
    <cacheHierarchy uniqueName="[fCoveckiResursi].[Период (Year) 1]" caption="Период (Year) 1" attribute="1" defaultMemberUniqueName="[fCoveckiResursi].[Период (Year) 1].[All]" allUniqueName="[fCoveckiResursi].[Период (Year) 1].[All]" dimensionUniqueName="[fCoveckiResursi]" displayFolder="" count="0" memberValueDatatype="130" unbalanced="0"/>
    <cacheHierarchy uniqueName="[fCoveckiResursi].[Период (Quarter) 1]" caption="Период (Quarter) 1" attribute="1" defaultMemberUniqueName="[fCoveckiResursi].[Период (Quarter) 1].[All]" allUniqueName="[fCoveckiResursi].[Период (Quarter) 1].[All]" dimensionUniqueName="[fCoveckiResursi]" displayFolder="" count="0" memberValueDatatype="130" unbalanced="0"/>
    <cacheHierarchy uniqueName="[fCoveckiResursi].[Период (Month) 1]" caption="Период (Month) 1" attribute="1" defaultMemberUniqueName="[fCoveckiResursi].[Период (Month) 1].[All]" allUniqueName="[fCoveckiResursi].[Период (Month) 1].[All]" dimensionUniqueName="[fCoveckiResursi]" displayFolder="" count="0" memberValueDatatype="130" unbalanced="0"/>
    <cacheHierarchy uniqueName="[fOPEX].[Конто]" caption="Конто" attribute="1" defaultMemberUniqueName="[fOPEX].[Конто].[All]" allUniqueName="[fOPEX].[Конто].[All]" dimensionUniqueName="[fOPEX]" displayFolder="" count="0" memberValueDatatype="130" unbalanced="0"/>
    <cacheHierarchy uniqueName="[fOPEX].[Ставка]" caption="Ставка" attribute="1" defaultMemberUniqueName="[fOPEX].[Ставка].[All]" allUniqueName="[fOPEX].[Ставка].[All]" dimensionUniqueName="[fOPEX]" displayFolder="" count="0" memberValueDatatype="130" unbalanced="0"/>
    <cacheHierarchy uniqueName="[fOPEX].[Период]" caption="Период" attribute="1" time="1" defaultMemberUniqueName="[fOPEX].[Период].[All]" allUniqueName="[fOPEX].[Период].[All]" dimensionUniqueName="[fOPEX]" displayFolder="" count="0" memberValueDatatype="7" unbalanced="0"/>
    <cacheHierarchy uniqueName="[fOPEX].[Износ]" caption="Износ" attribute="1" defaultMemberUniqueName="[fOPEX].[Износ].[All]" allUniqueName="[fOPEX].[Износ].[All]" dimensionUniqueName="[fOPEX]" displayFolder="" count="0" memberValueDatatype="20" unbalanced="0"/>
    <cacheHierarchy uniqueName="[fOPEX].[ReportType]" caption="ReportType" attribute="1" defaultMemberUniqueName="[fOPEX].[ReportType].[All]" allUniqueName="[fOPEX].[ReportType].[All]" dimensionUniqueName="[fOPEX]" displayFolder="" count="0" memberValueDatatype="130" unbalanced="0"/>
    <cacheHierarchy uniqueName="[fOPEX - ЈН].[Конто]" caption="Конто" attribute="1" defaultMemberUniqueName="[fOPEX - ЈН].[Конто].[All]" allUniqueName="[fOPEX - ЈН].[Конто].[All]" dimensionUniqueName="[fOPEX - ЈН]" displayFolder="" count="0" memberValueDatatype="130" unbalanced="0"/>
    <cacheHierarchy uniqueName="[fOPEX - ЈН].[Предмет на јавна набавка]" caption="Предмет на јавна набавка" attribute="1" defaultMemberUniqueName="[fOPEX - ЈН].[Предмет на јавна набавка].[All]" allUniqueName="[fOPEX - ЈН].[Предмет на јавна набавка].[All]" dimensionUniqueName="[fOPEX - ЈН]" displayFolder="" count="0" memberValueDatatype="130" unbalanced="0"/>
    <cacheHierarchy uniqueName="[fOPEX - ЈН].[Предвиден датум на набавка]" caption="Предвиден датум на набавка" attribute="1" time="1" defaultMemberUniqueName="[fOPEX - ЈН].[Предвиден датум на набавка].[All]" allUniqueName="[fOPEX - ЈН].[Предвиден датум на набавка].[All]" dimensionUniqueName="[fOPEX - ЈН]" displayFolder="" count="0" memberValueDatatype="7" unbalanced="0"/>
    <cacheHierarchy uniqueName="[fOPEX - ЈН].[Проценета вредност на набавка со ДДВ (денари)]" caption="Проценета вредност на набавка со ДДВ (денари)" attribute="1" defaultMemberUniqueName="[fOPEX - ЈН].[Проценета вредност на набавка со ДДВ (денари)].[All]" allUniqueName="[fOPEX - ЈН].[Проценета вредност на набавка со ДДВ (денари)].[All]" dimensionUniqueName="[fOPEX - ЈН]" displayFolder="" count="0" memberValueDatatype="20" unbalanced="0"/>
    <cacheHierarchy uniqueName="[fOPEX - ЈН].[ReportType]" caption="ReportType" attribute="1" defaultMemberUniqueName="[fOPEX - ЈН].[ReportType].[All]" allUniqueName="[fOPEX - ЈН].[ReportType].[All]" dimensionUniqueName="[fOPEX - ЈН]" displayFolder="" count="0" memberValueDatatype="130" unbalanced="0"/>
    <cacheHierarchy uniqueName="[OPEXAnaliza].[Ставка]" caption="Ставка" attribute="1" defaultMemberUniqueName="[OPEXAnaliza].[Ставка].[All]" allUniqueName="[OPEXAnaliza].[Ставка].[All]" dimensionUniqueName="[OPEXAnaliza]" displayFolder="" count="0" memberValueDatatype="130" unbalanced="0"/>
    <cacheHierarchy uniqueName="[OPEXAnaliza].[Износ]" caption="Износ" attribute="1" defaultMemberUniqueName="[OPEXAnaliza].[Износ].[All]" allUniqueName="[OPEXAnaliza].[Износ].[All]" dimensionUniqueName="[OPEXAnaliza]" displayFolder="" count="0" memberValueDatatype="5" unbalanced="0"/>
    <cacheHierarchy uniqueName="[OPEXAnaliza].[Конто]" caption="Конто" attribute="1" defaultMemberUniqueName="[OPEXAnaliza].[Конто].[All]" allUniqueName="[OPEXAnaliza].[Конто].[All]" dimensionUniqueName="[OPEXAnaliza]" displayFolder="" count="0" memberValueDatatype="130" unbalanced="0"/>
    <cacheHierarchy uniqueName="[OPEXAnaliza].[StavkaImeMK]" caption="StavkaImeMK" attribute="1" defaultMemberUniqueName="[OPEXAnaliza].[StavkaImeMK].[All]" allUniqueName="[OPEXAnaliza].[StavkaImeMK].[All]" dimensionUniqueName="[OPEXAnaliza]" displayFolder="" count="0" memberValueDatatype="130" unbalanced="0"/>
    <cacheHierarchy uniqueName="[OPEXAnaliza].[StavkaAOP]" caption="StavkaAOP" attribute="1" defaultMemberUniqueName="[OPEXAnaliza].[StavkaAOP].[All]" allUniqueName="[OPEXAnaliza].[StavkaAOP].[All]" dimensionUniqueName="[OPEXAnaliza]" displayFolder="" count="0" memberValueDatatype="130" unbalanced="0"/>
    <cacheHierarchy uniqueName="[OPEXAnaliza].[StavkaGrupa]" caption="StavkaGrupa" attribute="1" defaultMemberUniqueName="[OPEXAnaliza].[StavkaGrupa].[All]" allUniqueName="[OPEXAnaliza].[StavkaGrupa].[All]" dimensionUniqueName="[OPEXAnaliza]" displayFolder="" count="0" memberValueDatatype="130" unbalanced="0"/>
    <cacheHierarchy uniqueName="[OPEXAnaliza].[StavkaKategorija]" caption="StavkaKategorija" attribute="1" defaultMemberUniqueName="[OPEXAnaliza].[StavkaKategorija].[All]" allUniqueName="[OPEXAnaliza].[StavkaKategorija].[All]" dimensionUniqueName="[OPEXAnaliza]" displayFolder="" count="0" memberValueDatatype="130" unbalanced="0"/>
    <cacheHierarchy uniqueName="[OPEXAnaliza].[ObrazecIme]" caption="ObrazecIme" attribute="1" defaultMemberUniqueName="[OPEXAnaliza].[ObrazecIme].[All]" allUniqueName="[OPEXAnaliza].[ObrazecIme].[All]" dimensionUniqueName="[OPEXAnaliza]" displayFolder="" count="0" memberValueDatatype="130" unbalanced="0"/>
    <cacheHierarchy uniqueName="[OPEXAnaliza].[Период]" caption="Период" attribute="1" time="1" defaultMemberUniqueName="[OPEXAnaliza].[Период].[All]" allUniqueName="[OPEXAnaliza].[Период].[All]" dimensionUniqueName="[OPEXAnaliza]" displayFolder="" count="0" memberValueDatatype="7" unbalanced="0"/>
    <cacheHierarchy uniqueName="[OPEXAnaliza].[ReportType]" caption="ReportType" attribute="1" defaultMemberUniqueName="[OPEXAnaliza].[ReportType].[All]" allUniqueName="[OPEXAnaliza].[ReportType].[All]" dimensionUniqueName="[OPEXAnaliza]" displayFolder="" count="0" memberValueDatatype="130" unbalanced="0"/>
    <cacheHierarchy uniqueName="[OPEXAnaliza].[StavkaImeAOP]" caption="StavkaImeAOP" attribute="1" defaultMemberUniqueName="[OPEXAnaliza].[StavkaImeAOP].[All]" allUniqueName="[OPEXAnaliza].[StavkaImeAOP].[All]" dimensionUniqueName="[OPEXAnaliza]" displayFolder="" count="0" memberValueDatatype="130" unbalanced="0"/>
    <cacheHierarchy uniqueName="[OPEXAnaliza].[Период (Year)]" caption="Период (Year)" attribute="1" defaultMemberUniqueName="[OPEXAnaliza].[Период (Year)].[All]" allUniqueName="[OPEXAnaliza].[Период (Year)].[All]" dimensionUniqueName="[OPEXAnaliza]" displayFolder="" count="0" memberValueDatatype="130" unbalanced="0"/>
    <cacheHierarchy uniqueName="[OPEXAnaliza].[Период (Quarter)]" caption="Период (Quarter)" attribute="1" defaultMemberUniqueName="[OPEXAnaliza].[Период (Quarter)].[All]" allUniqueName="[OPEXAnaliza].[Период (Quarter)].[All]" dimensionUniqueName="[OPEXAnaliza]" displayFolder="" count="0" memberValueDatatype="130" unbalanced="0"/>
    <cacheHierarchy uniqueName="[OPEXAnaliza].[Период (Month)]" caption="Период (Month)" attribute="1" defaultMemberUniqueName="[OPEXAnaliza].[Период (Month)].[All]" allUniqueName="[OPEXAnaliza].[Период (Month)].[All]" dimensionUniqueName="[OPEXAnaliza]" displayFolder="" count="0" memberValueDatatype="130" unbalanced="0"/>
    <cacheHierarchy uniqueName="[rArtikli_HR_Analiza].[Ставка]" caption="Ставка" attribute="1" defaultMemberUniqueName="[rArtikli_HR_Analiza].[Ставка].[All]" allUniqueName="[rArtikli_HR_Analiza].[Ставка].[All]" dimensionUniqueName="[rArtikli_HR_Analiza]" displayFolder="" count="0" memberValueDatatype="130" unbalanced="0"/>
    <cacheHierarchy uniqueName="[rArtikli_HR_Analiza].[Категорија Артикл]" caption="Категорија Артикл" attribute="1" defaultMemberUniqueName="[rArtikli_HR_Analiza].[Категорија Артикл].[All]" allUniqueName="[rArtikli_HR_Analiza].[Категорија Артикл].[All]" dimensionUniqueName="[rArtikli_HR_Analiza]" displayFolder="" count="0" memberValueDatatype="130" unbalanced="0"/>
    <cacheHierarchy uniqueName="[rArtikli_HR_Analiza].[Тип на артикл]" caption="Тип на артикл" attribute="1" defaultMemberUniqueName="[rArtikli_HR_Analiza].[Тип на артикл].[All]" allUniqueName="[rArtikli_HR_Analiza].[Тип на артикл].[All]" dimensionUniqueName="[rArtikli_HR_Analiza]" displayFolder="" count="0" memberValueDatatype="130" unbalanced="0"/>
    <cacheHierarchy uniqueName="[rArtikli_HR_Analiza].[Единечна мерка]" caption="Единечна мерка" attribute="1" defaultMemberUniqueName="[rArtikli_HR_Analiza].[Единечна мерка].[All]" allUniqueName="[rArtikli_HR_Analiza].[Единечна мерка].[All]" dimensionUniqueName="[rArtikli_HR_Analiza]" displayFolder="" count="0" memberValueDatatype="130" unbalanced="0"/>
    <cacheHierarchy uniqueName="[rArtikli_HR_Analiza].[Количина]" caption="Количина" attribute="1" defaultMemberUniqueName="[rArtikli_HR_Analiza].[Количина].[All]" allUniqueName="[rArtikli_HR_Analiza].[Количина].[All]" dimensionUniqueName="[rArtikli_HR_Analiza]" displayFolder="" count="0" memberValueDatatype="5" unbalanced="0"/>
    <cacheHierarchy uniqueName="[rArtikli_HR_Analiza].[Единечна цена]" caption="Единечна цена" attribute="1" defaultMemberUniqueName="[rArtikli_HR_Analiza].[Единечна цена].[All]" allUniqueName="[rArtikli_HR_Analiza].[Единечна цена].[All]" dimensionUniqueName="[rArtikli_HR_Analiza]" displayFolder="" count="0" memberValueDatatype="20" unbalanced="0"/>
    <cacheHierarchy uniqueName="[rArtikli_HR_Analiza].[Вкупно трошок]" caption="Вкупно трошок" attribute="1" defaultMemberUniqueName="[rArtikli_HR_Analiza].[Вкупно трошок].[All]" allUniqueName="[rArtikli_HR_Analiza].[Вкупно трошок].[All]" dimensionUniqueName="[rArtikli_HR_Analiza]" displayFolder="" count="0" memberValueDatatype="5" unbalanced="0"/>
    <cacheHierarchy uniqueName="[rArtikli_HR_Analiza].[ДДВ]" caption="ДДВ" attribute="1" defaultMemberUniqueName="[rArtikli_HR_Analiza].[ДДВ].[All]" allUniqueName="[rArtikli_HR_Analiza].[ДДВ].[All]" dimensionUniqueName="[rArtikli_HR_Analiza]" displayFolder="" count="0" memberValueDatatype="5" unbalanced="0"/>
    <cacheHierarchy uniqueName="[rArtikli_HR_Analiza].[Износ]" caption="Износ" attribute="1" defaultMemberUniqueName="[rArtikli_HR_Analiza].[Износ].[All]" allUniqueName="[rArtikli_HR_Analiza].[Износ].[All]" dimensionUniqueName="[rArtikli_HR_Analiza]" displayFolder="" count="0" memberValueDatatype="5" unbalanced="0"/>
    <cacheHierarchy uniqueName="[rArtikli_HR_Analiza].[Конто]" caption="Конто" attribute="1" defaultMemberUniqueName="[rArtikli_HR_Analiza].[Конто].[All]" allUniqueName="[rArtikli_HR_Analiza].[Конто].[All]" dimensionUniqueName="[rArtikli_HR_Analiza]" displayFolder="" count="0" memberValueDatatype="130" unbalanced="0"/>
    <cacheHierarchy uniqueName="[rArtikli_HR_Analiza].[ReportType]" caption="ReportType" attribute="1" defaultMemberUniqueName="[rArtikli_HR_Analiza].[ReportType].[All]" allUniqueName="[rArtikli_HR_Analiza].[ReportType].[All]" dimensionUniqueName="[rArtikli_HR_Analiza]" displayFolder="" count="0" memberValueDatatype="130" unbalanced="0"/>
    <cacheHierarchy uniqueName="[rArtikli_HR_Analiza].[Период]" caption="Период" attribute="1" time="1" defaultMemberUniqueName="[rArtikli_HR_Analiza].[Период].[All]" allUniqueName="[rArtikli_HR_Analiza].[Период].[All]" dimensionUniqueName="[rArtikli_HR_Analiza]" displayFolder="" count="0" memberValueDatatype="7" unbalanced="0"/>
    <cacheHierarchy uniqueName="[rArtikli_HR_Analiza].[StavkaImeMK]" caption="StavkaImeMK" attribute="1" defaultMemberUniqueName="[rArtikli_HR_Analiza].[StavkaImeMK].[All]" allUniqueName="[rArtikli_HR_Analiza].[StavkaImeMK].[All]" dimensionUniqueName="[rArtikli_HR_Analiza]" displayFolder="" count="0" memberValueDatatype="130" unbalanced="0"/>
    <cacheHierarchy uniqueName="[rArtikli_HR_Analiza].[StavkaAOP]" caption="StavkaAOP" attribute="1" defaultMemberUniqueName="[rArtikli_HR_Analiza].[StavkaAOP].[All]" allUniqueName="[rArtikli_HR_Analiza].[StavkaAOP].[All]" dimensionUniqueName="[rArtikli_HR_Analiza]" displayFolder="" count="0" memberValueDatatype="130" unbalanced="0"/>
    <cacheHierarchy uniqueName="[rArtikli_HR_Analiza].[StavkaGrupa]" caption="StavkaGrupa" attribute="1" defaultMemberUniqueName="[rArtikli_HR_Analiza].[StavkaGrupa].[All]" allUniqueName="[rArtikli_HR_Analiza].[StavkaGrupa].[All]" dimensionUniqueName="[rArtikli_HR_Analiza]" displayFolder="" count="0" memberValueDatatype="130" unbalanced="0"/>
    <cacheHierarchy uniqueName="[rArtikli_HR_Analiza].[StavkaKategorija]" caption="StavkaKategorija" attribute="1" defaultMemberUniqueName="[rArtikli_HR_Analiza].[StavkaKategorija].[All]" allUniqueName="[rArtikli_HR_Analiza].[StavkaKategorija].[All]" dimensionUniqueName="[rArtikli_HR_Analiza]" displayFolder="" count="0" memberValueDatatype="130" unbalanced="0"/>
    <cacheHierarchy uniqueName="[rArtikli_HR_Analiza].[ObrazecIme]" caption="ObrazecIme" attribute="1" defaultMemberUniqueName="[rArtikli_HR_Analiza].[ObrazecIme].[All]" allUniqueName="[rArtikli_HR_Analiza].[ObrazecIme].[All]" dimensionUniqueName="[rArtikli_HR_Analiza]" displayFolder="" count="0" memberValueDatatype="130" unbalanced="0"/>
    <cacheHierarchy uniqueName="[rArtikli_HR_Analiza].[StavkaKategorija.1]" caption="StavkaKategorija.1" attribute="1" defaultMemberUniqueName="[rArtikli_HR_Analiza].[StavkaKategorija.1].[All]" allUniqueName="[rArtikli_HR_Analiza].[StavkaKategorija.1].[All]" dimensionUniqueName="[rArtikli_HR_Analiza]" displayFolder="" count="0" memberValueDatatype="130" unbalanced="0"/>
    <cacheHierarchy uniqueName="[rArtikliAnaliza].[Ставка]" caption="Ставка" attribute="1" defaultMemberUniqueName="[rArtikliAnaliza].[Ставка].[All]" allUniqueName="[rArtikliAnaliza].[Ставка].[All]" dimensionUniqueName="[rArtikliAnaliza]" displayFolder="" count="0" memberValueDatatype="130" unbalanced="0"/>
    <cacheHierarchy uniqueName="[rArtikliAnaliza].[Износ]" caption="Износ" attribute="1" defaultMemberUniqueName="[rArtikliAnaliza].[Износ].[All]" allUniqueName="[rArtikliAnaliza].[Износ].[All]" dimensionUniqueName="[rArtikliAnaliza]" displayFolder="" count="0" memberValueDatatype="5" unbalanced="0"/>
    <cacheHierarchy uniqueName="[rArtikliAnaliza].[Конто]" caption="Конто" attribute="1" defaultMemberUniqueName="[rArtikliAnaliza].[Конто].[All]" allUniqueName="[rArtikliAnaliza].[Конто].[All]" dimensionUniqueName="[rArtikliAnaliza]" displayFolder="" count="0" memberValueDatatype="130" unbalanced="0"/>
    <cacheHierarchy uniqueName="[rArtikliAnaliza].[StavkaImeMK]" caption="StavkaImeMK" attribute="1" defaultMemberUniqueName="[rArtikliAnaliza].[StavkaImeMK].[All]" allUniqueName="[rArtikliAnaliza].[StavkaImeMK].[All]" dimensionUniqueName="[rArtikliAnaliza]" displayFolder="" count="0" memberValueDatatype="130" unbalanced="0"/>
    <cacheHierarchy uniqueName="[rArtikliAnaliza].[StavkaAOP]" caption="StavkaAOP" attribute="1" defaultMemberUniqueName="[rArtikliAnaliza].[StavkaAOP].[All]" allUniqueName="[rArtikliAnaliza].[StavkaAOP].[All]" dimensionUniqueName="[rArtikliAnaliza]" displayFolder="" count="0" memberValueDatatype="130" unbalanced="0"/>
    <cacheHierarchy uniqueName="[rArtikliAnaliza].[StavkaGrupa]" caption="StavkaGrupa" attribute="1" defaultMemberUniqueName="[rArtikliAnaliza].[StavkaGrupa].[All]" allUniqueName="[rArtikliAnaliza].[StavkaGrupa].[All]" dimensionUniqueName="[rArtikliAnaliza]" displayFolder="" count="0" memberValueDatatype="130" unbalanced="0"/>
    <cacheHierarchy uniqueName="[rArtikliAnaliza].[StavkaKategorija]" caption="StavkaKategorija" attribute="1" defaultMemberUniqueName="[rArtikliAnaliza].[StavkaKategorija].[All]" allUniqueName="[rArtikliAnaliza].[StavkaKategorija].[All]" dimensionUniqueName="[rArtikliAnaliza]" displayFolder="" count="0" memberValueDatatype="130" unbalanced="0"/>
    <cacheHierarchy uniqueName="[rArtikliAnaliza].[ObrazecIme]" caption="ObrazecIme" attribute="1" defaultMemberUniqueName="[rArtikliAnaliza].[ObrazecIme].[All]" allUniqueName="[rArtikliAnaliza].[ObrazecIme].[All]" dimensionUniqueName="[rArtikliAnaliza]" displayFolder="" count="0" memberValueDatatype="130" unbalanced="0"/>
    <cacheHierarchy uniqueName="[rArtikliAnaliza].[Период]" caption="Период" attribute="1" time="1" defaultMemberUniqueName="[rArtikliAnaliza].[Период].[All]" allUniqueName="[rArtikliAnaliza].[Период].[All]" dimensionUniqueName="[rArtikliAnaliza]" displayFolder="" count="0" memberValueDatatype="7" unbalanced="0"/>
    <cacheHierarchy uniqueName="[rArtikliAnaliza].[ReportType]" caption="ReportType" attribute="1" defaultMemberUniqueName="[rArtikliAnaliza].[ReportType].[All]" allUniqueName="[rArtikliAnaliza].[ReportType].[All]" dimensionUniqueName="[rArtikliAnaliza]" displayFolder="" count="0" memberValueDatatype="130" unbalanced="0"/>
    <cacheHierarchy uniqueName="[rArtikliAnaliza].[Период (Year)]" caption="Период (Year)" attribute="1" defaultMemberUniqueName="[rArtikliAnaliza].[Период (Year)].[All]" allUniqueName="[rArtikliAnaliza].[Период (Year)].[All]" dimensionUniqueName="[rArtikliAnaliza]" displayFolder="" count="0" memberValueDatatype="130" unbalanced="0"/>
    <cacheHierarchy uniqueName="[rArtikliAnaliza].[Период (Quarter)]" caption="Период (Quarter)" attribute="1" defaultMemberUniqueName="[rArtikliAnaliza].[Период (Quarter)].[All]" allUniqueName="[rArtikliAnaliza].[Период (Quarter)].[All]" dimensionUniqueName="[rArtikliAnaliza]" displayFolder="" count="0" memberValueDatatype="130" unbalanced="0"/>
    <cacheHierarchy uniqueName="[rArtikliAnaliza].[Период (Month)]" caption="Период (Month)" attribute="1" defaultMemberUniqueName="[rArtikliAnaliza].[Период (Month)].[All]" allUniqueName="[rArtikliAnaliza].[Период (Month)].[All]" dimensionUniqueName="[rArtikliAnaliza]" displayFolder="" count="0" memberValueDatatype="130" unbalanced="0"/>
    <cacheHierarchy uniqueName="[CAPEX].[Очекуван датум на плаќање (Month Index)]" caption="Очекуван датум на плаќање (Month Index)" attribute="1" defaultMemberUniqueName="[CAPEX].[Очекуван датум на плаќање (Month Index)].[All]" allUniqueName="[CAPEX].[Очекуван датум на плаќање (Month Index)].[All]" dimensionUniqueName="[CAPEX]" displayFolder="" count="0" memberValueDatatype="20" unbalanced="0" hidden="1"/>
    <cacheHierarchy uniqueName="[fActualAndBudget].[StavkaID]" caption="StavkaID" attribute="1" defaultMemberUniqueName="[fActualAndBudget].[StavkaID].[All]" allUniqueName="[fActualAndBudget].[StavkaID].[All]" dimensionUniqueName="[fActualAndBudget]" displayFolder="" count="0" memberValueDatatype="20" unbalanced="0" hidden="1"/>
    <cacheHierarchy uniqueName="[fActualAndBudget].[Износ1]" caption="Износ1" attribute="1" defaultMemberUniqueName="[fActualAndBudget].[Износ1].[All]" allUniqueName="[fActualAndBudget].[Износ1].[All]" dimensionUniqueName="[fActualAndBudget]" displayFolder="" count="0" memberValueDatatype="20" unbalanced="0" hidden="1"/>
    <cacheHierarchy uniqueName="[fCoveckiResursi].[Период (Month Index)]" caption="Период (Month Index)" attribute="1" defaultMemberUniqueName="[fCoveckiResursi].[Период (Month Index)].[All]" allUniqueName="[fCoveckiResursi].[Период (Month Index)].[All]" dimensionUniqueName="[fCoveckiResursi]" displayFolder="" count="0" memberValueDatatype="20" unbalanced="0" hidden="1"/>
    <cacheHierarchy uniqueName="[fCoveckiResursi].[Период (Month Index) 1]" caption="Период (Month Index) 1" attribute="1" defaultMemberUniqueName="[fCoveckiResursi].[Период (Month Index) 1].[All]" allUniqueName="[fCoveckiResursi].[Период (Month Index) 1].[All]" dimensionUniqueName="[fCoveckiResursi]" displayFolder="" count="0" memberValueDatatype="20" unbalanced="0" hidden="1"/>
    <cacheHierarchy uniqueName="[OPEXAnaliza].[Период (Month Index)]" caption="Период (Month Index)" attribute="1" defaultMemberUniqueName="[OPEXAnaliza].[Период (Month Index)].[All]" allUniqueName="[OPEXAnaliza].[Период (Month Index)].[All]" dimensionUniqueName="[OPEXAnaliza]" displayFolder="" count="0" memberValueDatatype="20" unbalanced="0" hidden="1"/>
    <cacheHierarchy uniqueName="[rArtikli_HR_Analiza].[Крајна состојба вработени]" caption="Крајна состојба вработени" attribute="1" defaultMemberUniqueName="[rArtikli_HR_Analiza].[Крајна состојба вработени].[All]" allUniqueName="[rArtikli_HR_Analiza].[Крајна состојба вработени].[All]" dimensionUniqueName="[rArtikli_HR_Analiza]" displayFolder="" count="0" memberValueDatatype="20" unbalanced="0" hidden="1"/>
    <cacheHierarchy uniqueName="[rArtikli_HR_Analiza].[Планиран прилив/(одлив)]" caption="Планиран прилив/(одлив)" attribute="1" defaultMemberUniqueName="[rArtikli_HR_Analiza].[Планиран прилив/(одлив)].[All]" allUniqueName="[rArtikli_HR_Analiza].[Планиран прилив/(одлив)].[All]" dimensionUniqueName="[rArtikli_HR_Analiza]" displayFolder="" count="0" memberValueDatatype="20" unbalanced="0" hidden="1"/>
    <cacheHierarchy uniqueName="[rArtikli_HR_Analiza].[Тип на вработување]" caption="Тип на вработување" attribute="1" defaultMemberUniqueName="[rArtikli_HR_Analiza].[Тип на вработување].[All]" allUniqueName="[rArtikli_HR_Analiza].[Тип на вработување].[All]" dimensionUniqueName="[rArtikli_HR_Analiza]" displayFolder="" count="0" memberValueDatatype="130" unbalanced="0" hidden="1"/>
    <cacheHierarchy uniqueName="[rArtikliAnaliza].[Период (Month Index)]" caption="Период (Month Index)" attribute="1" defaultMemberUniqueName="[rArtikliAnaliza].[Период (Month Index)].[All]" allUniqueName="[rArtikliAnaliza].[Период (Month Index)].[All]" dimensionUniqueName="[rArtikliAnaliza]" displayFolder="" count="0" memberValueDatatype="20" unbalanced="0" hidden="1"/>
    <cacheHierarchy uniqueName="[Measures].[Sum of Износ 3]" caption="Sum of Износ 3" measure="1" displayFolder="" measureGroup="fCoveckiResursi" count="0">
      <extLst>
        <ext xmlns:x15="http://schemas.microsoft.com/office/spreadsheetml/2010/11/main" uri="{B97F6D7D-B522-45F9-BDA1-12C45D357490}">
          <x15:cacheHierarchy aggregatedColumn="67"/>
        </ext>
      </extLst>
    </cacheHierarchy>
    <cacheHierarchy uniqueName="[Measures].[Sum of Крајна состојба вработени]" caption="Sum of Крајна состојба вработени" measure="1" displayFolder="" measureGroup="fCoveckiResursi" count="0">
      <extLst>
        <ext xmlns:x15="http://schemas.microsoft.com/office/spreadsheetml/2010/11/main" uri="{B97F6D7D-B522-45F9-BDA1-12C45D357490}">
          <x15:cacheHierarchy aggregatedColumn="66"/>
        </ext>
      </extLst>
    </cacheHierarchy>
    <cacheHierarchy uniqueName="[Measures].[Sum of Планиран прилив/(одлив)]" caption="Sum of Планиран прилив/(одлив)" measure="1" displayFolder="" measureGroup="fCoveckiResursi" count="0">
      <extLst>
        <ext xmlns:x15="http://schemas.microsoft.com/office/spreadsheetml/2010/11/main" uri="{B97F6D7D-B522-45F9-BDA1-12C45D357490}">
          <x15:cacheHierarchy aggregatedColumn="64"/>
        </ext>
      </extLst>
    </cacheHierarchy>
    <cacheHierarchy uniqueName="[Measures].[Sum of Износ]" caption="Sum of Износ" measure="1" displayFolder="" measureGroup="fActualAndBudget" count="0" oneField="1">
      <fieldsUsage count="1">
        <fieldUsage x="6"/>
      </fieldsUsage>
      <extLst>
        <ext xmlns:x15="http://schemas.microsoft.com/office/spreadsheetml/2010/11/main" uri="{B97F6D7D-B522-45F9-BDA1-12C45D357490}">
          <x15:cacheHierarchy aggregatedColumn="41"/>
        </ext>
      </extLst>
    </cacheHierarchy>
    <cacheHierarchy uniqueName="[Measures].[Sum of Износ (илјади)]" caption="Sum of Износ (илјади)" measure="1" displayFolder="" measureGroup="fActualAndBudget" count="0">
      <extLst>
        <ext xmlns:x15="http://schemas.microsoft.com/office/spreadsheetml/2010/11/main" uri="{B97F6D7D-B522-45F9-BDA1-12C45D357490}">
          <x15:cacheHierarchy aggregatedColumn="42"/>
        </ext>
      </extLst>
    </cacheHierarchy>
    <cacheHierarchy uniqueName="[Measures].[Sum of Износ1]" caption="Sum of Износ1" measure="1" displayFolder="" measureGroup="fActualAndBudget" count="0">
      <extLst>
        <ext xmlns:x15="http://schemas.microsoft.com/office/spreadsheetml/2010/11/main" uri="{B97F6D7D-B522-45F9-BDA1-12C45D357490}">
          <x15:cacheHierarchy aggregatedColumn="133"/>
        </ext>
      </extLst>
    </cacheHierarchy>
    <cacheHierarchy uniqueName="[Measures].[Count of Проценета вредност на набавка со ДДВ (денари)]" caption="Count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Проценета вредност на набавка со ДДВ (денари)]" caption="Sum of Проценета вредност на набавка со ДДВ (денари)" measure="1" displayFolder="" measureGroup="CAPEX" count="0">
      <extLst>
        <ext xmlns:x15="http://schemas.microsoft.com/office/spreadsheetml/2010/11/main" uri="{B97F6D7D-B522-45F9-BDA1-12C45D357490}">
          <x15:cacheHierarchy aggregatedColumn="20"/>
        </ext>
      </extLst>
    </cacheHierarchy>
    <cacheHierarchy uniqueName="[Measures].[Sum of Износ 2]" caption="Sum of Износ 2" measure="1" displayFolder="" measureGroup="Amortizacija" count="0">
      <extLst>
        <ext xmlns:x15="http://schemas.microsoft.com/office/spreadsheetml/2010/11/main" uri="{B97F6D7D-B522-45F9-BDA1-12C45D357490}">
          <x15:cacheHierarchy aggregatedColumn="3"/>
        </ext>
      </extLst>
    </cacheHierarchy>
    <cacheHierarchy uniqueName="[Measures].[Sum of Износ 4]" caption="Sum of Износ 4" measure="1" displayFolder="" measureGroup="OPEXAnaliza" count="0">
      <extLst>
        <ext xmlns:x15="http://schemas.microsoft.com/office/spreadsheetml/2010/11/main" uri="{B97F6D7D-B522-45F9-BDA1-12C45D357490}">
          <x15:cacheHierarchy aggregatedColumn="87"/>
        </ext>
      </extLst>
    </cacheHierarchy>
    <cacheHierarchy uniqueName="[Measures].[Sum of Износ донација]" caption="Sum of Износ донација" measure="1" displayFolder="" measureGroup="CAPEX" count="0">
      <extLst>
        <ext xmlns:x15="http://schemas.microsoft.com/office/spreadsheetml/2010/11/main" uri="{B97F6D7D-B522-45F9-BDA1-12C45D357490}">
          <x15:cacheHierarchy aggregatedColumn="24"/>
        </ext>
      </extLst>
    </cacheHierarchy>
    <cacheHierarchy uniqueName="[Measures].[Sum of Износ 5]" caption="Sum of Износ 5" measure="1" displayFolder="" measureGroup="rArtikliAnaliza" count="0">
      <extLst>
        <ext xmlns:x15="http://schemas.microsoft.com/office/spreadsheetml/2010/11/main" uri="{B97F6D7D-B522-45F9-BDA1-12C45D357490}">
          <x15:cacheHierarchy aggregatedColumn="119"/>
        </ext>
      </extLst>
    </cacheHierarchy>
    <cacheHierarchy uniqueName="[Measures].[Sum of Вкупно трошок]" caption="Sum of Вкупно трошок" measure="1" displayFolder="" measureGroup="fArtikliCeni" count="0">
      <extLst>
        <ext xmlns:x15="http://schemas.microsoft.com/office/spreadsheetml/2010/11/main" uri="{B97F6D7D-B522-45F9-BDA1-12C45D357490}">
          <x15:cacheHierarchy aggregatedColumn="51"/>
        </ext>
      </extLst>
    </cacheHierarchy>
    <cacheHierarchy uniqueName="[Measures].[Sum of Количина]" caption="Sum of Количина" measure="1" displayFolder="" measureGroup="fArtikliCeni" count="0">
      <extLst>
        <ext xmlns:x15="http://schemas.microsoft.com/office/spreadsheetml/2010/11/main" uri="{B97F6D7D-B522-45F9-BDA1-12C45D357490}">
          <x15:cacheHierarchy aggregatedColumn="49"/>
        </ext>
      </extLst>
    </cacheHierarchy>
    <cacheHierarchy uniqueName="[Measures].[Sum of Единечна цена]" caption="Sum of Единечна цена" measure="1" displayFolder="" measureGroup="fArtikliCeni" count="0">
      <extLst>
        <ext xmlns:x15="http://schemas.microsoft.com/office/spreadsheetml/2010/11/main" uri="{B97F6D7D-B522-45F9-BDA1-12C45D357490}">
          <x15:cacheHierarchy aggregatedColumn="50"/>
        </ext>
      </extLst>
    </cacheHierarchy>
    <cacheHierarchy uniqueName="[Measures].[Sum of ДДВ]" caption="Sum of ДДВ" measure="1" displayFolder="" measureGroup="fArtikliCeni" count="0">
      <extLst>
        <ext xmlns:x15="http://schemas.microsoft.com/office/spreadsheetml/2010/11/main" uri="{B97F6D7D-B522-45F9-BDA1-12C45D357490}">
          <x15:cacheHierarchy aggregatedColumn="52"/>
        </ext>
      </extLst>
    </cacheHierarchy>
    <cacheHierarchy uniqueName="[Measures].[Sum of Износ 6]" caption="Sum of Износ 6" measure="1" displayFolder="" measureGroup="fArtikliCeni" count="0">
      <extLst>
        <ext xmlns:x15="http://schemas.microsoft.com/office/spreadsheetml/2010/11/main" uri="{B97F6D7D-B522-45F9-BDA1-12C45D357490}">
          <x15:cacheHierarchy aggregatedColumn="53"/>
        </ext>
      </extLst>
    </cacheHierarchy>
    <cacheHierarchy uniqueName="[Measures].[Count of Единечна мерка]" caption="Count of Единечна мерка" measure="1" displayFolder="" measureGroup="fArtikliCeni" count="0">
      <extLst>
        <ext xmlns:x15="http://schemas.microsoft.com/office/spreadsheetml/2010/11/main" uri="{B97F6D7D-B522-45F9-BDA1-12C45D357490}">
          <x15:cacheHierarchy aggregatedColumn="48"/>
        </ext>
      </extLst>
    </cacheHierarchy>
    <cacheHierarchy uniqueName="[Measures].[Sum of Количина 2]" caption="Sum of Количина 2" measure="1" displayFolder="" measureGroup="rArtikli_HR_Analiza" count="0">
      <extLst>
        <ext xmlns:x15="http://schemas.microsoft.com/office/spreadsheetml/2010/11/main" uri="{B97F6D7D-B522-45F9-BDA1-12C45D357490}">
          <x15:cacheHierarchy aggregatedColumn="104"/>
        </ext>
      </extLst>
    </cacheHierarchy>
    <cacheHierarchy uniqueName="[Measures].[Sum of Единечна цена 2]" caption="Sum of Единечна цена 2" measure="1" displayFolder="" measureGroup="rArtikli_HR_Analiza" count="0">
      <extLst>
        <ext xmlns:x15="http://schemas.microsoft.com/office/spreadsheetml/2010/11/main" uri="{B97F6D7D-B522-45F9-BDA1-12C45D357490}">
          <x15:cacheHierarchy aggregatedColumn="105"/>
        </ext>
      </extLst>
    </cacheHierarchy>
    <cacheHierarchy uniqueName="[Measures].[Sum of Вкупно трошок 2]" caption="Sum of Вкупно трошок 2" measure="1" displayFolder="" measureGroup="rArtikli_HR_Analiza" count="0">
      <extLst>
        <ext xmlns:x15="http://schemas.microsoft.com/office/spreadsheetml/2010/11/main" uri="{B97F6D7D-B522-45F9-BDA1-12C45D357490}">
          <x15:cacheHierarchy aggregatedColumn="106"/>
        </ext>
      </extLst>
    </cacheHierarchy>
    <cacheHierarchy uniqueName="[Measures].[Sum of ДДВ 2]" caption="Sum of ДДВ 2" measure="1" displayFolder="" measureGroup="rArtikli_HR_Analiza" count="0">
      <extLst>
        <ext xmlns:x15="http://schemas.microsoft.com/office/spreadsheetml/2010/11/main" uri="{B97F6D7D-B522-45F9-BDA1-12C45D357490}">
          <x15:cacheHierarchy aggregatedColumn="107"/>
        </ext>
      </extLst>
    </cacheHierarchy>
    <cacheHierarchy uniqueName="[Measures].[Sum of Износ 7]" caption="Sum of Износ 7" measure="1" displayFolder="" measureGroup="rArtikli_HR_Analiza" count="0">
      <extLst>
        <ext xmlns:x15="http://schemas.microsoft.com/office/spreadsheetml/2010/11/main" uri="{B97F6D7D-B522-45F9-BDA1-12C45D357490}">
          <x15:cacheHierarchy aggregatedColumn="108"/>
        </ext>
      </extLst>
    </cacheHierarchy>
    <cacheHierarchy uniqueName="[Measures].[__XL_Count Calendar]" caption="__XL_Count Calendar" measure="1" displayFolder="" measureGroup="Calendar" count="0" hidden="1"/>
    <cacheHierarchy uniqueName="[Measures].[__XL_Count CAPEX]" caption="__XL_Count CAPEX" measure="1" displayFolder="" measureGroup="CAPEX" count="0" hidden="1"/>
    <cacheHierarchy uniqueName="[Measures].[__XL_Count Amortizacija]" caption="__XL_Count Amortizacija" measure="1" displayFolder="" measureGroup="Amortizacija" count="0" hidden="1"/>
    <cacheHierarchy uniqueName="[Measures].[__XL_Count fCoveckiResursi]" caption="__XL_Count fCoveckiResursi" measure="1" displayFolder="" measureGroup="fCoveckiResursi" count="0" hidden="1"/>
    <cacheHierarchy uniqueName="[Measures].[__XL_Count fActualAndBudget]" caption="__XL_Count fActualAndBudget" measure="1" displayFolder="" measureGroup="fActualAndBudget" count="0" hidden="1"/>
    <cacheHierarchy uniqueName="[Measures].[__XL_Count fOPEX]" caption="__XL_Count fOPEX" measure="1" displayFolder="" measureGroup="fOPEX" count="0" hidden="1"/>
    <cacheHierarchy uniqueName="[Measures].[__XL_Count OPEXAnaliza]" caption="__XL_Count OPEXAnaliza" measure="1" displayFolder="" measureGroup="OPEXAnaliza" count="0" hidden="1"/>
    <cacheHierarchy uniqueName="[Measures].[__XL_Count fOPEX - ЈН]" caption="__XL_Count fOPEX - ЈН" measure="1" displayFolder="" measureGroup="fOPEX - ЈН" count="0" hidden="1"/>
    <cacheHierarchy uniqueName="[Measures].[__XL_Count rArtikliAnaliza]" caption="__XL_Count rArtikliAnaliza" measure="1" displayFolder="" measureGroup="rArtikliAnaliza" count="0" hidden="1"/>
    <cacheHierarchy uniqueName="[Measures].[__XL_Count fArtikliCeni]" caption="__XL_Count fArtikliCeni" measure="1" displayFolder="" measureGroup="fArtikliCeni" count="0" hidden="1"/>
    <cacheHierarchy uniqueName="[Measures].[__XL_Count rArtikli_HR_Analiza]" caption="__XL_Count rArtikli_HR_Analiza" measure="1" displayFolder="" measureGroup="rArtikli_HR_Analiza" count="0" hidden="1"/>
    <cacheHierarchy uniqueName="[Measures].[__No measures defined]" caption="__No measures defined" measure="1" displayFolder="" count="0" hidden="1"/>
  </cacheHierarchies>
  <kpis count="0"/>
  <dimensions count="12">
    <dimension name="Amortizacija" uniqueName="[Amortizacija]" caption="Amortizacija"/>
    <dimension name="Calendar" uniqueName="[Calendar]" caption="Calendar"/>
    <dimension name="CAPEX" uniqueName="[CAPEX]" caption="CAPEX"/>
    <dimension name="fActualAndBudget" uniqueName="[fActualAndBudget]" caption="fActualAndBudget"/>
    <dimension name="fArtikliCeni" uniqueName="[fArtikliCeni]" caption="fArtikliCeni"/>
    <dimension name="fCoveckiResursi" uniqueName="[fCoveckiResursi]" caption="fCoveckiResursi"/>
    <dimension name="fOPEX" uniqueName="[fOPEX]" caption="fOPEX"/>
    <dimension name="fOPEX - ЈН" uniqueName="[fOPEX - ЈН]" caption="fOPEX - ЈН"/>
    <dimension measure="1" name="Measures" uniqueName="[Measures]" caption="Measures"/>
    <dimension name="OPEXAnaliza" uniqueName="[OPEXAnaliza]" caption="OPEXAnaliza"/>
    <dimension name="rArtikli_HR_Analiza" uniqueName="[rArtikli_HR_Analiza]" caption="rArtikli_HR_Analiza"/>
    <dimension name="rArtikliAnaliza" uniqueName="[rArtikliAnaliza]" caption="rArtikliAnaliza"/>
  </dimensions>
  <measureGroups count="11">
    <measureGroup name="Amortizacija" caption="Amortizacija"/>
    <measureGroup name="Calendar" caption="Calendar"/>
    <measureGroup name="CAPEX" caption="CAPEX"/>
    <measureGroup name="fActualAndBudget" caption="fActualAndBudget"/>
    <measureGroup name="fArtikliCeni" caption="fArtikliCeni"/>
    <measureGroup name="fCoveckiResursi" caption="fCoveckiResursi"/>
    <measureGroup name="fOPEX" caption="fOPEX"/>
    <measureGroup name="fOPEX - ЈН" caption="fOPEX - ЈН"/>
    <measureGroup name="OPEXAnaliza" caption="OPEXAnaliza"/>
    <measureGroup name="rArtikli_HR_Analiza" caption="rArtikli_HR_Analiza"/>
    <measureGroup name="rArtikliAnaliza" caption="rArtikliAnaliza"/>
  </measureGroups>
  <maps count="17">
    <map measureGroup="0" dimension="0"/>
    <map measureGroup="0" dimension="1"/>
    <map measureGroup="1" dimension="1"/>
    <map measureGroup="2" dimension="1"/>
    <map measureGroup="2" dimension="2"/>
    <map measureGroup="3" dimension="1"/>
    <map measureGroup="3" dimension="3"/>
    <map measureGroup="4" dimension="4"/>
    <map measureGroup="5" dimension="1"/>
    <map measureGroup="5" dimension="5"/>
    <map measureGroup="6" dimension="1"/>
    <map measureGroup="6" dimension="6"/>
    <map measureGroup="7" dimension="7"/>
    <map measureGroup="8" dimension="9"/>
    <map measureGroup="9" dimension="10"/>
    <map measureGroup="10" dimension="1"/>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5">
  <r>
    <x v="0"/>
    <x v="0"/>
    <n v="804832"/>
    <s v="4220"/>
    <s v="План"/>
  </r>
  <r>
    <x v="0"/>
    <x v="1"/>
    <n v="57488"/>
    <s v="4220"/>
    <s v="План"/>
  </r>
  <r>
    <x v="0"/>
    <x v="2"/>
    <n v="57488"/>
    <s v="4220"/>
    <s v="План"/>
  </r>
  <r>
    <x v="1"/>
    <x v="3"/>
    <n v="25000"/>
    <s v="41921"/>
    <s v="План"/>
  </r>
  <r>
    <x v="1"/>
    <x v="4"/>
    <n v="25000"/>
    <s v="41921"/>
    <s v="План"/>
  </r>
  <r>
    <x v="1"/>
    <x v="5"/>
    <n v="25000"/>
    <s v="41921"/>
    <s v="План"/>
  </r>
  <r>
    <x v="1"/>
    <x v="6"/>
    <n v="25000"/>
    <s v="41921"/>
    <s v="План"/>
  </r>
  <r>
    <x v="1"/>
    <x v="7"/>
    <n v="25000"/>
    <s v="41921"/>
    <s v="План"/>
  </r>
  <r>
    <x v="1"/>
    <x v="8"/>
    <n v="25000"/>
    <s v="41921"/>
    <s v="План"/>
  </r>
  <r>
    <x v="1"/>
    <x v="9"/>
    <n v="25000"/>
    <s v="41921"/>
    <s v="План"/>
  </r>
  <r>
    <x v="1"/>
    <x v="10"/>
    <n v="25000"/>
    <s v="41921"/>
    <s v="План"/>
  </r>
  <r>
    <x v="1"/>
    <x v="1"/>
    <n v="25000"/>
    <s v="41921"/>
    <s v="План"/>
  </r>
  <r>
    <x v="1"/>
    <x v="11"/>
    <n v="25000"/>
    <s v="41921"/>
    <s v="План"/>
  </r>
  <r>
    <x v="1"/>
    <x v="2"/>
    <n v="25000"/>
    <s v="41921"/>
    <s v="План"/>
  </r>
  <r>
    <x v="1"/>
    <x v="12"/>
    <n v="25000"/>
    <s v="41921"/>
    <s v="План"/>
  </r>
  <r>
    <x v="2"/>
    <x v="3"/>
    <n v="105000"/>
    <s v="41925"/>
    <s v="План"/>
  </r>
  <r>
    <x v="2"/>
    <x v="4"/>
    <n v="105000"/>
    <s v="41925"/>
    <s v="План"/>
  </r>
  <r>
    <x v="2"/>
    <x v="5"/>
    <n v="105000"/>
    <s v="41925"/>
    <s v="План"/>
  </r>
  <r>
    <x v="2"/>
    <x v="6"/>
    <n v="105000"/>
    <s v="41925"/>
    <s v="План"/>
  </r>
  <r>
    <x v="2"/>
    <x v="7"/>
    <n v="105000"/>
    <s v="41925"/>
    <s v="План"/>
  </r>
  <r>
    <x v="2"/>
    <x v="8"/>
    <n v="105000"/>
    <s v="41925"/>
    <s v="План"/>
  </r>
  <r>
    <x v="2"/>
    <x v="9"/>
    <n v="105000"/>
    <s v="41925"/>
    <s v="План"/>
  </r>
  <r>
    <x v="2"/>
    <x v="10"/>
    <n v="105000"/>
    <s v="41925"/>
    <s v="План"/>
  </r>
  <r>
    <x v="2"/>
    <x v="1"/>
    <n v="105000"/>
    <s v="41925"/>
    <s v="План"/>
  </r>
  <r>
    <x v="2"/>
    <x v="11"/>
    <n v="105000"/>
    <s v="41925"/>
    <s v="План"/>
  </r>
  <r>
    <x v="2"/>
    <x v="2"/>
    <n v="105000"/>
    <s v="41925"/>
    <s v="План"/>
  </r>
  <r>
    <x v="2"/>
    <x v="12"/>
    <n v="105000"/>
    <s v="41925"/>
    <s v="План"/>
  </r>
  <r>
    <x v="3"/>
    <x v="5"/>
    <n v="0"/>
    <s v="41934"/>
    <s v="План"/>
  </r>
  <r>
    <x v="4"/>
    <x v="3"/>
    <n v="319662"/>
    <s v="449071"/>
    <s v="План"/>
  </r>
  <r>
    <x v="4"/>
    <x v="4"/>
    <n v="319662"/>
    <s v="449071"/>
    <s v="План"/>
  </r>
  <r>
    <x v="4"/>
    <x v="5"/>
    <n v="319662"/>
    <s v="449071"/>
    <s v="План"/>
  </r>
  <r>
    <x v="4"/>
    <x v="6"/>
    <n v="319662"/>
    <s v="449071"/>
    <s v="План"/>
  </r>
  <r>
    <x v="4"/>
    <x v="7"/>
    <n v="319662"/>
    <s v="449071"/>
    <s v="План"/>
  </r>
  <r>
    <x v="4"/>
    <x v="8"/>
    <n v="319662"/>
    <s v="449071"/>
    <s v="План"/>
  </r>
  <r>
    <x v="4"/>
    <x v="9"/>
    <n v="0"/>
    <s v="449071"/>
    <s v="План"/>
  </r>
  <r>
    <x v="4"/>
    <x v="10"/>
    <n v="0"/>
    <s v="449071"/>
    <s v="План"/>
  </r>
  <r>
    <x v="4"/>
    <x v="1"/>
    <n v="0"/>
    <s v="449071"/>
    <s v="План"/>
  </r>
  <r>
    <x v="4"/>
    <x v="11"/>
    <n v="0"/>
    <s v="449071"/>
    <s v="План"/>
  </r>
  <r>
    <x v="4"/>
    <x v="2"/>
    <n v="0"/>
    <s v="449071"/>
    <s v="План"/>
  </r>
  <r>
    <x v="4"/>
    <x v="12"/>
    <n v="0"/>
    <s v="449071"/>
    <s v="План"/>
  </r>
  <r>
    <x v="5"/>
    <x v="3"/>
    <n v="0"/>
    <s v="44091"/>
    <s v="План"/>
  </r>
  <r>
    <x v="5"/>
    <x v="4"/>
    <n v="0"/>
    <s v="44091"/>
    <s v="План"/>
  </r>
  <r>
    <x v="5"/>
    <x v="5"/>
    <n v="0"/>
    <s v="44091"/>
    <s v="План"/>
  </r>
  <r>
    <x v="5"/>
    <x v="6"/>
    <n v="0"/>
    <s v="44091"/>
    <s v="План"/>
  </r>
  <r>
    <x v="5"/>
    <x v="7"/>
    <n v="0"/>
    <s v="44091"/>
    <s v="План"/>
  </r>
  <r>
    <x v="5"/>
    <x v="8"/>
    <n v="0"/>
    <s v="44091"/>
    <s v="План"/>
  </r>
  <r>
    <x v="5"/>
    <x v="9"/>
    <n v="0"/>
    <s v="44091"/>
    <s v="План"/>
  </r>
  <r>
    <x v="5"/>
    <x v="10"/>
    <n v="0"/>
    <s v="44091"/>
    <s v="План"/>
  </r>
  <r>
    <x v="5"/>
    <x v="1"/>
    <m/>
    <s v="44091"/>
    <s v="План"/>
  </r>
  <r>
    <x v="5"/>
    <x v="11"/>
    <n v="0"/>
    <s v="44091"/>
    <s v="План"/>
  </r>
  <r>
    <x v="5"/>
    <x v="2"/>
    <n v="0"/>
    <s v="44091"/>
    <s v="План"/>
  </r>
  <r>
    <x v="5"/>
    <x v="12"/>
    <n v="0"/>
    <s v="44091"/>
    <s v="План"/>
  </r>
  <r>
    <x v="6"/>
    <x v="3"/>
    <n v="52083"/>
    <s v="449083"/>
    <s v="План"/>
  </r>
  <r>
    <x v="6"/>
    <x v="4"/>
    <n v="52083"/>
    <s v="449083"/>
    <s v="План"/>
  </r>
  <r>
    <x v="6"/>
    <x v="5"/>
    <n v="52083"/>
    <s v="449083"/>
    <s v="План"/>
  </r>
  <r>
    <x v="6"/>
    <x v="6"/>
    <n v="52083"/>
    <s v="449083"/>
    <s v="План"/>
  </r>
  <r>
    <x v="6"/>
    <x v="7"/>
    <n v="52083"/>
    <s v="449083"/>
    <s v="План"/>
  </r>
  <r>
    <x v="6"/>
    <x v="8"/>
    <n v="52083"/>
    <s v="449083"/>
    <s v="План"/>
  </r>
  <r>
    <x v="6"/>
    <x v="9"/>
    <n v="52083"/>
    <s v="449083"/>
    <s v="План"/>
  </r>
  <r>
    <x v="6"/>
    <x v="10"/>
    <n v="52083"/>
    <s v="449083"/>
    <s v="План"/>
  </r>
  <r>
    <x v="6"/>
    <x v="1"/>
    <n v="52083"/>
    <s v="449083"/>
    <s v="План"/>
  </r>
  <r>
    <x v="6"/>
    <x v="11"/>
    <n v="52083"/>
    <s v="449083"/>
    <s v="План"/>
  </r>
  <r>
    <x v="6"/>
    <x v="2"/>
    <n v="52083"/>
    <s v="449083"/>
    <s v="План"/>
  </r>
  <r>
    <x v="6"/>
    <x v="12"/>
    <n v="52083"/>
    <s v="449083"/>
    <s v="План"/>
  </r>
  <r>
    <x v="7"/>
    <x v="8"/>
    <n v="6147600"/>
    <s v="4223"/>
    <s v="План"/>
  </r>
  <r>
    <x v="8"/>
    <x v="3"/>
    <n v="491667"/>
    <s v="44908"/>
    <s v="План"/>
  </r>
  <r>
    <x v="8"/>
    <x v="4"/>
    <n v="491667"/>
    <s v="44908"/>
    <s v="План"/>
  </r>
  <r>
    <x v="8"/>
    <x v="5"/>
    <n v="491667"/>
    <s v="44908"/>
    <s v="План"/>
  </r>
  <r>
    <x v="8"/>
    <x v="6"/>
    <n v="491667"/>
    <s v="44908"/>
    <s v="План"/>
  </r>
  <r>
    <x v="8"/>
    <x v="7"/>
    <n v="491667"/>
    <s v="44908"/>
    <s v="План"/>
  </r>
  <r>
    <x v="8"/>
    <x v="8"/>
    <n v="491667"/>
    <s v="44908"/>
    <s v="План"/>
  </r>
  <r>
    <x v="8"/>
    <x v="9"/>
    <n v="491667"/>
    <s v="44908"/>
    <s v="План"/>
  </r>
  <r>
    <x v="8"/>
    <x v="10"/>
    <n v="491667"/>
    <s v="44908"/>
    <s v="План"/>
  </r>
  <r>
    <x v="8"/>
    <x v="1"/>
    <n v="491667"/>
    <s v="44908"/>
    <s v="План"/>
  </r>
  <r>
    <x v="8"/>
    <x v="11"/>
    <n v="491667"/>
    <s v="44908"/>
    <s v="План"/>
  </r>
  <r>
    <x v="8"/>
    <x v="2"/>
    <n v="491667"/>
    <s v="44908"/>
    <s v="План"/>
  </r>
  <r>
    <x v="8"/>
    <x v="12"/>
    <n v="491667"/>
    <s v="44908"/>
    <s v="План"/>
  </r>
  <r>
    <x v="9"/>
    <x v="4"/>
    <n v="220000"/>
    <s v="44903"/>
    <s v="План"/>
  </r>
  <r>
    <x v="10"/>
    <x v="3"/>
    <n v="11500"/>
    <s v="44904"/>
    <s v="План"/>
  </r>
  <r>
    <x v="10"/>
    <x v="4"/>
    <n v="11500"/>
    <s v="44904"/>
    <s v="План"/>
  </r>
  <r>
    <x v="10"/>
    <x v="5"/>
    <n v="11500"/>
    <s v="44904"/>
    <s v="План"/>
  </r>
  <r>
    <x v="10"/>
    <x v="6"/>
    <n v="11500"/>
    <s v="44904"/>
    <s v="План"/>
  </r>
  <r>
    <x v="10"/>
    <x v="7"/>
    <n v="11500"/>
    <s v="44904"/>
    <s v="План"/>
  </r>
  <r>
    <x v="10"/>
    <x v="8"/>
    <n v="11500"/>
    <s v="44904"/>
    <s v="План"/>
  </r>
  <r>
    <x v="10"/>
    <x v="9"/>
    <n v="11500"/>
    <s v="44904"/>
    <s v="План"/>
  </r>
  <r>
    <x v="10"/>
    <x v="10"/>
    <n v="11500"/>
    <s v="44904"/>
    <s v="План"/>
  </r>
  <r>
    <x v="10"/>
    <x v="1"/>
    <n v="11500"/>
    <s v="44904"/>
    <s v="План"/>
  </r>
  <r>
    <x v="10"/>
    <x v="11"/>
    <n v="11500"/>
    <s v="44904"/>
    <s v="План"/>
  </r>
  <r>
    <x v="10"/>
    <x v="2"/>
    <n v="11500"/>
    <s v="44904"/>
    <s v="План"/>
  </r>
  <r>
    <x v="10"/>
    <x v="12"/>
    <n v="11500"/>
    <s v="44904"/>
    <s v="План"/>
  </r>
  <r>
    <x v="11"/>
    <x v="3"/>
    <n v="495850"/>
    <s v="4133"/>
    <s v="План"/>
  </r>
  <r>
    <x v="11"/>
    <x v="4"/>
    <n v="495850"/>
    <s v="4133"/>
    <s v="План"/>
  </r>
  <r>
    <x v="11"/>
    <x v="5"/>
    <n v="495850"/>
    <s v="4133"/>
    <s v="План"/>
  </r>
  <r>
    <x v="11"/>
    <x v="6"/>
    <n v="495850"/>
    <s v="4133"/>
    <s v="План"/>
  </r>
  <r>
    <x v="11"/>
    <x v="7"/>
    <n v="495850"/>
    <s v="4133"/>
    <s v="План"/>
  </r>
  <r>
    <x v="11"/>
    <x v="8"/>
    <n v="495850"/>
    <s v="4133"/>
    <s v="План"/>
  </r>
  <r>
    <x v="11"/>
    <x v="9"/>
    <n v="495850"/>
    <s v="4133"/>
    <s v="План"/>
  </r>
  <r>
    <x v="11"/>
    <x v="10"/>
    <n v="495850"/>
    <s v="4133"/>
    <s v="План"/>
  </r>
  <r>
    <x v="11"/>
    <x v="1"/>
    <n v="495850"/>
    <s v="4133"/>
    <s v="План"/>
  </r>
  <r>
    <x v="11"/>
    <x v="11"/>
    <n v="495850"/>
    <s v="4133"/>
    <s v="План"/>
  </r>
  <r>
    <x v="11"/>
    <x v="2"/>
    <n v="495850"/>
    <s v="4133"/>
    <s v="План"/>
  </r>
  <r>
    <x v="11"/>
    <x v="12"/>
    <n v="495850"/>
    <s v="4133"/>
    <s v="План"/>
  </r>
  <r>
    <x v="12"/>
    <x v="3"/>
    <n v="487600"/>
    <s v="4132"/>
    <s v="План"/>
  </r>
  <r>
    <x v="12"/>
    <x v="4"/>
    <n v="487600"/>
    <s v="4132"/>
    <s v="План"/>
  </r>
  <r>
    <x v="12"/>
    <x v="5"/>
    <n v="487600"/>
    <s v="4132"/>
    <s v="План"/>
  </r>
  <r>
    <x v="12"/>
    <x v="6"/>
    <n v="487600"/>
    <s v="4132"/>
    <s v="План"/>
  </r>
  <r>
    <x v="12"/>
    <x v="7"/>
    <n v="487600"/>
    <s v="4132"/>
    <s v="План"/>
  </r>
  <r>
    <x v="12"/>
    <x v="8"/>
    <n v="487600"/>
    <s v="4132"/>
    <s v="План"/>
  </r>
  <r>
    <x v="12"/>
    <x v="9"/>
    <n v="487600"/>
    <s v="4132"/>
    <s v="План"/>
  </r>
  <r>
    <x v="12"/>
    <x v="10"/>
    <n v="487600"/>
    <s v="4132"/>
    <s v="План"/>
  </r>
  <r>
    <x v="12"/>
    <x v="1"/>
    <n v="487600"/>
    <s v="4132"/>
    <s v="План"/>
  </r>
  <r>
    <x v="12"/>
    <x v="11"/>
    <n v="487600"/>
    <s v="4132"/>
    <s v="План"/>
  </r>
  <r>
    <x v="12"/>
    <x v="2"/>
    <n v="487600"/>
    <s v="4132"/>
    <s v="План"/>
  </r>
  <r>
    <x v="12"/>
    <x v="12"/>
    <n v="487600"/>
    <s v="4132"/>
    <s v="План"/>
  </r>
  <r>
    <x v="13"/>
    <x v="3"/>
    <n v="125000"/>
    <s v="4131"/>
    <s v="План"/>
  </r>
  <r>
    <x v="13"/>
    <x v="4"/>
    <n v="125000"/>
    <s v="4131"/>
    <s v="План"/>
  </r>
  <r>
    <x v="13"/>
    <x v="5"/>
    <n v="125000"/>
    <s v="4131"/>
    <s v="План"/>
  </r>
  <r>
    <x v="13"/>
    <x v="6"/>
    <n v="125000"/>
    <s v="4131"/>
    <s v="План"/>
  </r>
  <r>
    <x v="13"/>
    <x v="7"/>
    <n v="125000"/>
    <s v="4131"/>
    <s v="План"/>
  </r>
  <r>
    <x v="13"/>
    <x v="8"/>
    <n v="125000"/>
    <s v="4131"/>
    <s v="План"/>
  </r>
  <r>
    <x v="13"/>
    <x v="9"/>
    <n v="125000"/>
    <s v="4131"/>
    <s v="План"/>
  </r>
  <r>
    <x v="13"/>
    <x v="10"/>
    <n v="125000"/>
    <s v="4131"/>
    <s v="План"/>
  </r>
  <r>
    <x v="13"/>
    <x v="1"/>
    <n v="125000"/>
    <s v="4131"/>
    <s v="План"/>
  </r>
  <r>
    <x v="13"/>
    <x v="11"/>
    <n v="125000"/>
    <s v="4131"/>
    <s v="План"/>
  </r>
  <r>
    <x v="13"/>
    <x v="2"/>
    <n v="125000"/>
    <s v="4131"/>
    <s v="План"/>
  </r>
  <r>
    <x v="13"/>
    <x v="12"/>
    <n v="125000"/>
    <s v="4131"/>
    <s v="План"/>
  </r>
  <r>
    <x v="14"/>
    <x v="3"/>
    <n v="135012"/>
    <s v="4134"/>
    <s v="План"/>
  </r>
  <r>
    <x v="14"/>
    <x v="4"/>
    <n v="135012"/>
    <s v="4134"/>
    <s v="План"/>
  </r>
  <r>
    <x v="14"/>
    <x v="5"/>
    <n v="135012"/>
    <s v="4134"/>
    <s v="План"/>
  </r>
  <r>
    <x v="14"/>
    <x v="6"/>
    <n v="135012"/>
    <s v="4134"/>
    <s v="План"/>
  </r>
  <r>
    <x v="14"/>
    <x v="7"/>
    <n v="135012"/>
    <s v="4134"/>
    <s v="План"/>
  </r>
  <r>
    <x v="14"/>
    <x v="8"/>
    <n v="135012"/>
    <s v="4134"/>
    <s v="План"/>
  </r>
  <r>
    <x v="14"/>
    <x v="9"/>
    <n v="135012"/>
    <s v="4134"/>
    <s v="План"/>
  </r>
  <r>
    <x v="14"/>
    <x v="10"/>
    <n v="135012"/>
    <s v="4134"/>
    <s v="План"/>
  </r>
  <r>
    <x v="14"/>
    <x v="1"/>
    <n v="135012"/>
    <s v="4134"/>
    <s v="План"/>
  </r>
  <r>
    <x v="14"/>
    <x v="11"/>
    <n v="135012"/>
    <s v="4134"/>
    <s v="План"/>
  </r>
  <r>
    <x v="14"/>
    <x v="2"/>
    <n v="135012"/>
    <s v="4134"/>
    <s v="План"/>
  </r>
  <r>
    <x v="14"/>
    <x v="12"/>
    <n v="135012"/>
    <s v="4134"/>
    <s v="План"/>
  </r>
  <r>
    <x v="15"/>
    <x v="3"/>
    <n v="35000"/>
    <s v="41500"/>
    <s v="План"/>
  </r>
  <r>
    <x v="15"/>
    <x v="4"/>
    <n v="35000"/>
    <s v="41500"/>
    <s v="План"/>
  </r>
  <r>
    <x v="15"/>
    <x v="5"/>
    <n v="35000"/>
    <s v="41500"/>
    <s v="План"/>
  </r>
  <r>
    <x v="15"/>
    <x v="6"/>
    <n v="35000"/>
    <s v="41500"/>
    <s v="План"/>
  </r>
  <r>
    <x v="15"/>
    <x v="7"/>
    <n v="35000"/>
    <s v="41500"/>
    <s v="План"/>
  </r>
  <r>
    <x v="15"/>
    <x v="8"/>
    <n v="35000"/>
    <s v="41500"/>
    <s v="План"/>
  </r>
  <r>
    <x v="15"/>
    <x v="9"/>
    <n v="35000"/>
    <s v="41500"/>
    <s v="План"/>
  </r>
  <r>
    <x v="15"/>
    <x v="10"/>
    <n v="35000"/>
    <s v="41500"/>
    <s v="План"/>
  </r>
  <r>
    <x v="15"/>
    <x v="1"/>
    <n v="35000"/>
    <s v="41500"/>
    <s v="План"/>
  </r>
  <r>
    <x v="15"/>
    <x v="11"/>
    <n v="35000"/>
    <s v="41500"/>
    <s v="План"/>
  </r>
  <r>
    <x v="15"/>
    <x v="2"/>
    <n v="35000"/>
    <s v="41500"/>
    <s v="План"/>
  </r>
  <r>
    <x v="15"/>
    <x v="12"/>
    <n v="35000"/>
    <s v="41500"/>
    <s v="План"/>
  </r>
  <r>
    <x v="16"/>
    <x v="3"/>
    <n v="6500"/>
    <s v="41501"/>
    <s v="План"/>
  </r>
  <r>
    <x v="16"/>
    <x v="4"/>
    <n v="6500"/>
    <s v="41501"/>
    <s v="План"/>
  </r>
  <r>
    <x v="16"/>
    <x v="5"/>
    <n v="6500"/>
    <s v="41501"/>
    <s v="План"/>
  </r>
  <r>
    <x v="16"/>
    <x v="6"/>
    <n v="6500"/>
    <s v="41501"/>
    <s v="План"/>
  </r>
  <r>
    <x v="16"/>
    <x v="7"/>
    <n v="6500"/>
    <s v="41501"/>
    <s v="План"/>
  </r>
  <r>
    <x v="16"/>
    <x v="8"/>
    <n v="6500"/>
    <s v="41501"/>
    <s v="План"/>
  </r>
  <r>
    <x v="16"/>
    <x v="9"/>
    <n v="6500"/>
    <s v="41501"/>
    <s v="План"/>
  </r>
  <r>
    <x v="16"/>
    <x v="10"/>
    <n v="6500"/>
    <s v="41501"/>
    <s v="План"/>
  </r>
  <r>
    <x v="16"/>
    <x v="1"/>
    <n v="6500"/>
    <s v="41501"/>
    <s v="План"/>
  </r>
  <r>
    <x v="16"/>
    <x v="11"/>
    <n v="6500"/>
    <s v="41501"/>
    <s v="План"/>
  </r>
  <r>
    <x v="16"/>
    <x v="2"/>
    <n v="6500"/>
    <s v="41501"/>
    <s v="План"/>
  </r>
  <r>
    <x v="16"/>
    <x v="12"/>
    <n v="6500"/>
    <s v="41501"/>
    <s v="План"/>
  </r>
  <r>
    <x v="17"/>
    <x v="3"/>
    <n v="325000"/>
    <s v="41101"/>
    <s v="План"/>
  </r>
  <r>
    <x v="17"/>
    <x v="4"/>
    <n v="325000"/>
    <s v="41101"/>
    <s v="План"/>
  </r>
  <r>
    <x v="17"/>
    <x v="5"/>
    <n v="325000"/>
    <s v="41101"/>
    <s v="План"/>
  </r>
  <r>
    <x v="17"/>
    <x v="6"/>
    <n v="325000"/>
    <s v="41101"/>
    <s v="План"/>
  </r>
  <r>
    <x v="17"/>
    <x v="7"/>
    <n v="325000"/>
    <s v="41101"/>
    <s v="План"/>
  </r>
  <r>
    <x v="17"/>
    <x v="8"/>
    <n v="325000"/>
    <s v="41101"/>
    <s v="План"/>
  </r>
  <r>
    <x v="17"/>
    <x v="9"/>
    <n v="325000"/>
    <s v="41101"/>
    <s v="План"/>
  </r>
  <r>
    <x v="17"/>
    <x v="10"/>
    <n v="325000"/>
    <s v="41101"/>
    <s v="План"/>
  </r>
  <r>
    <x v="17"/>
    <x v="1"/>
    <n v="325000"/>
    <s v="41101"/>
    <s v="План"/>
  </r>
  <r>
    <x v="17"/>
    <x v="11"/>
    <n v="325000"/>
    <s v="41101"/>
    <s v="План"/>
  </r>
  <r>
    <x v="17"/>
    <x v="2"/>
    <n v="325000"/>
    <s v="41101"/>
    <s v="План"/>
  </r>
  <r>
    <x v="17"/>
    <x v="12"/>
    <n v="325000"/>
    <s v="41101"/>
    <s v="План"/>
  </r>
  <r>
    <x v="18"/>
    <x v="3"/>
    <n v="51546"/>
    <s v="4440"/>
    <s v="План"/>
  </r>
  <r>
    <x v="18"/>
    <x v="4"/>
    <n v="51546"/>
    <s v="4440"/>
    <s v="План"/>
  </r>
  <r>
    <x v="18"/>
    <x v="5"/>
    <n v="51546"/>
    <s v="4440"/>
    <s v="План"/>
  </r>
  <r>
    <x v="18"/>
    <x v="6"/>
    <n v="151546"/>
    <s v="4440"/>
    <s v="План"/>
  </r>
  <r>
    <x v="18"/>
    <x v="7"/>
    <n v="51546"/>
    <s v="4440"/>
    <s v="План"/>
  </r>
  <r>
    <x v="18"/>
    <x v="8"/>
    <n v="51546"/>
    <s v="4440"/>
    <s v="План"/>
  </r>
  <r>
    <x v="18"/>
    <x v="9"/>
    <n v="51546"/>
    <s v="4440"/>
    <s v="План"/>
  </r>
  <r>
    <x v="18"/>
    <x v="10"/>
    <n v="51546"/>
    <s v="4440"/>
    <s v="План"/>
  </r>
  <r>
    <x v="18"/>
    <x v="1"/>
    <n v="51546"/>
    <s v="4440"/>
    <s v="План"/>
  </r>
  <r>
    <x v="18"/>
    <x v="11"/>
    <n v="51546"/>
    <s v="4440"/>
    <s v="План"/>
  </r>
  <r>
    <x v="18"/>
    <x v="2"/>
    <n v="51546"/>
    <s v="4440"/>
    <s v="План"/>
  </r>
  <r>
    <x v="18"/>
    <x v="12"/>
    <n v="51546"/>
    <s v="4440"/>
    <s v="План"/>
  </r>
  <r>
    <x v="19"/>
    <x v="3"/>
    <m/>
    <s v="4170"/>
    <s v="План"/>
  </r>
  <r>
    <x v="19"/>
    <x v="4"/>
    <m/>
    <s v="4170"/>
    <s v="План"/>
  </r>
  <r>
    <x v="19"/>
    <x v="5"/>
    <n v="489500"/>
    <s v="4170"/>
    <s v="План"/>
  </r>
  <r>
    <x v="20"/>
    <x v="3"/>
    <n v="7388"/>
    <s v="44970"/>
    <s v="План"/>
  </r>
  <r>
    <x v="20"/>
    <x v="4"/>
    <n v="7388"/>
    <s v="44970"/>
    <s v="План"/>
  </r>
  <r>
    <x v="20"/>
    <x v="5"/>
    <n v="7388"/>
    <s v="44970"/>
    <s v="План"/>
  </r>
  <r>
    <x v="20"/>
    <x v="6"/>
    <n v="7388"/>
    <s v="44970"/>
    <s v="План"/>
  </r>
  <r>
    <x v="20"/>
    <x v="7"/>
    <n v="7388"/>
    <s v="44970"/>
    <s v="План"/>
  </r>
  <r>
    <x v="20"/>
    <x v="8"/>
    <n v="7388"/>
    <s v="44970"/>
    <s v="План"/>
  </r>
  <r>
    <x v="20"/>
    <x v="9"/>
    <n v="7388"/>
    <s v="44970"/>
    <s v="План"/>
  </r>
  <r>
    <x v="20"/>
    <x v="10"/>
    <n v="7388"/>
    <s v="44970"/>
    <s v="План"/>
  </r>
  <r>
    <x v="20"/>
    <x v="1"/>
    <n v="7388"/>
    <s v="44970"/>
    <s v="План"/>
  </r>
  <r>
    <x v="20"/>
    <x v="11"/>
    <n v="7388"/>
    <s v="44970"/>
    <s v="План"/>
  </r>
  <r>
    <x v="20"/>
    <x v="2"/>
    <n v="7388"/>
    <s v="44970"/>
    <s v="План"/>
  </r>
  <r>
    <x v="20"/>
    <x v="12"/>
    <n v="7388"/>
    <s v="44970"/>
    <s v="План"/>
  </r>
  <r>
    <x v="21"/>
    <x v="3"/>
    <n v="34717"/>
    <s v="4494"/>
    <s v="План"/>
  </r>
  <r>
    <x v="21"/>
    <x v="4"/>
    <n v="34717"/>
    <s v="4494"/>
    <s v="План"/>
  </r>
  <r>
    <x v="21"/>
    <x v="5"/>
    <n v="34717"/>
    <s v="4494"/>
    <s v="План"/>
  </r>
  <r>
    <x v="21"/>
    <x v="6"/>
    <n v="34717"/>
    <s v="4494"/>
    <s v="План"/>
  </r>
  <r>
    <x v="21"/>
    <x v="7"/>
    <n v="34717"/>
    <s v="4494"/>
    <s v="План"/>
  </r>
  <r>
    <x v="21"/>
    <x v="8"/>
    <n v="34717"/>
    <s v="4494"/>
    <s v="План"/>
  </r>
  <r>
    <x v="21"/>
    <x v="9"/>
    <n v="34717"/>
    <s v="4494"/>
    <s v="План"/>
  </r>
  <r>
    <x v="21"/>
    <x v="10"/>
    <n v="34717"/>
    <s v="4494"/>
    <s v="План"/>
  </r>
  <r>
    <x v="21"/>
    <x v="1"/>
    <n v="34717"/>
    <s v="4494"/>
    <s v="План"/>
  </r>
  <r>
    <x v="21"/>
    <x v="11"/>
    <n v="34717"/>
    <s v="4494"/>
    <s v="План"/>
  </r>
  <r>
    <x v="21"/>
    <x v="2"/>
    <n v="34717"/>
    <s v="4494"/>
    <s v="План"/>
  </r>
  <r>
    <x v="21"/>
    <x v="12"/>
    <n v="34717"/>
    <s v="4494"/>
    <s v="План"/>
  </r>
  <r>
    <x v="22"/>
    <x v="3"/>
    <n v="700"/>
    <s v="41502"/>
    <s v="План"/>
  </r>
  <r>
    <x v="22"/>
    <x v="4"/>
    <n v="700"/>
    <s v="41502"/>
    <s v="План"/>
  </r>
  <r>
    <x v="22"/>
    <x v="5"/>
    <n v="700"/>
    <s v="41502"/>
    <s v="План"/>
  </r>
  <r>
    <x v="22"/>
    <x v="6"/>
    <n v="700"/>
    <s v="41502"/>
    <s v="План"/>
  </r>
  <r>
    <x v="22"/>
    <x v="7"/>
    <n v="700"/>
    <s v="41502"/>
    <s v="План"/>
  </r>
  <r>
    <x v="22"/>
    <x v="8"/>
    <n v="700"/>
    <s v="41502"/>
    <s v="План"/>
  </r>
  <r>
    <x v="22"/>
    <x v="9"/>
    <n v="700"/>
    <s v="41502"/>
    <s v="План"/>
  </r>
  <r>
    <x v="22"/>
    <x v="10"/>
    <n v="700"/>
    <s v="41502"/>
    <s v="План"/>
  </r>
  <r>
    <x v="22"/>
    <x v="1"/>
    <n v="700"/>
    <s v="41502"/>
    <s v="План"/>
  </r>
  <r>
    <x v="22"/>
    <x v="11"/>
    <n v="700"/>
    <s v="41502"/>
    <s v="План"/>
  </r>
  <r>
    <x v="22"/>
    <x v="2"/>
    <n v="700"/>
    <s v="41502"/>
    <s v="План"/>
  </r>
  <r>
    <x v="22"/>
    <x v="12"/>
    <n v="700"/>
    <s v="41502"/>
    <s v="План"/>
  </r>
  <r>
    <x v="23"/>
    <x v="3"/>
    <n v="185000"/>
    <s v="41103"/>
    <s v="План"/>
  </r>
  <r>
    <x v="23"/>
    <x v="4"/>
    <n v="185000"/>
    <s v="41103"/>
    <s v="План"/>
  </r>
  <r>
    <x v="23"/>
    <x v="5"/>
    <n v="185000"/>
    <s v="41103"/>
    <s v="План"/>
  </r>
  <r>
    <x v="23"/>
    <x v="6"/>
    <n v="185000"/>
    <s v="41103"/>
    <s v="План"/>
  </r>
  <r>
    <x v="23"/>
    <x v="7"/>
    <n v="185000"/>
    <s v="41103"/>
    <s v="План"/>
  </r>
  <r>
    <x v="23"/>
    <x v="8"/>
    <n v="185000"/>
    <s v="41103"/>
    <s v="План"/>
  </r>
  <r>
    <x v="23"/>
    <x v="9"/>
    <n v="185000"/>
    <s v="41103"/>
    <s v="План"/>
  </r>
  <r>
    <x v="23"/>
    <x v="10"/>
    <n v="185000"/>
    <s v="41103"/>
    <s v="План"/>
  </r>
  <r>
    <x v="23"/>
    <x v="1"/>
    <n v="185000"/>
    <s v="41103"/>
    <s v="План"/>
  </r>
  <r>
    <x v="23"/>
    <x v="11"/>
    <n v="185000"/>
    <s v="41103"/>
    <s v="План"/>
  </r>
  <r>
    <x v="23"/>
    <x v="2"/>
    <n v="185000"/>
    <s v="41103"/>
    <s v="План"/>
  </r>
  <r>
    <x v="23"/>
    <x v="12"/>
    <n v="185000"/>
    <s v="41103"/>
    <s v="План"/>
  </r>
  <r>
    <x v="24"/>
    <x v="3"/>
    <n v="131200"/>
    <s v="41102"/>
    <s v="План"/>
  </r>
  <r>
    <x v="24"/>
    <x v="4"/>
    <n v="131200"/>
    <s v="41102"/>
    <s v="План"/>
  </r>
  <r>
    <x v="24"/>
    <x v="5"/>
    <n v="131200"/>
    <s v="41102"/>
    <s v="План"/>
  </r>
  <r>
    <x v="24"/>
    <x v="6"/>
    <n v="131200"/>
    <s v="41102"/>
    <s v="План"/>
  </r>
  <r>
    <x v="24"/>
    <x v="7"/>
    <n v="131200"/>
    <s v="41102"/>
    <s v="План"/>
  </r>
  <r>
    <x v="24"/>
    <x v="8"/>
    <n v="131200"/>
    <s v="41102"/>
    <s v="План"/>
  </r>
  <r>
    <x v="24"/>
    <x v="9"/>
    <n v="131200"/>
    <s v="41102"/>
    <s v="План"/>
  </r>
  <r>
    <x v="24"/>
    <x v="10"/>
    <n v="131200"/>
    <s v="41102"/>
    <s v="План"/>
  </r>
  <r>
    <x v="24"/>
    <x v="1"/>
    <n v="131200"/>
    <s v="41102"/>
    <s v="План"/>
  </r>
  <r>
    <x v="24"/>
    <x v="11"/>
    <n v="131200"/>
    <s v="41102"/>
    <s v="План"/>
  </r>
  <r>
    <x v="24"/>
    <x v="2"/>
    <n v="131200"/>
    <s v="41102"/>
    <s v="План"/>
  </r>
  <r>
    <x v="24"/>
    <x v="12"/>
    <n v="131200"/>
    <s v="41102"/>
    <s v="План"/>
  </r>
  <r>
    <x v="25"/>
    <x v="3"/>
    <n v="3800"/>
    <s v="41503"/>
    <s v="План"/>
  </r>
  <r>
    <x v="25"/>
    <x v="4"/>
    <n v="103800"/>
    <s v="41503"/>
    <s v="План"/>
  </r>
  <r>
    <x v="25"/>
    <x v="5"/>
    <n v="3800"/>
    <s v="41503"/>
    <s v="План"/>
  </r>
  <r>
    <x v="25"/>
    <x v="6"/>
    <n v="3800"/>
    <s v="41503"/>
    <s v="План"/>
  </r>
  <r>
    <x v="25"/>
    <x v="7"/>
    <n v="3800"/>
    <s v="41503"/>
    <s v="План"/>
  </r>
  <r>
    <x v="25"/>
    <x v="8"/>
    <n v="3800"/>
    <s v="41503"/>
    <s v="План"/>
  </r>
  <r>
    <x v="25"/>
    <x v="9"/>
    <n v="3800"/>
    <s v="41503"/>
    <s v="План"/>
  </r>
  <r>
    <x v="25"/>
    <x v="10"/>
    <n v="3800"/>
    <s v="41503"/>
    <s v="План"/>
  </r>
  <r>
    <x v="25"/>
    <x v="1"/>
    <n v="3800"/>
    <s v="41503"/>
    <s v="План"/>
  </r>
  <r>
    <x v="25"/>
    <x v="11"/>
    <n v="3800"/>
    <s v="41503"/>
    <s v="План"/>
  </r>
  <r>
    <x v="25"/>
    <x v="2"/>
    <n v="3800"/>
    <s v="41503"/>
    <s v="План"/>
  </r>
  <r>
    <x v="25"/>
    <x v="12"/>
    <n v="3800"/>
    <s v="41503"/>
    <s v="План"/>
  </r>
  <r>
    <x v="26"/>
    <x v="3"/>
    <n v="150"/>
    <s v="4104"/>
    <s v="План"/>
  </r>
  <r>
    <x v="26"/>
    <x v="4"/>
    <n v="150"/>
    <s v="4104"/>
    <s v="План"/>
  </r>
  <r>
    <x v="26"/>
    <x v="5"/>
    <n v="150"/>
    <s v="4104"/>
    <s v="План"/>
  </r>
  <r>
    <x v="26"/>
    <x v="6"/>
    <n v="150"/>
    <s v="4104"/>
    <s v="План"/>
  </r>
  <r>
    <x v="26"/>
    <x v="7"/>
    <n v="150"/>
    <s v="4104"/>
    <s v="План"/>
  </r>
  <r>
    <x v="26"/>
    <x v="8"/>
    <n v="150"/>
    <s v="4104"/>
    <s v="План"/>
  </r>
  <r>
    <x v="26"/>
    <x v="9"/>
    <n v="150"/>
    <s v="4104"/>
    <s v="План"/>
  </r>
  <r>
    <x v="26"/>
    <x v="10"/>
    <n v="150"/>
    <s v="4104"/>
    <s v="План"/>
  </r>
  <r>
    <x v="26"/>
    <x v="1"/>
    <n v="150"/>
    <s v="4104"/>
    <s v="План"/>
  </r>
  <r>
    <x v="26"/>
    <x v="11"/>
    <n v="150"/>
    <s v="4104"/>
    <s v="План"/>
  </r>
  <r>
    <x v="26"/>
    <x v="2"/>
    <n v="150"/>
    <s v="4104"/>
    <s v="План"/>
  </r>
  <r>
    <x v="26"/>
    <x v="12"/>
    <n v="150"/>
    <s v="4104"/>
    <s v="План"/>
  </r>
  <r>
    <x v="27"/>
    <x v="3"/>
    <n v="2042"/>
    <s v="4497"/>
    <s v="План"/>
  </r>
  <r>
    <x v="27"/>
    <x v="4"/>
    <n v="2042"/>
    <s v="4497"/>
    <s v="План"/>
  </r>
  <r>
    <x v="27"/>
    <x v="5"/>
    <n v="2042"/>
    <s v="4497"/>
    <s v="План"/>
  </r>
  <r>
    <x v="27"/>
    <x v="6"/>
    <n v="2042"/>
    <s v="4497"/>
    <s v="План"/>
  </r>
  <r>
    <x v="27"/>
    <x v="7"/>
    <n v="2042"/>
    <s v="4497"/>
    <s v="План"/>
  </r>
  <r>
    <x v="27"/>
    <x v="8"/>
    <n v="2042"/>
    <s v="4497"/>
    <s v="План"/>
  </r>
  <r>
    <x v="27"/>
    <x v="9"/>
    <n v="2042"/>
    <s v="4497"/>
    <s v="План"/>
  </r>
  <r>
    <x v="27"/>
    <x v="10"/>
    <n v="2042"/>
    <s v="4497"/>
    <s v="План"/>
  </r>
  <r>
    <x v="27"/>
    <x v="1"/>
    <n v="2042"/>
    <s v="4497"/>
    <s v="План"/>
  </r>
  <r>
    <x v="27"/>
    <x v="11"/>
    <n v="2042"/>
    <s v="4497"/>
    <s v="План"/>
  </r>
  <r>
    <x v="27"/>
    <x v="2"/>
    <n v="2042"/>
    <s v="4497"/>
    <s v="План"/>
  </r>
  <r>
    <x v="27"/>
    <x v="12"/>
    <n v="2042"/>
    <s v="4497"/>
    <s v="План"/>
  </r>
  <r>
    <x v="28"/>
    <x v="3"/>
    <n v="33375"/>
    <s v="44972"/>
    <s v="План"/>
  </r>
  <r>
    <x v="28"/>
    <x v="4"/>
    <n v="33375"/>
    <s v="44972"/>
    <s v="План"/>
  </r>
  <r>
    <x v="28"/>
    <x v="5"/>
    <n v="33375"/>
    <s v="44972"/>
    <s v="План"/>
  </r>
  <r>
    <x v="28"/>
    <x v="6"/>
    <n v="33375"/>
    <s v="44972"/>
    <s v="План"/>
  </r>
  <r>
    <x v="28"/>
    <x v="7"/>
    <n v="33375"/>
    <s v="44972"/>
    <s v="План"/>
  </r>
  <r>
    <x v="28"/>
    <x v="8"/>
    <n v="33375"/>
    <s v="44972"/>
    <s v="План"/>
  </r>
  <r>
    <x v="28"/>
    <x v="9"/>
    <n v="33375"/>
    <s v="44972"/>
    <s v="План"/>
  </r>
  <r>
    <x v="28"/>
    <x v="10"/>
    <n v="33375"/>
    <s v="44972"/>
    <s v="План"/>
  </r>
  <r>
    <x v="28"/>
    <x v="1"/>
    <n v="33375"/>
    <s v="44972"/>
    <s v="План"/>
  </r>
  <r>
    <x v="28"/>
    <x v="11"/>
    <n v="33375"/>
    <s v="44972"/>
    <s v="План"/>
  </r>
  <r>
    <x v="28"/>
    <x v="2"/>
    <n v="33375"/>
    <s v="44972"/>
    <s v="План"/>
  </r>
  <r>
    <x v="28"/>
    <x v="12"/>
    <n v="33375"/>
    <s v="44972"/>
    <s v="План"/>
  </r>
  <r>
    <x v="29"/>
    <x v="3"/>
    <m/>
    <s v="44510"/>
    <s v="План"/>
  </r>
  <r>
    <x v="29"/>
    <x v="4"/>
    <m/>
    <s v="44510"/>
    <s v="План"/>
  </r>
  <r>
    <x v="29"/>
    <x v="5"/>
    <m/>
    <s v="44510"/>
    <s v="План"/>
  </r>
  <r>
    <x v="29"/>
    <x v="6"/>
    <m/>
    <s v="44510"/>
    <s v="План"/>
  </r>
  <r>
    <x v="29"/>
    <x v="7"/>
    <n v="30245"/>
    <s v="44510"/>
    <s v="План"/>
  </r>
  <r>
    <x v="29"/>
    <x v="8"/>
    <m/>
    <s v="44510"/>
    <s v="План"/>
  </r>
  <r>
    <x v="29"/>
    <x v="9"/>
    <m/>
    <s v="44510"/>
    <s v="План"/>
  </r>
  <r>
    <x v="29"/>
    <x v="10"/>
    <m/>
    <s v="44510"/>
    <s v="План"/>
  </r>
  <r>
    <x v="29"/>
    <x v="1"/>
    <m/>
    <s v="44510"/>
    <s v="План"/>
  </r>
  <r>
    <x v="29"/>
    <x v="11"/>
    <m/>
    <s v="44510"/>
    <s v="План"/>
  </r>
  <r>
    <x v="29"/>
    <x v="2"/>
    <m/>
    <s v="44510"/>
    <s v="План"/>
  </r>
  <r>
    <x v="29"/>
    <x v="12"/>
    <m/>
    <s v="44510"/>
    <s v="План"/>
  </r>
  <r>
    <x v="30"/>
    <x v="3"/>
    <m/>
    <s v="44501"/>
    <s v="План"/>
  </r>
  <r>
    <x v="30"/>
    <x v="4"/>
    <m/>
    <s v="44501"/>
    <s v="План"/>
  </r>
  <r>
    <x v="30"/>
    <x v="5"/>
    <m/>
    <s v="44501"/>
    <s v="План"/>
  </r>
  <r>
    <x v="30"/>
    <x v="6"/>
    <m/>
    <s v="44501"/>
    <s v="План"/>
  </r>
  <r>
    <x v="30"/>
    <x v="7"/>
    <n v="794065"/>
    <s v="44501"/>
    <s v="План"/>
  </r>
  <r>
    <x v="30"/>
    <x v="8"/>
    <m/>
    <s v="44501"/>
    <s v="План"/>
  </r>
  <r>
    <x v="30"/>
    <x v="9"/>
    <m/>
    <s v="44501"/>
    <s v="План"/>
  </r>
  <r>
    <x v="30"/>
    <x v="10"/>
    <m/>
    <s v="44501"/>
    <s v="План"/>
  </r>
  <r>
    <x v="30"/>
    <x v="1"/>
    <m/>
    <s v="44501"/>
    <s v="План"/>
  </r>
  <r>
    <x v="30"/>
    <x v="11"/>
    <m/>
    <s v="44501"/>
    <s v="План"/>
  </r>
  <r>
    <x v="30"/>
    <x v="2"/>
    <m/>
    <s v="44501"/>
    <s v="План"/>
  </r>
  <r>
    <x v="30"/>
    <x v="12"/>
    <m/>
    <s v="44501"/>
    <s v="План"/>
  </r>
  <r>
    <x v="31"/>
    <x v="3"/>
    <m/>
    <s v="44502"/>
    <s v="План"/>
  </r>
  <r>
    <x v="31"/>
    <x v="4"/>
    <m/>
    <s v="44502"/>
    <s v="План"/>
  </r>
  <r>
    <x v="31"/>
    <x v="5"/>
    <m/>
    <s v="44502"/>
    <s v="План"/>
  </r>
  <r>
    <x v="31"/>
    <x v="6"/>
    <m/>
    <s v="44502"/>
    <s v="План"/>
  </r>
  <r>
    <x v="31"/>
    <x v="7"/>
    <n v="188853"/>
    <s v="44502"/>
    <s v="План"/>
  </r>
  <r>
    <x v="31"/>
    <x v="8"/>
    <m/>
    <s v="44502"/>
    <s v="План"/>
  </r>
  <r>
    <x v="31"/>
    <x v="9"/>
    <m/>
    <s v="44502"/>
    <s v="План"/>
  </r>
  <r>
    <x v="31"/>
    <x v="10"/>
    <m/>
    <s v="44502"/>
    <s v="План"/>
  </r>
  <r>
    <x v="31"/>
    <x v="1"/>
    <m/>
    <s v="44502"/>
    <s v="План"/>
  </r>
  <r>
    <x v="31"/>
    <x v="11"/>
    <m/>
    <s v="44502"/>
    <s v="План"/>
  </r>
  <r>
    <x v="31"/>
    <x v="2"/>
    <m/>
    <s v="44502"/>
    <s v="План"/>
  </r>
  <r>
    <x v="31"/>
    <x v="12"/>
    <m/>
    <s v="44502"/>
    <s v="План"/>
  </r>
  <r>
    <x v="32"/>
    <x v="3"/>
    <m/>
    <s v="44500"/>
    <s v="План"/>
  </r>
  <r>
    <x v="32"/>
    <x v="4"/>
    <m/>
    <s v="44500"/>
    <s v="План"/>
  </r>
  <r>
    <x v="32"/>
    <x v="5"/>
    <m/>
    <s v="44500"/>
    <s v="План"/>
  </r>
  <r>
    <x v="32"/>
    <x v="6"/>
    <m/>
    <s v="44500"/>
    <s v="План"/>
  </r>
  <r>
    <x v="32"/>
    <x v="7"/>
    <n v="120080"/>
    <s v="44500"/>
    <s v="План"/>
  </r>
  <r>
    <x v="32"/>
    <x v="8"/>
    <m/>
    <s v="44500"/>
    <s v="План"/>
  </r>
  <r>
    <x v="32"/>
    <x v="9"/>
    <m/>
    <s v="44500"/>
    <s v="План"/>
  </r>
  <r>
    <x v="32"/>
    <x v="10"/>
    <m/>
    <s v="44500"/>
    <s v="План"/>
  </r>
  <r>
    <x v="32"/>
    <x v="1"/>
    <m/>
    <s v="44500"/>
    <s v="План"/>
  </r>
  <r>
    <x v="32"/>
    <x v="11"/>
    <m/>
    <s v="44500"/>
    <s v="План"/>
  </r>
  <r>
    <x v="32"/>
    <x v="2"/>
    <m/>
    <s v="44500"/>
    <s v="План"/>
  </r>
  <r>
    <x v="32"/>
    <x v="12"/>
    <m/>
    <s v="44500"/>
    <s v="План"/>
  </r>
  <r>
    <x v="33"/>
    <x v="3"/>
    <n v="33354"/>
    <s v="44902"/>
    <s v="План"/>
  </r>
  <r>
    <x v="33"/>
    <x v="4"/>
    <n v="33354"/>
    <s v="44902"/>
    <s v="План"/>
  </r>
  <r>
    <x v="33"/>
    <x v="5"/>
    <n v="33354"/>
    <s v="44902"/>
    <s v="План"/>
  </r>
  <r>
    <x v="33"/>
    <x v="6"/>
    <n v="33354"/>
    <s v="44902"/>
    <s v="План"/>
  </r>
  <r>
    <x v="33"/>
    <x v="7"/>
    <n v="33354"/>
    <s v="44902"/>
    <s v="План"/>
  </r>
  <r>
    <x v="33"/>
    <x v="8"/>
    <n v="33354"/>
    <s v="44902"/>
    <s v="План"/>
  </r>
  <r>
    <x v="33"/>
    <x v="9"/>
    <n v="33354"/>
    <s v="44902"/>
    <s v="План"/>
  </r>
  <r>
    <x v="33"/>
    <x v="10"/>
    <n v="33354"/>
    <s v="44902"/>
    <s v="План"/>
  </r>
  <r>
    <x v="33"/>
    <x v="1"/>
    <n v="33354"/>
    <s v="44902"/>
    <s v="План"/>
  </r>
  <r>
    <x v="33"/>
    <x v="11"/>
    <n v="33354"/>
    <s v="44902"/>
    <s v="План"/>
  </r>
  <r>
    <x v="33"/>
    <x v="2"/>
    <n v="33354"/>
    <s v="44902"/>
    <s v="План"/>
  </r>
  <r>
    <x v="33"/>
    <x v="12"/>
    <n v="33354"/>
    <s v="44902"/>
    <s v="План"/>
  </r>
  <r>
    <x v="34"/>
    <x v="3"/>
    <n v="278775"/>
    <s v="40304"/>
    <s v="План"/>
  </r>
  <r>
    <x v="34"/>
    <x v="4"/>
    <n v="278775"/>
    <s v="40304"/>
    <s v="План"/>
  </r>
  <r>
    <x v="34"/>
    <x v="5"/>
    <n v="278775"/>
    <s v="40304"/>
    <s v="План"/>
  </r>
  <r>
    <x v="34"/>
    <x v="12"/>
    <n v="278775"/>
    <s v="40304"/>
    <s v="План"/>
  </r>
  <r>
    <x v="35"/>
    <x v="3"/>
    <n v="68838"/>
    <s v="40105"/>
    <s v="План"/>
  </r>
  <r>
    <x v="35"/>
    <x v="4"/>
    <n v="68838"/>
    <s v="40105"/>
    <s v="План"/>
  </r>
  <r>
    <x v="35"/>
    <x v="5"/>
    <n v="68838"/>
    <s v="40105"/>
    <s v="План"/>
  </r>
  <r>
    <x v="35"/>
    <x v="6"/>
    <n v="68838"/>
    <s v="40105"/>
    <s v="План"/>
  </r>
  <r>
    <x v="35"/>
    <x v="7"/>
    <n v="68838"/>
    <s v="40105"/>
    <s v="План"/>
  </r>
  <r>
    <x v="35"/>
    <x v="8"/>
    <n v="68838"/>
    <s v="40105"/>
    <s v="План"/>
  </r>
  <r>
    <x v="35"/>
    <x v="9"/>
    <n v="68838"/>
    <s v="40105"/>
    <s v="План"/>
  </r>
  <r>
    <x v="35"/>
    <x v="10"/>
    <n v="68838"/>
    <s v="40105"/>
    <s v="План"/>
  </r>
  <r>
    <x v="35"/>
    <x v="1"/>
    <n v="68838"/>
    <s v="40105"/>
    <s v="План"/>
  </r>
  <r>
    <x v="35"/>
    <x v="11"/>
    <n v="68838"/>
    <s v="40105"/>
    <s v="План"/>
  </r>
  <r>
    <x v="35"/>
    <x v="2"/>
    <n v="68838"/>
    <s v="40105"/>
    <s v="План"/>
  </r>
  <r>
    <x v="35"/>
    <x v="12"/>
    <n v="68838"/>
    <s v="40105"/>
    <s v="План"/>
  </r>
  <r>
    <x v="36"/>
    <x v="3"/>
    <n v="187583"/>
    <s v="40103"/>
    <s v="План"/>
  </r>
  <r>
    <x v="36"/>
    <x v="4"/>
    <n v="187583"/>
    <s v="40103"/>
    <s v="План"/>
  </r>
  <r>
    <x v="36"/>
    <x v="5"/>
    <n v="187583"/>
    <s v="40103"/>
    <s v="План"/>
  </r>
  <r>
    <x v="36"/>
    <x v="6"/>
    <n v="187583"/>
    <s v="40103"/>
    <s v="План"/>
  </r>
  <r>
    <x v="36"/>
    <x v="7"/>
    <n v="187583"/>
    <s v="40103"/>
    <s v="План"/>
  </r>
  <r>
    <x v="36"/>
    <x v="8"/>
    <n v="187583"/>
    <s v="40103"/>
    <s v="План"/>
  </r>
  <r>
    <x v="36"/>
    <x v="9"/>
    <n v="187583"/>
    <s v="40103"/>
    <s v="План"/>
  </r>
  <r>
    <x v="36"/>
    <x v="10"/>
    <n v="187583"/>
    <s v="40103"/>
    <s v="План"/>
  </r>
  <r>
    <x v="36"/>
    <x v="1"/>
    <n v="187583"/>
    <s v="40103"/>
    <s v="План"/>
  </r>
  <r>
    <x v="36"/>
    <x v="11"/>
    <n v="187583"/>
    <s v="40103"/>
    <s v="План"/>
  </r>
  <r>
    <x v="36"/>
    <x v="2"/>
    <n v="187583"/>
    <s v="40103"/>
    <s v="План"/>
  </r>
  <r>
    <x v="36"/>
    <x v="12"/>
    <n v="187583"/>
    <s v="40103"/>
    <s v="План"/>
  </r>
  <r>
    <x v="37"/>
    <x v="3"/>
    <n v="4000"/>
    <s v="403102"/>
    <s v="План"/>
  </r>
  <r>
    <x v="37"/>
    <x v="4"/>
    <n v="4000"/>
    <s v="403102"/>
    <s v="План"/>
  </r>
  <r>
    <x v="37"/>
    <x v="5"/>
    <n v="4000"/>
    <s v="403102"/>
    <s v="План"/>
  </r>
  <r>
    <x v="37"/>
    <x v="6"/>
    <n v="4000"/>
    <s v="403102"/>
    <s v="План"/>
  </r>
  <r>
    <x v="37"/>
    <x v="7"/>
    <n v="4000"/>
    <s v="403102"/>
    <s v="План"/>
  </r>
  <r>
    <x v="37"/>
    <x v="8"/>
    <n v="4000"/>
    <s v="403102"/>
    <s v="План"/>
  </r>
  <r>
    <x v="37"/>
    <x v="9"/>
    <n v="4000"/>
    <s v="403102"/>
    <s v="План"/>
  </r>
  <r>
    <x v="37"/>
    <x v="10"/>
    <n v="4000"/>
    <s v="403102"/>
    <s v="План"/>
  </r>
  <r>
    <x v="37"/>
    <x v="1"/>
    <n v="4000"/>
    <s v="403102"/>
    <s v="План"/>
  </r>
  <r>
    <x v="37"/>
    <x v="11"/>
    <n v="4000"/>
    <s v="403102"/>
    <s v="План"/>
  </r>
  <r>
    <x v="37"/>
    <x v="2"/>
    <n v="4000"/>
    <s v="403102"/>
    <s v="План"/>
  </r>
  <r>
    <x v="37"/>
    <x v="12"/>
    <n v="4000"/>
    <s v="403102"/>
    <s v="План"/>
  </r>
  <r>
    <x v="38"/>
    <x v="3"/>
    <n v="4000"/>
    <s v="403103"/>
    <s v="План"/>
  </r>
  <r>
    <x v="38"/>
    <x v="4"/>
    <n v="4000"/>
    <s v="403103"/>
    <s v="План"/>
  </r>
  <r>
    <x v="38"/>
    <x v="5"/>
    <n v="4000"/>
    <s v="403103"/>
    <s v="План"/>
  </r>
  <r>
    <x v="38"/>
    <x v="6"/>
    <n v="4000"/>
    <s v="403103"/>
    <s v="План"/>
  </r>
  <r>
    <x v="38"/>
    <x v="7"/>
    <n v="4000"/>
    <s v="403103"/>
    <s v="План"/>
  </r>
  <r>
    <x v="38"/>
    <x v="8"/>
    <n v="4000"/>
    <s v="403103"/>
    <s v="План"/>
  </r>
  <r>
    <x v="38"/>
    <x v="9"/>
    <n v="4000"/>
    <s v="403103"/>
    <s v="План"/>
  </r>
  <r>
    <x v="38"/>
    <x v="10"/>
    <n v="4000"/>
    <s v="403103"/>
    <s v="План"/>
  </r>
  <r>
    <x v="38"/>
    <x v="1"/>
    <n v="4000"/>
    <s v="403103"/>
    <s v="План"/>
  </r>
  <r>
    <x v="38"/>
    <x v="11"/>
    <n v="4000"/>
    <s v="403103"/>
    <s v="План"/>
  </r>
  <r>
    <x v="38"/>
    <x v="2"/>
    <n v="4000"/>
    <s v="403103"/>
    <s v="План"/>
  </r>
  <r>
    <x v="38"/>
    <x v="12"/>
    <n v="4000"/>
    <s v="403103"/>
    <s v="План"/>
  </r>
  <r>
    <x v="39"/>
    <x v="3"/>
    <n v="4000"/>
    <s v="403104"/>
    <s v="План"/>
  </r>
  <r>
    <x v="39"/>
    <x v="4"/>
    <n v="4000"/>
    <s v="403104"/>
    <s v="План"/>
  </r>
  <r>
    <x v="39"/>
    <x v="5"/>
    <n v="4000"/>
    <s v="403104"/>
    <s v="План"/>
  </r>
  <r>
    <x v="39"/>
    <x v="6"/>
    <n v="4000"/>
    <s v="403104"/>
    <s v="План"/>
  </r>
  <r>
    <x v="39"/>
    <x v="7"/>
    <n v="4000"/>
    <s v="403104"/>
    <s v="План"/>
  </r>
  <r>
    <x v="39"/>
    <x v="8"/>
    <n v="4000"/>
    <s v="403104"/>
    <s v="План"/>
  </r>
  <r>
    <x v="39"/>
    <x v="9"/>
    <n v="4000"/>
    <s v="403104"/>
    <s v="План"/>
  </r>
  <r>
    <x v="39"/>
    <x v="10"/>
    <n v="4000"/>
    <s v="403104"/>
    <s v="План"/>
  </r>
  <r>
    <x v="39"/>
    <x v="1"/>
    <n v="4000"/>
    <s v="403104"/>
    <s v="План"/>
  </r>
  <r>
    <x v="39"/>
    <x v="11"/>
    <n v="4000"/>
    <s v="403104"/>
    <s v="План"/>
  </r>
  <r>
    <x v="39"/>
    <x v="2"/>
    <n v="4000"/>
    <s v="403104"/>
    <s v="План"/>
  </r>
  <r>
    <x v="39"/>
    <x v="12"/>
    <n v="4000"/>
    <s v="403104"/>
    <s v="План"/>
  </r>
  <r>
    <x v="40"/>
    <x v="3"/>
    <n v="4000"/>
    <s v="403105"/>
    <s v="План"/>
  </r>
  <r>
    <x v="40"/>
    <x v="4"/>
    <n v="4000"/>
    <s v="403105"/>
    <s v="План"/>
  </r>
  <r>
    <x v="40"/>
    <x v="5"/>
    <n v="4000"/>
    <s v="403105"/>
    <s v="План"/>
  </r>
  <r>
    <x v="40"/>
    <x v="6"/>
    <n v="4000"/>
    <s v="403105"/>
    <s v="План"/>
  </r>
  <r>
    <x v="40"/>
    <x v="7"/>
    <n v="4000"/>
    <s v="403105"/>
    <s v="План"/>
  </r>
  <r>
    <x v="40"/>
    <x v="8"/>
    <n v="4000"/>
    <s v="403105"/>
    <s v="План"/>
  </r>
  <r>
    <x v="40"/>
    <x v="9"/>
    <n v="4000"/>
    <s v="403105"/>
    <s v="План"/>
  </r>
  <r>
    <x v="40"/>
    <x v="10"/>
    <n v="4000"/>
    <s v="403105"/>
    <s v="План"/>
  </r>
  <r>
    <x v="40"/>
    <x v="1"/>
    <n v="4000"/>
    <s v="403105"/>
    <s v="План"/>
  </r>
  <r>
    <x v="40"/>
    <x v="11"/>
    <n v="4000"/>
    <s v="403105"/>
    <s v="План"/>
  </r>
  <r>
    <x v="40"/>
    <x v="2"/>
    <n v="4000"/>
    <s v="403105"/>
    <s v="План"/>
  </r>
  <r>
    <x v="40"/>
    <x v="12"/>
    <n v="4000"/>
    <s v="403105"/>
    <s v="План"/>
  </r>
  <r>
    <x v="41"/>
    <x v="3"/>
    <n v="4000"/>
    <s v="4031601"/>
    <s v="План"/>
  </r>
  <r>
    <x v="41"/>
    <x v="4"/>
    <n v="4000"/>
    <s v="4031601"/>
    <s v="План"/>
  </r>
  <r>
    <x v="41"/>
    <x v="5"/>
    <n v="4000"/>
    <s v="4031601"/>
    <s v="План"/>
  </r>
  <r>
    <x v="41"/>
    <x v="6"/>
    <n v="4000"/>
    <s v="4031601"/>
    <s v="План"/>
  </r>
  <r>
    <x v="41"/>
    <x v="7"/>
    <n v="4000"/>
    <s v="4031601"/>
    <s v="План"/>
  </r>
  <r>
    <x v="41"/>
    <x v="8"/>
    <n v="4000"/>
    <s v="4031601"/>
    <s v="План"/>
  </r>
  <r>
    <x v="41"/>
    <x v="9"/>
    <n v="4000"/>
    <s v="4031601"/>
    <s v="План"/>
  </r>
  <r>
    <x v="41"/>
    <x v="10"/>
    <n v="4000"/>
    <s v="4031601"/>
    <s v="План"/>
  </r>
  <r>
    <x v="41"/>
    <x v="1"/>
    <n v="4000"/>
    <s v="4031601"/>
    <s v="План"/>
  </r>
  <r>
    <x v="41"/>
    <x v="11"/>
    <n v="4000"/>
    <s v="4031601"/>
    <s v="План"/>
  </r>
  <r>
    <x v="41"/>
    <x v="2"/>
    <n v="4000"/>
    <s v="4031601"/>
    <s v="План"/>
  </r>
  <r>
    <x v="41"/>
    <x v="12"/>
    <n v="4000"/>
    <s v="4031601"/>
    <s v="План"/>
  </r>
  <r>
    <x v="42"/>
    <x v="3"/>
    <n v="4000"/>
    <s v="4031602"/>
    <s v="План"/>
  </r>
  <r>
    <x v="42"/>
    <x v="4"/>
    <n v="4000"/>
    <s v="4031602"/>
    <s v="План"/>
  </r>
  <r>
    <x v="42"/>
    <x v="5"/>
    <n v="4000"/>
    <s v="4031602"/>
    <s v="План"/>
  </r>
  <r>
    <x v="42"/>
    <x v="6"/>
    <n v="4000"/>
    <s v="4031602"/>
    <s v="План"/>
  </r>
  <r>
    <x v="42"/>
    <x v="7"/>
    <n v="4000"/>
    <s v="4031602"/>
    <s v="План"/>
  </r>
  <r>
    <x v="42"/>
    <x v="8"/>
    <n v="4000"/>
    <s v="4031602"/>
    <s v="План"/>
  </r>
  <r>
    <x v="42"/>
    <x v="9"/>
    <n v="4000"/>
    <s v="4031602"/>
    <s v="План"/>
  </r>
  <r>
    <x v="42"/>
    <x v="10"/>
    <n v="4000"/>
    <s v="4031602"/>
    <s v="План"/>
  </r>
  <r>
    <x v="42"/>
    <x v="1"/>
    <n v="4000"/>
    <s v="4031602"/>
    <s v="План"/>
  </r>
  <r>
    <x v="42"/>
    <x v="11"/>
    <n v="4000"/>
    <s v="4031602"/>
    <s v="План"/>
  </r>
  <r>
    <x v="42"/>
    <x v="2"/>
    <n v="4000"/>
    <s v="4031602"/>
    <s v="План"/>
  </r>
  <r>
    <x v="42"/>
    <x v="12"/>
    <n v="4000"/>
    <s v="4031602"/>
    <s v="План"/>
  </r>
  <r>
    <x v="43"/>
    <x v="3"/>
    <n v="4000"/>
    <s v="4031603"/>
    <s v="План"/>
  </r>
  <r>
    <x v="43"/>
    <x v="4"/>
    <n v="4000"/>
    <s v="4031603"/>
    <s v="План"/>
  </r>
  <r>
    <x v="43"/>
    <x v="5"/>
    <n v="4000"/>
    <s v="4031603"/>
    <s v="План"/>
  </r>
  <r>
    <x v="43"/>
    <x v="6"/>
    <n v="4000"/>
    <s v="4031603"/>
    <s v="План"/>
  </r>
  <r>
    <x v="43"/>
    <x v="7"/>
    <n v="4000"/>
    <s v="4031603"/>
    <s v="План"/>
  </r>
  <r>
    <x v="43"/>
    <x v="8"/>
    <n v="4000"/>
    <s v="4031603"/>
    <s v="План"/>
  </r>
  <r>
    <x v="43"/>
    <x v="9"/>
    <n v="4000"/>
    <s v="4031603"/>
    <s v="План"/>
  </r>
  <r>
    <x v="43"/>
    <x v="10"/>
    <n v="4000"/>
    <s v="4031603"/>
    <s v="План"/>
  </r>
  <r>
    <x v="43"/>
    <x v="1"/>
    <n v="4000"/>
    <s v="4031603"/>
    <s v="План"/>
  </r>
  <r>
    <x v="43"/>
    <x v="11"/>
    <n v="4000"/>
    <s v="4031603"/>
    <s v="План"/>
  </r>
  <r>
    <x v="43"/>
    <x v="2"/>
    <n v="4000"/>
    <s v="4031603"/>
    <s v="План"/>
  </r>
  <r>
    <x v="43"/>
    <x v="12"/>
    <n v="4000"/>
    <s v="4031603"/>
    <s v="План"/>
  </r>
  <r>
    <x v="44"/>
    <x v="3"/>
    <n v="4000"/>
    <s v="4031604"/>
    <s v="План"/>
  </r>
  <r>
    <x v="44"/>
    <x v="4"/>
    <n v="4000"/>
    <s v="4031604"/>
    <s v="План"/>
  </r>
  <r>
    <x v="44"/>
    <x v="5"/>
    <n v="4000"/>
    <s v="4031604"/>
    <s v="План"/>
  </r>
  <r>
    <x v="44"/>
    <x v="6"/>
    <n v="4000"/>
    <s v="4031604"/>
    <s v="План"/>
  </r>
  <r>
    <x v="44"/>
    <x v="7"/>
    <n v="4000"/>
    <s v="4031604"/>
    <s v="План"/>
  </r>
  <r>
    <x v="44"/>
    <x v="8"/>
    <n v="4000"/>
    <s v="4031604"/>
    <s v="План"/>
  </r>
  <r>
    <x v="44"/>
    <x v="9"/>
    <n v="4000"/>
    <s v="4031604"/>
    <s v="План"/>
  </r>
  <r>
    <x v="44"/>
    <x v="10"/>
    <n v="4000"/>
    <s v="4031604"/>
    <s v="План"/>
  </r>
  <r>
    <x v="44"/>
    <x v="1"/>
    <n v="4000"/>
    <s v="4031604"/>
    <s v="План"/>
  </r>
  <r>
    <x v="44"/>
    <x v="11"/>
    <n v="4000"/>
    <s v="4031604"/>
    <s v="План"/>
  </r>
  <r>
    <x v="44"/>
    <x v="2"/>
    <n v="4000"/>
    <s v="4031604"/>
    <s v="План"/>
  </r>
  <r>
    <x v="44"/>
    <x v="12"/>
    <n v="4000"/>
    <s v="4031604"/>
    <s v="План"/>
  </r>
  <r>
    <x v="45"/>
    <x v="3"/>
    <n v="4000"/>
    <s v="4031605"/>
    <s v="План"/>
  </r>
  <r>
    <x v="45"/>
    <x v="4"/>
    <n v="4000"/>
    <s v="4031605"/>
    <s v="План"/>
  </r>
  <r>
    <x v="45"/>
    <x v="5"/>
    <n v="4000"/>
    <s v="4031605"/>
    <s v="План"/>
  </r>
  <r>
    <x v="45"/>
    <x v="6"/>
    <n v="4000"/>
    <s v="4031605"/>
    <s v="План"/>
  </r>
  <r>
    <x v="45"/>
    <x v="7"/>
    <n v="4000"/>
    <s v="4031605"/>
    <s v="План"/>
  </r>
  <r>
    <x v="45"/>
    <x v="8"/>
    <n v="4000"/>
    <s v="4031605"/>
    <s v="План"/>
  </r>
  <r>
    <x v="45"/>
    <x v="9"/>
    <n v="4000"/>
    <s v="4031605"/>
    <s v="План"/>
  </r>
  <r>
    <x v="45"/>
    <x v="10"/>
    <n v="4000"/>
    <s v="4031605"/>
    <s v="План"/>
  </r>
  <r>
    <x v="45"/>
    <x v="1"/>
    <n v="4000"/>
    <s v="4031605"/>
    <s v="План"/>
  </r>
  <r>
    <x v="45"/>
    <x v="11"/>
    <n v="4000"/>
    <s v="4031605"/>
    <s v="План"/>
  </r>
  <r>
    <x v="45"/>
    <x v="2"/>
    <n v="4000"/>
    <s v="4031605"/>
    <s v="План"/>
  </r>
  <r>
    <x v="45"/>
    <x v="12"/>
    <n v="4000"/>
    <s v="4031605"/>
    <s v="План"/>
  </r>
  <r>
    <x v="46"/>
    <x v="3"/>
    <n v="4000"/>
    <s v="4031606"/>
    <s v="План"/>
  </r>
  <r>
    <x v="46"/>
    <x v="4"/>
    <n v="4000"/>
    <s v="4031606"/>
    <s v="План"/>
  </r>
  <r>
    <x v="46"/>
    <x v="5"/>
    <n v="4000"/>
    <s v="4031606"/>
    <s v="План"/>
  </r>
  <r>
    <x v="46"/>
    <x v="6"/>
    <n v="4000"/>
    <s v="4031606"/>
    <s v="План"/>
  </r>
  <r>
    <x v="46"/>
    <x v="7"/>
    <n v="4000"/>
    <s v="4031606"/>
    <s v="План"/>
  </r>
  <r>
    <x v="46"/>
    <x v="8"/>
    <n v="4000"/>
    <s v="4031606"/>
    <s v="План"/>
  </r>
  <r>
    <x v="46"/>
    <x v="9"/>
    <n v="4000"/>
    <s v="4031606"/>
    <s v="План"/>
  </r>
  <r>
    <x v="46"/>
    <x v="10"/>
    <n v="4000"/>
    <s v="4031606"/>
    <s v="План"/>
  </r>
  <r>
    <x v="46"/>
    <x v="1"/>
    <n v="4000"/>
    <s v="4031606"/>
    <s v="План"/>
  </r>
  <r>
    <x v="46"/>
    <x v="11"/>
    <n v="4000"/>
    <s v="4031606"/>
    <s v="План"/>
  </r>
  <r>
    <x v="46"/>
    <x v="2"/>
    <n v="4000"/>
    <s v="4031606"/>
    <s v="План"/>
  </r>
  <r>
    <x v="46"/>
    <x v="12"/>
    <n v="4000"/>
    <s v="4031606"/>
    <s v="План"/>
  </r>
  <r>
    <x v="47"/>
    <x v="3"/>
    <n v="4000"/>
    <s v="4031607"/>
    <s v="План"/>
  </r>
  <r>
    <x v="47"/>
    <x v="4"/>
    <n v="4000"/>
    <s v="4031607"/>
    <s v="План"/>
  </r>
  <r>
    <x v="47"/>
    <x v="5"/>
    <n v="4000"/>
    <s v="4031607"/>
    <s v="План"/>
  </r>
  <r>
    <x v="47"/>
    <x v="6"/>
    <n v="4000"/>
    <s v="4031607"/>
    <s v="План"/>
  </r>
  <r>
    <x v="47"/>
    <x v="7"/>
    <n v="4000"/>
    <s v="4031607"/>
    <s v="План"/>
  </r>
  <r>
    <x v="47"/>
    <x v="8"/>
    <n v="4000"/>
    <s v="4031607"/>
    <s v="План"/>
  </r>
  <r>
    <x v="47"/>
    <x v="9"/>
    <n v="4000"/>
    <s v="4031607"/>
    <s v="План"/>
  </r>
  <r>
    <x v="47"/>
    <x v="10"/>
    <n v="4000"/>
    <s v="4031607"/>
    <s v="План"/>
  </r>
  <r>
    <x v="47"/>
    <x v="1"/>
    <n v="4000"/>
    <s v="4031607"/>
    <s v="План"/>
  </r>
  <r>
    <x v="47"/>
    <x v="11"/>
    <n v="4000"/>
    <s v="4031607"/>
    <s v="План"/>
  </r>
  <r>
    <x v="47"/>
    <x v="2"/>
    <n v="4000"/>
    <s v="4031607"/>
    <s v="План"/>
  </r>
  <r>
    <x v="47"/>
    <x v="12"/>
    <n v="4000"/>
    <s v="4031607"/>
    <s v="План"/>
  </r>
  <r>
    <x v="48"/>
    <x v="3"/>
    <n v="4000"/>
    <s v="4031608"/>
    <s v="План"/>
  </r>
  <r>
    <x v="48"/>
    <x v="4"/>
    <n v="4000"/>
    <s v="4031608"/>
    <s v="План"/>
  </r>
  <r>
    <x v="48"/>
    <x v="5"/>
    <n v="4000"/>
    <s v="4031608"/>
    <s v="План"/>
  </r>
  <r>
    <x v="48"/>
    <x v="6"/>
    <n v="4000"/>
    <s v="4031608"/>
    <s v="План"/>
  </r>
  <r>
    <x v="48"/>
    <x v="7"/>
    <n v="4000"/>
    <s v="4031608"/>
    <s v="План"/>
  </r>
  <r>
    <x v="48"/>
    <x v="8"/>
    <n v="4000"/>
    <s v="4031608"/>
    <s v="План"/>
  </r>
  <r>
    <x v="48"/>
    <x v="9"/>
    <n v="4000"/>
    <s v="4031608"/>
    <s v="План"/>
  </r>
  <r>
    <x v="48"/>
    <x v="10"/>
    <n v="4000"/>
    <s v="4031608"/>
    <s v="План"/>
  </r>
  <r>
    <x v="48"/>
    <x v="1"/>
    <n v="4000"/>
    <s v="4031608"/>
    <s v="План"/>
  </r>
  <r>
    <x v="48"/>
    <x v="11"/>
    <n v="4000"/>
    <s v="4031608"/>
    <s v="План"/>
  </r>
  <r>
    <x v="48"/>
    <x v="2"/>
    <n v="4000"/>
    <s v="4031608"/>
    <s v="План"/>
  </r>
  <r>
    <x v="48"/>
    <x v="12"/>
    <n v="4000"/>
    <s v="4031608"/>
    <s v="План"/>
  </r>
  <r>
    <x v="49"/>
    <x v="3"/>
    <n v="4000"/>
    <s v="4031609"/>
    <s v="План"/>
  </r>
  <r>
    <x v="49"/>
    <x v="4"/>
    <n v="4000"/>
    <s v="4031609"/>
    <s v="План"/>
  </r>
  <r>
    <x v="49"/>
    <x v="5"/>
    <n v="4000"/>
    <s v="4031609"/>
    <s v="План"/>
  </r>
  <r>
    <x v="49"/>
    <x v="6"/>
    <n v="4000"/>
    <s v="4031609"/>
    <s v="План"/>
  </r>
  <r>
    <x v="49"/>
    <x v="7"/>
    <n v="4000"/>
    <s v="4031609"/>
    <s v="План"/>
  </r>
  <r>
    <x v="49"/>
    <x v="8"/>
    <n v="4000"/>
    <s v="4031609"/>
    <s v="План"/>
  </r>
  <r>
    <x v="49"/>
    <x v="9"/>
    <n v="4000"/>
    <s v="4031609"/>
    <s v="План"/>
  </r>
  <r>
    <x v="49"/>
    <x v="10"/>
    <n v="4000"/>
    <s v="4031609"/>
    <s v="План"/>
  </r>
  <r>
    <x v="49"/>
    <x v="1"/>
    <n v="4000"/>
    <s v="4031609"/>
    <s v="План"/>
  </r>
  <r>
    <x v="49"/>
    <x v="11"/>
    <n v="4000"/>
    <s v="4031609"/>
    <s v="План"/>
  </r>
  <r>
    <x v="49"/>
    <x v="2"/>
    <n v="4000"/>
    <s v="4031609"/>
    <s v="План"/>
  </r>
  <r>
    <x v="49"/>
    <x v="12"/>
    <n v="4000"/>
    <s v="4031609"/>
    <s v="План"/>
  </r>
  <r>
    <x v="50"/>
    <x v="3"/>
    <n v="4000"/>
    <s v="4031610"/>
    <s v="План"/>
  </r>
  <r>
    <x v="50"/>
    <x v="4"/>
    <n v="4000"/>
    <s v="4031610"/>
    <s v="План"/>
  </r>
  <r>
    <x v="50"/>
    <x v="5"/>
    <n v="4000"/>
    <s v="4031610"/>
    <s v="План"/>
  </r>
  <r>
    <x v="50"/>
    <x v="6"/>
    <n v="4000"/>
    <s v="4031610"/>
    <s v="План"/>
  </r>
  <r>
    <x v="50"/>
    <x v="7"/>
    <n v="4000"/>
    <s v="4031610"/>
    <s v="План"/>
  </r>
  <r>
    <x v="50"/>
    <x v="8"/>
    <n v="4000"/>
    <s v="4031610"/>
    <s v="План"/>
  </r>
  <r>
    <x v="50"/>
    <x v="9"/>
    <n v="4000"/>
    <s v="4031610"/>
    <s v="План"/>
  </r>
  <r>
    <x v="50"/>
    <x v="10"/>
    <n v="4000"/>
    <s v="4031610"/>
    <s v="План"/>
  </r>
  <r>
    <x v="50"/>
    <x v="1"/>
    <n v="4000"/>
    <s v="4031610"/>
    <s v="План"/>
  </r>
  <r>
    <x v="50"/>
    <x v="11"/>
    <n v="4000"/>
    <s v="4031610"/>
    <s v="План"/>
  </r>
  <r>
    <x v="50"/>
    <x v="2"/>
    <n v="4000"/>
    <s v="4031610"/>
    <s v="План"/>
  </r>
  <r>
    <x v="50"/>
    <x v="12"/>
    <n v="4000"/>
    <s v="4031610"/>
    <s v="План"/>
  </r>
  <r>
    <x v="51"/>
    <x v="3"/>
    <n v="4000"/>
    <s v="4031611"/>
    <s v="План"/>
  </r>
  <r>
    <x v="51"/>
    <x v="4"/>
    <n v="4000"/>
    <s v="4031611"/>
    <s v="План"/>
  </r>
  <r>
    <x v="51"/>
    <x v="5"/>
    <n v="4000"/>
    <s v="4031611"/>
    <s v="План"/>
  </r>
  <r>
    <x v="51"/>
    <x v="6"/>
    <n v="4000"/>
    <s v="4031611"/>
    <s v="План"/>
  </r>
  <r>
    <x v="51"/>
    <x v="7"/>
    <n v="4000"/>
    <s v="4031611"/>
    <s v="План"/>
  </r>
  <r>
    <x v="51"/>
    <x v="8"/>
    <n v="4000"/>
    <s v="4031611"/>
    <s v="План"/>
  </r>
  <r>
    <x v="51"/>
    <x v="9"/>
    <n v="4000"/>
    <s v="4031611"/>
    <s v="План"/>
  </r>
  <r>
    <x v="51"/>
    <x v="10"/>
    <n v="4000"/>
    <s v="4031611"/>
    <s v="План"/>
  </r>
  <r>
    <x v="51"/>
    <x v="1"/>
    <n v="4000"/>
    <s v="4031611"/>
    <s v="План"/>
  </r>
  <r>
    <x v="51"/>
    <x v="11"/>
    <n v="4000"/>
    <s v="4031611"/>
    <s v="План"/>
  </r>
  <r>
    <x v="51"/>
    <x v="2"/>
    <n v="4000"/>
    <s v="4031611"/>
    <s v="План"/>
  </r>
  <r>
    <x v="51"/>
    <x v="12"/>
    <n v="4000"/>
    <s v="4031611"/>
    <s v="План"/>
  </r>
  <r>
    <x v="52"/>
    <x v="3"/>
    <n v="3438"/>
    <s v="4051"/>
    <s v="План"/>
  </r>
  <r>
    <x v="52"/>
    <x v="4"/>
    <n v="3438"/>
    <s v="4051"/>
    <s v="План"/>
  </r>
  <r>
    <x v="52"/>
    <x v="5"/>
    <n v="3438"/>
    <s v="4051"/>
    <s v="План"/>
  </r>
  <r>
    <x v="52"/>
    <x v="6"/>
    <n v="3438"/>
    <s v="4051"/>
    <s v="План"/>
  </r>
  <r>
    <x v="52"/>
    <x v="7"/>
    <n v="3438"/>
    <s v="4051"/>
    <s v="План"/>
  </r>
  <r>
    <x v="52"/>
    <x v="8"/>
    <n v="3438"/>
    <s v="4051"/>
    <s v="План"/>
  </r>
  <r>
    <x v="52"/>
    <x v="9"/>
    <n v="3438"/>
    <s v="4051"/>
    <s v="План"/>
  </r>
  <r>
    <x v="52"/>
    <x v="10"/>
    <n v="3438"/>
    <s v="4051"/>
    <s v="План"/>
  </r>
  <r>
    <x v="52"/>
    <x v="1"/>
    <n v="3438"/>
    <s v="4051"/>
    <s v="План"/>
  </r>
  <r>
    <x v="52"/>
    <x v="11"/>
    <n v="3438"/>
    <s v="4051"/>
    <s v="План"/>
  </r>
  <r>
    <x v="52"/>
    <x v="2"/>
    <n v="3438"/>
    <s v="4051"/>
    <s v="План"/>
  </r>
  <r>
    <x v="52"/>
    <x v="12"/>
    <n v="3438"/>
    <s v="4051"/>
    <s v="План"/>
  </r>
  <r>
    <x v="53"/>
    <x v="3"/>
    <n v="666667"/>
    <s v="4030"/>
    <s v="План"/>
  </r>
  <r>
    <x v="53"/>
    <x v="4"/>
    <n v="666667"/>
    <s v="4030"/>
    <s v="План"/>
  </r>
  <r>
    <x v="53"/>
    <x v="5"/>
    <n v="666667"/>
    <s v="4030"/>
    <s v="План"/>
  </r>
  <r>
    <x v="53"/>
    <x v="6"/>
    <n v="666667"/>
    <s v="4030"/>
    <s v="План"/>
  </r>
  <r>
    <x v="53"/>
    <x v="7"/>
    <n v="666667"/>
    <s v="4030"/>
    <s v="План"/>
  </r>
  <r>
    <x v="53"/>
    <x v="8"/>
    <n v="666667"/>
    <s v="4030"/>
    <s v="План"/>
  </r>
  <r>
    <x v="53"/>
    <x v="9"/>
    <n v="666667"/>
    <s v="4030"/>
    <s v="План"/>
  </r>
  <r>
    <x v="53"/>
    <x v="10"/>
    <n v="666667"/>
    <s v="4030"/>
    <s v="План"/>
  </r>
  <r>
    <x v="53"/>
    <x v="1"/>
    <n v="666667"/>
    <s v="4030"/>
    <s v="План"/>
  </r>
  <r>
    <x v="53"/>
    <x v="11"/>
    <n v="666667"/>
    <s v="4030"/>
    <s v="План"/>
  </r>
  <r>
    <x v="53"/>
    <x v="2"/>
    <n v="666667"/>
    <s v="4030"/>
    <s v="План"/>
  </r>
  <r>
    <x v="53"/>
    <x v="12"/>
    <n v="666667"/>
    <s v="4030"/>
    <s v="План"/>
  </r>
  <r>
    <x v="54"/>
    <x v="3"/>
    <n v="79500"/>
    <s v="4111"/>
    <s v="План"/>
  </r>
  <r>
    <x v="54"/>
    <x v="4"/>
    <n v="79500"/>
    <s v="4111"/>
    <s v="План"/>
  </r>
  <r>
    <x v="54"/>
    <x v="5"/>
    <n v="79500"/>
    <s v="4111"/>
    <s v="План"/>
  </r>
  <r>
    <x v="54"/>
    <x v="6"/>
    <n v="79500"/>
    <s v="4111"/>
    <s v="План"/>
  </r>
  <r>
    <x v="54"/>
    <x v="7"/>
    <n v="79500"/>
    <s v="4111"/>
    <s v="План"/>
  </r>
  <r>
    <x v="54"/>
    <x v="8"/>
    <n v="79500"/>
    <s v="4111"/>
    <s v="План"/>
  </r>
  <r>
    <x v="54"/>
    <x v="9"/>
    <n v="79500"/>
    <s v="4111"/>
    <s v="План"/>
  </r>
  <r>
    <x v="54"/>
    <x v="10"/>
    <n v="79500"/>
    <s v="4111"/>
    <s v="План"/>
  </r>
  <r>
    <x v="54"/>
    <x v="1"/>
    <n v="79500"/>
    <s v="4111"/>
    <s v="План"/>
  </r>
  <r>
    <x v="54"/>
    <x v="11"/>
    <n v="79500"/>
    <s v="4111"/>
    <s v="План"/>
  </r>
  <r>
    <x v="54"/>
    <x v="2"/>
    <n v="79500"/>
    <s v="4111"/>
    <s v="План"/>
  </r>
  <r>
    <x v="54"/>
    <x v="12"/>
    <n v="79500"/>
    <s v="4111"/>
    <s v="План"/>
  </r>
  <r>
    <x v="55"/>
    <x v="3"/>
    <n v="61667"/>
    <s v="44011"/>
    <s v="План"/>
  </r>
  <r>
    <x v="55"/>
    <x v="4"/>
    <n v="61667"/>
    <s v="44011"/>
    <s v="План"/>
  </r>
  <r>
    <x v="55"/>
    <x v="5"/>
    <n v="61667"/>
    <s v="44011"/>
    <s v="План"/>
  </r>
  <r>
    <x v="55"/>
    <x v="6"/>
    <n v="61667"/>
    <s v="44011"/>
    <s v="План"/>
  </r>
  <r>
    <x v="55"/>
    <x v="7"/>
    <n v="61667"/>
    <s v="44011"/>
    <s v="План"/>
  </r>
  <r>
    <x v="55"/>
    <x v="8"/>
    <n v="61667"/>
    <s v="44011"/>
    <s v="План"/>
  </r>
  <r>
    <x v="55"/>
    <x v="9"/>
    <n v="61667"/>
    <s v="44011"/>
    <s v="План"/>
  </r>
  <r>
    <x v="55"/>
    <x v="10"/>
    <n v="61667"/>
    <s v="44011"/>
    <s v="План"/>
  </r>
  <r>
    <x v="55"/>
    <x v="1"/>
    <n v="61667"/>
    <s v="44011"/>
    <s v="План"/>
  </r>
  <r>
    <x v="55"/>
    <x v="11"/>
    <n v="61667"/>
    <s v="44011"/>
    <s v="План"/>
  </r>
  <r>
    <x v="55"/>
    <x v="2"/>
    <n v="61667"/>
    <s v="44011"/>
    <s v="План"/>
  </r>
  <r>
    <x v="55"/>
    <x v="12"/>
    <n v="61667"/>
    <s v="44011"/>
    <s v="План"/>
  </r>
  <r>
    <x v="56"/>
    <x v="3"/>
    <n v="2500"/>
    <s v="4401"/>
    <s v="План"/>
  </r>
  <r>
    <x v="56"/>
    <x v="4"/>
    <n v="2500"/>
    <s v="4401"/>
    <s v="План"/>
  </r>
  <r>
    <x v="56"/>
    <x v="5"/>
    <n v="2500"/>
    <s v="4401"/>
    <s v="План"/>
  </r>
  <r>
    <x v="56"/>
    <x v="6"/>
    <n v="2500"/>
    <s v="4401"/>
    <s v="План"/>
  </r>
  <r>
    <x v="56"/>
    <x v="7"/>
    <n v="2500"/>
    <s v="4401"/>
    <s v="План"/>
  </r>
  <r>
    <x v="56"/>
    <x v="8"/>
    <n v="2500"/>
    <s v="4401"/>
    <s v="План"/>
  </r>
  <r>
    <x v="56"/>
    <x v="9"/>
    <n v="2500"/>
    <s v="4401"/>
    <s v="План"/>
  </r>
  <r>
    <x v="56"/>
    <x v="10"/>
    <n v="2500"/>
    <s v="4401"/>
    <s v="План"/>
  </r>
  <r>
    <x v="56"/>
    <x v="1"/>
    <n v="2500"/>
    <s v="4401"/>
    <s v="План"/>
  </r>
  <r>
    <x v="56"/>
    <x v="11"/>
    <n v="2500"/>
    <s v="4401"/>
    <s v="План"/>
  </r>
  <r>
    <x v="56"/>
    <x v="2"/>
    <n v="2500"/>
    <s v="4401"/>
    <s v="План"/>
  </r>
  <r>
    <x v="56"/>
    <x v="12"/>
    <n v="2500"/>
    <s v="4401"/>
    <s v="План"/>
  </r>
  <r>
    <x v="57"/>
    <x v="3"/>
    <n v="75108"/>
    <s v="4080"/>
    <s v="План"/>
  </r>
  <r>
    <x v="57"/>
    <x v="4"/>
    <n v="75108"/>
    <s v="4080"/>
    <s v="План"/>
  </r>
  <r>
    <x v="57"/>
    <x v="5"/>
    <n v="75108"/>
    <s v="4080"/>
    <s v="План"/>
  </r>
  <r>
    <x v="57"/>
    <x v="6"/>
    <n v="75108"/>
    <s v="4080"/>
    <s v="План"/>
  </r>
  <r>
    <x v="57"/>
    <x v="7"/>
    <n v="75108"/>
    <s v="4080"/>
    <s v="План"/>
  </r>
  <r>
    <x v="57"/>
    <x v="8"/>
    <n v="75108"/>
    <s v="4080"/>
    <s v="План"/>
  </r>
  <r>
    <x v="57"/>
    <x v="9"/>
    <n v="75108"/>
    <s v="4080"/>
    <s v="План"/>
  </r>
  <r>
    <x v="57"/>
    <x v="10"/>
    <n v="75108"/>
    <s v="4080"/>
    <s v="План"/>
  </r>
  <r>
    <x v="57"/>
    <x v="1"/>
    <n v="75108"/>
    <s v="4080"/>
    <s v="План"/>
  </r>
  <r>
    <x v="57"/>
    <x v="11"/>
    <n v="75108"/>
    <s v="4080"/>
    <s v="План"/>
  </r>
  <r>
    <x v="57"/>
    <x v="2"/>
    <n v="75108"/>
    <s v="4080"/>
    <s v="План"/>
  </r>
  <r>
    <x v="57"/>
    <x v="12"/>
    <n v="75108"/>
    <s v="4080"/>
    <s v="План"/>
  </r>
  <r>
    <x v="58"/>
    <x v="5"/>
    <n v="0"/>
    <s v="4081"/>
    <s v="План"/>
  </r>
  <r>
    <x v="59"/>
    <x v="4"/>
    <n v="48000"/>
    <s v="41700"/>
    <s v="План"/>
  </r>
  <r>
    <x v="60"/>
    <x v="3"/>
    <n v="1542"/>
    <s v="41733"/>
    <s v="План"/>
  </r>
  <r>
    <x v="60"/>
    <x v="4"/>
    <n v="1542"/>
    <s v="41733"/>
    <s v="План"/>
  </r>
  <r>
    <x v="60"/>
    <x v="5"/>
    <n v="1542"/>
    <s v="41733"/>
    <s v="План"/>
  </r>
  <r>
    <x v="60"/>
    <x v="6"/>
    <n v="1542"/>
    <s v="41733"/>
    <s v="План"/>
  </r>
  <r>
    <x v="60"/>
    <x v="7"/>
    <n v="1542"/>
    <s v="41733"/>
    <s v="План"/>
  </r>
  <r>
    <x v="60"/>
    <x v="8"/>
    <n v="1542"/>
    <s v="41733"/>
    <s v="План"/>
  </r>
  <r>
    <x v="60"/>
    <x v="9"/>
    <n v="1542"/>
    <s v="41733"/>
    <s v="План"/>
  </r>
  <r>
    <x v="60"/>
    <x v="10"/>
    <n v="1542"/>
    <s v="41733"/>
    <s v="План"/>
  </r>
  <r>
    <x v="60"/>
    <x v="1"/>
    <n v="1542"/>
    <s v="41733"/>
    <s v="План"/>
  </r>
  <r>
    <x v="60"/>
    <x v="11"/>
    <n v="1542"/>
    <s v="41733"/>
    <s v="План"/>
  </r>
  <r>
    <x v="60"/>
    <x v="2"/>
    <n v="1542"/>
    <s v="41733"/>
    <s v="План"/>
  </r>
  <r>
    <x v="60"/>
    <x v="12"/>
    <n v="1542"/>
    <s v="41733"/>
    <s v="План"/>
  </r>
  <r>
    <x v="61"/>
    <x v="3"/>
    <n v="37500"/>
    <s v="41701"/>
    <s v="План"/>
  </r>
  <r>
    <x v="61"/>
    <x v="4"/>
    <n v="37500"/>
    <s v="41701"/>
    <s v="План"/>
  </r>
  <r>
    <x v="61"/>
    <x v="5"/>
    <n v="37500"/>
    <s v="41701"/>
    <s v="План"/>
  </r>
  <r>
    <x v="61"/>
    <x v="6"/>
    <n v="37500"/>
    <s v="41701"/>
    <s v="План"/>
  </r>
  <r>
    <x v="61"/>
    <x v="7"/>
    <n v="37500"/>
    <s v="41701"/>
    <s v="План"/>
  </r>
  <r>
    <x v="61"/>
    <x v="8"/>
    <n v="37500"/>
    <s v="41701"/>
    <s v="План"/>
  </r>
  <r>
    <x v="61"/>
    <x v="9"/>
    <n v="37500"/>
    <s v="41701"/>
    <s v="План"/>
  </r>
  <r>
    <x v="61"/>
    <x v="10"/>
    <n v="37500"/>
    <s v="41701"/>
    <s v="План"/>
  </r>
  <r>
    <x v="61"/>
    <x v="1"/>
    <n v="37500"/>
    <s v="41701"/>
    <s v="План"/>
  </r>
  <r>
    <x v="61"/>
    <x v="11"/>
    <n v="37500"/>
    <s v="41701"/>
    <s v="План"/>
  </r>
  <r>
    <x v="61"/>
    <x v="2"/>
    <n v="37500"/>
    <s v="41701"/>
    <s v="План"/>
  </r>
  <r>
    <x v="61"/>
    <x v="12"/>
    <n v="37500"/>
    <s v="41701"/>
    <s v="План"/>
  </r>
  <r>
    <x v="62"/>
    <x v="3"/>
    <n v="18000"/>
    <s v="4143"/>
    <s v="План"/>
  </r>
  <r>
    <x v="62"/>
    <x v="4"/>
    <n v="18000"/>
    <s v="4143"/>
    <s v="План"/>
  </r>
  <r>
    <x v="62"/>
    <x v="5"/>
    <n v="18000"/>
    <s v="4143"/>
    <s v="План"/>
  </r>
  <r>
    <x v="62"/>
    <x v="6"/>
    <n v="18000"/>
    <s v="4143"/>
    <s v="План"/>
  </r>
  <r>
    <x v="62"/>
    <x v="7"/>
    <n v="48000"/>
    <s v="4143"/>
    <s v="План"/>
  </r>
  <r>
    <x v="63"/>
    <x v="3"/>
    <m/>
    <s v="4403"/>
    <s v="План"/>
  </r>
  <r>
    <x v="63"/>
    <x v="4"/>
    <m/>
    <s v="4403"/>
    <s v="План"/>
  </r>
  <r>
    <x v="63"/>
    <x v="5"/>
    <m/>
    <s v="4403"/>
    <s v="План"/>
  </r>
  <r>
    <x v="63"/>
    <x v="6"/>
    <m/>
    <s v="4403"/>
    <s v="План"/>
  </r>
  <r>
    <x v="63"/>
    <x v="7"/>
    <m/>
    <s v="4403"/>
    <s v="План"/>
  </r>
  <r>
    <x v="63"/>
    <x v="8"/>
    <m/>
    <s v="4403"/>
    <s v="План"/>
  </r>
  <r>
    <x v="63"/>
    <x v="9"/>
    <m/>
    <s v="4403"/>
    <s v="План"/>
  </r>
  <r>
    <x v="63"/>
    <x v="10"/>
    <m/>
    <s v="4403"/>
    <s v="План"/>
  </r>
  <r>
    <x v="63"/>
    <x v="1"/>
    <m/>
    <s v="4403"/>
    <s v="План"/>
  </r>
  <r>
    <x v="63"/>
    <x v="11"/>
    <m/>
    <s v="4403"/>
    <s v="План"/>
  </r>
  <r>
    <x v="63"/>
    <x v="2"/>
    <m/>
    <s v="4403"/>
    <s v="План"/>
  </r>
  <r>
    <x v="63"/>
    <x v="12"/>
    <n v="55000"/>
    <s v="4403"/>
    <s v="План"/>
  </r>
  <r>
    <x v="64"/>
    <x v="3"/>
    <n v="58333"/>
    <s v="44032"/>
    <s v="План"/>
  </r>
  <r>
    <x v="64"/>
    <x v="4"/>
    <n v="58333"/>
    <s v="44032"/>
    <s v="План"/>
  </r>
  <r>
    <x v="64"/>
    <x v="5"/>
    <n v="58333"/>
    <s v="44032"/>
    <s v="План"/>
  </r>
  <r>
    <x v="64"/>
    <x v="6"/>
    <n v="58333"/>
    <s v="44032"/>
    <s v="План"/>
  </r>
  <r>
    <x v="64"/>
    <x v="7"/>
    <n v="58333"/>
    <s v="44032"/>
    <s v="План"/>
  </r>
  <r>
    <x v="64"/>
    <x v="8"/>
    <n v="58333"/>
    <s v="44032"/>
    <s v="План"/>
  </r>
  <r>
    <x v="64"/>
    <x v="9"/>
    <n v="58333"/>
    <s v="44032"/>
    <s v="План"/>
  </r>
  <r>
    <x v="64"/>
    <x v="10"/>
    <n v="58333"/>
    <s v="44032"/>
    <s v="План"/>
  </r>
  <r>
    <x v="64"/>
    <x v="1"/>
    <n v="58333"/>
    <s v="44032"/>
    <s v="План"/>
  </r>
  <r>
    <x v="64"/>
    <x v="11"/>
    <n v="58333"/>
    <s v="44032"/>
    <s v="План"/>
  </r>
  <r>
    <x v="64"/>
    <x v="2"/>
    <n v="58333"/>
    <s v="44032"/>
    <s v="План"/>
  </r>
  <r>
    <x v="64"/>
    <x v="12"/>
    <n v="58333"/>
    <s v="44032"/>
    <s v="План"/>
  </r>
  <r>
    <x v="65"/>
    <x v="5"/>
    <m/>
    <s v="4496"/>
    <s v="План"/>
  </r>
  <r>
    <x v="65"/>
    <x v="8"/>
    <m/>
    <s v="4496"/>
    <s v="План"/>
  </r>
  <r>
    <x v="65"/>
    <x v="1"/>
    <n v="250000"/>
    <s v="4496"/>
    <s v="План"/>
  </r>
  <r>
    <x v="65"/>
    <x v="12"/>
    <m/>
    <s v="4496"/>
    <s v="План"/>
  </r>
  <r>
    <x v="66"/>
    <x v="3"/>
    <n v="553073"/>
    <s v="41931"/>
    <s v="План"/>
  </r>
  <r>
    <x v="66"/>
    <x v="4"/>
    <n v="553073"/>
    <s v="41931"/>
    <s v="План"/>
  </r>
  <r>
    <x v="66"/>
    <x v="5"/>
    <n v="553073"/>
    <s v="41931"/>
    <s v="План"/>
  </r>
  <r>
    <x v="66"/>
    <x v="6"/>
    <n v="553073"/>
    <s v="41931"/>
    <s v="План"/>
  </r>
  <r>
    <x v="66"/>
    <x v="7"/>
    <n v="553073"/>
    <s v="41931"/>
    <s v="План"/>
  </r>
  <r>
    <x v="66"/>
    <x v="8"/>
    <n v="553073"/>
    <s v="41931"/>
    <s v="План"/>
  </r>
  <r>
    <x v="66"/>
    <x v="9"/>
    <n v="553073"/>
    <s v="41931"/>
    <s v="План"/>
  </r>
  <r>
    <x v="66"/>
    <x v="10"/>
    <n v="553073"/>
    <s v="41931"/>
    <s v="План"/>
  </r>
  <r>
    <x v="66"/>
    <x v="1"/>
    <n v="553073"/>
    <s v="41931"/>
    <s v="План"/>
  </r>
  <r>
    <x v="66"/>
    <x v="11"/>
    <n v="553073"/>
    <s v="41931"/>
    <s v="План"/>
  </r>
  <r>
    <x v="66"/>
    <x v="2"/>
    <n v="553073"/>
    <s v="41931"/>
    <s v="План"/>
  </r>
  <r>
    <x v="66"/>
    <x v="12"/>
    <n v="553073"/>
    <s v="41931"/>
    <s v="План"/>
  </r>
  <r>
    <x v="67"/>
    <x v="3"/>
    <n v="74425"/>
    <s v="44907"/>
    <s v="План"/>
  </r>
  <r>
    <x v="67"/>
    <x v="4"/>
    <n v="74425"/>
    <s v="44907"/>
    <s v="План"/>
  </r>
  <r>
    <x v="67"/>
    <x v="5"/>
    <n v="74425"/>
    <s v="44907"/>
    <s v="План"/>
  </r>
  <r>
    <x v="67"/>
    <x v="6"/>
    <n v="74425"/>
    <s v="44907"/>
    <s v="План"/>
  </r>
  <r>
    <x v="67"/>
    <x v="7"/>
    <n v="74425"/>
    <s v="44907"/>
    <s v="План"/>
  </r>
  <r>
    <x v="67"/>
    <x v="8"/>
    <n v="74425"/>
    <s v="44907"/>
    <s v="План"/>
  </r>
  <r>
    <x v="67"/>
    <x v="9"/>
    <n v="74425"/>
    <s v="44907"/>
    <s v="План"/>
  </r>
  <r>
    <x v="67"/>
    <x v="10"/>
    <n v="74425"/>
    <s v="44907"/>
    <s v="План"/>
  </r>
  <r>
    <x v="67"/>
    <x v="1"/>
    <n v="74425"/>
    <s v="44907"/>
    <s v="План"/>
  </r>
  <r>
    <x v="67"/>
    <x v="11"/>
    <n v="74425"/>
    <s v="44907"/>
    <s v="План"/>
  </r>
  <r>
    <x v="67"/>
    <x v="2"/>
    <n v="74425"/>
    <s v="44907"/>
    <s v="План"/>
  </r>
  <r>
    <x v="67"/>
    <x v="12"/>
    <n v="74425"/>
    <s v="44907"/>
    <s v="План"/>
  </r>
  <r>
    <x v="68"/>
    <x v="3"/>
    <n v="11462"/>
    <s v="44973"/>
    <s v="План"/>
  </r>
  <r>
    <x v="68"/>
    <x v="4"/>
    <n v="11462"/>
    <s v="44973"/>
    <s v="План"/>
  </r>
  <r>
    <x v="68"/>
    <x v="5"/>
    <n v="11462"/>
    <s v="44973"/>
    <s v="План"/>
  </r>
  <r>
    <x v="68"/>
    <x v="6"/>
    <n v="11462"/>
    <s v="44973"/>
    <s v="План"/>
  </r>
  <r>
    <x v="68"/>
    <x v="7"/>
    <n v="11462"/>
    <s v="44973"/>
    <s v="План"/>
  </r>
  <r>
    <x v="68"/>
    <x v="8"/>
    <n v="11462"/>
    <s v="44973"/>
    <s v="План"/>
  </r>
  <r>
    <x v="68"/>
    <x v="9"/>
    <n v="11462"/>
    <s v="44973"/>
    <s v="План"/>
  </r>
  <r>
    <x v="68"/>
    <x v="10"/>
    <n v="11462"/>
    <s v="44973"/>
    <s v="План"/>
  </r>
  <r>
    <x v="68"/>
    <x v="1"/>
    <n v="11462"/>
    <s v="44973"/>
    <s v="План"/>
  </r>
  <r>
    <x v="68"/>
    <x v="11"/>
    <n v="11462"/>
    <s v="44973"/>
    <s v="План"/>
  </r>
  <r>
    <x v="68"/>
    <x v="2"/>
    <n v="11462"/>
    <s v="44973"/>
    <s v="План"/>
  </r>
  <r>
    <x v="68"/>
    <x v="12"/>
    <n v="11462"/>
    <s v="44973"/>
    <s v="План"/>
  </r>
  <r>
    <x v="69"/>
    <x v="3"/>
    <m/>
    <s v="4459"/>
    <s v="План"/>
  </r>
  <r>
    <x v="69"/>
    <x v="4"/>
    <m/>
    <s v="4459"/>
    <s v="План"/>
  </r>
  <r>
    <x v="69"/>
    <x v="5"/>
    <m/>
    <s v="4459"/>
    <s v="План"/>
  </r>
  <r>
    <x v="69"/>
    <x v="6"/>
    <m/>
    <s v="4459"/>
    <s v="План"/>
  </r>
  <r>
    <x v="69"/>
    <x v="7"/>
    <n v="18000"/>
    <s v="4459"/>
    <s v="План"/>
  </r>
  <r>
    <x v="69"/>
    <x v="8"/>
    <m/>
    <s v="4459"/>
    <s v="План"/>
  </r>
  <r>
    <x v="69"/>
    <x v="9"/>
    <m/>
    <s v="4459"/>
    <s v="План"/>
  </r>
  <r>
    <x v="69"/>
    <x v="10"/>
    <m/>
    <s v="4459"/>
    <s v="План"/>
  </r>
  <r>
    <x v="69"/>
    <x v="1"/>
    <m/>
    <s v="4459"/>
    <s v="План"/>
  </r>
  <r>
    <x v="69"/>
    <x v="11"/>
    <m/>
    <s v="4459"/>
    <s v="План"/>
  </r>
  <r>
    <x v="69"/>
    <x v="2"/>
    <m/>
    <s v="4459"/>
    <s v="План"/>
  </r>
  <r>
    <x v="69"/>
    <x v="12"/>
    <m/>
    <s v="4459"/>
    <s v="План"/>
  </r>
  <r>
    <x v="70"/>
    <x v="3"/>
    <n v="2083"/>
    <s v="4499"/>
    <s v="План"/>
  </r>
  <r>
    <x v="70"/>
    <x v="4"/>
    <n v="2083"/>
    <s v="4499"/>
    <s v="План"/>
  </r>
  <r>
    <x v="70"/>
    <x v="5"/>
    <n v="2083"/>
    <s v="4499"/>
    <s v="План"/>
  </r>
  <r>
    <x v="70"/>
    <x v="6"/>
    <n v="2083"/>
    <s v="4499"/>
    <s v="План"/>
  </r>
  <r>
    <x v="70"/>
    <x v="7"/>
    <n v="2083"/>
    <s v="4499"/>
    <s v="План"/>
  </r>
  <r>
    <x v="70"/>
    <x v="8"/>
    <n v="2083"/>
    <s v="4499"/>
    <s v="План"/>
  </r>
  <r>
    <x v="70"/>
    <x v="9"/>
    <n v="2083"/>
    <s v="4499"/>
    <s v="План"/>
  </r>
  <r>
    <x v="70"/>
    <x v="10"/>
    <n v="2083"/>
    <s v="4499"/>
    <s v="План"/>
  </r>
  <r>
    <x v="70"/>
    <x v="1"/>
    <n v="2083"/>
    <s v="4499"/>
    <s v="План"/>
  </r>
  <r>
    <x v="70"/>
    <x v="11"/>
    <n v="2083"/>
    <s v="4499"/>
    <s v="План"/>
  </r>
  <r>
    <x v="70"/>
    <x v="2"/>
    <n v="2083"/>
    <s v="4499"/>
    <s v="План"/>
  </r>
  <r>
    <x v="70"/>
    <x v="12"/>
    <n v="2083"/>
    <s v="4499"/>
    <s v="План"/>
  </r>
  <r>
    <x v="71"/>
    <x v="3"/>
    <n v="25000"/>
    <s v="44990"/>
    <s v="План"/>
  </r>
  <r>
    <x v="71"/>
    <x v="4"/>
    <n v="25000"/>
    <s v="44990"/>
    <s v="План"/>
  </r>
  <r>
    <x v="71"/>
    <x v="5"/>
    <n v="25000"/>
    <s v="44990"/>
    <s v="План"/>
  </r>
  <r>
    <x v="71"/>
    <x v="6"/>
    <n v="25000"/>
    <s v="44990"/>
    <s v="План"/>
  </r>
  <r>
    <x v="71"/>
    <x v="7"/>
    <n v="25000"/>
    <s v="44990"/>
    <s v="План"/>
  </r>
  <r>
    <x v="71"/>
    <x v="8"/>
    <n v="25000"/>
    <s v="44990"/>
    <s v="План"/>
  </r>
  <r>
    <x v="71"/>
    <x v="9"/>
    <n v="25000"/>
    <s v="44990"/>
    <s v="План"/>
  </r>
  <r>
    <x v="71"/>
    <x v="10"/>
    <n v="25000"/>
    <s v="44990"/>
    <s v="План"/>
  </r>
  <r>
    <x v="71"/>
    <x v="1"/>
    <n v="25000"/>
    <s v="44990"/>
    <s v="План"/>
  </r>
  <r>
    <x v="71"/>
    <x v="11"/>
    <n v="25000"/>
    <s v="44990"/>
    <s v="План"/>
  </r>
  <r>
    <x v="71"/>
    <x v="2"/>
    <n v="25000"/>
    <s v="44990"/>
    <s v="План"/>
  </r>
  <r>
    <x v="71"/>
    <x v="12"/>
    <n v="25000"/>
    <s v="44990"/>
    <s v="План"/>
  </r>
  <r>
    <x v="72"/>
    <x v="3"/>
    <n v="21188"/>
    <s v="4460"/>
    <s v="План"/>
  </r>
  <r>
    <x v="72"/>
    <x v="4"/>
    <n v="21188"/>
    <s v="4460"/>
    <s v="План"/>
  </r>
  <r>
    <x v="72"/>
    <x v="5"/>
    <n v="21188"/>
    <s v="4460"/>
    <s v="План"/>
  </r>
  <r>
    <x v="72"/>
    <x v="6"/>
    <n v="21188"/>
    <s v="4460"/>
    <s v="План"/>
  </r>
  <r>
    <x v="72"/>
    <x v="7"/>
    <n v="21188"/>
    <s v="4460"/>
    <s v="План"/>
  </r>
  <r>
    <x v="72"/>
    <x v="8"/>
    <n v="21188"/>
    <s v="4460"/>
    <s v="План"/>
  </r>
  <r>
    <x v="72"/>
    <x v="9"/>
    <n v="21188"/>
    <s v="4460"/>
    <s v="План"/>
  </r>
  <r>
    <x v="72"/>
    <x v="10"/>
    <n v="21188"/>
    <s v="4460"/>
    <s v="План"/>
  </r>
  <r>
    <x v="72"/>
    <x v="1"/>
    <n v="21188"/>
    <s v="4460"/>
    <s v="План"/>
  </r>
  <r>
    <x v="72"/>
    <x v="11"/>
    <n v="21188"/>
    <s v="4460"/>
    <s v="План"/>
  </r>
  <r>
    <x v="72"/>
    <x v="2"/>
    <n v="21188"/>
    <s v="4460"/>
    <s v="План"/>
  </r>
  <r>
    <x v="72"/>
    <x v="12"/>
    <n v="21188"/>
    <s v="4460"/>
    <s v="План"/>
  </r>
  <r>
    <x v="73"/>
    <x v="3"/>
    <n v="1528"/>
    <s v="43155"/>
    <s v="План"/>
  </r>
  <r>
    <x v="73"/>
    <x v="4"/>
    <n v="1528"/>
    <s v="43155"/>
    <s v="План"/>
  </r>
  <r>
    <x v="73"/>
    <x v="5"/>
    <n v="1528"/>
    <s v="43155"/>
    <s v="План"/>
  </r>
  <r>
    <x v="73"/>
    <x v="6"/>
    <n v="1528"/>
    <s v="43155"/>
    <s v="План"/>
  </r>
  <r>
    <x v="73"/>
    <x v="7"/>
    <n v="1528"/>
    <s v="43155"/>
    <s v="План"/>
  </r>
  <r>
    <x v="73"/>
    <x v="8"/>
    <n v="1528"/>
    <s v="43155"/>
    <s v="План"/>
  </r>
  <r>
    <x v="73"/>
    <x v="9"/>
    <n v="1528"/>
    <s v="43155"/>
    <s v="План"/>
  </r>
  <r>
    <x v="73"/>
    <x v="10"/>
    <n v="1528"/>
    <s v="43155"/>
    <s v="План"/>
  </r>
  <r>
    <x v="73"/>
    <x v="1"/>
    <n v="1528"/>
    <s v="43155"/>
    <s v="План"/>
  </r>
  <r>
    <x v="73"/>
    <x v="11"/>
    <n v="1528"/>
    <s v="43155"/>
    <s v="План"/>
  </r>
  <r>
    <x v="73"/>
    <x v="2"/>
    <n v="1528"/>
    <s v="43155"/>
    <s v="План"/>
  </r>
  <r>
    <x v="73"/>
    <x v="12"/>
    <n v="1528"/>
    <s v="43155"/>
    <s v="План"/>
  </r>
  <r>
    <x v="74"/>
    <x v="3"/>
    <n v="173856"/>
    <s v="43132"/>
    <s v="План"/>
  </r>
  <r>
    <x v="74"/>
    <x v="4"/>
    <n v="173856"/>
    <s v="43132"/>
    <s v="План"/>
  </r>
  <r>
    <x v="74"/>
    <x v="5"/>
    <n v="173856"/>
    <s v="43132"/>
    <s v="План"/>
  </r>
  <r>
    <x v="74"/>
    <x v="6"/>
    <n v="173856"/>
    <s v="43132"/>
    <s v="План"/>
  </r>
  <r>
    <x v="74"/>
    <x v="7"/>
    <n v="173856"/>
    <s v="43132"/>
    <s v="План"/>
  </r>
  <r>
    <x v="74"/>
    <x v="8"/>
    <n v="173856"/>
    <s v="43132"/>
    <s v="План"/>
  </r>
  <r>
    <x v="74"/>
    <x v="9"/>
    <n v="173856"/>
    <s v="43132"/>
    <s v="План"/>
  </r>
  <r>
    <x v="74"/>
    <x v="10"/>
    <n v="173856"/>
    <s v="43132"/>
    <s v="План"/>
  </r>
  <r>
    <x v="74"/>
    <x v="1"/>
    <n v="173856"/>
    <s v="43132"/>
    <s v="План"/>
  </r>
  <r>
    <x v="74"/>
    <x v="11"/>
    <n v="173856"/>
    <s v="43132"/>
    <s v="План"/>
  </r>
  <r>
    <x v="74"/>
    <x v="2"/>
    <n v="173856"/>
    <s v="43132"/>
    <s v="План"/>
  </r>
  <r>
    <x v="74"/>
    <x v="12"/>
    <n v="173856"/>
    <s v="43132"/>
    <s v="План"/>
  </r>
  <r>
    <x v="75"/>
    <x v="3"/>
    <n v="144062"/>
    <s v="43133"/>
    <s v="План"/>
  </r>
  <r>
    <x v="75"/>
    <x v="4"/>
    <n v="144062"/>
    <s v="43133"/>
    <s v="План"/>
  </r>
  <r>
    <x v="75"/>
    <x v="5"/>
    <n v="144062"/>
    <s v="43133"/>
    <s v="План"/>
  </r>
  <r>
    <x v="75"/>
    <x v="6"/>
    <n v="144062"/>
    <s v="43133"/>
    <s v="План"/>
  </r>
  <r>
    <x v="75"/>
    <x v="7"/>
    <n v="144062"/>
    <s v="43133"/>
    <s v="План"/>
  </r>
  <r>
    <x v="75"/>
    <x v="8"/>
    <n v="144062"/>
    <s v="43133"/>
    <s v="План"/>
  </r>
  <r>
    <x v="75"/>
    <x v="9"/>
    <n v="144062"/>
    <s v="43133"/>
    <s v="План"/>
  </r>
  <r>
    <x v="75"/>
    <x v="10"/>
    <n v="144062"/>
    <s v="43133"/>
    <s v="План"/>
  </r>
  <r>
    <x v="75"/>
    <x v="1"/>
    <n v="144062"/>
    <s v="43133"/>
    <s v="План"/>
  </r>
  <r>
    <x v="75"/>
    <x v="11"/>
    <n v="144062"/>
    <s v="43133"/>
    <s v="План"/>
  </r>
  <r>
    <x v="75"/>
    <x v="2"/>
    <n v="144062"/>
    <s v="43133"/>
    <s v="План"/>
  </r>
  <r>
    <x v="75"/>
    <x v="12"/>
    <n v="144062"/>
    <s v="43133"/>
    <s v="План"/>
  </r>
  <r>
    <x v="76"/>
    <x v="3"/>
    <n v="30403"/>
    <s v="43031"/>
    <s v="План"/>
  </r>
  <r>
    <x v="76"/>
    <x v="4"/>
    <n v="30403"/>
    <s v="43031"/>
    <s v="План"/>
  </r>
  <r>
    <x v="76"/>
    <x v="5"/>
    <n v="30403"/>
    <s v="43031"/>
    <s v="План"/>
  </r>
  <r>
    <x v="76"/>
    <x v="6"/>
    <n v="30403"/>
    <s v="43031"/>
    <s v="План"/>
  </r>
  <r>
    <x v="76"/>
    <x v="7"/>
    <n v="30403"/>
    <s v="43031"/>
    <s v="План"/>
  </r>
  <r>
    <x v="76"/>
    <x v="8"/>
    <n v="30403"/>
    <s v="43031"/>
    <s v="План"/>
  </r>
  <r>
    <x v="76"/>
    <x v="9"/>
    <n v="30403"/>
    <s v="43031"/>
    <s v="План"/>
  </r>
  <r>
    <x v="76"/>
    <x v="10"/>
    <n v="30403"/>
    <s v="43031"/>
    <s v="План"/>
  </r>
  <r>
    <x v="76"/>
    <x v="1"/>
    <n v="30403"/>
    <s v="43031"/>
    <s v="План"/>
  </r>
  <r>
    <x v="76"/>
    <x v="11"/>
    <n v="30403"/>
    <s v="43031"/>
    <s v="План"/>
  </r>
  <r>
    <x v="76"/>
    <x v="2"/>
    <n v="30403"/>
    <s v="43031"/>
    <s v="План"/>
  </r>
  <r>
    <x v="76"/>
    <x v="12"/>
    <n v="30403"/>
    <s v="43031"/>
    <s v="План"/>
  </r>
  <r>
    <x v="77"/>
    <x v="3"/>
    <n v="1316658"/>
    <s v="43030"/>
    <s v="План"/>
  </r>
  <r>
    <x v="77"/>
    <x v="4"/>
    <n v="1316658"/>
    <s v="43030"/>
    <s v="План"/>
  </r>
  <r>
    <x v="77"/>
    <x v="5"/>
    <n v="1316658"/>
    <s v="43030"/>
    <s v="План"/>
  </r>
  <r>
    <x v="77"/>
    <x v="6"/>
    <n v="1316658"/>
    <s v="43030"/>
    <s v="План"/>
  </r>
  <r>
    <x v="77"/>
    <x v="7"/>
    <n v="1316658"/>
    <s v="43030"/>
    <s v="План"/>
  </r>
  <r>
    <x v="77"/>
    <x v="8"/>
    <n v="1316658"/>
    <s v="43030"/>
    <s v="План"/>
  </r>
  <r>
    <x v="77"/>
    <x v="9"/>
    <n v="1316658"/>
    <s v="43030"/>
    <s v="План"/>
  </r>
  <r>
    <x v="77"/>
    <x v="10"/>
    <n v="1316658"/>
    <s v="43030"/>
    <s v="План"/>
  </r>
  <r>
    <x v="77"/>
    <x v="1"/>
    <n v="1316658"/>
    <s v="43030"/>
    <s v="План"/>
  </r>
  <r>
    <x v="77"/>
    <x v="11"/>
    <n v="1316658"/>
    <s v="43030"/>
    <s v="План"/>
  </r>
  <r>
    <x v="77"/>
    <x v="2"/>
    <n v="1316658"/>
    <s v="43030"/>
    <s v="План"/>
  </r>
  <r>
    <x v="77"/>
    <x v="12"/>
    <n v="1316658"/>
    <s v="43030"/>
    <s v="План"/>
  </r>
  <r>
    <x v="78"/>
    <x v="3"/>
    <n v="17160"/>
    <s v="43139"/>
    <s v="План"/>
  </r>
  <r>
    <x v="78"/>
    <x v="4"/>
    <n v="17160"/>
    <s v="43139"/>
    <s v="План"/>
  </r>
  <r>
    <x v="78"/>
    <x v="5"/>
    <n v="17160"/>
    <s v="43139"/>
    <s v="План"/>
  </r>
  <r>
    <x v="78"/>
    <x v="6"/>
    <n v="17160"/>
    <s v="43139"/>
    <s v="План"/>
  </r>
  <r>
    <x v="78"/>
    <x v="7"/>
    <n v="17160"/>
    <s v="43139"/>
    <s v="План"/>
  </r>
  <r>
    <x v="78"/>
    <x v="8"/>
    <n v="17160"/>
    <s v="43139"/>
    <s v="План"/>
  </r>
  <r>
    <x v="78"/>
    <x v="9"/>
    <n v="17160"/>
    <s v="43139"/>
    <s v="План"/>
  </r>
  <r>
    <x v="78"/>
    <x v="10"/>
    <n v="17160"/>
    <s v="43139"/>
    <s v="План"/>
  </r>
  <r>
    <x v="78"/>
    <x v="1"/>
    <n v="17160"/>
    <s v="43139"/>
    <s v="План"/>
  </r>
  <r>
    <x v="78"/>
    <x v="11"/>
    <n v="17160"/>
    <s v="43139"/>
    <s v="План"/>
  </r>
  <r>
    <x v="78"/>
    <x v="2"/>
    <n v="17160"/>
    <s v="43139"/>
    <s v="План"/>
  </r>
  <r>
    <x v="78"/>
    <x v="12"/>
    <n v="17160"/>
    <s v="43139"/>
    <s v="План"/>
  </r>
  <r>
    <x v="79"/>
    <x v="3"/>
    <n v="1767854"/>
    <s v="43134"/>
    <s v="План"/>
  </r>
  <r>
    <x v="79"/>
    <x v="4"/>
    <n v="1767854"/>
    <s v="43134"/>
    <s v="План"/>
  </r>
  <r>
    <x v="79"/>
    <x v="5"/>
    <n v="1767854"/>
    <s v="43134"/>
    <s v="План"/>
  </r>
  <r>
    <x v="79"/>
    <x v="6"/>
    <n v="1700252"/>
    <s v="43134"/>
    <s v="План"/>
  </r>
  <r>
    <x v="79"/>
    <x v="7"/>
    <n v="1700252"/>
    <s v="43134"/>
    <s v="План"/>
  </r>
  <r>
    <x v="79"/>
    <x v="8"/>
    <n v="1700252"/>
    <s v="43134"/>
    <s v="План"/>
  </r>
  <r>
    <x v="79"/>
    <x v="9"/>
    <n v="1700252"/>
    <s v="43134"/>
    <s v="План"/>
  </r>
  <r>
    <x v="79"/>
    <x v="10"/>
    <n v="1700252"/>
    <s v="43134"/>
    <s v="План"/>
  </r>
  <r>
    <x v="79"/>
    <x v="1"/>
    <n v="1700252"/>
    <s v="43134"/>
    <s v="План"/>
  </r>
  <r>
    <x v="79"/>
    <x v="11"/>
    <n v="1700252"/>
    <s v="43134"/>
    <s v="План"/>
  </r>
  <r>
    <x v="79"/>
    <x v="2"/>
    <n v="1700252"/>
    <s v="43134"/>
    <s v="План"/>
  </r>
  <r>
    <x v="79"/>
    <x v="12"/>
    <n v="1700252"/>
    <s v="43134"/>
    <s v="План"/>
  </r>
  <r>
    <x v="80"/>
    <x v="3"/>
    <n v="0"/>
    <s v="4113"/>
    <s v="План"/>
  </r>
  <r>
    <x v="80"/>
    <x v="4"/>
    <n v="0"/>
    <s v="4113"/>
    <s v="План"/>
  </r>
  <r>
    <x v="80"/>
    <x v="5"/>
    <n v="0"/>
    <s v="4113"/>
    <s v="План"/>
  </r>
  <r>
    <x v="80"/>
    <x v="6"/>
    <n v="0"/>
    <s v="4113"/>
    <s v="План"/>
  </r>
  <r>
    <x v="80"/>
    <x v="7"/>
    <n v="0"/>
    <s v="4113"/>
    <s v="План"/>
  </r>
  <r>
    <x v="80"/>
    <x v="8"/>
    <n v="0"/>
    <s v="4113"/>
    <s v="План"/>
  </r>
  <r>
    <x v="80"/>
    <x v="9"/>
    <n v="0"/>
    <s v="4113"/>
    <s v="План"/>
  </r>
  <r>
    <x v="80"/>
    <x v="10"/>
    <n v="0"/>
    <s v="4113"/>
    <s v="План"/>
  </r>
  <r>
    <x v="80"/>
    <x v="1"/>
    <n v="0"/>
    <s v="4113"/>
    <s v="План"/>
  </r>
  <r>
    <x v="80"/>
    <x v="11"/>
    <n v="0"/>
    <s v="4113"/>
    <s v="План"/>
  </r>
  <r>
    <x v="80"/>
    <x v="2"/>
    <n v="0"/>
    <s v="4113"/>
    <s v="План"/>
  </r>
  <r>
    <x v="80"/>
    <x v="12"/>
    <n v="0"/>
    <s v="4113"/>
    <s v="План"/>
  </r>
  <r>
    <x v="81"/>
    <x v="3"/>
    <n v="205394"/>
    <s v="43136"/>
    <s v="План"/>
  </r>
  <r>
    <x v="81"/>
    <x v="4"/>
    <n v="205394"/>
    <s v="43136"/>
    <s v="План"/>
  </r>
  <r>
    <x v="81"/>
    <x v="5"/>
    <n v="205394"/>
    <s v="43136"/>
    <s v="План"/>
  </r>
  <r>
    <x v="81"/>
    <x v="6"/>
    <n v="205394"/>
    <s v="43136"/>
    <s v="План"/>
  </r>
  <r>
    <x v="81"/>
    <x v="7"/>
    <n v="205394"/>
    <s v="43136"/>
    <s v="План"/>
  </r>
  <r>
    <x v="81"/>
    <x v="8"/>
    <n v="205394"/>
    <s v="43136"/>
    <s v="План"/>
  </r>
  <r>
    <x v="81"/>
    <x v="9"/>
    <n v="205394"/>
    <s v="43136"/>
    <s v="План"/>
  </r>
  <r>
    <x v="81"/>
    <x v="10"/>
    <n v="205394"/>
    <s v="43136"/>
    <s v="План"/>
  </r>
  <r>
    <x v="81"/>
    <x v="1"/>
    <n v="205394"/>
    <s v="43136"/>
    <s v="План"/>
  </r>
  <r>
    <x v="81"/>
    <x v="11"/>
    <n v="205394"/>
    <s v="43136"/>
    <s v="План"/>
  </r>
  <r>
    <x v="81"/>
    <x v="2"/>
    <n v="205394"/>
    <s v="43136"/>
    <s v="План"/>
  </r>
  <r>
    <x v="81"/>
    <x v="12"/>
    <n v="205394"/>
    <s v="43136"/>
    <s v="План"/>
  </r>
  <r>
    <x v="82"/>
    <x v="3"/>
    <n v="28320"/>
    <s v="4476"/>
    <s v="План"/>
  </r>
  <r>
    <x v="82"/>
    <x v="4"/>
    <m/>
    <s v="4476"/>
    <s v="План"/>
  </r>
  <r>
    <x v="82"/>
    <x v="5"/>
    <m/>
    <s v="4476"/>
    <s v="План"/>
  </r>
  <r>
    <x v="62"/>
    <x v="8"/>
    <n v="18000"/>
    <s v="4143"/>
    <s v="План"/>
  </r>
  <r>
    <x v="62"/>
    <x v="9"/>
    <n v="18000"/>
    <s v="4143"/>
    <s v="План"/>
  </r>
  <r>
    <x v="62"/>
    <x v="10"/>
    <n v="18000"/>
    <s v="4143"/>
    <s v="План"/>
  </r>
  <r>
    <x v="62"/>
    <x v="1"/>
    <n v="18000"/>
    <s v="4143"/>
    <s v="План"/>
  </r>
  <r>
    <x v="62"/>
    <x v="11"/>
    <n v="18000"/>
    <s v="4143"/>
    <s v="План"/>
  </r>
  <r>
    <x v="62"/>
    <x v="2"/>
    <n v="18000"/>
    <s v="4143"/>
    <s v="План"/>
  </r>
  <r>
    <x v="62"/>
    <x v="12"/>
    <n v="18000"/>
    <s v="4143"/>
    <s v="План"/>
  </r>
  <r>
    <x v="19"/>
    <x v="6"/>
    <m/>
    <s v="4170"/>
    <s v="План"/>
  </r>
  <r>
    <x v="19"/>
    <x v="7"/>
    <n v="88500"/>
    <s v="4170"/>
    <s v="План"/>
  </r>
  <r>
    <x v="19"/>
    <x v="8"/>
    <m/>
    <s v="4170"/>
    <s v="План"/>
  </r>
  <r>
    <x v="19"/>
    <x v="9"/>
    <m/>
    <s v="4170"/>
    <s v="План"/>
  </r>
  <r>
    <x v="19"/>
    <x v="10"/>
    <m/>
    <s v="4170"/>
    <s v="План"/>
  </r>
  <r>
    <x v="19"/>
    <x v="1"/>
    <m/>
    <s v="4170"/>
    <s v="План"/>
  </r>
  <r>
    <x v="19"/>
    <x v="11"/>
    <m/>
    <s v="4170"/>
    <s v="План"/>
  </r>
  <r>
    <x v="19"/>
    <x v="2"/>
    <m/>
    <s v="4170"/>
    <s v="План"/>
  </r>
  <r>
    <x v="19"/>
    <x v="12"/>
    <n v="0"/>
    <s v="4170"/>
    <s v="План"/>
  </r>
  <r>
    <x v="82"/>
    <x v="6"/>
    <m/>
    <s v="4476"/>
    <s v="План"/>
  </r>
  <r>
    <x v="82"/>
    <x v="7"/>
    <n v="118000"/>
    <s v="4476"/>
    <s v="План"/>
  </r>
  <r>
    <x v="82"/>
    <x v="8"/>
    <m/>
    <s v="4476"/>
    <s v="План"/>
  </r>
  <r>
    <x v="82"/>
    <x v="9"/>
    <m/>
    <s v="4476"/>
    <s v="План"/>
  </r>
  <r>
    <x v="82"/>
    <x v="10"/>
    <m/>
    <s v="4476"/>
    <s v="План"/>
  </r>
  <r>
    <x v="82"/>
    <x v="1"/>
    <m/>
    <s v="4476"/>
    <s v="План"/>
  </r>
  <r>
    <x v="82"/>
    <x v="11"/>
    <m/>
    <s v="4476"/>
    <s v="План"/>
  </r>
  <r>
    <x v="82"/>
    <x v="2"/>
    <n v="1026600"/>
    <s v="4476"/>
    <s v="План"/>
  </r>
  <r>
    <x v="82"/>
    <x v="12"/>
    <m/>
    <s v="4476"/>
    <s v="План"/>
  </r>
  <r>
    <x v="83"/>
    <x v="3"/>
    <n v="5000"/>
    <s v="44980"/>
    <s v="План"/>
  </r>
  <r>
    <x v="83"/>
    <x v="4"/>
    <n v="5000"/>
    <s v="44980"/>
    <s v="План"/>
  </r>
  <r>
    <x v="83"/>
    <x v="5"/>
    <n v="5000"/>
    <s v="44980"/>
    <s v="План"/>
  </r>
  <r>
    <x v="83"/>
    <x v="6"/>
    <n v="5000"/>
    <s v="44980"/>
    <s v="План"/>
  </r>
  <r>
    <x v="83"/>
    <x v="7"/>
    <n v="5000"/>
    <s v="44980"/>
    <s v="План"/>
  </r>
  <r>
    <x v="83"/>
    <x v="8"/>
    <n v="5000"/>
    <s v="44980"/>
    <s v="План"/>
  </r>
  <r>
    <x v="83"/>
    <x v="9"/>
    <n v="5000"/>
    <s v="44980"/>
    <s v="План"/>
  </r>
  <r>
    <x v="83"/>
    <x v="10"/>
    <n v="5000"/>
    <s v="44980"/>
    <s v="План"/>
  </r>
  <r>
    <x v="83"/>
    <x v="1"/>
    <n v="5000"/>
    <s v="44980"/>
    <s v="План"/>
  </r>
  <r>
    <x v="83"/>
    <x v="11"/>
    <n v="5000"/>
    <s v="44980"/>
    <s v="План"/>
  </r>
  <r>
    <x v="83"/>
    <x v="2"/>
    <n v="5000"/>
    <s v="44980"/>
    <s v="План"/>
  </r>
  <r>
    <x v="83"/>
    <x v="12"/>
    <n v="5000"/>
    <s v="44980"/>
    <s v="План"/>
  </r>
  <r>
    <x v="84"/>
    <x v="5"/>
    <n v="100000"/>
    <s v="4106"/>
    <s v="План"/>
  </r>
  <r>
    <x v="58"/>
    <x v="3"/>
    <m/>
    <s v="4081"/>
    <s v="План"/>
  </r>
  <r>
    <x v="58"/>
    <x v="4"/>
    <m/>
    <s v="4081"/>
    <s v="План"/>
  </r>
  <r>
    <x v="58"/>
    <x v="5"/>
    <m/>
    <s v="4081"/>
    <s v="План"/>
  </r>
  <r>
    <x v="58"/>
    <x v="6"/>
    <m/>
    <s v="4081"/>
    <s v="План"/>
  </r>
  <r>
    <x v="58"/>
    <x v="7"/>
    <n v="45000"/>
    <s v="4081"/>
    <s v="План"/>
  </r>
  <r>
    <x v="58"/>
    <x v="8"/>
    <m/>
    <s v="4081"/>
    <s v="План"/>
  </r>
  <r>
    <x v="58"/>
    <x v="9"/>
    <m/>
    <s v="4081"/>
    <s v="План"/>
  </r>
  <r>
    <x v="58"/>
    <x v="10"/>
    <m/>
    <s v="4081"/>
    <s v="План"/>
  </r>
  <r>
    <x v="58"/>
    <x v="1"/>
    <m/>
    <s v="4081"/>
    <s v="План"/>
  </r>
  <r>
    <x v="58"/>
    <x v="11"/>
    <m/>
    <s v="4081"/>
    <s v="План"/>
  </r>
  <r>
    <x v="58"/>
    <x v="2"/>
    <m/>
    <s v="4081"/>
    <s v="План"/>
  </r>
  <r>
    <x v="58"/>
    <x v="12"/>
    <n v="45000"/>
    <s v="4081"/>
    <s v="План"/>
  </r>
  <r>
    <x v="85"/>
    <x v="3"/>
    <m/>
    <s v="40107"/>
    <s v="План"/>
  </r>
  <r>
    <x v="85"/>
    <x v="4"/>
    <m/>
    <s v="40107"/>
    <s v="План"/>
  </r>
  <r>
    <x v="85"/>
    <x v="5"/>
    <n v="782500"/>
    <s v="40107"/>
    <s v="План"/>
  </r>
  <r>
    <x v="85"/>
    <x v="6"/>
    <m/>
    <s v="40107"/>
    <s v="План"/>
  </r>
  <r>
    <x v="85"/>
    <x v="7"/>
    <m/>
    <s v="40107"/>
    <s v="План"/>
  </r>
  <r>
    <x v="85"/>
    <x v="8"/>
    <m/>
    <s v="40107"/>
    <s v="План"/>
  </r>
  <r>
    <x v="85"/>
    <x v="9"/>
    <m/>
    <s v="40107"/>
    <s v="План"/>
  </r>
  <r>
    <x v="85"/>
    <x v="10"/>
    <m/>
    <s v="40107"/>
    <s v="План"/>
  </r>
  <r>
    <x v="85"/>
    <x v="1"/>
    <m/>
    <s v="40107"/>
    <s v="План"/>
  </r>
  <r>
    <x v="85"/>
    <x v="11"/>
    <m/>
    <s v="40107"/>
    <s v="План"/>
  </r>
  <r>
    <x v="85"/>
    <x v="2"/>
    <m/>
    <s v="40107"/>
    <s v="План"/>
  </r>
  <r>
    <x v="85"/>
    <x v="12"/>
    <m/>
    <s v="40107"/>
    <s v="План"/>
  </r>
  <r>
    <x v="86"/>
    <x v="3"/>
    <n v="84971"/>
    <s v="431001"/>
    <s v="План"/>
  </r>
  <r>
    <x v="86"/>
    <x v="4"/>
    <n v="84971"/>
    <s v="431001"/>
    <s v="План"/>
  </r>
  <r>
    <x v="86"/>
    <x v="5"/>
    <n v="84971"/>
    <s v="431001"/>
    <s v="План"/>
  </r>
  <r>
    <x v="86"/>
    <x v="6"/>
    <n v="84971"/>
    <s v="431001"/>
    <s v="План"/>
  </r>
  <r>
    <x v="86"/>
    <x v="7"/>
    <n v="84971"/>
    <s v="431001"/>
    <s v="План"/>
  </r>
  <r>
    <x v="86"/>
    <x v="8"/>
    <n v="84971"/>
    <s v="431001"/>
    <s v="План"/>
  </r>
  <r>
    <x v="86"/>
    <x v="9"/>
    <n v="84971"/>
    <s v="431001"/>
    <s v="План"/>
  </r>
  <r>
    <x v="86"/>
    <x v="10"/>
    <n v="84971"/>
    <s v="431001"/>
    <s v="План"/>
  </r>
  <r>
    <x v="86"/>
    <x v="1"/>
    <n v="84971"/>
    <s v="431001"/>
    <s v="План"/>
  </r>
  <r>
    <x v="86"/>
    <x v="11"/>
    <n v="84971"/>
    <s v="431001"/>
    <s v="План"/>
  </r>
  <r>
    <x v="86"/>
    <x v="2"/>
    <n v="84971"/>
    <s v="431001"/>
    <s v="План"/>
  </r>
  <r>
    <x v="86"/>
    <x v="12"/>
    <n v="84971"/>
    <s v="431001"/>
    <s v="План"/>
  </r>
  <r>
    <x v="87"/>
    <x v="3"/>
    <n v="392981"/>
    <s v="431002"/>
    <s v="План"/>
  </r>
  <r>
    <x v="87"/>
    <x v="4"/>
    <n v="392981"/>
    <s v="431002"/>
    <s v="План"/>
  </r>
  <r>
    <x v="87"/>
    <x v="5"/>
    <n v="392981"/>
    <s v="431002"/>
    <s v="План"/>
  </r>
  <r>
    <x v="87"/>
    <x v="6"/>
    <n v="392981"/>
    <s v="431002"/>
    <s v="План"/>
  </r>
  <r>
    <x v="87"/>
    <x v="7"/>
    <n v="392981"/>
    <s v="431002"/>
    <s v="План"/>
  </r>
  <r>
    <x v="87"/>
    <x v="8"/>
    <n v="392981"/>
    <s v="431002"/>
    <s v="План"/>
  </r>
  <r>
    <x v="87"/>
    <x v="9"/>
    <n v="392981"/>
    <s v="431002"/>
    <s v="План"/>
  </r>
  <r>
    <x v="87"/>
    <x v="10"/>
    <n v="392981"/>
    <s v="431002"/>
    <s v="План"/>
  </r>
  <r>
    <x v="87"/>
    <x v="1"/>
    <n v="392981"/>
    <s v="431002"/>
    <s v="План"/>
  </r>
  <r>
    <x v="87"/>
    <x v="11"/>
    <n v="392981"/>
    <s v="431002"/>
    <s v="План"/>
  </r>
  <r>
    <x v="87"/>
    <x v="2"/>
    <n v="392981"/>
    <s v="431002"/>
    <s v="План"/>
  </r>
  <r>
    <x v="87"/>
    <x v="12"/>
    <n v="392981"/>
    <s v="431002"/>
    <s v="План"/>
  </r>
  <r>
    <x v="88"/>
    <x v="12"/>
    <n v="5000"/>
    <s v="4750"/>
    <s v="План"/>
  </r>
  <r>
    <x v="89"/>
    <x v="12"/>
    <n v="80000"/>
    <s v="4660"/>
    <s v="План"/>
  </r>
  <r>
    <x v="90"/>
    <x v="3"/>
    <n v="69660"/>
    <s v="4139"/>
    <s v="План"/>
  </r>
  <r>
    <x v="90"/>
    <x v="4"/>
    <n v="69660"/>
    <s v="4139"/>
    <s v="План"/>
  </r>
  <r>
    <x v="90"/>
    <x v="5"/>
    <n v="69660"/>
    <s v="4139"/>
    <s v="План"/>
  </r>
  <r>
    <x v="90"/>
    <x v="6"/>
    <n v="69660"/>
    <s v="4139"/>
    <s v="План"/>
  </r>
  <r>
    <x v="90"/>
    <x v="7"/>
    <n v="69660"/>
    <s v="4139"/>
    <s v="План"/>
  </r>
  <r>
    <x v="90"/>
    <x v="8"/>
    <n v="69660"/>
    <s v="4139"/>
    <s v="План"/>
  </r>
  <r>
    <x v="90"/>
    <x v="9"/>
    <n v="69660"/>
    <s v="4139"/>
    <s v="План"/>
  </r>
  <r>
    <x v="90"/>
    <x v="10"/>
    <n v="69660"/>
    <s v="4139"/>
    <s v="План"/>
  </r>
  <r>
    <x v="90"/>
    <x v="1"/>
    <n v="69660"/>
    <s v="4139"/>
    <s v="План"/>
  </r>
  <r>
    <x v="90"/>
    <x v="11"/>
    <n v="69660"/>
    <s v="4139"/>
    <s v="План"/>
  </r>
  <r>
    <x v="90"/>
    <x v="2"/>
    <n v="69660"/>
    <s v="4139"/>
    <s v="План"/>
  </r>
  <r>
    <x v="90"/>
    <x v="12"/>
    <n v="69660"/>
    <s v="4139"/>
    <s v="План"/>
  </r>
  <r>
    <x v="91"/>
    <x v="9"/>
    <n v="1100000"/>
    <s v="41330"/>
    <s v="План"/>
  </r>
  <r>
    <x v="92"/>
    <x v="3"/>
    <m/>
    <s v="43020"/>
    <s v="План"/>
  </r>
  <r>
    <x v="92"/>
    <x v="4"/>
    <m/>
    <s v="43020"/>
    <s v="План"/>
  </r>
  <r>
    <x v="92"/>
    <x v="5"/>
    <m/>
    <s v="43020"/>
    <s v="План"/>
  </r>
  <r>
    <x v="92"/>
    <x v="6"/>
    <m/>
    <s v="43020"/>
    <s v="План"/>
  </r>
  <r>
    <x v="92"/>
    <x v="7"/>
    <m/>
    <s v="43020"/>
    <s v="План"/>
  </r>
  <r>
    <x v="92"/>
    <x v="8"/>
    <m/>
    <s v="43020"/>
    <s v="План"/>
  </r>
  <r>
    <x v="92"/>
    <x v="9"/>
    <m/>
    <s v="43020"/>
    <s v="План"/>
  </r>
  <r>
    <x v="92"/>
    <x v="10"/>
    <m/>
    <s v="43020"/>
    <s v="План"/>
  </r>
  <r>
    <x v="92"/>
    <x v="1"/>
    <m/>
    <s v="43020"/>
    <s v="План"/>
  </r>
  <r>
    <x v="92"/>
    <x v="11"/>
    <m/>
    <s v="43020"/>
    <s v="План"/>
  </r>
  <r>
    <x v="92"/>
    <x v="2"/>
    <m/>
    <s v="43020"/>
    <s v="План"/>
  </r>
  <r>
    <x v="92"/>
    <x v="12"/>
    <m/>
    <s v="43020"/>
    <s v="План"/>
  </r>
  <r>
    <x v="93"/>
    <x v="3"/>
    <n v="103500"/>
    <s v="41111"/>
    <s v="План"/>
  </r>
  <r>
    <x v="93"/>
    <x v="4"/>
    <n v="103500"/>
    <s v="41111"/>
    <s v="План"/>
  </r>
  <r>
    <x v="93"/>
    <x v="5"/>
    <n v="103500"/>
    <s v="41111"/>
    <s v="План"/>
  </r>
  <r>
    <x v="93"/>
    <x v="6"/>
    <n v="103500"/>
    <s v="41111"/>
    <s v="План"/>
  </r>
  <r>
    <x v="93"/>
    <x v="7"/>
    <n v="103500"/>
    <s v="41111"/>
    <s v="План"/>
  </r>
  <r>
    <x v="93"/>
    <x v="8"/>
    <n v="103500"/>
    <s v="41111"/>
    <s v="План"/>
  </r>
  <r>
    <x v="93"/>
    <x v="9"/>
    <n v="103500"/>
    <s v="41111"/>
    <s v="План"/>
  </r>
  <r>
    <x v="93"/>
    <x v="10"/>
    <n v="103500"/>
    <s v="41111"/>
    <s v="План"/>
  </r>
  <r>
    <x v="93"/>
    <x v="1"/>
    <n v="103500"/>
    <s v="41111"/>
    <s v="План"/>
  </r>
  <r>
    <x v="93"/>
    <x v="11"/>
    <n v="103500"/>
    <s v="41111"/>
    <s v="План"/>
  </r>
  <r>
    <x v="93"/>
    <x v="2"/>
    <n v="103500"/>
    <s v="41111"/>
    <s v="План"/>
  </r>
  <r>
    <x v="93"/>
    <x v="12"/>
    <n v="103500"/>
    <s v="41111"/>
    <s v="План"/>
  </r>
  <r>
    <x v="94"/>
    <x v="8"/>
    <n v="1000000"/>
    <s v="0030"/>
    <s v="План"/>
  </r>
  <r>
    <x v="95"/>
    <x v="1"/>
    <n v="1000000"/>
    <s v="0030"/>
    <s v="План"/>
  </r>
  <r>
    <x v="96"/>
    <x v="5"/>
    <n v="3670000"/>
    <s v="0030"/>
    <s v="План"/>
  </r>
  <r>
    <x v="97"/>
    <x v="8"/>
    <n v="2500000"/>
    <s v="0030"/>
    <s v="План"/>
  </r>
  <r>
    <x v="98"/>
    <x v="1"/>
    <n v="2500000"/>
    <s v="0030"/>
    <s v="План"/>
  </r>
  <r>
    <x v="99"/>
    <x v="12"/>
    <n v="5000000"/>
    <s v="0030"/>
    <s v="План"/>
  </r>
  <r>
    <x v="100"/>
    <x v="13"/>
    <n v="1340000"/>
    <s v="0030"/>
    <s v="План"/>
  </r>
  <r>
    <x v="101"/>
    <x v="6"/>
    <n v="35000000"/>
    <s v="0030"/>
    <s v="План"/>
  </r>
  <r>
    <x v="102"/>
    <x v="1"/>
    <n v="6811000"/>
    <s v="0031"/>
    <s v="План"/>
  </r>
  <r>
    <x v="103"/>
    <x v="2"/>
    <n v="14160000"/>
    <s v="0030"/>
    <s v="План"/>
  </r>
  <r>
    <x v="104"/>
    <x v="14"/>
    <n v="2000000"/>
    <s v="0191001"/>
    <s v="План"/>
  </r>
  <r>
    <x v="105"/>
    <x v="8"/>
    <n v="1260000"/>
    <s v="01213"/>
    <s v="План"/>
  </r>
  <r>
    <x v="106"/>
    <x v="4"/>
    <n v="590000"/>
    <s v="01213"/>
    <s v="План"/>
  </r>
  <r>
    <x v="107"/>
    <x v="4"/>
    <n v="236000"/>
    <s v="01213"/>
    <s v="План"/>
  </r>
  <r>
    <x v="108"/>
    <x v="4"/>
    <n v="495600"/>
    <s v="0030"/>
    <s v="План"/>
  </r>
  <r>
    <x v="109"/>
    <x v="4"/>
    <n v="2124000"/>
    <s v="0031"/>
    <s v="План"/>
  </r>
  <r>
    <x v="110"/>
    <x v="6"/>
    <n v="1890000"/>
    <s v="0030"/>
    <s v="План"/>
  </r>
  <r>
    <x v="111"/>
    <x v="7"/>
    <n v="6000000"/>
    <s v="0030"/>
    <s v="План"/>
  </r>
  <r>
    <x v="112"/>
    <x v="5"/>
    <n v="18000000"/>
    <s v="01213"/>
    <s v="План"/>
  </r>
  <r>
    <x v="113"/>
    <x v="4"/>
    <n v="1180000"/>
    <s v="0031"/>
    <s v="План"/>
  </r>
  <r>
    <x v="114"/>
    <x v="13"/>
    <n v="2310000"/>
    <s v="0030"/>
    <s v="План"/>
  </r>
  <r>
    <x v="115"/>
    <x v="1"/>
    <n v="15375000"/>
    <s v="0030"/>
    <s v="План"/>
  </r>
  <r>
    <x v="116"/>
    <x v="1"/>
    <n v="7100000"/>
    <s v="0030"/>
    <s v="План"/>
  </r>
  <r>
    <x v="117"/>
    <x v="9"/>
    <n v="1200000"/>
    <s v="0135"/>
    <s v="План"/>
  </r>
  <r>
    <x v="118"/>
    <x v="12"/>
    <n v="6825000"/>
    <s v="01213"/>
    <s v="План"/>
  </r>
  <r>
    <x v="119"/>
    <x v="8"/>
    <n v="1260000"/>
    <s v="0030"/>
    <s v="План"/>
  </r>
  <r>
    <x v="120"/>
    <x v="7"/>
    <n v="3500000"/>
    <s v="0191001"/>
    <s v="План"/>
  </r>
  <r>
    <x v="121"/>
    <x v="8"/>
    <n v="630000"/>
    <s v="01363"/>
    <s v="План"/>
  </r>
  <r>
    <x v="122"/>
    <x v="13"/>
    <n v="6195000"/>
    <s v="0030"/>
    <s v="План"/>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21" applyNumberFormats="0" applyBorderFormats="0" applyFontFormats="0" applyPatternFormats="0" applyAlignmentFormats="0" applyWidthHeightFormats="1" dataCaption="Values" tag="ff36060b-e103-4d7c-84e3-f33059617c9c" updatedVersion="6" minRefreshableVersion="3" showDataTips="0" useAutoFormatting="1" subtotalHiddenItems="1" itemPrintTitles="1" createdVersion="5" indent="0" outline="1" outlineData="1">
  <location ref="A5:K140" firstHeaderRow="1" firstDataRow="2" firstDataCol="1" rowPageCount="2" colPageCount="1"/>
  <pivotFields count="10">
    <pivotField allDrilled="1" showAll="0" dataSourceSort="1"/>
    <pivotField showAll="0" dataSourceSort="1"/>
    <pivotField showAll="0" dataSourceSort="1"/>
    <pivotField axis="axisRow" allDrilled="1" showAll="0" dataSourceSort="1">
      <items count="134">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 x="46" e="0"/>
        <item x="47" e="0"/>
        <item x="48" e="0"/>
        <item x="49" e="0"/>
        <item x="50" e="0"/>
        <item x="51" e="0"/>
        <item x="52" e="0"/>
        <item x="53" e="0"/>
        <item x="54" e="0"/>
        <item x="55" e="0"/>
        <item x="56" e="0"/>
        <item x="57" e="0"/>
        <item x="58" e="0"/>
        <item x="59" e="0"/>
        <item x="60" e="0"/>
        <item x="61" e="0"/>
        <item x="62" e="0"/>
        <item x="63" e="0"/>
        <item x="64" e="0"/>
        <item x="65" e="0"/>
        <item x="66" e="0"/>
        <item x="67" e="0"/>
        <item x="68" e="0"/>
        <item x="69" e="0"/>
        <item x="70" e="0"/>
        <item x="71" e="0"/>
        <item x="72" e="0"/>
        <item x="73" e="0"/>
        <item x="74" e="0"/>
        <item x="75" e="0"/>
        <item x="76" e="0"/>
        <item x="77" e="0"/>
        <item x="78" e="0"/>
        <item x="79" e="0"/>
        <item x="80" e="0"/>
        <item x="81" e="0"/>
        <item x="82" e="0"/>
        <item x="83" e="0"/>
        <item x="84" e="0"/>
        <item x="85" e="0"/>
        <item x="86" e="0"/>
        <item x="87" e="0"/>
        <item x="88" e="0"/>
        <item x="89" e="0"/>
        <item x="90" e="0"/>
        <item x="91" e="0"/>
        <item x="92" e="0"/>
        <item x="93" e="0"/>
        <item x="94" e="0"/>
        <item x="95" e="0"/>
        <item x="96" e="0"/>
        <item x="97" e="0"/>
        <item x="98" e="0"/>
        <item x="99" e="0"/>
        <item x="100" e="0"/>
        <item x="101" e="0"/>
        <item x="102" e="0"/>
        <item x="103" e="0"/>
        <item x="104" e="0"/>
        <item x="105" e="0"/>
        <item x="106" e="0"/>
        <item x="107" e="0"/>
        <item x="108" e="0"/>
        <item x="109" e="0"/>
        <item x="110" e="0"/>
        <item x="111" e="0"/>
        <item x="112" e="0"/>
        <item x="113" e="0"/>
        <item x="114" e="0"/>
        <item x="115" e="0"/>
        <item x="116" e="0"/>
        <item x="117" e="0"/>
        <item x="118" e="0"/>
        <item x="119" e="0"/>
        <item x="120" e="0"/>
        <item x="121" e="0"/>
        <item x="122" e="0"/>
        <item x="123" e="0"/>
        <item x="124" e="0"/>
        <item x="125" e="0"/>
        <item x="126" e="0"/>
        <item x="127" e="0"/>
        <item x="128" e="0"/>
        <item x="129" e="0"/>
        <item x="130" e="0"/>
        <item x="131" e="0"/>
        <item x="132" e="0"/>
        <item t="default"/>
      </items>
    </pivotField>
    <pivotField axis="axisPage" allDrilled="1" showAll="0" defaultAttributeDrillState="1">
      <items count="1">
        <item t="default"/>
      </items>
    </pivotField>
    <pivotField dataField="1" showAll="0"/>
    <pivotField axis="axisRow" allDrilled="1" showAll="0" dataSourceSort="1" defaultAttributeDrillState="1">
      <items count="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t="default"/>
      </items>
    </pivotField>
    <pivotField axis="axisPage" allDrilled="1" showAll="0" dataSourceSort="1" defaultAttributeDrillState="1">
      <items count="1">
        <item t="default"/>
      </items>
    </pivotField>
    <pivotField axis="axisCol" allDrilled="1" showAll="0" dataSourceSort="1" defaultAttributeDrillState="1">
      <items count="11">
        <item s="1" x="0"/>
        <item s="1" x="1"/>
        <item s="1" x="2"/>
        <item s="1" x="3"/>
        <item s="1" x="4"/>
        <item s="1" x="5"/>
        <item s="1" x="6"/>
        <item s="1" x="7"/>
        <item s="1" x="8"/>
        <item s="1" x="9"/>
        <item t="default"/>
      </items>
    </pivotField>
    <pivotField allDrilled="1" showAll="0" dataSourceSort="1" defaultAttributeDrillState="1"/>
  </pivotFields>
  <rowFields count="2">
    <field x="3"/>
    <field x="6"/>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t="grand">
      <x/>
    </i>
  </rowItems>
  <colFields count="1">
    <field x="8"/>
  </colFields>
  <colItems count="10">
    <i>
      <x/>
    </i>
    <i>
      <x v="1"/>
    </i>
    <i>
      <x v="2"/>
    </i>
    <i>
      <x v="3"/>
    </i>
    <i>
      <x v="4"/>
    </i>
    <i>
      <x v="5"/>
    </i>
    <i>
      <x v="6"/>
    </i>
    <i>
      <x v="7"/>
    </i>
    <i>
      <x v="8"/>
    </i>
    <i t="grand">
      <x/>
    </i>
  </colItems>
  <pageFields count="2">
    <pageField fld="4" hier="31" name="[fActualAndBudget].[ReportType].&amp;[Остварено]" cap="Остварено"/>
    <pageField fld="7" hier="8" name="[Calendar].[Година].&amp;[2019]" cap="2019"/>
  </pageFields>
  <dataFields count="1">
    <dataField name="Sum of Износ" fld="5" baseField="3" baseItem="4" numFmtId="3"/>
  </dataField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1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Остварено]"/>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3" type="captionBeginsWith" evalOrder="-1" id="1" stringValue1="4">
      <autoFilter ref="A1">
        <filterColumn colId="0">
          <customFilters>
            <customFilter val="4*"/>
          </customFilters>
        </filterColumn>
      </autoFilter>
    </filter>
  </filters>
  <rowHierarchiesUsage count="2">
    <rowHierarchyUsage hierarchyUsage="28"/>
    <rowHierarchyUsage hierarchyUsage="3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2" cacheId="12" applyNumberFormats="0" applyBorderFormats="0" applyFontFormats="0" applyPatternFormats="0" applyAlignmentFormats="0" applyWidthHeightFormats="1" dataCaption="Values" tag="1cde22f6-c95d-4137-82b0-f0639ae3837f" updatedVersion="6" minRefreshableVersion="3" showDataTips="0" useAutoFormatting="1" subtotalHiddenItems="1" rowGrandTotals="0" itemPrintTitles="1" createdVersion="5" indent="0" outline="1" outlineData="1">
  <location ref="B5:F20" firstHeaderRow="1" firstDataRow="2" firstDataCol="1" rowPageCount="2" colPageCount="1"/>
  <pivotFields count="10">
    <pivotField allDrilled="1" showAll="0" dataSourceSort="1"/>
    <pivotField showAll="0" dataSourceSort="1"/>
    <pivotField showAll="0" dataSourceSort="1"/>
    <pivotField axis="axisRow" allDrilled="1" showAll="0" dataSourceSort="1">
      <items count="28">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t="default"/>
      </items>
    </pivotField>
    <pivotField axis="axisPage" allDrilled="1" showAll="0" defaultAttributeDrillState="1">
      <items count="1">
        <item t="default"/>
      </items>
    </pivotField>
    <pivotField dataField="1" showAll="0"/>
    <pivotField allDrilled="1" showAll="0" dataSourceSort="1" defaultAttributeDrillState="1"/>
    <pivotField axis="axisPage" allDrilled="1" showAll="0" dataSourceSort="1" defaultAttributeDrillState="1">
      <items count="1">
        <item t="default"/>
      </items>
    </pivotField>
    <pivotField axis="axisCol" allDrilled="1" showAll="0" dataSourceSort="1" defaultAttributeDrillState="1">
      <items count="4">
        <item x="0"/>
        <item x="1"/>
        <item x="2"/>
        <item t="default"/>
      </items>
    </pivotField>
    <pivotField axis="axisRow" allDrilled="1" showAll="0" dataSourceSort="1">
      <items count="15">
        <item x="0" e="0"/>
        <item x="1" e="0"/>
        <item x="2" e="0"/>
        <item x="3" e="0"/>
        <item x="4" e="0"/>
        <item x="5" e="0"/>
        <item x="6" e="0"/>
        <item x="7" e="0"/>
        <item x="8" e="0"/>
        <item x="9" e="0"/>
        <item x="10" e="0"/>
        <item x="11" e="0"/>
        <item x="12" e="0"/>
        <item x="13" e="0"/>
        <item t="default"/>
      </items>
    </pivotField>
  </pivotFields>
  <rowFields count="2">
    <field x="9"/>
    <field x="3"/>
  </rowFields>
  <rowItems count="14">
    <i>
      <x/>
    </i>
    <i>
      <x v="1"/>
    </i>
    <i>
      <x v="2"/>
    </i>
    <i>
      <x v="3"/>
    </i>
    <i>
      <x v="4"/>
    </i>
    <i>
      <x v="5"/>
    </i>
    <i>
      <x v="6"/>
    </i>
    <i>
      <x v="7"/>
    </i>
    <i>
      <x v="8"/>
    </i>
    <i>
      <x v="9"/>
    </i>
    <i>
      <x v="10"/>
    </i>
    <i>
      <x v="11"/>
    </i>
    <i>
      <x v="12"/>
    </i>
    <i>
      <x v="13"/>
    </i>
  </rowItems>
  <colFields count="1">
    <field x="8"/>
  </colFields>
  <colItems count="4">
    <i>
      <x/>
    </i>
    <i>
      <x v="1"/>
    </i>
    <i>
      <x v="2"/>
    </i>
    <i t="grand">
      <x/>
    </i>
  </colItems>
  <pageFields count="2">
    <pageField fld="4" hier="31" name="[fActualAndBudget].[ReportType].&amp;[Предвидување]" cap="Предвидување"/>
    <pageField fld="7" hier="40" name="[fActualAndBudget].[ObrazecIme].&amp;[Finansiski plan_Bilans na sostojba]" cap="Finansiski plan_Bilans na sostojba"/>
  </pageFields>
  <dataFields count="1">
    <dataField name="Sum of Износ" fld="5" baseField="0" baseItem="0" numFmtId="3"/>
  </dataFields>
  <formats count="5">
    <format dxfId="162">
      <pivotArea field="3" grandCol="1" collapsedLevelsAreSubtotals="1" axis="axisRow" fieldPosition="1">
        <references count="1">
          <reference field="3" count="1">
            <x v="26"/>
          </reference>
        </references>
      </pivotArea>
    </format>
    <format dxfId="161">
      <pivotArea field="3" grandCol="1" collapsedLevelsAreSubtotals="1" axis="axisRow" fieldPosition="1">
        <references count="1">
          <reference field="3" count="1">
            <x v="25"/>
          </reference>
        </references>
      </pivotArea>
    </format>
    <format dxfId="160">
      <pivotArea grandCol="1" outline="0" collapsedLevelsAreSubtotals="1" fieldPosition="0"/>
    </format>
    <format dxfId="159">
      <pivotArea type="topRight" dataOnly="0" labelOnly="1" outline="0" offset="D1" fieldPosition="0"/>
    </format>
    <format dxfId="158">
      <pivotArea dataOnly="0" labelOnly="1" grandCol="1" outline="0" fieldPosition="0"/>
    </format>
  </format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19]"/>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редвидување]"/>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sostojb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6"/>
    <rowHierarchyUsage hierarchyUsage="28"/>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5" applyNumberFormats="0" applyBorderFormats="0" applyFontFormats="0" applyPatternFormats="0" applyAlignmentFormats="0" applyWidthHeightFormats="1" dataCaption="Values" tag="dddf9060-2245-4c62-b1aa-7a29896f1c19" updatedVersion="6" minRefreshableVersion="3" itemPrintTitles="1" createdVersion="5" indent="0" compact="0" compactData="0" multipleFieldFilters="0">
  <location ref="A2:J34" firstHeaderRow="1" firstDataRow="3" firstDataCol="2"/>
  <pivotFields count="5">
    <pivotField name="Број на проект" axis="axisRow" compact="0" allDrilled="1" outline="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name="Проект" axis="axisRow" compact="0" allDrilled="1" outline="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Col" compact="0" allDrilled="1" outline="0" showAll="0" dataSourceSort="1" defaultSubtotal="0">
      <items count="3">
        <item x="0" e="0"/>
        <item x="1" e="0"/>
        <item x="2" e="0"/>
      </items>
    </pivotField>
    <pivotField dataField="1" compact="0" outline="0" showAll="0" defaultSubtotal="0"/>
    <pivotField dataField="1" compact="0" outline="0" showAll="0" defaultSubtotal="0"/>
  </pivotFields>
  <rowFields count="2">
    <field x="0"/>
    <field x="1"/>
  </rowFields>
  <rowItems count="30">
    <i>
      <x/>
      <x/>
    </i>
    <i>
      <x v="1"/>
      <x v="1"/>
    </i>
    <i>
      <x v="2"/>
      <x v="2"/>
    </i>
    <i>
      <x v="3"/>
      <x v="3"/>
    </i>
    <i r="1">
      <x v="4"/>
    </i>
    <i r="1">
      <x v="5"/>
    </i>
    <i>
      <x v="4"/>
      <x v="6"/>
    </i>
    <i r="1">
      <x v="7"/>
    </i>
    <i r="1">
      <x v="8"/>
    </i>
    <i r="1">
      <x v="9"/>
    </i>
    <i>
      <x v="5"/>
      <x v="10"/>
    </i>
    <i>
      <x v="6"/>
      <x v="11"/>
    </i>
    <i>
      <x v="7"/>
      <x v="12"/>
    </i>
    <i>
      <x v="8"/>
      <x v="13"/>
    </i>
    <i>
      <x v="9"/>
      <x v="14"/>
    </i>
    <i>
      <x v="10"/>
      <x v="15"/>
    </i>
    <i>
      <x v="11"/>
      <x v="16"/>
    </i>
    <i>
      <x v="12"/>
      <x v="17"/>
    </i>
    <i>
      <x v="13"/>
      <x v="18"/>
    </i>
    <i>
      <x v="14"/>
      <x v="19"/>
    </i>
    <i>
      <x v="15"/>
      <x v="20"/>
    </i>
    <i>
      <x v="16"/>
      <x v="21"/>
    </i>
    <i>
      <x v="17"/>
      <x v="22"/>
    </i>
    <i>
      <x v="18"/>
      <x v="23"/>
    </i>
    <i>
      <x v="19"/>
      <x v="24"/>
    </i>
    <i>
      <x v="20"/>
      <x v="25"/>
    </i>
    <i>
      <x v="21"/>
      <x v="26"/>
    </i>
    <i>
      <x v="22"/>
      <x v="27"/>
    </i>
    <i>
      <x v="23"/>
      <x v="28"/>
    </i>
    <i t="grand">
      <x/>
    </i>
  </rowItems>
  <colFields count="2">
    <field x="2"/>
    <field x="-2"/>
  </colFields>
  <colItems count="8">
    <i>
      <x/>
      <x/>
    </i>
    <i r="1" i="1">
      <x v="1"/>
    </i>
    <i>
      <x v="1"/>
      <x/>
    </i>
    <i r="1" i="1">
      <x v="1"/>
    </i>
    <i>
      <x v="2"/>
      <x/>
    </i>
    <i r="1" i="1">
      <x v="1"/>
    </i>
    <i t="grand">
      <x/>
    </i>
    <i t="grand" i="1">
      <x/>
    </i>
  </colItems>
  <dataFields count="2">
    <dataField name="Sum of Проценета вредност на набавка со ДДВ (денари)" fld="3" baseField="0" baseItem="0" numFmtId="3"/>
    <dataField name="Sum of Износ донација" fld="4" baseField="0" baseItem="0"/>
  </dataFields>
  <formats count="15">
    <format dxfId="152">
      <pivotArea type="origin" dataOnly="0" labelOnly="1" outline="0" fieldPosition="0"/>
    </format>
    <format dxfId="151">
      <pivotArea field="0" type="button" dataOnly="0" labelOnly="1" outline="0" axis="axisRow" fieldPosition="0"/>
    </format>
    <format dxfId="150">
      <pivotArea dataOnly="0" labelOnly="1" fieldPosition="0">
        <references count="1">
          <reference field="0" count="0"/>
        </references>
      </pivotArea>
    </format>
    <format dxfId="149">
      <pivotArea dataOnly="0" labelOnly="1" grandRow="1" outline="0" fieldPosition="0"/>
    </format>
    <format dxfId="148">
      <pivotArea dataOnly="0" labelOnly="1" fieldPosition="0">
        <references count="2">
          <reference field="0" count="1" selected="0">
            <x v="2"/>
          </reference>
          <reference field="1" count="1">
            <x v="2"/>
          </reference>
        </references>
      </pivotArea>
    </format>
    <format dxfId="147">
      <pivotArea field="2" type="button" dataOnly="0" labelOnly="1" outline="0" axis="axisCol" fieldPosition="0"/>
    </format>
    <format dxfId="146">
      <pivotArea field="-2" type="button" dataOnly="0" labelOnly="1" outline="0" axis="axisCol" fieldPosition="1"/>
    </format>
    <format dxfId="145">
      <pivotArea type="topRight" dataOnly="0" labelOnly="1" outline="0" fieldPosition="0"/>
    </format>
    <format dxfId="144">
      <pivotArea dataOnly="0" labelOnly="1" outline="0" fieldPosition="0">
        <references count="1">
          <reference field="2" count="0"/>
        </references>
      </pivotArea>
    </format>
    <format dxfId="143">
      <pivotArea field="2" dataOnly="0" labelOnly="1" grandCol="1" outline="0" axis="axisCol" fieldPosition="0">
        <references count="1">
          <reference field="4294967294" count="1" selected="0">
            <x v="0"/>
          </reference>
        </references>
      </pivotArea>
    </format>
    <format dxfId="142">
      <pivotArea field="2" dataOnly="0" labelOnly="1" grandCol="1" outline="0" axis="axisCol" fieldPosition="0">
        <references count="1">
          <reference field="4294967294" count="1" selected="0">
            <x v="1"/>
          </reference>
        </references>
      </pivotArea>
    </format>
    <format dxfId="141">
      <pivotArea dataOnly="0" labelOnly="1" outline="0" fieldPosition="0">
        <references count="2">
          <reference field="4294967294" count="2">
            <x v="0"/>
            <x v="1"/>
          </reference>
          <reference field="2" count="1" selected="0">
            <x v="0"/>
          </reference>
        </references>
      </pivotArea>
    </format>
    <format dxfId="140">
      <pivotArea dataOnly="0" labelOnly="1" outline="0" fieldPosition="0">
        <references count="2">
          <reference field="4294967294" count="2">
            <x v="0"/>
            <x v="1"/>
          </reference>
          <reference field="2" count="1" selected="0">
            <x v="1"/>
          </reference>
        </references>
      </pivotArea>
    </format>
    <format dxfId="139">
      <pivotArea dataOnly="0" labelOnly="1" outline="0" fieldPosition="0">
        <references count="1">
          <reference field="0" count="1">
            <x v="0"/>
          </reference>
        </references>
      </pivotArea>
    </format>
    <format dxfId="138">
      <pivotArea dataOnly="0" labelOnly="1" outline="0" fieldPosition="0">
        <references count="1">
          <reference field="0" count="0"/>
        </references>
      </pivotArea>
    </format>
  </formats>
  <pivotHierarchies count="176">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6"/>
    <rowHierarchyUsage hierarchyUsage="17"/>
  </rowHierarchiesUsage>
  <colHierarchiesUsage count="2">
    <colHierarchyUsage hierarchyUsage="2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APEX]"/>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2" cacheId="8" applyNumberFormats="0" applyBorderFormats="0" applyFontFormats="0" applyPatternFormats="0" applyAlignmentFormats="0" applyWidthHeightFormats="1" dataCaption="Values" tag="8e62a585-f3c4-4d25-b7c6-95563c4b6fe1" updatedVersion="6" minRefreshableVersion="3" showDataTips="0" useAutoFormatting="1" subtotalHiddenItems="1" rowGrandTotals="0" itemPrintTitles="1" createdVersion="5" indent="0" outline="1" outlineData="1">
  <location ref="A5:L20" firstHeaderRow="1" firstDataRow="2" firstDataCol="1" rowPageCount="3" colPageCount="1"/>
  <pivotFields count="12">
    <pivotField allDrilled="1" showAll="0" dataSourceSort="1"/>
    <pivotField showAll="0" dataSourceSort="1"/>
    <pivotField showAll="0" dataSourceSort="1"/>
    <pivotField axis="axisRow" allDrilled="1" showAll="0" dataSourceSort="1">
      <items count="25">
        <item x="0" e="0"/>
        <item x="1" e="0"/>
        <item x="2" e="0"/>
        <item x="3" e="0"/>
        <item x="4" e="0"/>
        <item x="5" e="0"/>
        <item x="6" e="0"/>
        <item x="7" e="0"/>
        <item x="8" e="0"/>
        <item x="9" e="0"/>
        <item x="10" e="0"/>
        <item x="11" e="0"/>
        <item x="12" e="0"/>
        <item x="13" e="0"/>
        <item x="14" e="0"/>
        <item x="15" e="0"/>
        <item x="16" e="0"/>
        <item x="17" e="0"/>
        <item x="18" e="0"/>
        <item x="19" e="0"/>
        <item x="20" e="0"/>
        <item x="21" e="0"/>
        <item x="22" e="0"/>
        <item x="23"/>
        <item t="default"/>
      </items>
    </pivotField>
    <pivotField axis="axisRow" allDrilled="1" showAll="0" dataSourceSort="1" defaultAttributeDrillState="1">
      <items count="7">
        <item x="0"/>
        <item x="1"/>
        <item x="2"/>
        <item x="3"/>
        <item x="4"/>
        <item x="5"/>
        <item t="default"/>
      </items>
    </pivotField>
    <pivotField axis="axisPage" allDrilled="1" showAll="0" defaultAttributeDrillState="1">
      <items count="1">
        <item t="default"/>
      </items>
    </pivotField>
    <pivotField dataField="1" showAll="0"/>
    <pivotField axis="axisRow" allDrilled="1" showAll="0" dataSourceSort="1">
      <items count="15">
        <item x="0" e="0"/>
        <item x="1" e="0"/>
        <item x="2" e="0"/>
        <item x="3" e="0"/>
        <item x="4" e="0"/>
        <item x="5" e="0"/>
        <item x="6" e="0"/>
        <item x="7" e="0"/>
        <item x="8" e="0"/>
        <item x="9" e="0"/>
        <item x="10" e="0"/>
        <item x="11" e="0"/>
        <item x="12" e="0"/>
        <item x="13" e="0"/>
        <item t="default"/>
      </items>
    </pivotField>
    <pivotField axis="axisRow" allDrilled="1" showAll="0" dataSourceSort="1" defaultAttributeDrillState="1">
      <items count="2">
        <item x="0"/>
        <item t="default"/>
      </items>
    </pivotField>
    <pivotField axis="axisPage" allDrilled="1" showAll="0" dataSourceSort="1" defaultAttributeDrillState="1">
      <items count="3">
        <item x="0"/>
        <item x="1"/>
        <item t="default"/>
      </items>
    </pivotField>
    <pivotField axis="axisCol" allDrilled="1" showAll="0" dataSourceSort="1" defaultAttributeDrillState="1">
      <items count="11">
        <item x="0"/>
        <item x="1"/>
        <item x="2"/>
        <item x="3"/>
        <item x="4"/>
        <item x="5"/>
        <item x="6"/>
        <item x="7"/>
        <item x="8"/>
        <item x="9"/>
        <item t="default"/>
      </items>
    </pivotField>
    <pivotField axis="axisPage" allDrilled="1" showAll="0" dataSourceSort="1" defaultAttributeDrillState="1">
      <items count="1">
        <item t="default"/>
      </items>
    </pivotField>
  </pivotFields>
  <rowFields count="4">
    <field x="7"/>
    <field x="3"/>
    <field x="4"/>
    <field x="8"/>
  </rowFields>
  <rowItems count="14">
    <i>
      <x/>
    </i>
    <i>
      <x v="1"/>
    </i>
    <i>
      <x v="2"/>
    </i>
    <i>
      <x v="3"/>
    </i>
    <i>
      <x v="4"/>
    </i>
    <i>
      <x v="5"/>
    </i>
    <i>
      <x v="6"/>
    </i>
    <i>
      <x v="7"/>
    </i>
    <i>
      <x v="8"/>
    </i>
    <i>
      <x v="9"/>
    </i>
    <i>
      <x v="10"/>
    </i>
    <i>
      <x v="11"/>
    </i>
    <i>
      <x v="12"/>
    </i>
    <i>
      <x v="13"/>
    </i>
  </rowItems>
  <colFields count="1">
    <field x="10"/>
  </colFields>
  <colItems count="11">
    <i>
      <x/>
    </i>
    <i>
      <x v="1"/>
    </i>
    <i>
      <x v="2"/>
    </i>
    <i>
      <x v="3"/>
    </i>
    <i>
      <x v="4"/>
    </i>
    <i>
      <x v="5"/>
    </i>
    <i>
      <x v="6"/>
    </i>
    <i>
      <x v="7"/>
    </i>
    <i>
      <x v="8"/>
    </i>
    <i>
      <x v="9"/>
    </i>
    <i t="grand">
      <x/>
    </i>
  </colItems>
  <pageFields count="3">
    <pageField fld="5" hier="31" name="[fActualAndBudget].[ReportType].&amp;[Предвидување]" cap="Предвидување"/>
    <pageField fld="11" hier="40" name="[fActualAndBudget].[ObrazecIme].&amp;[Finansiski plan_Bilans na sostojba]" cap="Finansiski plan_Bilans na sostojba"/>
    <pageField fld="9" hier="8" name="[Calendar].[Година].&amp;[2021]" cap="2021"/>
  </pageFields>
  <dataFields count="1">
    <dataField name="Sum of Износ" fld="6" baseField="3" baseItem="4" numFmtId="3"/>
  </dataFields>
  <pivotHierarchies count="176">
    <pivotHierarchy dragToData="1"/>
    <pivotHierarchy dragToData="1"/>
    <pivotHierarchy dragToData="1"/>
    <pivotHierarchy dragToData="1"/>
    <pivotHierarchy dragToData="1"/>
    <pivotHierarchy dragToData="1"/>
    <pivotHierarchy dragToData="1"/>
    <pivotHierarchy multipleItemSelectionAllowed="1">
      <members count="2" level="1">
        <member name="[Calendar].[Date Hierarchy].[Year].&amp;[2019]"/>
        <member name="[Calendar].[Date Hierarchy].[Year].&amp;[2020]"/>
      </members>
    </pivotHierarchy>
    <pivotHierarchy multipleItemSelectionAllowed="1" dragToData="1">
      <members count="1" level="1">
        <member name="[Calendar].[Година].&amp;[202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редвидување]"/>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sostojb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6"/>
    <rowHierarchyUsage hierarchyUsage="34"/>
    <rowHierarchyUsage hierarchyUsage="28"/>
    <rowHierarchyUsage hierarchyUsage="3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2" cacheId="17" applyNumberFormats="0" applyBorderFormats="0" applyFontFormats="0" applyPatternFormats="0" applyAlignmentFormats="0" applyWidthHeightFormats="1" dataCaption="Values" tag="4c7c7699-cd80-4548-b23f-4baa068b0a38" updatedVersion="6" minRefreshableVersion="3" showDataTips="0" subtotalHiddenItems="1" colGrandTotals="0" itemPrintTitles="1" createdVersion="5" indent="0" outline="1" outlineData="1">
  <location ref="A14:K98" firstHeaderRow="1" firstDataRow="3" firstDataCol="1" rowPageCount="1" colPageCount="1"/>
  <pivotFields count="11">
    <pivotField allDrilled="1" showAll="0" dataSourceSort="1"/>
    <pivotField showAll="0" dataSourceSort="1"/>
    <pivotField showAll="0" dataSourceSort="1"/>
    <pivotField dataField="1" showAll="0"/>
    <pivotField axis="axisCol" allDrilled="1" showAll="0" dataSourceSort="1" defaultAttributeDrillState="1">
      <items count="4">
        <item s="1" x="0"/>
        <item s="1" x="1"/>
        <item s="1" x="2"/>
        <item t="default"/>
      </items>
    </pivotField>
    <pivotField axis="axisPage" allDrilled="1" showAll="0" dataSourceSort="1" defaultAttributeDrillState="1">
      <items count="1">
        <item t="default"/>
      </items>
    </pivotField>
    <pivotField axis="axisRow" allDrilled="1" showAll="0" dataSourceSort="1">
      <items count="45">
        <item x="0" e="0"/>
        <item x="1" e="0"/>
        <item x="2" e="0"/>
        <item x="3" e="0"/>
        <item x="4" e="0"/>
        <item x="5" e="0"/>
        <item x="6" e="0"/>
        <item x="7" e="0"/>
        <item x="8" e="0"/>
        <item x="9" e="0"/>
        <item x="10" e="0"/>
        <item x="11" e="0"/>
        <item x="12" e="0"/>
        <item x="13" e="0"/>
        <item x="14" e="0"/>
        <item x="15" e="0"/>
        <item x="16" e="0"/>
        <item x="17" e="0"/>
        <item x="18" e="0"/>
        <item x="19" e="0"/>
        <item x="20" e="0"/>
        <item x="21" e="0"/>
        <item x="22"/>
        <item x="23" e="0"/>
        <item x="24" e="0"/>
        <item x="25" e="0"/>
        <item x="26" e="0"/>
        <item x="27" e="0"/>
        <item x="28" e="0"/>
        <item x="29" e="0"/>
        <item x="30"/>
        <item x="31" e="0"/>
        <item x="32" e="0"/>
        <item x="33" e="0"/>
        <item x="34"/>
        <item x="35" e="0"/>
        <item x="36" e="0"/>
        <item x="37" e="0"/>
        <item x="38" e="0"/>
        <item x="39" e="0"/>
        <item x="40" e="0"/>
        <item x="41" e="0"/>
        <item x="42" e="0"/>
        <item x="43" e="0"/>
        <item t="default"/>
      </items>
    </pivotField>
    <pivotField axis="axisCol" allDrilled="1" showAll="0" defaultAttributeDrillState="1">
      <items count="4">
        <item x="0"/>
        <item x="2"/>
        <item x="1"/>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allDrilled="1" showAll="0" dataSourceSort="1" defaultAttributeDrillState="1"/>
  </pivotFields>
  <rowFields count="3">
    <field x="8"/>
    <field x="6"/>
    <field x="9"/>
  </rowFields>
  <rowItems count="82">
    <i>
      <x/>
    </i>
    <i r="1">
      <x/>
    </i>
    <i r="1">
      <x v="1"/>
    </i>
    <i r="1">
      <x v="2"/>
    </i>
    <i r="1">
      <x v="3"/>
    </i>
    <i r="1">
      <x v="4"/>
    </i>
    <i r="1">
      <x v="5"/>
    </i>
    <i r="1">
      <x v="6"/>
    </i>
    <i r="1">
      <x v="7"/>
    </i>
    <i r="1">
      <x v="8"/>
    </i>
    <i r="1">
      <x v="9"/>
    </i>
    <i r="1">
      <x v="10"/>
    </i>
    <i r="1">
      <x v="11"/>
    </i>
    <i r="1">
      <x v="12"/>
    </i>
    <i>
      <x v="1"/>
    </i>
    <i r="1">
      <x v="13"/>
    </i>
    <i r="1">
      <x v="14"/>
    </i>
    <i r="1">
      <x v="15"/>
    </i>
    <i r="1">
      <x v="16"/>
    </i>
    <i r="1">
      <x v="17"/>
    </i>
    <i r="1">
      <x v="18"/>
    </i>
    <i r="1">
      <x v="19"/>
    </i>
    <i r="1">
      <x v="20"/>
    </i>
    <i>
      <x v="2"/>
    </i>
    <i r="1">
      <x v="21"/>
    </i>
    <i r="1">
      <x v="22"/>
    </i>
    <i r="2">
      <x/>
    </i>
    <i r="2">
      <x v="1"/>
    </i>
    <i r="2">
      <x v="2"/>
    </i>
    <i r="2">
      <x v="3"/>
    </i>
    <i r="2">
      <x v="4"/>
    </i>
    <i r="2">
      <x v="5"/>
    </i>
    <i r="2">
      <x v="6"/>
    </i>
    <i r="2">
      <x v="7"/>
    </i>
    <i r="2">
      <x v="8"/>
    </i>
    <i r="2">
      <x v="9"/>
    </i>
    <i r="2">
      <x v="10"/>
    </i>
    <i r="2">
      <x v="11"/>
    </i>
    <i r="2">
      <x v="12"/>
    </i>
    <i r="2">
      <x v="13"/>
    </i>
    <i r="1">
      <x v="23"/>
    </i>
    <i r="1">
      <x v="24"/>
    </i>
    <i r="1">
      <x v="25"/>
    </i>
    <i r="1">
      <x v="26"/>
    </i>
    <i r="1">
      <x v="27"/>
    </i>
    <i r="1">
      <x v="28"/>
    </i>
    <i r="1">
      <x v="29"/>
    </i>
    <i r="1">
      <x v="30"/>
    </i>
    <i r="2">
      <x v="14"/>
    </i>
    <i r="2">
      <x v="15"/>
    </i>
    <i r="2">
      <x v="16"/>
    </i>
    <i r="2">
      <x v="17"/>
    </i>
    <i r="2">
      <x v="18"/>
    </i>
    <i r="2">
      <x v="19"/>
    </i>
    <i r="2">
      <x v="20"/>
    </i>
    <i r="2">
      <x v="21"/>
    </i>
    <i r="2">
      <x v="22"/>
    </i>
    <i r="2">
      <x v="23"/>
    </i>
    <i r="2">
      <x v="24"/>
    </i>
    <i r="2">
      <x v="25"/>
    </i>
    <i r="1">
      <x v="31"/>
    </i>
    <i r="1">
      <x v="32"/>
    </i>
    <i r="1">
      <x v="33"/>
    </i>
    <i r="1">
      <x v="34"/>
    </i>
    <i r="2">
      <x v="26"/>
    </i>
    <i r="2">
      <x v="27"/>
    </i>
    <i r="2">
      <x v="28"/>
    </i>
    <i r="2">
      <x v="29"/>
    </i>
    <i r="2">
      <x v="30"/>
    </i>
    <i r="2">
      <x v="31"/>
    </i>
    <i r="2">
      <x v="32"/>
    </i>
    <i r="1">
      <x v="35"/>
    </i>
    <i r="1">
      <x v="36"/>
    </i>
    <i r="1">
      <x v="37"/>
    </i>
    <i r="1">
      <x v="38"/>
    </i>
    <i>
      <x v="3"/>
    </i>
    <i r="1">
      <x v="39"/>
    </i>
    <i r="1">
      <x v="40"/>
    </i>
    <i r="1">
      <x v="41"/>
    </i>
    <i r="1">
      <x v="42"/>
    </i>
    <i r="1">
      <x v="43"/>
    </i>
    <i t="grand">
      <x/>
    </i>
  </rowItems>
  <colFields count="2">
    <field x="7"/>
    <field x="4"/>
  </colFields>
  <colItems count="10">
    <i>
      <x/>
      <x/>
    </i>
    <i r="1">
      <x v="1"/>
    </i>
    <i r="1">
      <x v="2"/>
    </i>
    <i t="default">
      <x/>
    </i>
    <i>
      <x v="1"/>
      <x v="1"/>
    </i>
    <i r="1">
      <x v="2"/>
    </i>
    <i t="default">
      <x v="1"/>
    </i>
    <i>
      <x v="2"/>
      <x v="1"/>
    </i>
    <i r="1">
      <x v="2"/>
    </i>
    <i t="default">
      <x v="2"/>
    </i>
  </colItems>
  <pageFields count="1">
    <pageField fld="5" hier="40" name="[fActualAndBudget].[ObrazecIme].&amp;[Finansiski plan_Bilans na uspeh]" cap="Finansiski plan_Bilans na uspeh"/>
  </pageFields>
  <dataFields count="1">
    <dataField name="Sum of Износ" fld="3" baseField="0" baseItem="0" numFmtId="3"/>
  </dataFields>
  <formats count="5">
    <format dxfId="137">
      <pivotArea collapsedLevelsAreSubtotals="1" fieldPosition="0">
        <references count="4">
          <reference field="6" count="1" selected="0">
            <x v="30"/>
          </reference>
          <reference field="7" count="2" selected="0" defaultSubtotal="1">
            <x v="0"/>
            <x v="1"/>
          </reference>
          <reference field="8" count="1" selected="0">
            <x v="2"/>
          </reference>
          <reference field="9" count="1">
            <x v="33"/>
          </reference>
        </references>
      </pivotArea>
    </format>
    <format dxfId="136">
      <pivotArea collapsedLevelsAreSubtotals="1" fieldPosition="0">
        <references count="5">
          <reference field="4" count="2" selected="0">
            <x v="1"/>
            <x v="2"/>
          </reference>
          <reference field="6" count="1" selected="0">
            <x v="30"/>
          </reference>
          <reference field="7" count="1" selected="0">
            <x v="2"/>
          </reference>
          <reference field="8" count="1" selected="0">
            <x v="2"/>
          </reference>
          <reference field="9" count="1">
            <x v="33"/>
          </reference>
        </references>
      </pivotArea>
    </format>
    <format dxfId="135">
      <pivotArea collapsedLevelsAreSubtotals="1" fieldPosition="0">
        <references count="4">
          <reference field="6" count="1" selected="0">
            <x v="34"/>
          </reference>
          <reference field="7" count="2" selected="0" defaultSubtotal="1">
            <x v="0"/>
            <x v="1"/>
          </reference>
          <reference field="8" count="1" selected="0">
            <x v="2"/>
          </reference>
          <reference field="9" count="3">
            <x v="34"/>
            <x v="35"/>
            <x v="36"/>
          </reference>
        </references>
      </pivotArea>
    </format>
    <format dxfId="134">
      <pivotArea collapsedLevelsAreSubtotals="1" fieldPosition="0">
        <references count="5">
          <reference field="4" count="2" selected="0">
            <x v="1"/>
            <x v="2"/>
          </reference>
          <reference field="6" count="1" selected="0">
            <x v="34"/>
          </reference>
          <reference field="7" count="1" selected="0">
            <x v="2"/>
          </reference>
          <reference field="8" count="1" selected="0">
            <x v="2"/>
          </reference>
          <reference field="9" count="3">
            <x v="34"/>
            <x v="35"/>
            <x v="36"/>
          </reference>
        </references>
      </pivotArea>
    </format>
    <format dxfId="133">
      <pivotArea dataOnly="0" labelOnly="1" fieldPosition="0">
        <references count="3">
          <reference field="6" count="1" selected="0">
            <x v="34"/>
          </reference>
          <reference field="8" count="1" selected="0">
            <x v="2"/>
          </reference>
          <reference field="9" count="3">
            <x v="34"/>
            <x v="35"/>
            <x v="36"/>
          </reference>
        </references>
      </pivotArea>
    </format>
  </formats>
  <pivotHierarchies count="176">
    <pivotHierarchy dragToData="1"/>
    <pivotHierarchy dragToData="1"/>
    <pivotHierarchy dragToData="1"/>
    <pivotHierarchy dragToData="1"/>
    <pivotHierarchy dragToData="1"/>
    <pivotHierarchy dragToData="1"/>
    <pivotHierarchy dragToData="1"/>
    <pivotHierarchy multipleItemSelectionAllowed="1">
      <members count="3" level="1">
        <member name="[Calendar].[Date Hierarchy].[Year].&amp;[2018]"/>
        <member name="[Calendar].[Date Hierarchy].[Year].&amp;[2019]"/>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35"/>
    <rowHierarchyUsage hierarchyUsage="43"/>
    <rowHierarchyUsage hierarchyUsage="44"/>
  </rowHierarchiesUsage>
  <colHierarchiesUsage count="2">
    <colHierarchyUsage hierarchyUsage="3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2" cacheId="23" applyNumberFormats="0" applyBorderFormats="0" applyFontFormats="0" applyPatternFormats="0" applyAlignmentFormats="0" applyWidthHeightFormats="1" dataCaption="Values" tag="4c7c7699-cd80-4548-b23f-4baa068b0a38" updatedVersion="6" minRefreshableVersion="3" showDataTips="0" subtotalHiddenItems="1" colGrandTotals="0" itemPrintTitles="1" createdVersion="5" indent="0" outline="1" outlineData="1">
  <location ref="A14:K79" firstHeaderRow="1" firstDataRow="3" firstDataCol="1" rowPageCount="1" colPageCount="1"/>
  <pivotFields count="11">
    <pivotField allDrilled="1" showAll="0" dataSourceSort="1"/>
    <pivotField showAll="0" dataSourceSort="1"/>
    <pivotField showAll="0" dataSourceSort="1"/>
    <pivotField dataField="1" showAll="0"/>
    <pivotField axis="axisCol" allDrilled="1" showAll="0" dataSourceSort="1" defaultAttributeDrillState="1">
      <items count="4">
        <item s="1" x="0"/>
        <item s="1" x="1"/>
        <item s="1" x="2"/>
        <item t="default"/>
      </items>
    </pivotField>
    <pivotField axis="axisPage" allDrilled="1" showAll="0" dataSourceSort="1" defaultAttributeDrillState="1">
      <items count="1">
        <item t="default"/>
      </items>
    </pivotField>
    <pivotField axis="axisRow" allDrilled="1" showAll="0" dataSourceSort="1">
      <items count="45">
        <item x="0" e="0"/>
        <item x="1" e="0"/>
        <item x="2" e="0"/>
        <item x="3" e="0"/>
        <item x="4" e="0"/>
        <item x="5" e="0"/>
        <item x="6" e="0"/>
        <item x="7" e="0"/>
        <item x="8" e="0"/>
        <item x="9" e="0"/>
        <item x="10" e="0"/>
        <item x="11" e="0"/>
        <item x="12" e="0"/>
        <item x="13" e="0"/>
        <item x="14" e="0"/>
        <item x="15" e="0"/>
        <item x="16" e="0"/>
        <item x="17" e="0"/>
        <item x="18" e="0"/>
        <item x="19" e="0"/>
        <item x="20" e="0"/>
        <item x="21" e="0"/>
        <item x="22"/>
        <item x="23" e="0"/>
        <item x="24" e="0"/>
        <item x="25" e="0"/>
        <item x="26" e="0"/>
        <item x="27" e="0"/>
        <item x="28" e="0"/>
        <item x="29" e="0"/>
        <item x="30" e="0"/>
        <item x="31" e="0"/>
        <item x="32" e="0"/>
        <item x="33" e="0"/>
        <item x="34" e="0"/>
        <item x="35" e="0"/>
        <item x="36" e="0"/>
        <item x="37" e="0"/>
        <item x="38" e="0"/>
        <item x="39" e="0"/>
        <item x="40" e="0"/>
        <item x="41" e="0"/>
        <item x="42" e="0"/>
        <item x="43" e="0"/>
        <item t="default"/>
      </items>
    </pivotField>
    <pivotField axis="axisCol" allDrilled="1" showAll="0" defaultAttributeDrillState="1">
      <items count="4">
        <item x="2"/>
        <item x="0"/>
        <item x="1"/>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95">
        <item x="0"/>
        <item x="1"/>
        <item x="2"/>
        <item x="3"/>
        <item x="4"/>
        <item x="5"/>
        <item x="6"/>
        <item x="7"/>
        <item x="8"/>
        <item x="9"/>
        <item x="10"/>
        <item x="11"/>
        <item x="12"/>
        <item x="13"/>
        <item n="40103 - ПОТРОШЕН КАНЦЕЛАРИСКИ МАТЕРИИЈАЛ" x="14"/>
        <item n="40105 - ПОТРОШ.МАТЕР.ЗА ХИГИЕНА" x="15"/>
        <item n="40107 - ПОТРОШ.POTR.SRED.ZA ZA[TITA PRI RAB.-RAB.(OBLEKA I OBUVKI" x="16"/>
        <item n="43030 - АМОРТИЗАЦИЈА НА СОФТВЕР 0030" x="17"/>
        <item n="43031 - АМОРТИЗАЦИЈА НА СОФТВЕР 0031" x="18"/>
        <item n="43132 - АМОРТИЗ. НА ТРАНС. СРЕДСТВА" x="19"/>
        <item n="43133 - АМОРИТИЗАЦИЈА НА ТЕЛЕКОМУИКАЦИКСИ УРЕДИ" x="20"/>
        <item n="43136 - АМОРТИЗАЦИЈА НА КАНЦЕЛАРИСКИ МЕБЕЛ 01363" x="21"/>
        <item n="43139 - АМОРИТЗАЦИЈА НА МЕД. УРЕДИ ДЕФИБРИЛАТОР 01391" x="22"/>
        <item n="43155 - АМОРТИЗАЦИЈА НА ВЛОЖУВАЊЕ ВО ТУЃИ НЕДВИЖНОСТИ" x="23"/>
        <item n="4401 - ПАТНИ ТРОШОЦИ ВО ЗЕМЈАТА" x="24"/>
        <item n="44011 - ПАТНИ ТРОШОЦИ ЗА СЛУЖБЕНИ ПАТУВАЊА ВО СТРАНСТВО" x="25"/>
        <item n="4403 - НАДОМЕСТ ЗА НОЌЕВАЊЕ ВО ЗЕМЈА" x="26"/>
        <item n="44032 - НАДОМЕСТ ЗА НОЌЕВАЊЕ ВО СТРАНСТВО" x="27"/>
        <item n="4170 - ТРОШОЦИ ЗА РЕКЛАМИ, ПРОПАГАНДА И ПРОМОЦИЈА" x="28"/>
        <item n="44500 - ПРЕМИЈА ЗА ОСИГУРУВАЊЕ НА ГРАДЕЖНИ ОБЈЕКТИ" x="29"/>
        <item n="44501 - ПРЕМИЈА ЗА ОСИГУРУВАЊЕ НА ТРАНСПОРТНИ СРЕДСТВАPREMIJA ZA OSIGUR.NA TRANSPORTNI SRED." x="30"/>
        <item n="44502 - ПРЕМИЈА ЗА ОСИГУРУВАЊЕ НА КОМПЈУТЕРСКА ОПРЕМА " x="31"/>
        <item n="4459 - ДРУГИ ПРЕМИИ ЗА ОСИГУРУВАЊЕ" x="32"/>
        <item n="4476 - ЧЛАНАРИНА" x="33"/>
        <item n="4460 - БАНКАРСКИ УСЛУГИ И ТРОШОЦИ ЗА ПЛАТЕН ПРОМЕТ" x="34"/>
        <item n="41330 - УСЛУГИ ЗА ТЕКОВНО ОДРЖУВАЊЕ НА НЕМАТЕРИЈАЛНИ ВЛОЖУВАЊА (ЛИЦЕНЦИ)" x="35"/>
        <item n="41733 - ОСТАНАТИ НЕСПОМАНТИ ТРОШОЦИ" x="36"/>
        <item n="4440 - ТРОШОЦИ ЗА РЕПРЕЗЕНТАЦИЈА" x="37"/>
        <item n="4494 - ТРОШОЦИ ЗА ПРЕТПЛАТА НА ВЕСНИЦИ И СПИСАНИЈА" x="38"/>
        <item n="4497 - СУДСКИ ТРОШОЦИ" x="39"/>
        <item n="4499 - ДРУГИ НЕСПОМНАТИ НЕМАТЕРИЈАЛНИ ТРОШОЦИ" x="40"/>
        <item n="44990 -ДАДЕНА ПАРИЧНА ПОМОШ НА ФИЗИЧКИ ЛИЦА" x="41"/>
        <item n="4030 - ПОТРОШЕНА ЕЛЕКТ. ЕНЕРГИЈА" x="42"/>
        <item n="40304 - ПОТРОШЕНА НАФТА" x="43"/>
        <item n="403102 - ПОТРОШЕНО ГОРИВО SK 2082 AI" x="44"/>
        <item n="403103 - ПОТРОШЕНО ГОРИВО SK 2083 AI" x="45"/>
        <item n="403104 - ПОТРОШЕНО ГОРИВО SK 2084 AI" x="46"/>
        <item n="403105 - ПОТРОШЕНО ГОРИВО SK 2085 AI" x="47"/>
        <item n="4031601 - ПОТРОШЕНО ГОРИВО SK 0601 АС" x="48"/>
        <item n="4031602 - ПОТРОШЕНО ГОРИВО SK 0602 АС" x="49"/>
        <item n="4031603 - ПОТРОШЕНО ГОРИВО SK 0603 АС" x="50"/>
        <item n="4031604 - ПОТРОШЕНО ГОРИВО SK 0604 АС" x="51"/>
        <item n="4031605 - ПОТРОШЕНО ГОРИВО SK 0605 АС" x="52"/>
        <item n="4031606 - ПОТРОШЕНО ГОРИВО SK 0606 АС" x="53"/>
        <item n="4031607 - ПОТРОШЕНО ГОРИВО SK 0607 АС" x="54"/>
        <item n="4031608 - ПОТРОШЕНО ГОРИВО SK 0608 АС" x="55"/>
        <item n="4031609 - ПОТРОШЕНО ГОРИВО SK 0609 АС" x="56"/>
        <item n="4031610 - ПОТРОШЕНО ГОРИВО SK 0610 АС" x="57"/>
        <item n="4031611 - ПОТРОШЕНО ГОРИВО SK 0611 АС" x="58"/>
        <item n="4051 -ПОТРОШЕНИ РЕЗЕРВНИ ДЕЛОВИ ЗА ТЕКОВНО ОДРЖУВАЊЕ" x="59"/>
        <item n="4080 - ОТПИС НА СИТЕН ИНВЕНТР ВО УПОТРЕБА" x="60"/>
        <item n="4081 - ОТПИС НА АВТОГУМИ ВО УПОТРЕБА" x="61"/>
        <item n="4104 - ТАКСИ ПРЕВОЗ" x="62"/>
        <item n="4106 - ДРУГИ ТРАНСПОРТНИ УСЛУГИ" x="63"/>
        <item n="41101 - ТРОШОЦИ ЗА ТЕЛЕКОМУНИКАЦИИ" x="64"/>
        <item n="41102 - ТРОШОЦИ ЗА ИНТЕРНЕТ" x="65"/>
        <item n="41103 - ТРОШОЦИ ЗА МОБИЛНА ТЕЛЕФОНИЈА" x="66"/>
        <item n="4111 - ПОШТЕНСКИ УСЛУГИ" x="67"/>
        <item n="4113 - ОСТАНАТИ НАДВОРЕШНИ УСЛУГИ" x="68"/>
        <item n="41500 - ТРОШШОЦИ ЗА ВОДА" x="69"/>
        <item n="41501 - ТРОШОЦИ ЗА СМЕТ" x="70"/>
        <item n="41502 - ТРОШОЦИ ЗА ОДРЖУВАЊЕ НА ЗЕЛЕНИЛО" x="71"/>
        <item n="41503 - ТРОШОЦИ ЗА ГАРАЖИРАЊЕ И ПАРКИНГ" x="72"/>
        <item n="41700 - ОСТАНАТИ ТРОШОЦИ ЗА СНИМАЊЕ, ФОТО, ИКЕБАНИ" x="73"/>
        <item n="41701 - ОГЛАСИ ВО ПЕЧАТЕНИ МЕДИУМИ" x="74"/>
        <item n="4131 - УСЛУГИ ЗА ТЕКОВНО ОДРЖУВАЊЕ НА ГРАДЕЖНИ ОБЈЕКТИ" x="75"/>
        <item n="4132 - УСЛУГИ ЗА ТЕКОВНО ОДРЖУВАЊЕ НА ОПРЕМА" x="76"/>
        <item n="4133 - УСЛУГИ ЗА ТЕКОВНО ОДРЖУВАЊЕ НА ОПРЕМА ЗА АОП" x="77"/>
        <item n="4134 - УСЛУГИ ЗА ОДРЖУВАЊЕ НА ХИГИЕНА ВО ПРОСТОРИИ" x="78"/>
        <item n="4139 - ОСТАНАТИ УСЛУГИ ЗА ОДРЖУВАЊЕ" x="79"/>
        <item n="4143 - НАМЕМНИНИ ЗА НЕДВИЖНОСТИ - ЗАКУП ОД ПРАВНО ЛИЦЕ" x="80"/>
        <item n="41931 - ИНТЕЛЕКТУАЛНИ УСЛУГИ" x="81"/>
        <item n="44902 - ПРАВНИ, АДВОКАТСКИ И НОТАРСКИ УСЛУГИ" x="82"/>
        <item n="44903 - УСЛУГИ ЗА РЕВИЗИЈА И ПРОЦЕНКА" x="83"/>
        <item n="44904 - УСЛУГИ ЗА ПРЕПИСИ И ПРЕВОДИ" x="84"/>
        <item n="44907 - ДРУГИ ДОГОВОРНИ УСЛУГИ" x="85"/>
        <item n="44908 - ЗАЕД. ТРОШОЦИ СО НБР" x="86"/>
        <item n="44909 - ДРУГИ ИНТЕЛЕКТУАЛНИ УСЛУГИ" x="87"/>
        <item n="4496 - КОПИРАЊЕ, ПЕЧАТЕЊЕ, ПОВРЗУВАЊЕ, ПЕЧАТЕЊЕ И ИЗДАВАЊЕ" x="88"/>
        <item n="44970 - ТРОШОЦИ ЗА РЕГИСТРАЦИЈА НА ВОЗИЛО" x="89"/>
        <item n="44972 - СЕРВИСИРАЊЕ И ПОПРАВКА НА ВОЗИЛО" x="90"/>
        <item n="44973 - ДР. ТРОШОЦИ НА ВОЗИЛО" x="91"/>
        <item n="44980 - ТРОШОЦИ ЗА ПАТАРИНА" x="92"/>
        <item n="4660 - РАСХОД ОД ПОРАНЕШНИ ГОДИНИ" x="93"/>
        <item t="default"/>
      </items>
    </pivotField>
    <pivotField allDrilled="1" showAll="0" dataSourceSort="1" defaultAttributeDrillState="1"/>
  </pivotFields>
  <rowFields count="3">
    <field x="8"/>
    <field x="6"/>
    <field x="9"/>
  </rowFields>
  <rowItems count="63">
    <i>
      <x/>
    </i>
    <i r="1">
      <x/>
    </i>
    <i r="1">
      <x v="1"/>
    </i>
    <i r="1">
      <x v="2"/>
    </i>
    <i r="1">
      <x v="3"/>
    </i>
    <i r="1">
      <x v="4"/>
    </i>
    <i r="1">
      <x v="5"/>
    </i>
    <i r="1">
      <x v="6"/>
    </i>
    <i r="1">
      <x v="7"/>
    </i>
    <i r="1">
      <x v="8"/>
    </i>
    <i r="1">
      <x v="9"/>
    </i>
    <i r="1">
      <x v="10"/>
    </i>
    <i r="1">
      <x v="11"/>
    </i>
    <i r="1">
      <x v="12"/>
    </i>
    <i>
      <x v="1"/>
    </i>
    <i r="1">
      <x v="13"/>
    </i>
    <i r="1">
      <x v="14"/>
    </i>
    <i r="1">
      <x v="15"/>
    </i>
    <i r="1">
      <x v="16"/>
    </i>
    <i r="1">
      <x v="17"/>
    </i>
    <i r="1">
      <x v="18"/>
    </i>
    <i r="1">
      <x v="19"/>
    </i>
    <i r="1">
      <x v="20"/>
    </i>
    <i>
      <x v="2"/>
    </i>
    <i r="1">
      <x v="21"/>
    </i>
    <i r="1">
      <x v="22"/>
    </i>
    <i r="2">
      <x/>
    </i>
    <i r="2">
      <x v="1"/>
    </i>
    <i r="2">
      <x v="2"/>
    </i>
    <i r="2">
      <x v="3"/>
    </i>
    <i r="2">
      <x v="4"/>
    </i>
    <i r="2">
      <x v="5"/>
    </i>
    <i r="2">
      <x v="6"/>
    </i>
    <i r="2">
      <x v="7"/>
    </i>
    <i r="2">
      <x v="8"/>
    </i>
    <i r="2">
      <x v="9"/>
    </i>
    <i r="2">
      <x v="10"/>
    </i>
    <i r="2">
      <x v="11"/>
    </i>
    <i r="2">
      <x v="12"/>
    </i>
    <i r="2">
      <x v="13"/>
    </i>
    <i r="1">
      <x v="23"/>
    </i>
    <i r="1">
      <x v="24"/>
    </i>
    <i r="1">
      <x v="25"/>
    </i>
    <i r="1">
      <x v="26"/>
    </i>
    <i r="1">
      <x v="27"/>
    </i>
    <i r="1">
      <x v="28"/>
    </i>
    <i r="1">
      <x v="29"/>
    </i>
    <i r="1">
      <x v="30"/>
    </i>
    <i r="1">
      <x v="31"/>
    </i>
    <i r="1">
      <x v="32"/>
    </i>
    <i r="1">
      <x v="33"/>
    </i>
    <i r="1">
      <x v="34"/>
    </i>
    <i r="1">
      <x v="35"/>
    </i>
    <i r="1">
      <x v="36"/>
    </i>
    <i r="1">
      <x v="37"/>
    </i>
    <i r="1">
      <x v="38"/>
    </i>
    <i>
      <x v="3"/>
    </i>
    <i r="1">
      <x v="39"/>
    </i>
    <i r="1">
      <x v="40"/>
    </i>
    <i r="1">
      <x v="41"/>
    </i>
    <i r="1">
      <x v="42"/>
    </i>
    <i r="1">
      <x v="43"/>
    </i>
    <i t="grand">
      <x/>
    </i>
  </rowItems>
  <colFields count="2">
    <field x="7"/>
    <field x="4"/>
  </colFields>
  <colItems count="10">
    <i>
      <x/>
      <x v="1"/>
    </i>
    <i r="1">
      <x v="2"/>
    </i>
    <i t="default">
      <x/>
    </i>
    <i>
      <x v="1"/>
      <x/>
    </i>
    <i r="1">
      <x v="1"/>
    </i>
    <i r="1">
      <x v="2"/>
    </i>
    <i t="default">
      <x v="1"/>
    </i>
    <i>
      <x v="2"/>
      <x v="1"/>
    </i>
    <i r="1">
      <x v="2"/>
    </i>
    <i t="default">
      <x v="2"/>
    </i>
  </colItems>
  <pageFields count="1">
    <pageField fld="5" hier="40" name="[fActualAndBudget].[ObrazecIme].&amp;[Finansiski plan_Bilans na uspeh]" cap="Finansiski plan_Bilans na uspeh"/>
  </pageFields>
  <dataFields count="1">
    <dataField name="Sum of Износ" fld="3" baseField="0" baseItem="0" numFmtId="3"/>
  </dataFields>
  <formats count="1">
    <format dxfId="132">
      <pivotArea dataOnly="0" labelOnly="1" fieldPosition="0">
        <references count="1">
          <reference field="9" count="0"/>
        </references>
      </pivotArea>
    </format>
  </formats>
  <pivotHierarchies count="176">
    <pivotHierarchy dragToData="1"/>
    <pivotHierarchy dragToData="1"/>
    <pivotHierarchy dragToData="1"/>
    <pivotHierarchy dragToData="1"/>
    <pivotHierarchy dragToData="1"/>
    <pivotHierarchy dragToData="1"/>
    <pivotHierarchy dragToData="1"/>
    <pivotHierarchy multipleItemSelectionAllowed="1">
      <members count="3" level="1">
        <member name="[Calendar].[Date Hierarchy].[Year].&amp;[2018]"/>
        <member name="[Calendar].[Date Hierarchy].[Year].&amp;[2019]"/>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35"/>
    <rowHierarchyUsage hierarchyUsage="43"/>
    <rowHierarchyUsage hierarchyUsage="44"/>
  </rowHierarchiesUsage>
  <colHierarchiesUsage count="2">
    <colHierarchyUsage hierarchyUsage="3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4" cacheId="16" applyNumberFormats="0" applyBorderFormats="0" applyFontFormats="0" applyPatternFormats="0" applyAlignmentFormats="0" applyWidthHeightFormats="1" dataCaption="Values" tag="50ef6e3c-6195-4b7d-a539-1367d0d83ebb" updatedVersion="6" minRefreshableVersion="3" showDataTips="0" subtotalHiddenItems="1" colGrandTotals="0" itemPrintTitles="1" createdVersion="5" indent="0" outline="1" outlineData="1">
  <location ref="A13:I35" firstHeaderRow="1" firstDataRow="3" firstDataCol="1" rowPageCount="1" colPageCount="1"/>
  <pivotFields count="11">
    <pivotField dataField="1" showAll="0"/>
    <pivotField axis="axisCol" allDrilled="1" showAll="0" defaultSubtotal="0" defaultAttributeDrillState="1">
      <items count="3">
        <item s="1" x="0"/>
        <item s="1" x="1"/>
        <item s="1" x="2"/>
      </items>
    </pivotField>
    <pivotField axis="axisPage" allDrilled="1" showAll="0" dataSourceSort="1" defaultSubtotal="0" defaultAttributeDrillState="1"/>
    <pivotField axis="axisRow" allDrilled="1" showAll="0" dataSourceSort="1" defaultSubtotal="0">
      <items count="18">
        <item x="0" e="0"/>
        <item x="1" e="0"/>
        <item x="2" e="0"/>
        <item x="3" e="0"/>
        <item x="4" e="0"/>
        <item x="5" e="0"/>
        <item x="6" e="0"/>
        <item x="7" e="0"/>
        <item x="8" e="0"/>
        <item x="9" e="0"/>
        <item x="10" e="0"/>
        <item x="11" e="0"/>
        <item x="12" e="0"/>
        <item x="13" e="0"/>
        <item x="14" e="0"/>
        <item x="15" e="0"/>
        <item x="16" e="0"/>
        <item x="17" e="0"/>
      </items>
    </pivotField>
    <pivotField axis="axisCol" allDrilled="1" showAll="0" defaultSubtotal="0" defaultAttributeDrillState="1">
      <items count="3">
        <item x="2"/>
        <item x="1"/>
        <item x="0"/>
      </items>
    </pivotField>
    <pivotField axis="axisRow" allDrilled="1" showAll="0" dataSourceSort="1" defaultSubtotal="0" defaultAttributeDrillState="1">
      <items count="1">
        <item s="1" x="0"/>
      </items>
    </pivotField>
    <pivotField axis="axisRow" allDrilled="1" showAll="0" dataSourceSort="1" defaultSubtotal="0"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allDrilled="1" showAll="0" dataSourceSort="1" defaultSubtotal="0"/>
    <pivotField showAll="0" dataSourceSort="1" defaultSubtotal="0"/>
    <pivotField showAll="0" dataSourceSort="1" defaultSubtotal="0"/>
    <pivotField allDrilled="1" showAll="0" dataSourceSort="1" defaultAttributeDrillState="1"/>
  </pivotFields>
  <rowFields count="3">
    <field x="5"/>
    <field x="3"/>
    <field x="6"/>
  </rowFields>
  <rowItems count="20">
    <i>
      <x/>
    </i>
    <i r="1">
      <x/>
    </i>
    <i r="1">
      <x v="1"/>
    </i>
    <i r="1">
      <x v="2"/>
    </i>
    <i r="1">
      <x v="3"/>
    </i>
    <i r="1">
      <x v="4"/>
    </i>
    <i r="1">
      <x v="5"/>
    </i>
    <i r="1">
      <x v="6"/>
    </i>
    <i r="1">
      <x v="7"/>
    </i>
    <i r="1">
      <x v="8"/>
    </i>
    <i r="1">
      <x v="9"/>
    </i>
    <i r="1">
      <x v="10"/>
    </i>
    <i r="1">
      <x v="11"/>
    </i>
    <i r="1">
      <x v="12"/>
    </i>
    <i r="1">
      <x v="13"/>
    </i>
    <i r="1">
      <x v="14"/>
    </i>
    <i r="1">
      <x v="15"/>
    </i>
    <i r="1">
      <x v="16"/>
    </i>
    <i r="1">
      <x v="17"/>
    </i>
    <i t="grand">
      <x/>
    </i>
  </rowItems>
  <colFields count="2">
    <field x="1"/>
    <field x="4"/>
  </colFields>
  <colItems count="8">
    <i>
      <x/>
      <x/>
    </i>
    <i r="1">
      <x v="1"/>
    </i>
    <i r="1">
      <x v="2"/>
    </i>
    <i>
      <x v="1"/>
      <x/>
    </i>
    <i r="1">
      <x v="1"/>
    </i>
    <i r="1">
      <x v="2"/>
    </i>
    <i>
      <x v="2"/>
      <x/>
    </i>
    <i r="1">
      <x v="1"/>
    </i>
  </colItems>
  <pageFields count="1">
    <pageField fld="2" hier="40" name="[fActualAndBudget].[ObrazecIme].&amp;[Finansiski plan_Bilans na uspeh]" cap="Finansiski plan_Bilans na uspeh"/>
  </pageFields>
  <dataFields count="1">
    <dataField name="Sum of Износ" fld="0" baseField="0" baseItem="0" numFmtId="3"/>
  </dataField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35"/>
    <rowHierarchyUsage hierarchyUsage="43"/>
    <rowHierarchyUsage hierarchyUsage="44"/>
  </rowHierarchiesUsage>
  <colHierarchiesUsage count="2">
    <colHierarchyUsage hierarchyUsage="8"/>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4" cacheId="24" applyNumberFormats="0" applyBorderFormats="0" applyFontFormats="0" applyPatternFormats="0" applyAlignmentFormats="0" applyWidthHeightFormats="1" dataCaption="Values" tag="a39eaea4-49b5-4bd5-959b-dd52bf2a2dad" updatedVersion="6" minRefreshableVersion="3" showDrill="0" showDataTips="0" subtotalHiddenItems="1" itemPrintTitles="1" createdVersion="5" indent="0" outline="1" outlineData="1">
  <location ref="A4:C302" firstHeaderRow="1" firstDataRow="2" firstDataCol="1" rowPageCount="1" colPageCount="1"/>
  <pivotFields count="10">
    <pivotField allDrilled="1" showAll="0" dataSourceSort="1" defaultAttributeDrillState="1"/>
    <pivotField axis="axisPage" allDrilled="1" showAll="0" defaultAttributeDrillState="1">
      <items count="2">
        <item s="1" x="0"/>
        <item t="default"/>
      </items>
    </pivotField>
    <pivotField allDrilled="1" showAll="0" dataSourceSort="1" defaultAttributeDrillState="1"/>
    <pivotField dataField="1" showAll="0"/>
    <pivotField axis="axisCol" allDrilled="1" showAll="0" dataSourceSort="1">
      <items count="2">
        <item s="1" c="1" x="0"/>
        <item t="default"/>
      </items>
    </pivotField>
    <pivotField axis="axisCol" showAll="0" dataSourceSort="1">
      <items count="1">
        <item t="default"/>
      </items>
    </pivotField>
    <pivotField axis="axisCol" showAll="0" dataSourceSort="1">
      <items count="1">
        <item t="default"/>
      </items>
    </pivotField>
    <pivotField axis="axisRow" allDrilled="1" showAll="0" dataSourceSort="1" defaultAttributeDrillState="1">
      <items count="9">
        <item x="0"/>
        <item x="1"/>
        <item x="2"/>
        <item x="3"/>
        <item x="4"/>
        <item x="5"/>
        <item x="6"/>
        <item x="7"/>
        <item t="default"/>
      </items>
    </pivotField>
    <pivotField axis="axisRow" allDrilled="1" showAll="0" dataSourceSort="1" defaultAttributeDrillState="1">
      <items count="1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axis="axisRow" allDrilled="1" showAll="0" dataSourceSort="1" defaultAttributeDrillState="1">
      <items count="2">
        <item x="0"/>
        <item t="default"/>
      </items>
    </pivotField>
  </pivotFields>
  <rowFields count="3">
    <field x="7"/>
    <field x="8"/>
    <field x="9"/>
  </rowFields>
  <rowItems count="297">
    <i>
      <x/>
    </i>
    <i r="1">
      <x/>
    </i>
    <i r="2">
      <x/>
    </i>
    <i r="1">
      <x v="1"/>
    </i>
    <i r="2">
      <x/>
    </i>
    <i r="1">
      <x v="2"/>
    </i>
    <i r="2">
      <x/>
    </i>
    <i r="1">
      <x v="3"/>
    </i>
    <i r="2">
      <x/>
    </i>
    <i r="1">
      <x v="4"/>
    </i>
    <i r="2">
      <x/>
    </i>
    <i r="1">
      <x v="5"/>
    </i>
    <i r="2">
      <x/>
    </i>
    <i r="1">
      <x v="6"/>
    </i>
    <i r="2">
      <x/>
    </i>
    <i r="1">
      <x v="7"/>
    </i>
    <i r="2">
      <x/>
    </i>
    <i r="1">
      <x v="8"/>
    </i>
    <i r="2">
      <x/>
    </i>
    <i r="1">
      <x v="9"/>
    </i>
    <i r="2">
      <x/>
    </i>
    <i r="1">
      <x v="10"/>
    </i>
    <i r="2">
      <x/>
    </i>
    <i r="1">
      <x v="11"/>
    </i>
    <i r="2">
      <x/>
    </i>
    <i r="1">
      <x v="12"/>
    </i>
    <i r="2">
      <x/>
    </i>
    <i r="1">
      <x v="13"/>
    </i>
    <i r="2">
      <x/>
    </i>
    <i r="1">
      <x v="14"/>
    </i>
    <i r="2">
      <x/>
    </i>
    <i r="1">
      <x v="15"/>
    </i>
    <i r="2">
      <x/>
    </i>
    <i r="1">
      <x v="16"/>
    </i>
    <i r="2">
      <x/>
    </i>
    <i r="1">
      <x v="17"/>
    </i>
    <i r="2">
      <x/>
    </i>
    <i r="1">
      <x v="18"/>
    </i>
    <i r="2">
      <x/>
    </i>
    <i r="1">
      <x v="19"/>
    </i>
    <i r="2">
      <x/>
    </i>
    <i r="1">
      <x v="20"/>
    </i>
    <i r="2">
      <x/>
    </i>
    <i r="1">
      <x v="21"/>
    </i>
    <i r="2">
      <x/>
    </i>
    <i r="1">
      <x v="22"/>
    </i>
    <i r="2">
      <x/>
    </i>
    <i r="1">
      <x v="23"/>
    </i>
    <i r="2">
      <x/>
    </i>
    <i r="1">
      <x v="24"/>
    </i>
    <i r="2">
      <x/>
    </i>
    <i r="1">
      <x v="25"/>
    </i>
    <i r="2">
      <x/>
    </i>
    <i r="1">
      <x v="26"/>
    </i>
    <i r="2">
      <x/>
    </i>
    <i r="1">
      <x v="27"/>
    </i>
    <i r="2">
      <x/>
    </i>
    <i r="1">
      <x v="28"/>
    </i>
    <i r="2">
      <x/>
    </i>
    <i r="1">
      <x v="29"/>
    </i>
    <i r="2">
      <x/>
    </i>
    <i r="1">
      <x v="30"/>
    </i>
    <i r="2">
      <x/>
    </i>
    <i r="1">
      <x v="31"/>
    </i>
    <i r="2">
      <x/>
    </i>
    <i r="1">
      <x v="32"/>
    </i>
    <i r="2">
      <x/>
    </i>
    <i r="1">
      <x v="33"/>
    </i>
    <i r="2">
      <x/>
    </i>
    <i r="1">
      <x v="34"/>
    </i>
    <i r="2">
      <x/>
    </i>
    <i r="1">
      <x v="35"/>
    </i>
    <i r="2">
      <x/>
    </i>
    <i r="1">
      <x v="36"/>
    </i>
    <i r="2">
      <x/>
    </i>
    <i>
      <x v="1"/>
    </i>
    <i r="1">
      <x v="37"/>
    </i>
    <i r="2">
      <x/>
    </i>
    <i r="1">
      <x v="38"/>
    </i>
    <i r="2">
      <x/>
    </i>
    <i r="1">
      <x v="39"/>
    </i>
    <i r="2">
      <x/>
    </i>
    <i r="1">
      <x v="40"/>
    </i>
    <i r="2">
      <x/>
    </i>
    <i>
      <x v="2"/>
    </i>
    <i r="1">
      <x v="41"/>
    </i>
    <i r="2">
      <x/>
    </i>
    <i r="1">
      <x v="42"/>
    </i>
    <i r="2">
      <x/>
    </i>
    <i r="1">
      <x v="43"/>
    </i>
    <i r="2">
      <x/>
    </i>
    <i r="1">
      <x v="44"/>
    </i>
    <i r="2">
      <x/>
    </i>
    <i r="1">
      <x v="45"/>
    </i>
    <i r="2">
      <x/>
    </i>
    <i r="1">
      <x v="46"/>
    </i>
    <i r="2">
      <x/>
    </i>
    <i r="1">
      <x v="47"/>
    </i>
    <i r="2">
      <x/>
    </i>
    <i r="1">
      <x v="48"/>
    </i>
    <i r="2">
      <x/>
    </i>
    <i r="1">
      <x v="49"/>
    </i>
    <i r="2">
      <x/>
    </i>
    <i r="1">
      <x v="50"/>
    </i>
    <i r="2">
      <x/>
    </i>
    <i r="1">
      <x v="51"/>
    </i>
    <i r="2">
      <x/>
    </i>
    <i r="1">
      <x v="52"/>
    </i>
    <i r="2">
      <x/>
    </i>
    <i r="1">
      <x v="53"/>
    </i>
    <i r="2">
      <x/>
    </i>
    <i r="1">
      <x v="54"/>
    </i>
    <i r="2">
      <x/>
    </i>
    <i r="1">
      <x v="55"/>
    </i>
    <i r="2">
      <x/>
    </i>
    <i r="1">
      <x v="56"/>
    </i>
    <i r="2">
      <x/>
    </i>
    <i r="1">
      <x v="57"/>
    </i>
    <i r="2">
      <x/>
    </i>
    <i r="1">
      <x v="58"/>
    </i>
    <i r="2">
      <x/>
    </i>
    <i r="1">
      <x v="59"/>
    </i>
    <i r="2">
      <x/>
    </i>
    <i r="1">
      <x v="60"/>
    </i>
    <i r="2">
      <x/>
    </i>
    <i r="1">
      <x v="61"/>
    </i>
    <i r="2">
      <x/>
    </i>
    <i r="1">
      <x v="62"/>
    </i>
    <i r="2">
      <x/>
    </i>
    <i r="1">
      <x v="63"/>
    </i>
    <i r="2">
      <x/>
    </i>
    <i>
      <x v="3"/>
    </i>
    <i r="1">
      <x v="64"/>
    </i>
    <i r="2">
      <x/>
    </i>
    <i r="1">
      <x v="65"/>
    </i>
    <i r="2">
      <x/>
    </i>
    <i r="1">
      <x v="66"/>
    </i>
    <i r="2">
      <x/>
    </i>
    <i r="1">
      <x v="67"/>
    </i>
    <i r="2">
      <x/>
    </i>
    <i r="1">
      <x v="68"/>
    </i>
    <i r="2">
      <x/>
    </i>
    <i>
      <x v="4"/>
    </i>
    <i r="1">
      <x v="69"/>
    </i>
    <i r="2">
      <x/>
    </i>
    <i r="1">
      <x v="70"/>
    </i>
    <i r="2">
      <x/>
    </i>
    <i r="1">
      <x v="71"/>
    </i>
    <i r="2">
      <x/>
    </i>
    <i r="1">
      <x v="72"/>
    </i>
    <i r="2">
      <x/>
    </i>
    <i r="1">
      <x v="73"/>
    </i>
    <i r="2">
      <x/>
    </i>
    <i r="1">
      <x v="74"/>
    </i>
    <i r="2">
      <x/>
    </i>
    <i r="1">
      <x v="75"/>
    </i>
    <i r="2">
      <x/>
    </i>
    <i r="1">
      <x v="76"/>
    </i>
    <i r="2">
      <x/>
    </i>
    <i r="1">
      <x v="77"/>
    </i>
    <i r="2">
      <x/>
    </i>
    <i r="1">
      <x v="78"/>
    </i>
    <i r="2">
      <x/>
    </i>
    <i>
      <x v="5"/>
    </i>
    <i r="1">
      <x v="79"/>
    </i>
    <i r="2">
      <x/>
    </i>
    <i r="1">
      <x v="80"/>
    </i>
    <i r="2">
      <x/>
    </i>
    <i r="1">
      <x v="81"/>
    </i>
    <i r="2">
      <x/>
    </i>
    <i r="1">
      <x v="82"/>
    </i>
    <i r="2">
      <x/>
    </i>
    <i r="1">
      <x v="83"/>
    </i>
    <i r="2">
      <x/>
    </i>
    <i r="1">
      <x v="84"/>
    </i>
    <i r="2">
      <x/>
    </i>
    <i r="1">
      <x v="85"/>
    </i>
    <i r="2">
      <x/>
    </i>
    <i r="1">
      <x v="86"/>
    </i>
    <i r="2">
      <x/>
    </i>
    <i r="1">
      <x v="87"/>
    </i>
    <i r="2">
      <x/>
    </i>
    <i r="1">
      <x v="88"/>
    </i>
    <i r="2">
      <x/>
    </i>
    <i r="1">
      <x v="89"/>
    </i>
    <i r="2">
      <x/>
    </i>
    <i r="1">
      <x v="90"/>
    </i>
    <i r="2">
      <x/>
    </i>
    <i r="1">
      <x v="91"/>
    </i>
    <i r="2">
      <x/>
    </i>
    <i r="1">
      <x v="92"/>
    </i>
    <i r="2">
      <x/>
    </i>
    <i r="1">
      <x v="93"/>
    </i>
    <i r="2">
      <x/>
    </i>
    <i r="1">
      <x v="94"/>
    </i>
    <i r="2">
      <x/>
    </i>
    <i r="1">
      <x v="95"/>
    </i>
    <i r="2">
      <x/>
    </i>
    <i r="1">
      <x v="96"/>
    </i>
    <i r="2">
      <x/>
    </i>
    <i r="1">
      <x v="97"/>
    </i>
    <i r="2">
      <x/>
    </i>
    <i r="1">
      <x v="98"/>
    </i>
    <i r="2">
      <x/>
    </i>
    <i r="1">
      <x v="99"/>
    </i>
    <i r="2">
      <x/>
    </i>
    <i r="1">
      <x v="100"/>
    </i>
    <i r="2">
      <x/>
    </i>
    <i r="1">
      <x v="101"/>
    </i>
    <i r="2">
      <x/>
    </i>
    <i r="1">
      <x v="102"/>
    </i>
    <i r="2">
      <x/>
    </i>
    <i r="1">
      <x v="103"/>
    </i>
    <i r="2">
      <x/>
    </i>
    <i r="1">
      <x v="104"/>
    </i>
    <i r="2">
      <x/>
    </i>
    <i r="1">
      <x v="105"/>
    </i>
    <i r="2">
      <x/>
    </i>
    <i r="1">
      <x v="106"/>
    </i>
    <i r="2">
      <x/>
    </i>
    <i r="1">
      <x v="107"/>
    </i>
    <i r="2">
      <x/>
    </i>
    <i r="1">
      <x v="108"/>
    </i>
    <i r="2">
      <x/>
    </i>
    <i r="1">
      <x v="109"/>
    </i>
    <i r="2">
      <x/>
    </i>
    <i r="1">
      <x v="110"/>
    </i>
    <i r="2">
      <x/>
    </i>
    <i r="1">
      <x v="111"/>
    </i>
    <i r="2">
      <x/>
    </i>
    <i r="1">
      <x v="112"/>
    </i>
    <i r="2">
      <x/>
    </i>
    <i r="1">
      <x v="113"/>
    </i>
    <i r="2">
      <x/>
    </i>
    <i r="1">
      <x v="114"/>
    </i>
    <i r="2">
      <x/>
    </i>
    <i r="1">
      <x v="115"/>
    </i>
    <i r="2">
      <x/>
    </i>
    <i r="1">
      <x v="116"/>
    </i>
    <i r="2">
      <x/>
    </i>
    <i r="1">
      <x v="117"/>
    </i>
    <i r="2">
      <x/>
    </i>
    <i r="1">
      <x v="118"/>
    </i>
    <i r="2">
      <x/>
    </i>
    <i r="1">
      <x v="119"/>
    </i>
    <i r="2">
      <x/>
    </i>
    <i r="1">
      <x v="120"/>
    </i>
    <i r="2">
      <x/>
    </i>
    <i r="1">
      <x v="121"/>
    </i>
    <i r="2">
      <x/>
    </i>
    <i r="1">
      <x v="122"/>
    </i>
    <i r="2">
      <x/>
    </i>
    <i r="1">
      <x v="123"/>
    </i>
    <i r="2">
      <x/>
    </i>
    <i r="1">
      <x v="124"/>
    </i>
    <i r="2">
      <x/>
    </i>
    <i r="1">
      <x v="125"/>
    </i>
    <i r="2">
      <x/>
    </i>
    <i r="1">
      <x v="126"/>
    </i>
    <i r="2">
      <x/>
    </i>
    <i r="1">
      <x v="127"/>
    </i>
    <i r="2">
      <x/>
    </i>
    <i r="1">
      <x v="128"/>
    </i>
    <i r="2">
      <x/>
    </i>
    <i r="1">
      <x v="129"/>
    </i>
    <i r="2">
      <x/>
    </i>
    <i r="1">
      <x v="130"/>
    </i>
    <i r="2">
      <x/>
    </i>
    <i r="1">
      <x v="131"/>
    </i>
    <i r="2">
      <x/>
    </i>
    <i r="1">
      <x v="132"/>
    </i>
    <i r="2">
      <x/>
    </i>
    <i r="1">
      <x v="133"/>
    </i>
    <i r="2">
      <x/>
    </i>
    <i r="1">
      <x v="134"/>
    </i>
    <i r="2">
      <x/>
    </i>
    <i r="1">
      <x v="135"/>
    </i>
    <i r="2">
      <x/>
    </i>
    <i r="1">
      <x v="136"/>
    </i>
    <i r="2">
      <x/>
    </i>
    <i r="1">
      <x v="137"/>
    </i>
    <i r="2">
      <x/>
    </i>
    <i>
      <x v="6"/>
    </i>
    <i r="1">
      <x v="138"/>
    </i>
    <i r="2">
      <x/>
    </i>
    <i r="1">
      <x v="139"/>
    </i>
    <i r="2">
      <x/>
    </i>
    <i r="1">
      <x v="140"/>
    </i>
    <i r="2">
      <x/>
    </i>
    <i r="1">
      <x v="141"/>
    </i>
    <i r="2">
      <x/>
    </i>
    <i>
      <x v="7"/>
    </i>
    <i r="1">
      <x v="142"/>
    </i>
    <i r="2">
      <x/>
    </i>
    <i r="1">
      <x v="143"/>
    </i>
    <i r="2">
      <x/>
    </i>
    <i t="grand">
      <x/>
    </i>
  </rowItems>
  <colFields count="1">
    <field x="4"/>
  </colFields>
  <colItems count="2">
    <i>
      <x/>
    </i>
    <i t="grand">
      <x/>
    </i>
  </colItems>
  <pageFields count="1">
    <pageField fld="1" hier="31" name="[fActualAndBudget].[ReportType].&amp;[План]" cap="План"/>
  </pageFields>
  <dataFields count="1">
    <dataField name="Sum of Износ" fld="3" baseField="2" baseItem="14" numFmtId="3"/>
  </dataFields>
  <formats count="3">
    <format dxfId="131">
      <pivotArea field="2" type="button" dataOnly="0" labelOnly="1" outline="0"/>
    </format>
    <format dxfId="130">
      <pivotArea dataOnly="0" labelOnly="1" grandRow="1" outline="0" fieldPosition="0"/>
    </format>
    <format dxfId="129">
      <pivotArea outline="0" fieldPosition="0">
        <references count="1">
          <reference field="4294967294" count="1">
            <x v="0"/>
          </reference>
        </references>
      </pivotArea>
    </format>
  </formats>
  <pivotHierarchies count="176">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OPEXAnaliza].[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36"/>
    <rowHierarchyUsage hierarchyUsage="28"/>
    <rowHierarchyUsage hierarchyUsage="29"/>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fActualAndBudget]"/>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4" cacheId="1" applyNumberFormats="0" applyBorderFormats="0" applyFontFormats="0" applyPatternFormats="0" applyAlignmentFormats="0" applyWidthHeightFormats="1" dataCaption="Values" tag="e3f99197-06f0-4f87-9aa1-9258ed3b822f" updatedVersion="6" minRefreshableVersion="3" showDrill="0" showDataTips="0" subtotalHiddenItems="1" itemPrintTitles="1" createdVersion="5" indent="0" outline="1" outlineData="1">
  <location ref="A4:N150" firstHeaderRow="1" firstDataRow="2" firstDataCol="1" rowPageCount="2" colPageCount="1"/>
  <pivotFields count="7">
    <pivotField axis="axisPage" allDrilled="1" showAll="0" dataSourceSort="1" defaultAttributeDrillState="1">
      <items count="2">
        <item x="0"/>
        <item t="default"/>
      </items>
    </pivotField>
    <pivotField allDrilled="1" showAll="0" dataSourceSort="1" defaultAttributeDrillState="1"/>
    <pivotField axis="axisPage" allDrilled="1" showAll="0" defaultAttributeDrillState="1">
      <items count="1">
        <item t="default"/>
      </items>
    </pivotField>
    <pivotField allDrilled="1" showAll="0" dataSourceSort="1" defaultAttributeDrillState="1"/>
    <pivotField dataField="1" showAll="0"/>
    <pivotField axis="axisRow" allDrilled="1" showAll="0" dataSourceSort="1" defaultAttributeDrillState="1">
      <items count="1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t="default"/>
      </items>
    </pivotField>
    <pivotField axis="axisCol" allDrilled="1" showAll="0" dataSourceSort="1" defaultAttributeDrillState="1">
      <items count="13">
        <item x="0"/>
        <item x="1"/>
        <item x="2"/>
        <item x="3"/>
        <item x="4"/>
        <item x="5"/>
        <item x="6"/>
        <item x="7"/>
        <item x="8"/>
        <item x="9"/>
        <item x="10"/>
        <item x="11"/>
        <item t="default"/>
      </items>
    </pivotField>
  </pivotFields>
  <rowFields count="1">
    <field x="5"/>
  </rowFields>
  <rowItems count="1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t="grand">
      <x/>
    </i>
  </rowItems>
  <colFields count="1">
    <field x="6"/>
  </colFields>
  <colItems count="13">
    <i>
      <x/>
    </i>
    <i>
      <x v="1"/>
    </i>
    <i>
      <x v="2"/>
    </i>
    <i>
      <x v="3"/>
    </i>
    <i>
      <x v="4"/>
    </i>
    <i>
      <x v="5"/>
    </i>
    <i>
      <x v="6"/>
    </i>
    <i>
      <x v="7"/>
    </i>
    <i>
      <x v="8"/>
    </i>
    <i>
      <x v="9"/>
    </i>
    <i>
      <x v="10"/>
    </i>
    <i>
      <x v="11"/>
    </i>
    <i t="grand">
      <x/>
    </i>
  </colItems>
  <pageFields count="2">
    <pageField fld="2" hier="31" name="[fActualAndBudget].[ReportType].&amp;[План]" cap="План"/>
    <pageField fld="0" hier="8" name="[Calendar].[Година].&amp;[2022]" cap="2022"/>
  </pageFields>
  <dataFields count="1">
    <dataField name="Sum of Износ" fld="4" baseField="3" baseItem="14" numFmtId="3"/>
  </dataFields>
  <formats count="7">
    <format dxfId="128">
      <pivotArea field="3" type="button" dataOnly="0" labelOnly="1" outline="0"/>
    </format>
    <format dxfId="127">
      <pivotArea dataOnly="0" labelOnly="1" grandRow="1" outline="0" fieldPosition="0"/>
    </format>
    <format dxfId="126">
      <pivotArea outline="0" fieldPosition="0">
        <references count="1">
          <reference field="4294967294" count="1">
            <x v="0"/>
          </reference>
        </references>
      </pivotArea>
    </format>
    <format dxfId="125">
      <pivotArea field="5" grandCol="1" collapsedLevelsAreSubtotals="1" axis="axisRow" fieldPosition="0">
        <references count="1">
          <reference field="5" count="1">
            <x v="3"/>
          </reference>
        </references>
      </pivotArea>
    </format>
    <format dxfId="124">
      <pivotArea field="5" grandCol="1" collapsedLevelsAreSubtotals="1" axis="axisRow" fieldPosition="0">
        <references count="1">
          <reference field="5" count="1">
            <x v="79"/>
          </reference>
        </references>
      </pivotArea>
    </format>
    <format dxfId="123">
      <pivotArea field="5" grandCol="1" collapsedLevelsAreSubtotals="1" axis="axisRow" fieldPosition="0">
        <references count="1">
          <reference field="5" count="1">
            <x v="88"/>
          </reference>
        </references>
      </pivotArea>
    </format>
    <format dxfId="122">
      <pivotArea field="5" grandCol="1" collapsedLevelsAreSubtotals="1" axis="axisRow" fieldPosition="0">
        <references count="1">
          <reference field="5" count="1">
            <x v="89"/>
          </reference>
        </references>
      </pivotArea>
    </format>
  </formats>
  <pivotHierarchies count="176">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members count="1" level="1">
        <member name="[Calendar].[Година].&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OPEXAnaliza].[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8"/>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fActualAndBudget]"/>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2" cacheId="26" applyNumberFormats="0" applyBorderFormats="0" applyFontFormats="0" applyPatternFormats="0" applyAlignmentFormats="0" applyWidthHeightFormats="1" dataCaption="Values" tag="da369282-80a3-41bc-b42d-7f41abf916ce" updatedVersion="6" minRefreshableVersion="3" showDataTips="0" subtotalHiddenItems="1" rowGrandTotals="0" itemPrintTitles="1" createdVersion="5" indent="0" outline="1" outlineData="1">
  <location ref="B5:P61" firstHeaderRow="1" firstDataRow="3" firstDataCol="1" rowPageCount="1" colPageCount="1"/>
  <pivotFields count="8">
    <pivotField axis="axisRow" allDrilled="1" showAll="0" dataSourceSort="1" defaultSubtotal="0" defaultAttributeDrillState="1">
      <items count="9">
        <item x="0"/>
        <item x="1"/>
        <item x="2"/>
        <item x="3"/>
        <item x="4"/>
        <item x="5"/>
        <item x="6"/>
        <item x="7"/>
        <item x="8"/>
      </items>
      <extLst>
        <ext xmlns:x14="http://schemas.microsoft.com/office/spreadsheetml/2009/9/main" uri="{2946ED86-A175-432a-8AC1-64E0C546D7DE}">
          <x14:pivotField fillDownLabels="1"/>
        </ext>
      </extLst>
    </pivotField>
    <pivotField axis="axisCol" allDrilled="1" showAll="0" defaultAttributeDrillState="1">
      <items count="4">
        <item x="0"/>
        <item x="1"/>
        <item x="2"/>
        <item t="default"/>
      </items>
      <extLst>
        <ext xmlns:x14="http://schemas.microsoft.com/office/spreadsheetml/2009/9/main" uri="{2946ED86-A175-432a-8AC1-64E0C546D7DE}">
          <x14:pivotField fillDownLabels="1"/>
        </ext>
      </extLst>
    </pivotField>
    <pivotField dataField="1" showAll="0">
      <extLst>
        <ext xmlns:x14="http://schemas.microsoft.com/office/spreadsheetml/2009/9/main" uri="{2946ED86-A175-432a-8AC1-64E0C546D7DE}">
          <x14:pivotField fillDownLabels="1"/>
        </ext>
      </extLst>
    </pivotField>
    <pivotField axis="axisCol" allDrilled="1" showAll="0" dataSourceSort="1" defaultAttributeDrillState="1">
      <items count="6">
        <item x="0"/>
        <item x="1"/>
        <item x="2"/>
        <item x="3"/>
        <item x="4"/>
        <item t="default"/>
      </items>
      <extLst>
        <ext xmlns:x14="http://schemas.microsoft.com/office/spreadsheetml/2009/9/main" uri="{2946ED86-A175-432a-8AC1-64E0C546D7DE}">
          <x14:pivotField fillDownLabels="1"/>
        </ext>
      </extLst>
    </pivotField>
    <pivotField axis="axisPage" allDrilled="1" showAll="0" dataSourceSort="1" defaultAttributeDrillState="1">
      <items count="1">
        <item t="default"/>
      </items>
      <extLst>
        <ext xmlns:x14="http://schemas.microsoft.com/office/spreadsheetml/2009/9/main" uri="{2946ED86-A175-432a-8AC1-64E0C546D7DE}">
          <x14:pivotField fillDownLabels="1"/>
        </ext>
      </extLst>
    </pivotField>
    <pivotField axis="axisRow" allDrilled="1" showAll="0" dataSourceSort="1">
      <items count="10">
        <item x="0"/>
        <item x="1"/>
        <item x="2"/>
        <item x="3"/>
        <item x="4"/>
        <item x="5"/>
        <item x="6"/>
        <item x="7"/>
        <item x="8"/>
        <item t="default"/>
      </items>
      <extLst>
        <ext xmlns:x14="http://schemas.microsoft.com/office/spreadsheetml/2009/9/main" uri="{2946ED86-A175-432a-8AC1-64E0C546D7DE}">
          <x14:pivotField fillDownLabels="1"/>
        </ext>
      </extLst>
    </pivotField>
    <pivotField axis="axisRow" allDrilled="1" showAll="0" dataSourceSort="1">
      <items count="46">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t="default"/>
      </items>
      <extLst>
        <ext xmlns:x14="http://schemas.microsoft.com/office/spreadsheetml/2009/9/main" uri="{2946ED86-A175-432a-8AC1-64E0C546D7DE}">
          <x14:pivotField fillDownLabels="1"/>
        </ext>
      </extLst>
    </pivotField>
    <pivotField axis="axisRow" allDrilled="1" showAll="0" dataSourceSort="1" defaultAttributeDrillState="1">
      <items count="19">
        <item x="0"/>
        <item x="1"/>
        <item x="2"/>
        <item x="3"/>
        <item x="4"/>
        <item x="5"/>
        <item n="ИНТЕЛЕКТУАЛНИ УСЛУГИ" x="6"/>
        <item n="ПРАВНИ, АДВОКАТСКИ И НОТАРСКИ УСЛУГИ" x="7"/>
        <item n="УСЛУГИ ЗА РЕВИЗИЈА И ПРОЦЕНКА" x="8"/>
        <item n="УСЛУГИ ЗА ПРЕПИСИ И ПРЕВОДИ" x="9"/>
        <item n="ДРУГИ ДОГОВОРНИ УСЛУГИ" x="10"/>
        <item n="ЗАЕДНИЧКИ ТРОШОЦИ СО НБРМ" x="11"/>
        <item n="ДРУГИ ИНТЕЛЕКТУАЛНИ УСЛУГИ" x="12"/>
        <item n="КОПИРАЊЕ, ПЕЧАТЕЊЕ, ПОВРЗУВАЊЕ И ИЗДАВАЊЕ" x="13"/>
        <item n="ТРОШОЦИ ЗА РЕГИСТРАЦИЈА НА ВОЗИЛО" x="14"/>
        <item n="СЕРВИСИРАЊЕ И ПОПРАВКА НА ВОЗИЛО" x="15"/>
        <item n="ДР.ТРОШОЦИ ЗА ВОЗИЛА" x="16"/>
        <item n="ТРОШОЦИ ЗА ПАТАРИНА" x="17"/>
        <item t="default"/>
      </items>
      <extLst>
        <ext xmlns:x14="http://schemas.microsoft.com/office/spreadsheetml/2009/9/main" uri="{2946ED86-A175-432a-8AC1-64E0C546D7DE}">
          <x14:pivotField fillDownLabels="1"/>
        </ext>
      </extLst>
    </pivotField>
  </pivotFields>
  <rowFields count="4">
    <field x="5"/>
    <field x="6"/>
    <field x="0"/>
    <field x="7"/>
  </rowFields>
  <rowItems count="54">
    <i>
      <x/>
    </i>
    <i r="1">
      <x/>
    </i>
    <i r="1">
      <x v="1"/>
    </i>
    <i r="1">
      <x v="2"/>
    </i>
    <i r="1">
      <x v="3"/>
    </i>
    <i r="1">
      <x v="4"/>
    </i>
    <i r="1">
      <x v="5"/>
    </i>
    <i r="1">
      <x v="6"/>
    </i>
    <i r="1">
      <x v="7"/>
    </i>
    <i r="1">
      <x v="8"/>
    </i>
    <i r="1">
      <x v="9"/>
    </i>
    <i r="1">
      <x v="10"/>
    </i>
    <i r="1">
      <x v="11"/>
    </i>
    <i r="1">
      <x v="12"/>
    </i>
    <i r="1">
      <x v="13"/>
    </i>
    <i>
      <x v="1"/>
    </i>
    <i r="1">
      <x v="14"/>
    </i>
    <i r="1">
      <x v="15"/>
    </i>
    <i r="1">
      <x v="16"/>
    </i>
    <i r="1">
      <x v="17"/>
    </i>
    <i r="1">
      <x v="18"/>
    </i>
    <i r="1">
      <x v="19"/>
    </i>
    <i>
      <x v="2"/>
    </i>
    <i r="1">
      <x v="20"/>
    </i>
    <i r="1">
      <x v="21"/>
    </i>
    <i r="1">
      <x v="22"/>
    </i>
    <i r="1">
      <x v="23"/>
    </i>
    <i>
      <x v="3"/>
    </i>
    <i r="1">
      <x v="24"/>
    </i>
    <i>
      <x v="4"/>
    </i>
    <i r="1">
      <x v="25"/>
    </i>
    <i>
      <x v="5"/>
    </i>
    <i r="1">
      <x v="26"/>
    </i>
    <i>
      <x v="6"/>
    </i>
    <i r="1">
      <x v="27"/>
    </i>
    <i r="1">
      <x v="28"/>
    </i>
    <i r="1">
      <x v="29"/>
    </i>
    <i r="1">
      <x v="30"/>
    </i>
    <i r="1">
      <x v="31"/>
    </i>
    <i r="1">
      <x v="32"/>
    </i>
    <i r="1">
      <x v="33"/>
    </i>
    <i r="1">
      <x v="34"/>
    </i>
    <i r="1">
      <x v="35"/>
    </i>
    <i r="1">
      <x v="36"/>
    </i>
    <i r="1">
      <x v="37"/>
    </i>
    <i r="1">
      <x v="38"/>
    </i>
    <i r="1">
      <x v="39"/>
    </i>
    <i>
      <x v="7"/>
    </i>
    <i r="1">
      <x v="40"/>
    </i>
    <i r="1">
      <x v="41"/>
    </i>
    <i>
      <x v="8"/>
    </i>
    <i r="1">
      <x v="42"/>
    </i>
    <i r="1">
      <x v="43"/>
    </i>
    <i r="1">
      <x v="44"/>
    </i>
  </rowItems>
  <colFields count="2">
    <field x="1"/>
    <field x="3"/>
  </colFields>
  <colItems count="14">
    <i>
      <x/>
      <x/>
    </i>
    <i r="1">
      <x v="1"/>
    </i>
    <i r="1">
      <x v="2"/>
    </i>
    <i t="default">
      <x/>
    </i>
    <i>
      <x v="1"/>
      <x v="1"/>
    </i>
    <i r="1">
      <x v="2"/>
    </i>
    <i r="1">
      <x v="3"/>
    </i>
    <i r="1">
      <x v="4"/>
    </i>
    <i t="default">
      <x v="1"/>
    </i>
    <i>
      <x v="2"/>
      <x v="1"/>
    </i>
    <i r="1">
      <x v="2"/>
    </i>
    <i r="1">
      <x v="3"/>
    </i>
    <i t="default">
      <x v="2"/>
    </i>
    <i t="grand">
      <x/>
    </i>
  </colItems>
  <pageFields count="1">
    <pageField fld="4" hier="40" name="[fActualAndBudget].[ObrazecIme].&amp;[Finansiski plan_Bilans na uspeh]" cap="Finansiski plan_Bilans na uspeh"/>
  </pageFields>
  <dataFields count="1">
    <dataField name="Sum of Износ" fld="2" baseField="0" baseItem="0" numFmtId="3"/>
  </dataFields>
  <formats count="5">
    <format dxfId="121">
      <pivotArea field="0" grandCol="1" collapsedLevelsAreSubtotals="1" axis="axisRow" fieldPosition="2">
        <references count="1">
          <reference field="0" count="1">
            <x v="7"/>
          </reference>
        </references>
      </pivotArea>
    </format>
    <format dxfId="120">
      <pivotArea field="0" grandCol="1" collapsedLevelsAreSubtotals="1" axis="axisRow" fieldPosition="2">
        <references count="1">
          <reference field="0" count="1">
            <x v="8"/>
          </reference>
        </references>
      </pivotArea>
    </format>
    <format dxfId="119">
      <pivotArea grandCol="1" outline="0" collapsedLevelsAreSubtotals="1" fieldPosition="0"/>
    </format>
    <format dxfId="118">
      <pivotArea type="topRight" dataOnly="0" labelOnly="1" outline="0" offset="D1" fieldPosition="0"/>
    </format>
    <format dxfId="117">
      <pivotArea dataOnly="0" labelOnly="1" grandCol="1" outline="0" fieldPosition="0"/>
    </format>
  </formats>
  <pivotHierarchies count="176">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6"/>
    <rowHierarchyUsage hierarchyUsage="43"/>
    <rowHierarchyUsage hierarchyUsage="28"/>
    <rowHierarchyUsage hierarchyUsage="32"/>
  </rowHierarchiesUsage>
  <colHierarchiesUsage count="2">
    <colHierarchyUsage hierarchyUsage="31"/>
    <colHierarchyUsage hierarchyUsage="8"/>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4" cacheId="6" applyNumberFormats="0" applyBorderFormats="0" applyFontFormats="0" applyPatternFormats="0" applyAlignmentFormats="0" applyWidthHeightFormats="1" dataCaption="Values" tag="cca56bb4-b019-44ca-8702-88fda8f225a6" updatedVersion="6" minRefreshableVersion="3" showDataTips="0" subtotalHiddenItems="1" colGrandTotals="0" itemPrintTitles="1" createdVersion="5" indent="0" outline="1" outlineData="1">
  <location ref="A4:B34" firstHeaderRow="1" firstDataRow="5" firstDataCol="1" rowPageCount="1" colPageCount="1"/>
  <pivotFields count="14">
    <pivotField allDrilled="1" showAll="0" dataSourceSort="1" defaultAttributeDrillState="1">
      <items count="4">
        <item s="1" x="0"/>
        <item s="1" x="1"/>
        <item s="1" x="2"/>
        <item t="default"/>
      </items>
    </pivotField>
    <pivotField allDrilled="1" showAll="0" dataSourceSort="1" defaultAttributeDrillState="1"/>
    <pivotField allDrilled="1" showAll="0" defaultAttributeDrillState="1">
      <items count="2">
        <item s="1" x="0"/>
        <item t="default"/>
      </items>
    </pivotField>
    <pivotField allDrilled="1" showAll="0" dataSourceSort="1" defaultAttributeDrillState="1"/>
    <pivotField axis="axisPage" allDrilled="1" showAll="0" dataSourceSort="1" defaultAttributeDrillState="1">
      <items count="1">
        <item t="default"/>
      </items>
    </pivotField>
    <pivotField axis="axisRow" allDrilled="1" showAll="0" dataSourceSort="1">
      <items count="15">
        <item x="0" e="0"/>
        <item x="1" e="0"/>
        <item x="2" e="0"/>
        <item x="3" e="0"/>
        <item x="4" e="0"/>
        <item x="5" e="0"/>
        <item x="6" e="0"/>
        <item x="7" e="0"/>
        <item x="8" e="0"/>
        <item x="9" e="0"/>
        <item x="10" e="0"/>
        <item x="11" e="0"/>
        <item x="12" e="0"/>
        <item x="13" e="0"/>
        <item t="default"/>
      </items>
    </pivotField>
    <pivotField axis="axisRow" allDrilled="1" showAll="0" dataSourceSort="1" defaultAttributeDrillState="1">
      <items count="4">
        <item x="0"/>
        <item x="1"/>
        <item x="2"/>
        <item t="default"/>
      </items>
    </pivotField>
    <pivotField dataField="1" showAll="0"/>
    <pivotField axis="axisRow" allDrilled="1" showAll="0" dataSourceSort="1" defaultAttributeDrillState="1">
      <items count="9">
        <item x="0"/>
        <item x="1"/>
        <item x="2"/>
        <item x="3"/>
        <item x="4" e="0"/>
        <item x="5" e="0"/>
        <item x="6" e="0"/>
        <item x="7" e="0"/>
        <item t="default"/>
      </items>
    </pivotField>
    <pivotField axis="axisRow" allDrilled="1" showAll="0" dataSourceSort="1" defaultAttributeDrillState="1">
      <items count="3">
        <item x="0"/>
        <item x="1"/>
        <item t="default"/>
      </items>
    </pivotField>
    <pivotField axis="axisCol" allDrilled="1" showAll="0" dataSourceSort="1" defaultAttributeDrillState="1">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t="default"/>
      </items>
    </pivotField>
    <pivotField axis="axisCol" allDrilled="1" showAll="0" dataSourceSort="1">
      <items count="2">
        <item x="0" e="0"/>
        <item t="default"/>
      </items>
    </pivotField>
    <pivotField axis="axisCol" allDrilled="1" showAll="0" dataSourceSort="1">
      <items count="5">
        <item x="0" e="0"/>
        <item x="1" e="0"/>
        <item x="2" e="0"/>
        <item x="3" e="0"/>
        <item t="default"/>
      </items>
    </pivotField>
    <pivotField axis="axisCol" allDrilled="1" showAll="0" dataSourceSort="1">
      <items count="2">
        <item x="0" e="0"/>
        <item t="default"/>
      </items>
    </pivotField>
  </pivotFields>
  <rowFields count="4">
    <field x="6"/>
    <field x="8"/>
    <field x="5"/>
    <field x="9"/>
  </rowFields>
  <rowItems count="26">
    <i>
      <x/>
    </i>
    <i r="1">
      <x/>
    </i>
    <i r="2">
      <x/>
    </i>
    <i r="2">
      <x v="1"/>
    </i>
    <i r="2">
      <x v="2"/>
    </i>
    <i r="1">
      <x v="1"/>
    </i>
    <i r="2">
      <x v="3"/>
    </i>
    <i r="2">
      <x v="4"/>
    </i>
    <i r="2">
      <x v="5"/>
    </i>
    <i r="2">
      <x v="6"/>
    </i>
    <i r="1">
      <x v="2"/>
    </i>
    <i r="2">
      <x v="7"/>
    </i>
    <i r="1">
      <x v="3"/>
    </i>
    <i r="2">
      <x v="8"/>
    </i>
    <i r="2">
      <x v="9"/>
    </i>
    <i r="2">
      <x v="10"/>
    </i>
    <i r="2">
      <x v="11"/>
    </i>
    <i r="2">
      <x v="12"/>
    </i>
    <i r="2">
      <x v="13"/>
    </i>
    <i>
      <x v="1"/>
    </i>
    <i r="1">
      <x v="4"/>
    </i>
    <i>
      <x v="2"/>
    </i>
    <i r="1">
      <x v="5"/>
    </i>
    <i r="1">
      <x v="6"/>
    </i>
    <i r="1">
      <x v="7"/>
    </i>
    <i t="grand">
      <x/>
    </i>
  </rowItems>
  <colFields count="4">
    <field x="13"/>
    <field x="12"/>
    <field x="11"/>
    <field x="10"/>
  </colFields>
  <colItems count="1">
    <i>
      <x/>
    </i>
  </colItems>
  <pageFields count="1">
    <pageField fld="4" hier="93" name="[OPEXAnaliza].[ObrazecIme].&amp;[Godisna smetka_Bilans na uspeh]" cap="Godisna smetka_Bilans na uspeh"/>
  </pageFields>
  <dataFields count="1">
    <dataField name="Sum of Износ" fld="7" baseField="9" baseItem="0" numFmtId="166"/>
  </dataFields>
  <formats count="6">
    <format dxfId="116">
      <pivotArea field="4" type="button" dataOnly="0" labelOnly="1" outline="0" axis="axisPage" fieldPosition="0"/>
    </format>
    <format dxfId="115">
      <pivotArea dataOnly="0" labelOnly="1" grandRow="1" outline="0" fieldPosition="0"/>
    </format>
    <format dxfId="114">
      <pivotArea outline="0" fieldPosition="0">
        <references count="1">
          <reference field="4294967294" count="1">
            <x v="0"/>
          </reference>
        </references>
      </pivotArea>
    </format>
    <format dxfId="113">
      <pivotArea outline="0" collapsedLevelsAreSubtotals="1" fieldPosition="0"/>
    </format>
    <format dxfId="112">
      <pivotArea dataOnly="0" labelOnly="1" outline="0" fieldPosition="0">
        <references count="1">
          <reference field="4" count="0"/>
        </references>
      </pivotArea>
    </format>
    <format dxfId="111">
      <pivotArea dataOnly="0" labelOnly="1" outline="0" axis="axisValues" fieldPosition="0"/>
    </format>
  </formats>
  <pivotHierarchies count="176">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members count="1" level="1">
        <member name="[fActualAndBudget].[StavkaKategorija].&amp;[2.32. Потрошени суровини и материјали]"/>
      </members>
    </pivotHierarchy>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OPEXAnaliza].[ObrazecIme].&amp;[Godisna smetka_Bilans na uspeh]"/>
        <member name="[OPEXAnaliza].[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92"/>
    <rowHierarchyUsage hierarchyUsage="96"/>
    <rowHierarchyUsage hierarchyUsage="86"/>
    <rowHierarchyUsage hierarchyUsage="88"/>
  </rowHierarchiesUsage>
  <colHierarchiesUsage count="4">
    <colHierarchyUsage hierarchyUsage="97"/>
    <colHierarchyUsage hierarchyUsage="98"/>
    <colHierarchyUsage hierarchyUsage="99"/>
    <colHierarchyUsage hierarchyUsage="9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PEXAnaliza]"/>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7" applyNumberFormats="0" applyBorderFormats="0" applyFontFormats="0" applyPatternFormats="0" applyAlignmentFormats="0" applyWidthHeightFormats="1" dataCaption="Values" tag="9e873c60-db76-4f91-85c6-2caa3cb319dd" updatedVersion="6" minRefreshableVersion="3" showDataTips="0" useAutoFormatting="1" subtotalHiddenItems="1" rowGrandTotals="0" itemPrintTitles="1" createdVersion="5" indent="0" showHeaders="0" outline="1" outlineData="1">
  <location ref="A5:N47" firstHeaderRow="1" firstDataRow="2" firstDataCol="1" rowPageCount="2" colPageCount="1"/>
  <pivotFields count="12">
    <pivotField axis="axisRow" allDrilled="1" showAll="0" dataSourceSort="1">
      <items count="6">
        <item x="0" e="0"/>
        <item x="1" e="0"/>
        <item x="2" e="0"/>
        <item x="3" e="0"/>
        <item x="4"/>
        <item t="default"/>
      </items>
    </pivotField>
    <pivotField axis="axisRow" allDrilled="1" showAll="0" dataSourceSort="1">
      <items count="13">
        <item x="0" e="0"/>
        <item x="1" e="0"/>
        <item x="2" e="0"/>
        <item x="3" e="0"/>
        <item x="4" e="0"/>
        <item x="5" e="0"/>
        <item x="6" e="0"/>
        <item x="7" e="0"/>
        <item x="8" e="0"/>
        <item x="9" e="0"/>
        <item x="10" e="0"/>
        <item x="11" e="0"/>
        <item t="default"/>
      </items>
    </pivotField>
    <pivotField axis="axisPage" allDrilled="1" showAll="0" defaultAttributeDrillState="1">
      <items count="1">
        <item t="default"/>
      </items>
    </pivotField>
    <pivotField dataField="1" showAll="0"/>
    <pivotField axis="axisRow" allDrilled="1" showAll="0" dataSourceSort="1">
      <items count="25">
        <item x="0" e="0"/>
        <item x="1" e="0"/>
        <item x="2" e="0"/>
        <item x="3" e="0"/>
        <item x="4" e="0"/>
        <item x="5" e="0"/>
        <item x="6" e="0"/>
        <item x="7" e="0"/>
        <item x="8" e="0"/>
        <item x="9" e="0"/>
        <item x="10" e="0"/>
        <item x="11" e="0"/>
        <item x="12" e="0"/>
        <item x="13" e="0"/>
        <item x="14" e="0"/>
        <item x="15"/>
        <item x="16" e="0"/>
        <item x="17" e="0"/>
        <item x="18"/>
        <item x="19" e="0"/>
        <item x="20" e="0"/>
        <item x="21" e="0"/>
        <item x="22" e="0"/>
        <item x="23" e="0"/>
        <item t="default"/>
      </items>
    </pivotField>
    <pivotField axis="axisRow" allDrilled="1" showAll="0" dataSourceSort="1" defaultAttributeDrillState="1">
      <items count="2">
        <item x="0"/>
        <item t="default"/>
      </items>
    </pivotField>
    <pivotField axis="axisPage" allDrilled="1" showAll="0" dataSourceSort="1" defaultAttributeDrillState="1">
      <items count="1">
        <item t="default"/>
      </items>
    </pivotField>
    <pivotField axis="axisCol" allDrilled="1" showAll="0" dataSourceSort="1" defaultAttributeDrillState="1">
      <items count="13">
        <item x="0"/>
        <item x="1"/>
        <item x="2"/>
        <item x="3"/>
        <item x="4"/>
        <item x="5"/>
        <item x="6"/>
        <item x="7"/>
        <item x="8"/>
        <item x="9"/>
        <item x="10"/>
        <item x="11"/>
        <item t="default"/>
      </items>
    </pivotField>
    <pivotField allDrilled="1" showAll="0" dataSourceSort="1" defaultAttributeDrillState="1"/>
    <pivotField allDrilled="1" showAll="0" dataSourceSort="1"/>
    <pivotField showAll="0" dataSourceSort="1"/>
    <pivotField showAll="0" dataSourceSort="1"/>
  </pivotFields>
  <rowFields count="4">
    <field x="4"/>
    <field x="0"/>
    <field x="1"/>
    <field x="5"/>
  </rowFields>
  <rowItems count="41">
    <i>
      <x/>
    </i>
    <i>
      <x v="1"/>
    </i>
    <i>
      <x v="2"/>
    </i>
    <i>
      <x v="3"/>
    </i>
    <i>
      <x v="4"/>
    </i>
    <i>
      <x v="5"/>
    </i>
    <i>
      <x v="6"/>
    </i>
    <i>
      <x v="7"/>
    </i>
    <i>
      <x v="8"/>
    </i>
    <i>
      <x v="9"/>
    </i>
    <i>
      <x v="10"/>
    </i>
    <i>
      <x v="11"/>
    </i>
    <i>
      <x v="12"/>
    </i>
    <i>
      <x v="13"/>
    </i>
    <i>
      <x v="14"/>
    </i>
    <i>
      <x v="15"/>
    </i>
    <i r="1">
      <x/>
    </i>
    <i r="1">
      <x v="1"/>
    </i>
    <i r="1">
      <x v="2"/>
    </i>
    <i r="1">
      <x v="3"/>
    </i>
    <i>
      <x v="16"/>
    </i>
    <i>
      <x v="17"/>
    </i>
    <i>
      <x v="18"/>
    </i>
    <i r="1">
      <x v="4"/>
    </i>
    <i r="2">
      <x/>
    </i>
    <i r="2">
      <x v="1"/>
    </i>
    <i r="2">
      <x v="2"/>
    </i>
    <i r="2">
      <x v="3"/>
    </i>
    <i r="2">
      <x v="4"/>
    </i>
    <i r="2">
      <x v="5"/>
    </i>
    <i r="2">
      <x v="6"/>
    </i>
    <i r="2">
      <x v="7"/>
    </i>
    <i r="2">
      <x v="8"/>
    </i>
    <i r="2">
      <x v="9"/>
    </i>
    <i r="2">
      <x v="10"/>
    </i>
    <i r="2">
      <x v="11"/>
    </i>
    <i>
      <x v="19"/>
    </i>
    <i>
      <x v="20"/>
    </i>
    <i>
      <x v="21"/>
    </i>
    <i>
      <x v="22"/>
    </i>
    <i>
      <x v="23"/>
    </i>
  </rowItems>
  <colFields count="1">
    <field x="7"/>
  </colFields>
  <colItems count="13">
    <i>
      <x/>
    </i>
    <i>
      <x v="1"/>
    </i>
    <i>
      <x v="2"/>
    </i>
    <i>
      <x v="3"/>
    </i>
    <i>
      <x v="4"/>
    </i>
    <i>
      <x v="5"/>
    </i>
    <i>
      <x v="6"/>
    </i>
    <i>
      <x v="7"/>
    </i>
    <i>
      <x v="8"/>
    </i>
    <i>
      <x v="9"/>
    </i>
    <i>
      <x v="10"/>
    </i>
    <i>
      <x v="11"/>
    </i>
    <i t="grand">
      <x/>
    </i>
  </colItems>
  <pageFields count="2">
    <pageField fld="2" hier="31" name="[fActualAndBudget].[ReportType].&amp;[Предвидување]" cap="Предвидување"/>
    <pageField fld="6" hier="8" name="[Calendar].[Година].&amp;[2021]" cap="2021"/>
  </pageFields>
  <dataFields count="1">
    <dataField name="Sum of Износ" fld="3" baseField="0" baseItem="4" numFmtId="3"/>
  </dataFields>
  <pivotHierarchies count="176">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members count="1" level="1">
        <member name="[Calendar].[Година].&amp;[202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редвидување]"/>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6"/>
    <rowHierarchyUsage hierarchyUsage="34"/>
    <rowHierarchyUsage hierarchyUsage="28"/>
    <rowHierarchyUsage hierarchyUsage="3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2" cacheId="4" applyNumberFormats="0" applyBorderFormats="0" applyFontFormats="0" applyPatternFormats="0" applyAlignmentFormats="0" applyWidthHeightFormats="1" dataCaption="Values" tag="5aa7b997-6ff6-4bc7-aab8-5566b1566a04" updatedVersion="6" minRefreshableVersion="3" showDataTips="0" subtotalHiddenItems="1" rowGrandTotals="0" colGrandTotals="0" itemPrintTitles="1" createdVersion="5" indent="0" compact="0" compactData="0">
  <location ref="A5:I14" firstHeaderRow="0" firstDataRow="1" firstDataCol="4" rowPageCount="2" colPageCount="1"/>
  <pivotFields count="19">
    <pivotField compact="0" allDrilled="1" outline="0" showAll="0" dataSourceSort="1"/>
    <pivotField compact="0" outline="0" showAll="0" dataSourceSort="1"/>
    <pivotField compact="0" outline="0" showAll="0" dataSourceSort="1"/>
    <pivotField compact="0" allDrilled="1" outline="0" showAll="0" dataSourceSort="1" defaultAttributeDrillState="1">
      <items count="4">
        <item s="1" x="0"/>
        <item s="1" x="1"/>
        <item s="1" x="2"/>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Row" compact="0" allDrilled="1" outline="0" showAll="0" dataSourceSort="1" defaultSubtotal="0" defaultAttributeDrillState="1">
      <items count="7">
        <item x="0"/>
        <item x="1"/>
        <item x="2"/>
        <item x="3"/>
        <item x="4"/>
        <item x="5"/>
        <item x="6"/>
      </items>
    </pivotField>
    <pivotField axis="axisRow" compact="0" allDrilled="1" outline="0" showAll="0" dataSourceSort="1" defaultAttributeDrillState="1">
      <items count="2">
        <item x="0"/>
        <item t="default"/>
      </items>
    </pivotField>
    <pivotField axis="axisRow" compact="0" allDrilled="1" outline="0" showAll="0" dataSourceSort="1" defaultAttributeDrillState="1">
      <items count="2">
        <item x="0"/>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name="Опис на трошок" axis="axisRow" compact="0" allDrilled="1" outline="0" showAll="0" dataSourceSort="1" defaultAttributeDrillState="1">
      <items count="2">
        <item s="1" x="0"/>
        <item t="default"/>
      </items>
    </pivotField>
  </pivotFields>
  <rowFields count="4">
    <field x="18"/>
    <field x="10"/>
    <field x="8"/>
    <field x="9"/>
  </rowFields>
  <rowItems count="9">
    <i>
      <x/>
      <x/>
      <x/>
      <x/>
    </i>
    <i r="2">
      <x v="1"/>
      <x/>
    </i>
    <i r="2">
      <x v="2"/>
      <x/>
    </i>
    <i r="2">
      <x v="3"/>
      <x/>
    </i>
    <i r="2">
      <x v="4"/>
      <x/>
    </i>
    <i r="2">
      <x v="5"/>
      <x/>
    </i>
    <i r="2">
      <x v="6"/>
      <x/>
    </i>
    <i t="default" r="1">
      <x/>
    </i>
    <i t="default">
      <x/>
    </i>
  </rowItems>
  <colFields count="1">
    <field x="-2"/>
  </colFields>
  <colItems count="5">
    <i>
      <x/>
    </i>
    <i i="1">
      <x v="1"/>
    </i>
    <i i="2">
      <x v="2"/>
    </i>
    <i i="3">
      <x v="3"/>
    </i>
    <i i="4">
      <x v="4"/>
    </i>
  </colItems>
  <pageFields count="2">
    <pageField fld="16" hier="111" name="[rArtikli_HR_Analiza].[Период].&amp;[2021-01-01T00:00:00]" cap="01-01-2021"/>
    <pageField fld="17" hier="116" name="[rArtikli_HR_Analiza].[ObrazecIme].[All]" cap="All"/>
  </pageFields>
  <dataFields count="5">
    <dataField name="Количина" fld="11" baseField="10" baseItem="14" numFmtId="3"/>
    <dataField name="Единечна цена" fld="12" baseField="10" baseItem="14" numFmtId="3"/>
    <dataField name="Вкупно трошок" fld="13" baseField="10" baseItem="13" numFmtId="3"/>
    <dataField name="ДДВ %" fld="14" baseField="10" baseItem="13" numFmtId="9"/>
    <dataField name="Износ" fld="15" baseField="10" baseItem="13" numFmtId="3"/>
  </dataFields>
  <formats count="22">
    <format dxfId="110">
      <pivotArea type="all" dataOnly="0" outline="0" fieldPosition="0"/>
    </format>
    <format dxfId="109">
      <pivotArea outline="0" collapsedLevelsAreSubtotals="1" fieldPosition="0"/>
    </format>
    <format dxfId="108">
      <pivotArea type="topRight" dataOnly="0" labelOnly="1" outline="0" offset="B1" fieldPosition="0"/>
    </format>
    <format dxfId="107">
      <pivotArea outline="0" fieldPosition="0">
        <references count="1">
          <reference field="4294967294" count="1">
            <x v="0"/>
          </reference>
        </references>
      </pivotArea>
    </format>
    <format dxfId="106">
      <pivotArea outline="0" fieldPosition="0">
        <references count="1">
          <reference field="4294967294" count="1">
            <x v="1"/>
          </reference>
        </references>
      </pivotArea>
    </format>
    <format dxfId="105">
      <pivotArea outline="0" fieldPosition="0">
        <references count="1">
          <reference field="4294967294" count="1">
            <x v="2"/>
          </reference>
        </references>
      </pivotArea>
    </format>
    <format dxfId="104">
      <pivotArea outline="0" fieldPosition="0">
        <references count="1">
          <reference field="4294967294" count="1">
            <x v="3"/>
          </reference>
        </references>
      </pivotArea>
    </format>
    <format dxfId="103">
      <pivotArea outline="0" fieldPosition="0">
        <references count="1">
          <reference field="4294967294" count="1">
            <x v="4"/>
          </reference>
        </references>
      </pivotArea>
    </format>
    <format dxfId="102">
      <pivotArea field="9" type="button" dataOnly="0" labelOnly="1" outline="0" axis="axisRow" fieldPosition="3"/>
    </format>
    <format dxfId="101">
      <pivotArea dataOnly="0" labelOnly="1" outline="0" fieldPosition="0">
        <references count="1">
          <reference field="4294967294" count="5">
            <x v="0"/>
            <x v="1"/>
            <x v="2"/>
            <x v="3"/>
            <x v="4"/>
          </reference>
        </references>
      </pivotArea>
    </format>
    <format dxfId="100">
      <pivotArea field="18" type="button" dataOnly="0" labelOnly="1" outline="0" axis="axisRow" fieldPosition="0"/>
    </format>
    <format dxfId="99">
      <pivotArea field="10" type="button" dataOnly="0" labelOnly="1" outline="0" axis="axisRow" fieldPosition="1"/>
    </format>
    <format dxfId="98">
      <pivotArea field="8" type="button" dataOnly="0" labelOnly="1" outline="0" axis="axisRow" fieldPosition="2"/>
    </format>
    <format dxfId="97">
      <pivotArea field="9" type="button" dataOnly="0" labelOnly="1" outline="0" axis="axisRow" fieldPosition="3"/>
    </format>
    <format dxfId="96">
      <pivotArea dataOnly="0" labelOnly="1" outline="0" fieldPosition="0">
        <references count="1">
          <reference field="4294967294" count="5">
            <x v="0"/>
            <x v="1"/>
            <x v="2"/>
            <x v="3"/>
            <x v="4"/>
          </reference>
        </references>
      </pivotArea>
    </format>
    <format dxfId="95">
      <pivotArea field="18" type="button" dataOnly="0" labelOnly="1" outline="0" axis="axisRow" fieldPosition="0"/>
    </format>
    <format dxfId="94">
      <pivotArea field="10" type="button" dataOnly="0" labelOnly="1" outline="0" axis="axisRow" fieldPosition="1"/>
    </format>
    <format dxfId="93">
      <pivotArea field="8" type="button" dataOnly="0" labelOnly="1" outline="0" axis="axisRow" fieldPosition="2"/>
    </format>
    <format dxfId="92">
      <pivotArea dataOnly="0" labelOnly="1" outline="0" fieldPosition="0">
        <references count="1">
          <reference field="4294967294" count="5">
            <x v="0"/>
            <x v="1"/>
            <x v="2"/>
            <x v="3"/>
            <x v="4"/>
          </reference>
        </references>
      </pivotArea>
    </format>
    <format dxfId="91">
      <pivotArea outline="0" fieldPosition="0">
        <references count="1">
          <reference field="18" count="1" selected="0" defaultSubtotal="1">
            <x v="0"/>
          </reference>
        </references>
      </pivotArea>
    </format>
    <format dxfId="90">
      <pivotArea field="9" type="button" dataOnly="0" labelOnly="1" outline="0" axis="axisRow" fieldPosition="3"/>
    </format>
    <format dxfId="89">
      <pivotArea dataOnly="0" labelOnly="1" outline="0" fieldPosition="0">
        <references count="1">
          <reference field="18" count="1" defaultSubtotal="1">
            <x v="0"/>
          </reference>
        </references>
      </pivotArea>
    </format>
  </format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fArtikliCeni].[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3" level="1">
        <member name=""/>
        <member name=""/>
        <member name=""/>
        <member name=""/>
        <member name=""/>
        <member name=""/>
        <member name=""/>
        <member name=""/>
        <member name=""/>
        <member name="[rArtikli_HR_Analiza].[Период].&amp;[2021-10-01T00:00:00]"/>
        <member name="[rArtikli_HR_Analiza].[Период].&amp;[2021-11-01T00:00:00]"/>
        <member name="[rArtikli_HR_Analiza].[Период].&amp;[2021-12-01T00:00:00]"/>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rtikliAnaliza].[ObrazecIme].&amp;[Finansiski plan_Bilans na uspeh]"/>
      </members>
    </pivotHierarchy>
    <pivotHierarchy dragToData="1"/>
    <pivotHierarchy dragToData="1"/>
    <pivotHierarchy multipleItemSelectionAllowed="1" dragToData="1">
      <members count="1" level="1">
        <member name="[rArtikliAnaliza].[Период (Year)].&amp;[202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Вкупно трошок"/>
    <pivotHierarchy dragToData="1" caption="Количина"/>
    <pivotHierarchy dragToData="1" caption="Единечна цена"/>
    <pivotHierarchy dragToData="1" caption="ДДВ"/>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117"/>
    <rowHierarchyUsage hierarchyUsage="101"/>
    <rowHierarchyUsage hierarchyUsage="100"/>
    <rowHierarchyUsage hierarchyUsage="10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rtikli_HR_Analiza]"/>
      </x15:pivotTableUISettings>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2" cacheId="3" applyNumberFormats="0" applyBorderFormats="0" applyFontFormats="0" applyPatternFormats="0" applyAlignmentFormats="0" applyWidthHeightFormats="1" dataCaption="Values" tag="5aa7b997-6ff6-4bc7-aab8-5566b1566a04" updatedVersion="6" minRefreshableVersion="3" showDataTips="0" subtotalHiddenItems="1" rowGrandTotals="0" colGrandTotals="0" itemPrintTitles="1" createdVersion="5" indent="0" compact="0" compactData="0">
  <location ref="A5" firstHeaderRow="0" firstDataRow="0" firstDataCol="0" rowPageCount="2" colPageCount="1"/>
  <pivotFields count="11">
    <pivotField compact="0" allDrilled="1" outline="0" showAll="0" dataSourceSort="1"/>
    <pivotField compact="0" outline="0" showAll="0" dataSourceSort="1"/>
    <pivotField compact="0" outline="0" showAll="0" dataSourceSort="1"/>
    <pivotField compact="0" allDrilled="1" outline="0" showAll="0" dataSourceSort="1" defaultAttributeDrillState="1">
      <items count="4">
        <item s="1" x="0"/>
        <item s="1" x="1"/>
        <item s="1" x="2"/>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name="Опис на трошок" compact="0" allDrilled="1" outline="0" showAll="0" dataSourceSort="1" defaultAttributeDrillState="1">
      <items count="3">
        <item s="1" x="0"/>
        <item s="1" x="1"/>
        <item t="default"/>
      </items>
    </pivotField>
  </pivotFields>
  <pageFields count="2">
    <pageField fld="8" hier="111" name="[rArtikli_HR_Analiza].[Период].&amp;[2021-01-01T00:00:00]" cap="01-01-2021"/>
    <pageField fld="9" hier="116" name="[rArtikli_HR_Analiza].[ObrazecIme].[All]" cap="All"/>
  </pageFields>
  <formats count="5">
    <format dxfId="88">
      <pivotArea type="all" dataOnly="0" outline="0" fieldPosition="0"/>
    </format>
    <format dxfId="87">
      <pivotArea outline="0" collapsedLevelsAreSubtotals="1" fieldPosition="0"/>
    </format>
    <format dxfId="86">
      <pivotArea type="topRight" dataOnly="0" labelOnly="1" outline="0" offset="B1" fieldPosition="0"/>
    </format>
    <format dxfId="85">
      <pivotArea field="10" type="button" dataOnly="0" labelOnly="1" outline="0"/>
    </format>
    <format dxfId="84">
      <pivotArea field="10" type="button" dataOnly="0" labelOnly="1" outline="0"/>
    </format>
  </format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fArtikliCeni].[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3" level="1">
        <member name=""/>
        <member name=""/>
        <member name=""/>
        <member name=""/>
        <member name=""/>
        <member name=""/>
        <member name=""/>
        <member name=""/>
        <member name=""/>
        <member name="[rArtikli_HR_Analiza].[Период].&amp;[2021-10-01T00:00:00]"/>
        <member name="[rArtikli_HR_Analiza].[Период].&amp;[2021-11-01T00:00:00]"/>
        <member name="[rArtikli_HR_Analiza].[Период].&amp;[2021-12-01T00:00:00]"/>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rtikliAnaliza].[ObrazecIme].&amp;[Finansiski plan_Bilans na uspeh]"/>
      </members>
    </pivotHierarchy>
    <pivotHierarchy dragToData="1"/>
    <pivotHierarchy dragToData="1"/>
    <pivotHierarchy multipleItemSelectionAllowed="1" dragToData="1">
      <members count="1" level="1">
        <member name="[rArtikliAnaliza].[Период (Year)].&amp;[202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Вкупно трошок"/>
    <pivotHierarchy dragToData="1" caption="Количина"/>
    <pivotHierarchy dragToData="1" caption="Единечна цена"/>
    <pivotHierarchy dragToData="1" caption="ДДВ"/>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rtikli_HR_Analiza]"/>
      </x15:pivotTableUISettings>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2" cacheId="13" applyNumberFormats="0" applyBorderFormats="0" applyFontFormats="0" applyPatternFormats="0" applyAlignmentFormats="0" applyWidthHeightFormats="1" dataCaption="Values" tag="7ea3ca91-ea6e-4924-b3a0-3f9eab44d317" updatedVersion="6" minRefreshableVersion="3" showDataTips="0" subtotalHiddenItems="1" rowGrandTotals="0" colGrandTotals="0" itemPrintTitles="1" createdVersion="5" indent="0" outline="1" outlineData="1">
  <location ref="A5:I60" firstHeaderRow="1" firstDataRow="3" firstDataCol="1" rowPageCount="1" colPageCount="1"/>
  <pivotFields count="11">
    <pivotField allDrilled="1" showAll="0" dataSourceSort="1" defaultSubtotal="0"/>
    <pivotField showAll="0" dataSourceSort="1" defaultSubtotal="0"/>
    <pivotField showAll="0" dataSourceSort="1" defaultSubtotal="0"/>
    <pivotField axis="axisRow" allDrilled="1" showAll="0" dataSourceSort="1" defaultSubtotal="0">
      <items count="44">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s>
    </pivotField>
    <pivotField axis="axisRow" allDrilled="1"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axis="axisCol" allDrilled="1" showAll="0" defaultSubtotal="0" defaultAttributeDrillState="1">
      <items count="3">
        <item x="0"/>
        <item x="1"/>
        <item x="2"/>
      </items>
    </pivotField>
    <pivotField dataField="1" showAll="0"/>
    <pivotField axis="axisRow" allDrilled="1" showAll="0" dataSourceSort="1" defaultSubtotal="0">
      <items count="9">
        <item x="0"/>
        <item x="1"/>
        <item x="2"/>
        <item x="3"/>
        <item x="4"/>
        <item x="5" e="0"/>
        <item x="6"/>
        <item x="7"/>
        <item x="8"/>
      </items>
    </pivotField>
    <pivotField axis="axisRow" allDrilled="1"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axis="axisCol" allDrilled="1" showAll="0" dataSourceSort="1" defaultSubtotal="0" defaultAttributeDrillState="1">
      <items count="3">
        <item s="1" x="0"/>
        <item s="1" x="1"/>
        <item s="1" x="2"/>
      </items>
    </pivotField>
    <pivotField axis="axisPage" allDrilled="1" showAll="0" dataSourceSort="1" defaultSubtotal="0" defaultAttributeDrillState="1"/>
  </pivotFields>
  <rowFields count="4">
    <field x="7"/>
    <field x="3"/>
    <field x="4"/>
    <field x="8"/>
  </rowFields>
  <rowItems count="53">
    <i>
      <x/>
    </i>
    <i r="1">
      <x/>
    </i>
    <i r="1">
      <x v="1"/>
    </i>
    <i r="1">
      <x v="2"/>
    </i>
    <i r="1">
      <x v="3"/>
    </i>
    <i r="1">
      <x v="4"/>
    </i>
    <i r="1">
      <x v="5"/>
    </i>
    <i r="1">
      <x v="6"/>
    </i>
    <i r="1">
      <x v="7"/>
    </i>
    <i r="1">
      <x v="8"/>
    </i>
    <i r="1">
      <x v="9"/>
    </i>
    <i r="1">
      <x v="10"/>
    </i>
    <i r="1">
      <x v="11"/>
    </i>
    <i r="1">
      <x v="12"/>
    </i>
    <i r="1">
      <x v="13"/>
    </i>
    <i>
      <x v="1"/>
    </i>
    <i r="1">
      <x v="14"/>
    </i>
    <i r="1">
      <x v="15"/>
    </i>
    <i r="1">
      <x v="16"/>
    </i>
    <i r="1">
      <x v="17"/>
    </i>
    <i r="1">
      <x v="18"/>
    </i>
    <i r="1">
      <x v="19"/>
    </i>
    <i>
      <x v="2"/>
    </i>
    <i r="1">
      <x v="20"/>
    </i>
    <i r="1">
      <x v="21"/>
    </i>
    <i r="1">
      <x v="22"/>
    </i>
    <i r="1">
      <x v="23"/>
    </i>
    <i>
      <x v="3"/>
    </i>
    <i r="1">
      <x v="24"/>
    </i>
    <i>
      <x v="4"/>
    </i>
    <i r="1">
      <x v="25"/>
    </i>
    <i>
      <x v="5"/>
    </i>
    <i>
      <x v="6"/>
    </i>
    <i r="1">
      <x v="26"/>
    </i>
    <i r="1">
      <x v="27"/>
    </i>
    <i r="1">
      <x v="28"/>
    </i>
    <i r="1">
      <x v="29"/>
    </i>
    <i r="1">
      <x v="30"/>
    </i>
    <i r="1">
      <x v="31"/>
    </i>
    <i r="1">
      <x v="32"/>
    </i>
    <i r="1">
      <x v="33"/>
    </i>
    <i r="1">
      <x v="34"/>
    </i>
    <i r="1">
      <x v="35"/>
    </i>
    <i r="1">
      <x v="36"/>
    </i>
    <i r="1">
      <x v="37"/>
    </i>
    <i r="1">
      <x v="38"/>
    </i>
    <i>
      <x v="7"/>
    </i>
    <i r="1">
      <x v="39"/>
    </i>
    <i r="1">
      <x v="40"/>
    </i>
    <i>
      <x v="8"/>
    </i>
    <i r="1">
      <x v="41"/>
    </i>
    <i r="1">
      <x v="42"/>
    </i>
    <i r="1">
      <x v="43"/>
    </i>
  </rowItems>
  <colFields count="2">
    <field x="5"/>
    <field x="9"/>
  </colFields>
  <colItems count="8">
    <i>
      <x/>
      <x/>
    </i>
    <i r="1">
      <x v="1"/>
    </i>
    <i>
      <x v="1"/>
      <x/>
    </i>
    <i r="1">
      <x v="1"/>
    </i>
    <i r="1">
      <x v="2"/>
    </i>
    <i>
      <x v="2"/>
      <x/>
    </i>
    <i r="1">
      <x v="1"/>
    </i>
    <i r="1">
      <x v="2"/>
    </i>
  </colItems>
  <pageFields count="1">
    <pageField fld="10" hier="40" name="[fActualAndBudget].[ObrazecIme].&amp;[Finansiski plan_Bilans na uspeh]" cap="Finansiski plan_Bilans na uspeh"/>
  </pageFields>
  <dataFields count="1">
    <dataField name="Sum of Износ" fld="6" baseField="3" baseItem="4" numFmtId="3"/>
  </dataFields>
  <formats count="61">
    <format dxfId="83">
      <pivotArea type="all" dataOnly="0" outline="0" fieldPosition="0"/>
    </format>
    <format dxfId="82">
      <pivotArea outline="0" collapsedLevelsAreSubtotals="1" fieldPosition="0"/>
    </format>
    <format dxfId="81">
      <pivotArea dataOnly="0" labelOnly="1" fieldPosition="0">
        <references count="1">
          <reference field="7" count="0"/>
        </references>
      </pivotArea>
    </format>
    <format dxfId="80">
      <pivotArea dataOnly="0" labelOnly="1" fieldPosition="0">
        <references count="2">
          <reference field="3" count="0"/>
          <reference field="7" count="1" selected="0">
            <x v="0"/>
          </reference>
        </references>
      </pivotArea>
    </format>
    <format dxfId="79">
      <pivotArea dataOnly="0" labelOnly="1" fieldPosition="0">
        <references count="1">
          <reference field="5" count="0"/>
        </references>
      </pivotArea>
    </format>
    <format dxfId="78">
      <pivotArea dataOnly="0" labelOnly="1" fieldPosition="0">
        <references count="2">
          <reference field="5" count="1" selected="0">
            <x v="0"/>
          </reference>
          <reference field="9" count="1">
            <x v="0"/>
          </reference>
        </references>
      </pivotArea>
    </format>
    <format dxfId="77">
      <pivotArea dataOnly="0" labelOnly="1" fieldPosition="0">
        <references count="2">
          <reference field="5" count="1" selected="0">
            <x v="1"/>
          </reference>
          <reference field="9" count="0"/>
        </references>
      </pivotArea>
    </format>
    <format dxfId="76">
      <pivotArea dataOnly="0" labelOnly="1" fieldPosition="0">
        <references count="2">
          <reference field="5" count="1" selected="0">
            <x v="2"/>
          </reference>
          <reference field="9" count="2">
            <x v="0"/>
            <x v="1"/>
          </reference>
        </references>
      </pivotArea>
    </format>
    <format dxfId="75">
      <pivotArea dataOnly="0" labelOnly="1" fieldPosition="0">
        <references count="2">
          <reference field="5" count="1" selected="0">
            <x v="0"/>
          </reference>
          <reference field="9" count="1">
            <x v="0"/>
          </reference>
        </references>
      </pivotArea>
    </format>
    <format dxfId="74">
      <pivotArea dataOnly="0" labelOnly="1" fieldPosition="0">
        <references count="2">
          <reference field="5" count="1" selected="0">
            <x v="1"/>
          </reference>
          <reference field="9" count="0"/>
        </references>
      </pivotArea>
    </format>
    <format dxfId="73">
      <pivotArea dataOnly="0" labelOnly="1" fieldPosition="0">
        <references count="2">
          <reference field="5" count="1" selected="0">
            <x v="2"/>
          </reference>
          <reference field="9" count="2">
            <x v="0"/>
            <x v="1"/>
          </reference>
        </references>
      </pivotArea>
    </format>
    <format dxfId="72">
      <pivotArea collapsedLevelsAreSubtotals="1" fieldPosition="0">
        <references count="6">
          <reference field="3" count="1" selected="0">
            <x v="36"/>
          </reference>
          <reference field="4" count="1" selected="0">
            <x v="21"/>
          </reference>
          <reference field="5" count="1" selected="0">
            <x v="1"/>
          </reference>
          <reference field="7" count="1" selected="0">
            <x v="6"/>
          </reference>
          <reference field="8" count="1">
            <x v="21"/>
          </reference>
          <reference field="9" count="1" selected="0">
            <x v="1"/>
          </reference>
        </references>
      </pivotArea>
    </format>
    <format dxfId="71">
      <pivotArea collapsedLevelsAreSubtotals="1" fieldPosition="0">
        <references count="6">
          <reference field="3" count="1" selected="0">
            <x v="36"/>
          </reference>
          <reference field="4" count="1" selected="0">
            <x v="22"/>
          </reference>
          <reference field="5" count="1" selected="0">
            <x v="1"/>
          </reference>
          <reference field="7" count="1" selected="0">
            <x v="6"/>
          </reference>
          <reference field="8" count="1">
            <x v="22"/>
          </reference>
          <reference field="9" count="1" selected="0">
            <x v="1"/>
          </reference>
        </references>
      </pivotArea>
    </format>
    <format dxfId="70">
      <pivotArea collapsedLevelsAreSubtotals="1" fieldPosition="0">
        <references count="6">
          <reference field="3" count="1" selected="0">
            <x v="38"/>
          </reference>
          <reference field="4" count="1" selected="0">
            <x v="23"/>
          </reference>
          <reference field="5" count="1" selected="0">
            <x v="1"/>
          </reference>
          <reference field="7" count="1" selected="0">
            <x v="6"/>
          </reference>
          <reference field="8" count="1">
            <x v="23"/>
          </reference>
          <reference field="9" count="1" selected="0">
            <x v="2"/>
          </reference>
        </references>
      </pivotArea>
    </format>
    <format dxfId="69">
      <pivotArea collapsedLevelsAreSubtotals="1" fieldPosition="0">
        <references count="6">
          <reference field="3" count="1" selected="0">
            <x v="38"/>
          </reference>
          <reference field="4" count="1" selected="0">
            <x v="23"/>
          </reference>
          <reference field="5" count="1" selected="0">
            <x v="2"/>
          </reference>
          <reference field="7" count="1" selected="0">
            <x v="6"/>
          </reference>
          <reference field="8" count="1">
            <x v="23"/>
          </reference>
          <reference field="9" count="1" selected="0">
            <x v="1"/>
          </reference>
        </references>
      </pivotArea>
    </format>
    <format dxfId="68">
      <pivotArea outline="0" collapsedLevelsAreSubtotals="1" fieldPosition="0">
        <references count="2">
          <reference field="5" count="1" selected="0">
            <x v="1"/>
          </reference>
          <reference field="9" count="1" selected="0">
            <x v="2"/>
          </reference>
        </references>
      </pivotArea>
    </format>
    <format dxfId="67">
      <pivotArea type="topRight" dataOnly="0" labelOnly="1" outline="0" offset="B1" fieldPosition="0"/>
    </format>
    <format dxfId="66">
      <pivotArea dataOnly="0" labelOnly="1" offset="IV256" fieldPosition="0">
        <references count="1">
          <reference field="5" count="1">
            <x v="1"/>
          </reference>
        </references>
      </pivotArea>
    </format>
    <format dxfId="65">
      <pivotArea dataOnly="0" labelOnly="1" fieldPosition="0">
        <references count="2">
          <reference field="5" count="1" selected="0">
            <x v="1"/>
          </reference>
          <reference field="9" count="1">
            <x v="2"/>
          </reference>
        </references>
      </pivotArea>
    </format>
    <format dxfId="64">
      <pivotArea dataOnly="0" fieldPosition="0">
        <references count="1">
          <reference field="7" count="1">
            <x v="2"/>
          </reference>
        </references>
      </pivotArea>
    </format>
    <format dxfId="63">
      <pivotArea dataOnly="0" fieldPosition="0">
        <references count="1">
          <reference field="7" count="1">
            <x v="3"/>
          </reference>
        </references>
      </pivotArea>
    </format>
    <format dxfId="62">
      <pivotArea dataOnly="0" fieldPosition="0">
        <references count="1">
          <reference field="7" count="1">
            <x v="6"/>
          </reference>
        </references>
      </pivotArea>
    </format>
    <format dxfId="61">
      <pivotArea collapsedLevelsAreSubtotals="1" fieldPosition="0">
        <references count="2">
          <reference field="3" count="1">
            <x v="26"/>
          </reference>
          <reference field="7" count="1" selected="0">
            <x v="6"/>
          </reference>
        </references>
      </pivotArea>
    </format>
    <format dxfId="60">
      <pivotArea collapsedLevelsAreSubtotals="1" fieldPosition="0">
        <references count="2">
          <reference field="3" count="1">
            <x v="27"/>
          </reference>
          <reference field="7" count="1" selected="0">
            <x v="6"/>
          </reference>
        </references>
      </pivotArea>
    </format>
    <format dxfId="59">
      <pivotArea collapsedLevelsAreSubtotals="1" fieldPosition="0">
        <references count="2">
          <reference field="3" count="1">
            <x v="28"/>
          </reference>
          <reference field="7" count="1" selected="0">
            <x v="6"/>
          </reference>
        </references>
      </pivotArea>
    </format>
    <format dxfId="58">
      <pivotArea collapsedLevelsAreSubtotals="1" fieldPosition="0">
        <references count="2">
          <reference field="3" count="1">
            <x v="29"/>
          </reference>
          <reference field="7" count="1" selected="0">
            <x v="6"/>
          </reference>
        </references>
      </pivotArea>
    </format>
    <format dxfId="57">
      <pivotArea collapsedLevelsAreSubtotals="1" fieldPosition="0">
        <references count="2">
          <reference field="3" count="1">
            <x v="30"/>
          </reference>
          <reference field="7" count="1" selected="0">
            <x v="6"/>
          </reference>
        </references>
      </pivotArea>
    </format>
    <format dxfId="56">
      <pivotArea collapsedLevelsAreSubtotals="1" fieldPosition="0">
        <references count="2">
          <reference field="3" count="1">
            <x v="31"/>
          </reference>
          <reference field="7" count="1" selected="0">
            <x v="6"/>
          </reference>
        </references>
      </pivotArea>
    </format>
    <format dxfId="55">
      <pivotArea collapsedLevelsAreSubtotals="1" fieldPosition="0">
        <references count="2">
          <reference field="3" count="1">
            <x v="32"/>
          </reference>
          <reference field="7" count="1" selected="0">
            <x v="6"/>
          </reference>
        </references>
      </pivotArea>
    </format>
    <format dxfId="54">
      <pivotArea collapsedLevelsAreSubtotals="1" fieldPosition="0">
        <references count="2">
          <reference field="3" count="1">
            <x v="33"/>
          </reference>
          <reference field="7" count="1" selected="0">
            <x v="6"/>
          </reference>
        </references>
      </pivotArea>
    </format>
    <format dxfId="53">
      <pivotArea collapsedLevelsAreSubtotals="1" fieldPosition="0">
        <references count="2">
          <reference field="3" count="1">
            <x v="34"/>
          </reference>
          <reference field="7" count="1" selected="0">
            <x v="6"/>
          </reference>
        </references>
      </pivotArea>
    </format>
    <format dxfId="52">
      <pivotArea collapsedLevelsAreSubtotals="1" fieldPosition="0">
        <references count="2">
          <reference field="3" count="1">
            <x v="35"/>
          </reference>
          <reference field="7" count="1" selected="0">
            <x v="6"/>
          </reference>
        </references>
      </pivotArea>
    </format>
    <format dxfId="51">
      <pivotArea collapsedLevelsAreSubtotals="1" fieldPosition="0">
        <references count="2">
          <reference field="3" count="1">
            <x v="36"/>
          </reference>
          <reference field="7" count="1" selected="0">
            <x v="6"/>
          </reference>
        </references>
      </pivotArea>
    </format>
    <format dxfId="50">
      <pivotArea collapsedLevelsAreSubtotals="1" fieldPosition="0">
        <references count="2">
          <reference field="3" count="1">
            <x v="37"/>
          </reference>
          <reference field="7" count="1" selected="0">
            <x v="6"/>
          </reference>
        </references>
      </pivotArea>
    </format>
    <format dxfId="49">
      <pivotArea collapsedLevelsAreSubtotals="1" fieldPosition="0">
        <references count="2">
          <reference field="3" count="1">
            <x v="38"/>
          </reference>
          <reference field="7" count="1" selected="0">
            <x v="6"/>
          </reference>
        </references>
      </pivotArea>
    </format>
    <format dxfId="48">
      <pivotArea dataOnly="0" labelOnly="1" fieldPosition="0">
        <references count="2">
          <reference field="3" count="13">
            <x v="26"/>
            <x v="27"/>
            <x v="28"/>
            <x v="29"/>
            <x v="30"/>
            <x v="31"/>
            <x v="32"/>
            <x v="33"/>
            <x v="34"/>
            <x v="35"/>
            <x v="36"/>
            <x v="37"/>
            <x v="38"/>
          </reference>
          <reference field="7" count="1" selected="0">
            <x v="6"/>
          </reference>
        </references>
      </pivotArea>
    </format>
    <format dxfId="47">
      <pivotArea collapsedLevelsAreSubtotals="1" fieldPosition="0">
        <references count="2">
          <reference field="3" count="1">
            <x v="20"/>
          </reference>
          <reference field="7" count="1" selected="0">
            <x v="2"/>
          </reference>
        </references>
      </pivotArea>
    </format>
    <format dxfId="46">
      <pivotArea collapsedLevelsAreSubtotals="1" fieldPosition="0">
        <references count="2">
          <reference field="3" count="1">
            <x v="21"/>
          </reference>
          <reference field="7" count="1" selected="0">
            <x v="2"/>
          </reference>
        </references>
      </pivotArea>
    </format>
    <format dxfId="45">
      <pivotArea collapsedLevelsAreSubtotals="1" fieldPosition="0">
        <references count="2">
          <reference field="3" count="1">
            <x v="22"/>
          </reference>
          <reference field="7" count="1" selected="0">
            <x v="2"/>
          </reference>
        </references>
      </pivotArea>
    </format>
    <format dxfId="44">
      <pivotArea collapsedLevelsAreSubtotals="1" fieldPosition="0">
        <references count="2">
          <reference field="3" count="1">
            <x v="23"/>
          </reference>
          <reference field="7" count="1" selected="0">
            <x v="2"/>
          </reference>
        </references>
      </pivotArea>
    </format>
    <format dxfId="43">
      <pivotArea collapsedLevelsAreSubtotals="1" fieldPosition="0">
        <references count="1">
          <reference field="7" count="1">
            <x v="2"/>
          </reference>
        </references>
      </pivotArea>
    </format>
    <format dxfId="42">
      <pivotArea dataOnly="0" labelOnly="1" fieldPosition="0">
        <references count="1">
          <reference field="7" count="1">
            <x v="2"/>
          </reference>
        </references>
      </pivotArea>
    </format>
    <format dxfId="41">
      <pivotArea collapsedLevelsAreSubtotals="1" fieldPosition="0">
        <references count="1">
          <reference field="7" count="1">
            <x v="3"/>
          </reference>
        </references>
      </pivotArea>
    </format>
    <format dxfId="40">
      <pivotArea dataOnly="0" labelOnly="1" fieldPosition="0">
        <references count="1">
          <reference field="7" count="1">
            <x v="3"/>
          </reference>
        </references>
      </pivotArea>
    </format>
    <format dxfId="39">
      <pivotArea collapsedLevelsAreSubtotals="1" fieldPosition="0">
        <references count="1">
          <reference field="7" count="1">
            <x v="6"/>
          </reference>
        </references>
      </pivotArea>
    </format>
    <format dxfId="38">
      <pivotArea dataOnly="0" labelOnly="1" fieldPosition="0">
        <references count="1">
          <reference field="7" count="1">
            <x v="6"/>
          </reference>
        </references>
      </pivotArea>
    </format>
    <format dxfId="37">
      <pivotArea collapsedLevelsAreSubtotals="1" fieldPosition="0">
        <references count="2">
          <reference field="3" count="1">
            <x v="29"/>
          </reference>
          <reference field="7" count="1" selected="0">
            <x v="6"/>
          </reference>
        </references>
      </pivotArea>
    </format>
    <format dxfId="36">
      <pivotArea collapsedLevelsAreSubtotals="1" fieldPosition="0">
        <references count="2">
          <reference field="3" count="1">
            <x v="30"/>
          </reference>
          <reference field="7" count="1" selected="0">
            <x v="6"/>
          </reference>
        </references>
      </pivotArea>
    </format>
    <format dxfId="35">
      <pivotArea collapsedLevelsAreSubtotals="1" fieldPosition="0">
        <references count="2">
          <reference field="3" count="1">
            <x v="31"/>
          </reference>
          <reference field="7" count="1" selected="0">
            <x v="6"/>
          </reference>
        </references>
      </pivotArea>
    </format>
    <format dxfId="34">
      <pivotArea collapsedLevelsAreSubtotals="1" fieldPosition="0">
        <references count="2">
          <reference field="3" count="1">
            <x v="32"/>
          </reference>
          <reference field="7" count="1" selected="0">
            <x v="6"/>
          </reference>
        </references>
      </pivotArea>
    </format>
    <format dxfId="33">
      <pivotArea collapsedLevelsAreSubtotals="1" fieldPosition="0">
        <references count="2">
          <reference field="3" count="1">
            <x v="33"/>
          </reference>
          <reference field="7" count="1" selected="0">
            <x v="6"/>
          </reference>
        </references>
      </pivotArea>
    </format>
    <format dxfId="32">
      <pivotArea collapsedLevelsAreSubtotals="1" fieldPosition="0">
        <references count="2">
          <reference field="3" count="1">
            <x v="34"/>
          </reference>
          <reference field="7" count="1" selected="0">
            <x v="6"/>
          </reference>
        </references>
      </pivotArea>
    </format>
    <format dxfId="31">
      <pivotArea collapsedLevelsAreSubtotals="1" fieldPosition="0">
        <references count="2">
          <reference field="3" count="1">
            <x v="35"/>
          </reference>
          <reference field="7" count="1" selected="0">
            <x v="6"/>
          </reference>
        </references>
      </pivotArea>
    </format>
    <format dxfId="30">
      <pivotArea collapsedLevelsAreSubtotals="1" fieldPosition="0">
        <references count="2">
          <reference field="3" count="1">
            <x v="36"/>
          </reference>
          <reference field="7" count="1" selected="0">
            <x v="6"/>
          </reference>
        </references>
      </pivotArea>
    </format>
    <format dxfId="29">
      <pivotArea collapsedLevelsAreSubtotals="1" fieldPosition="0">
        <references count="2">
          <reference field="3" count="1">
            <x v="37"/>
          </reference>
          <reference field="7" count="1" selected="0">
            <x v="6"/>
          </reference>
        </references>
      </pivotArea>
    </format>
    <format dxfId="28">
      <pivotArea collapsedLevelsAreSubtotals="1" fieldPosition="0">
        <references count="2">
          <reference field="3" count="1">
            <x v="38"/>
          </reference>
          <reference field="7" count="1" selected="0">
            <x v="6"/>
          </reference>
        </references>
      </pivotArea>
    </format>
    <format dxfId="27">
      <pivotArea dataOnly="0" labelOnly="1" fieldPosition="0">
        <references count="2">
          <reference field="3" count="10">
            <x v="29"/>
            <x v="30"/>
            <x v="31"/>
            <x v="32"/>
            <x v="33"/>
            <x v="34"/>
            <x v="35"/>
            <x v="36"/>
            <x v="37"/>
            <x v="38"/>
          </reference>
          <reference field="7" count="1" selected="0">
            <x v="6"/>
          </reference>
        </references>
      </pivotArea>
    </format>
    <format dxfId="26">
      <pivotArea collapsedLevelsAreSubtotals="1" fieldPosition="0">
        <references count="2">
          <reference field="3" count="1">
            <x v="26"/>
          </reference>
          <reference field="7" count="1" selected="0">
            <x v="6"/>
          </reference>
        </references>
      </pivotArea>
    </format>
    <format dxfId="25">
      <pivotArea collapsedLevelsAreSubtotals="1" fieldPosition="0">
        <references count="2">
          <reference field="3" count="1">
            <x v="27"/>
          </reference>
          <reference field="7" count="1" selected="0">
            <x v="6"/>
          </reference>
        </references>
      </pivotArea>
    </format>
    <format dxfId="24">
      <pivotArea collapsedLevelsAreSubtotals="1" fieldPosition="0">
        <references count="2">
          <reference field="3" count="1">
            <x v="28"/>
          </reference>
          <reference field="7" count="1" selected="0">
            <x v="6"/>
          </reference>
        </references>
      </pivotArea>
    </format>
    <format dxfId="23">
      <pivotArea dataOnly="0" labelOnly="1" fieldPosition="0">
        <references count="2">
          <reference field="3" count="3">
            <x v="26"/>
            <x v="27"/>
            <x v="28"/>
          </reference>
          <reference field="7" count="1" selected="0">
            <x v="6"/>
          </reference>
        </references>
      </pivotArea>
    </format>
  </format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6"/>
    <rowHierarchyUsage hierarchyUsage="34"/>
    <rowHierarchyUsage hierarchyUsage="28"/>
    <rowHierarchyUsage hierarchyUsage="32"/>
  </rowHierarchiesUsage>
  <colHierarchiesUsage count="2">
    <colHierarchyUsage hierarchyUsage="3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2" cacheId="10" applyNumberFormats="0" applyBorderFormats="0" applyFontFormats="0" applyPatternFormats="0" applyAlignmentFormats="0" applyWidthHeightFormats="1" dataCaption="Values" tag="6d37a9af-c5a2-4d61-91af-a15b9f7a5878" updatedVersion="6" minRefreshableVersion="3" showDataTips="0" subtotalHiddenItems="1" rowGrandTotals="0" itemPrintTitles="1" createdVersion="5" indent="0" outline="1" outlineData="1">
  <location ref="B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1" name="[fActualAndBudget].[ReportType].[All]" cap="All"/>
    <pageField fld="5" hier="40" name="[fActualAndBudget].[ObrazecIme].&amp;[Finansiski plan_Bilans na uspeh]" cap="Finansiski plan_Bilans na uspeh"/>
  </pageField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2" cacheId="15" applyNumberFormats="0" applyBorderFormats="0" applyFontFormats="0" applyPatternFormats="0" applyAlignmentFormats="0" applyWidthHeightFormats="1" dataCaption="Values" tag="edf9d89e-557d-48db-9261-61f1f8ab5a78" updatedVersion="6" minRefreshableVersion="3" showDataTips="0" subtotalHiddenItems="1" rowGrandTotals="0" itemPrintTitles="1" createdVersion="5" indent="0" outline="1" outlineData="1">
  <location ref="B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1" name="[fActualAndBudget].[ReportType].&amp;[План]" cap="План"/>
    <pageField fld="5" hier="40" name="[fActualAndBudget].[ObrazecIme].&amp;[Finansiski plan_Bilans na uspeh]" cap="Finansiski plan_Bilans na uspeh"/>
  </pageField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PivotTable2" cacheId="14" applyNumberFormats="0" applyBorderFormats="0" applyFontFormats="0" applyPatternFormats="0" applyAlignmentFormats="0" applyWidthHeightFormats="1" dataCaption="Values" tag="d5dad6c4-1a9a-4271-81ee-c7d1802afe57" updatedVersion="6" minRefreshableVersion="3" showDataTips="0" subtotalHiddenItems="1" rowGrandTotals="0" itemPrintTitles="1" createdVersion="5" indent="0" outline="1" outlineData="1">
  <location ref="B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1" name="[fActualAndBudget].[ReportType].&amp;[План]" cap="План"/>
    <pageField fld="5" hier="40" name="[fActualAndBudget].[ObrazecIme].&amp;[Finansiski plan_Bilans na uspeh]" cap="Finansiski plan_Bilans na uspeh"/>
  </pageField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PivotTable1" cacheId="25" applyNumberFormats="0" applyBorderFormats="0" applyFontFormats="0" applyPatternFormats="0" applyAlignmentFormats="0" applyWidthHeightFormats="1" dataCaption="Values" updatedVersion="6" minRefreshableVersion="3" itemPrintTitles="1" createdVersion="5" indent="0" outline="1" outlineData="1" multipleFieldFilters="0">
  <location ref="A3:Q128" firstHeaderRow="1" firstDataRow="2" firstDataCol="1"/>
  <pivotFields count="5">
    <pivotField axis="axisRow" showAll="0">
      <items count="220">
        <item m="1" x="189"/>
        <item m="1" x="130"/>
        <item m="1" x="186"/>
        <item m="1" x="217"/>
        <item m="1" x="200"/>
        <item m="1" x="167"/>
        <item m="1" x="184"/>
        <item m="1" x="218"/>
        <item m="1" x="129"/>
        <item m="1" x="142"/>
        <item m="1" x="163"/>
        <item m="1" x="153"/>
        <item m="1" x="207"/>
        <item m="1" x="125"/>
        <item m="1" x="176"/>
        <item m="1" x="162"/>
        <item m="1" x="194"/>
        <item m="1" x="173"/>
        <item m="1" x="183"/>
        <item m="1" x="213"/>
        <item m="1" x="215"/>
        <item m="1" x="139"/>
        <item m="1" x="178"/>
        <item m="1" x="171"/>
        <item m="1" x="205"/>
        <item m="1" x="126"/>
        <item m="1" x="179"/>
        <item x="4"/>
        <item x="6"/>
        <item m="1" x="190"/>
        <item m="1" x="140"/>
        <item x="3"/>
        <item x="0"/>
        <item m="1" x="185"/>
        <item x="7"/>
        <item m="1" x="170"/>
        <item m="1" x="160"/>
        <item m="1" x="182"/>
        <item m="1" x="210"/>
        <item m="1" x="204"/>
        <item m="1" x="174"/>
        <item m="1" x="211"/>
        <item m="1" x="138"/>
        <item m="1" x="127"/>
        <item m="1" x="158"/>
        <item m="1" x="141"/>
        <item m="1" x="123"/>
        <item m="1" x="149"/>
        <item m="1" x="202"/>
        <item m="1" x="165"/>
        <item m="1" x="175"/>
        <item m="1" x="136"/>
        <item m="1" x="193"/>
        <item m="1" x="161"/>
        <item m="1" x="206"/>
        <item m="1" x="157"/>
        <item m="1" x="152"/>
        <item m="1" x="143"/>
        <item m="1" x="181"/>
        <item m="1" x="177"/>
        <item m="1" x="196"/>
        <item m="1" x="208"/>
        <item m="1" x="132"/>
        <item m="1" x="166"/>
        <item m="1" x="135"/>
        <item m="1" x="192"/>
        <item x="103"/>
        <item x="8"/>
        <item x="9"/>
        <item x="10"/>
        <item x="11"/>
        <item x="12"/>
        <item x="13"/>
        <item m="1" x="159"/>
        <item x="14"/>
        <item x="15"/>
        <item x="16"/>
        <item x="17"/>
        <item x="18"/>
        <item x="19"/>
        <item x="20"/>
        <item x="21"/>
        <item x="22"/>
        <item x="23"/>
        <item x="24"/>
        <item x="25"/>
        <item x="26"/>
        <item x="27"/>
        <item x="28"/>
        <item x="29"/>
        <item x="30"/>
        <item x="31"/>
        <item x="32"/>
        <item x="33"/>
        <item x="35"/>
        <item x="36"/>
        <item m="1" x="168"/>
        <item x="37"/>
        <item x="38"/>
        <item x="39"/>
        <item x="40"/>
        <item m="1" x="148"/>
        <item m="1" x="134"/>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m="1" x="198"/>
        <item m="1" x="216"/>
        <item x="82"/>
        <item x="83"/>
        <item x="84"/>
        <item x="85"/>
        <item x="86"/>
        <item x="87"/>
        <item x="88"/>
        <item x="89"/>
        <item x="90"/>
        <item x="91"/>
        <item x="92"/>
        <item m="1" x="203"/>
        <item m="1" x="201"/>
        <item m="1" x="137"/>
        <item m="1" x="150"/>
        <item m="1" x="146"/>
        <item m="1" x="155"/>
        <item m="1" x="172"/>
        <item x="93"/>
        <item x="34"/>
        <item m="1" x="164"/>
        <item m="1" x="188"/>
        <item m="1" x="212"/>
        <item m="1" x="197"/>
        <item m="1" x="151"/>
        <item m="1" x="147"/>
        <item m="1" x="154"/>
        <item m="1" x="145"/>
        <item m="1" x="144"/>
        <item x="5"/>
        <item x="1"/>
        <item x="2"/>
        <item x="94"/>
        <item x="95"/>
        <item x="96"/>
        <item x="97"/>
        <item x="98"/>
        <item x="99"/>
        <item x="100"/>
        <item x="101"/>
        <item m="1" x="124"/>
        <item x="104"/>
        <item x="105"/>
        <item x="106"/>
        <item x="107"/>
        <item x="108"/>
        <item m="1" x="131"/>
        <item m="1" x="195"/>
        <item x="111"/>
        <item x="112"/>
        <item x="113"/>
        <item m="1" x="209"/>
        <item m="1" x="128"/>
        <item m="1" x="191"/>
        <item m="1" x="187"/>
        <item m="1" x="214"/>
        <item m="1" x="133"/>
        <item x="117"/>
        <item x="118"/>
        <item x="119"/>
        <item x="109"/>
        <item x="110"/>
        <item m="1" x="199"/>
        <item m="1" x="180"/>
        <item m="1" x="156"/>
        <item x="121"/>
        <item m="1" x="169"/>
        <item x="115"/>
        <item x="116"/>
        <item x="120"/>
        <item x="102"/>
        <item x="114"/>
        <item x="122"/>
        <item t="default"/>
      </items>
    </pivotField>
    <pivotField axis="axisCol" numFmtId="14" showAll="0">
      <items count="77">
        <item m="1" x="46"/>
        <item m="1" x="28"/>
        <item m="1" x="35"/>
        <item m="1" x="47"/>
        <item m="1" x="56"/>
        <item m="1" x="68"/>
        <item m="1" x="15"/>
        <item m="1" x="25"/>
        <item m="1" x="37"/>
        <item m="1" x="59"/>
        <item m="1" x="71"/>
        <item m="1" x="19"/>
        <item m="1" x="29"/>
        <item m="1" x="36"/>
        <item m="1" x="49"/>
        <item m="1" x="57"/>
        <item m="1" x="69"/>
        <item m="1" x="16"/>
        <item m="1" x="26"/>
        <item m="1" x="38"/>
        <item m="1" x="51"/>
        <item m="1" x="60"/>
        <item m="1" x="73"/>
        <item m="1" x="20"/>
        <item m="1" x="30"/>
        <item m="1" x="17"/>
        <item m="1" x="18"/>
        <item m="1" x="64"/>
        <item m="1" x="50"/>
        <item m="1" x="27"/>
        <item m="1" x="40"/>
        <item m="1" x="33"/>
        <item m="1" x="48"/>
        <item m="1" x="44"/>
        <item m="1" x="43"/>
        <item m="1" x="53"/>
        <item m="1" x="32"/>
        <item m="1" x="65"/>
        <item m="1" x="58"/>
        <item m="1" x="61"/>
        <item m="1" x="42"/>
        <item m="1" x="52"/>
        <item m="1" x="70"/>
        <item m="1" x="31"/>
        <item m="1" x="74"/>
        <item m="1" x="54"/>
        <item m="1" x="45"/>
        <item m="1" x="21"/>
        <item m="1" x="63"/>
        <item m="1" x="55"/>
        <item m="1" x="34"/>
        <item m="1" x="62"/>
        <item m="1" x="39"/>
        <item m="1" x="23"/>
        <item m="1" x="67"/>
        <item x="14"/>
        <item x="10"/>
        <item x="6"/>
        <item x="12"/>
        <item x="5"/>
        <item x="3"/>
        <item m="1" x="75"/>
        <item m="1" x="66"/>
        <item x="8"/>
        <item m="1" x="72"/>
        <item m="1" x="24"/>
        <item x="0"/>
        <item x="1"/>
        <item x="2"/>
        <item x="4"/>
        <item x="7"/>
        <item x="9"/>
        <item x="11"/>
        <item x="13"/>
        <item m="1" x="22"/>
        <item m="1" x="41"/>
        <item t="default"/>
      </items>
    </pivotField>
    <pivotField dataField="1" showAll="0"/>
    <pivotField showAll="0"/>
    <pivotField showAll="0"/>
  </pivotFields>
  <rowFields count="1">
    <field x="0"/>
  </rowFields>
  <rowItems count="124">
    <i>
      <x v="27"/>
    </i>
    <i>
      <x v="28"/>
    </i>
    <i>
      <x v="31"/>
    </i>
    <i>
      <x v="32"/>
    </i>
    <i>
      <x v="34"/>
    </i>
    <i>
      <x v="66"/>
    </i>
    <i>
      <x v="67"/>
    </i>
    <i>
      <x v="68"/>
    </i>
    <i>
      <x v="69"/>
    </i>
    <i>
      <x v="70"/>
    </i>
    <i>
      <x v="71"/>
    </i>
    <i>
      <x v="72"/>
    </i>
    <i>
      <x v="74"/>
    </i>
    <i>
      <x v="75"/>
    </i>
    <i>
      <x v="76"/>
    </i>
    <i>
      <x v="77"/>
    </i>
    <i>
      <x v="78"/>
    </i>
    <i>
      <x v="79"/>
    </i>
    <i>
      <x v="80"/>
    </i>
    <i>
      <x v="81"/>
    </i>
    <i>
      <x v="82"/>
    </i>
    <i>
      <x v="83"/>
    </i>
    <i>
      <x v="84"/>
    </i>
    <i>
      <x v="85"/>
    </i>
    <i>
      <x v="86"/>
    </i>
    <i>
      <x v="87"/>
    </i>
    <i>
      <x v="88"/>
    </i>
    <i>
      <x v="89"/>
    </i>
    <i>
      <x v="90"/>
    </i>
    <i>
      <x v="91"/>
    </i>
    <i>
      <x v="92"/>
    </i>
    <i>
      <x v="93"/>
    </i>
    <i>
      <x v="94"/>
    </i>
    <i>
      <x v="95"/>
    </i>
    <i>
      <x v="97"/>
    </i>
    <i>
      <x v="98"/>
    </i>
    <i>
      <x v="99"/>
    </i>
    <i>
      <x v="100"/>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6"/>
    </i>
    <i>
      <x v="147"/>
    </i>
    <i>
      <x v="148"/>
    </i>
    <i>
      <x v="149"/>
    </i>
    <i>
      <x v="150"/>
    </i>
    <i>
      <x v="151"/>
    </i>
    <i>
      <x v="152"/>
    </i>
    <i>
      <x v="153"/>
    </i>
    <i>
      <x v="154"/>
    </i>
    <i>
      <x v="155"/>
    </i>
    <i>
      <x v="156"/>
    </i>
    <i>
      <x v="164"/>
    </i>
    <i>
      <x v="165"/>
    </i>
    <i>
      <x v="175"/>
    </i>
    <i>
      <x v="176"/>
    </i>
    <i>
      <x v="177"/>
    </i>
    <i>
      <x v="178"/>
    </i>
    <i>
      <x v="179"/>
    </i>
    <i>
      <x v="180"/>
    </i>
    <i>
      <x v="181"/>
    </i>
    <i>
      <x v="182"/>
    </i>
    <i>
      <x v="183"/>
    </i>
    <i>
      <x v="184"/>
    </i>
    <i>
      <x v="185"/>
    </i>
    <i>
      <x v="187"/>
    </i>
    <i>
      <x v="188"/>
    </i>
    <i>
      <x v="189"/>
    </i>
    <i>
      <x v="190"/>
    </i>
    <i>
      <x v="191"/>
    </i>
    <i>
      <x v="194"/>
    </i>
    <i>
      <x v="195"/>
    </i>
    <i>
      <x v="196"/>
    </i>
    <i>
      <x v="203"/>
    </i>
    <i>
      <x v="204"/>
    </i>
    <i>
      <x v="205"/>
    </i>
    <i>
      <x v="206"/>
    </i>
    <i>
      <x v="207"/>
    </i>
    <i>
      <x v="211"/>
    </i>
    <i>
      <x v="213"/>
    </i>
    <i>
      <x v="214"/>
    </i>
    <i>
      <x v="215"/>
    </i>
    <i>
      <x v="216"/>
    </i>
    <i>
      <x v="217"/>
    </i>
    <i>
      <x v="218"/>
    </i>
    <i t="grand">
      <x/>
    </i>
  </rowItems>
  <colFields count="1">
    <field x="1"/>
  </colFields>
  <colItems count="16">
    <i>
      <x v="55"/>
    </i>
    <i>
      <x v="56"/>
    </i>
    <i>
      <x v="57"/>
    </i>
    <i>
      <x v="58"/>
    </i>
    <i>
      <x v="59"/>
    </i>
    <i>
      <x v="60"/>
    </i>
    <i>
      <x v="63"/>
    </i>
    <i>
      <x v="66"/>
    </i>
    <i>
      <x v="67"/>
    </i>
    <i>
      <x v="68"/>
    </i>
    <i>
      <x v="69"/>
    </i>
    <i>
      <x v="70"/>
    </i>
    <i>
      <x v="71"/>
    </i>
    <i>
      <x v="72"/>
    </i>
    <i>
      <x v="73"/>
    </i>
    <i t="grand">
      <x/>
    </i>
  </colItems>
  <dataFields count="1">
    <dataField name="Sum of Проценета вредност на набавка со ДДВ (денари)" fld="2" baseField="0" baseItem="4" numFmtId="3"/>
  </dataFields>
  <formats count="2">
    <format dxfId="8">
      <pivotArea dataOnly="0" labelOnly="1" fieldPosition="0">
        <references count="1">
          <reference field="0" count="0"/>
        </references>
      </pivotArea>
    </format>
    <format dxfId="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2" cacheId="9" applyNumberFormats="0" applyBorderFormats="0" applyFontFormats="0" applyPatternFormats="0" applyAlignmentFormats="0" applyWidthHeightFormats="1" dataCaption="Values" tag="f5484686-8529-41f5-b56d-e4c00ceb38a0" updatedVersion="6" minRefreshableVersion="3" showDataTips="0" subtotalHiddenItems="1" rowGrandTotals="0" itemPrintTitles="1" createdVersion="5" indent="0" outline="1" outlineData="1">
  <location ref="B5:W16" firstHeaderRow="1" firstDataRow="2" firstDataCol="1" rowPageCount="2" colPageCount="1"/>
  <pivotFields count="12">
    <pivotField axis="axisRow" allDrilled="1" showAll="0" dataSourceSort="1" defaultSubtotal="0" defaultAttributeDrillState="1">
      <items count="1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s>
    </pivotField>
    <pivotField axis="axisPage" allDrilled="1" showAll="0" defaultAttributeDrillState="1">
      <items count="1">
        <item t="default"/>
      </items>
    </pivotField>
    <pivotField dataField="1" showAll="0"/>
    <pivotField allDrilled="1" showAll="0" dataSourceSort="1" defaultAttributeDrillState="1"/>
    <pivotField axis="axisPage" allDrilled="1" showAll="0" dataSourceSort="1" defaultAttributeDrillState="1">
      <items count="1">
        <item t="default"/>
      </items>
    </pivotField>
    <pivotField axis="axisCol"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xis="axisRow" allDrilled="1" showAll="0" dataSourceSort="1">
      <items count="10">
        <item x="0" e="0"/>
        <item x="1" e="0"/>
        <item x="2" e="0"/>
        <item x="3" e="0"/>
        <item x="4"/>
        <item x="5" e="0"/>
        <item x="6" e="0"/>
        <item x="7" e="0"/>
        <item x="8" e="0"/>
        <item t="default"/>
      </items>
    </pivotField>
    <pivotField axis="axisRow" allDrilled="1" showAll="0" dataSourceSort="1">
      <items count="2">
        <item x="0" e="0"/>
        <item t="default"/>
      </items>
    </pivotField>
    <pivotField axis="axisRow" allDrilled="1" showAll="0" dataSourceSort="1" defaultAttributeDrillState="1">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t="default"/>
      </items>
    </pivotField>
    <pivotField allDrilled="1" showAll="0" dataSourceSort="1"/>
    <pivotField showAll="0" dataSourceSort="1"/>
    <pivotField showAll="0" dataSourceSort="1"/>
  </pivotFields>
  <rowFields count="4">
    <field x="6"/>
    <field x="7"/>
    <field x="0"/>
    <field x="8"/>
  </rowFields>
  <rowItems count="10">
    <i>
      <x/>
    </i>
    <i>
      <x v="1"/>
    </i>
    <i>
      <x v="2"/>
    </i>
    <i>
      <x v="3"/>
    </i>
    <i>
      <x v="4"/>
    </i>
    <i r="1">
      <x/>
    </i>
    <i>
      <x v="5"/>
    </i>
    <i>
      <x v="6"/>
    </i>
    <i>
      <x v="7"/>
    </i>
    <i>
      <x v="8"/>
    </i>
  </rowItems>
  <colFields count="1">
    <field x="5"/>
  </colFields>
  <colItems count="21">
    <i>
      <x/>
    </i>
    <i>
      <x v="1"/>
    </i>
    <i>
      <x v="2"/>
    </i>
    <i>
      <x v="3"/>
    </i>
    <i>
      <x v="4"/>
    </i>
    <i>
      <x v="5"/>
    </i>
    <i>
      <x v="6"/>
    </i>
    <i>
      <x v="7"/>
    </i>
    <i>
      <x v="8"/>
    </i>
    <i>
      <x v="9"/>
    </i>
    <i>
      <x v="10"/>
    </i>
    <i>
      <x v="11"/>
    </i>
    <i>
      <x v="12"/>
    </i>
    <i>
      <x v="13"/>
    </i>
    <i>
      <x v="14"/>
    </i>
    <i>
      <x v="15"/>
    </i>
    <i>
      <x v="16"/>
    </i>
    <i>
      <x v="17"/>
    </i>
    <i>
      <x v="18"/>
    </i>
    <i>
      <x v="19"/>
    </i>
    <i t="grand">
      <x/>
    </i>
  </colItems>
  <pageFields count="2">
    <pageField fld="1" hier="31" name="[fActualAndBudget].[ReportType].[All]" cap="All"/>
    <pageField fld="4" hier="40" name="[fActualAndBudget].[ObrazecIme].&amp;[Finansiski plan_Bilans na uspeh]" cap="Finansiski plan_Bilans na uspeh"/>
  </pageFields>
  <dataFields count="1">
    <dataField name="Sum of Износ" fld="2" baseField="0" baseItem="0" numFmtId="3"/>
  </dataFields>
  <formats count="5">
    <format dxfId="167">
      <pivotArea field="0" grandCol="1" collapsedLevelsAreSubtotals="1" axis="axisRow" fieldPosition="2">
        <references count="1">
          <reference field="0" count="1">
            <x v="2"/>
          </reference>
        </references>
      </pivotArea>
    </format>
    <format dxfId="166">
      <pivotArea field="0" grandCol="1" collapsedLevelsAreSubtotals="1" axis="axisRow" fieldPosition="2">
        <references count="1">
          <reference field="0" count="1">
            <x v="11"/>
          </reference>
        </references>
      </pivotArea>
    </format>
    <format dxfId="165">
      <pivotArea grandCol="1" outline="0" collapsedLevelsAreSubtotals="1" fieldPosition="0"/>
    </format>
    <format dxfId="164">
      <pivotArea type="topRight" dataOnly="0" labelOnly="1" outline="0" offset="D1" fieldPosition="0"/>
    </format>
    <format dxfId="163">
      <pivotArea dataOnly="0" labelOnly="1" grandCol="1" outline="0" fieldPosition="0"/>
    </format>
  </formats>
  <pivotHierarchies count="176">
    <pivotHierarchy dragToData="1"/>
    <pivotHierarchy dragToData="1"/>
    <pivotHierarchy dragToData="1"/>
    <pivotHierarchy dragToData="1"/>
    <pivotHierarchy dragToData="1"/>
    <pivotHierarchy dragToData="1"/>
    <pivotHierarchy dragToData="1"/>
    <pivotHierarchy multipleItemSelectionAllowed="1"/>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6"/>
    <rowHierarchyUsage hierarchyUsage="43"/>
    <rowHierarchyUsage hierarchyUsage="28"/>
    <rowHierarchyUsage hierarchyUsage="32"/>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20" applyNumberFormats="0" applyBorderFormats="0" applyFontFormats="0" applyPatternFormats="0" applyAlignmentFormats="0" applyWidthHeightFormats="1" dataCaption="Values" tag="663e23a3-8d01-491a-a0dc-a9bf757f1ec0" updatedVersion="6" minRefreshableVersion="3" showDataTips="0" useAutoFormatting="1" subtotalHiddenItems="1" rowGrandTotals="0" itemPrintTitles="1" createdVersion="5" indent="0" outline="1" outlineData="1">
  <location ref="B5:G9" firstHeaderRow="1" firstDataRow="2" firstDataCol="1" rowPageCount="2" colPageCount="1"/>
  <pivotFields count="10">
    <pivotField allDrilled="1" showAll="0" dataSourceSort="1"/>
    <pivotField showAll="0" dataSourceSort="1"/>
    <pivotField showAll="0" dataSourceSort="1"/>
    <pivotField axis="axisPage" allDrilled="1" showAll="0" defaultAttributeDrillState="1">
      <items count="1">
        <item t="default"/>
      </items>
    </pivotField>
    <pivotField dataField="1" showAll="0"/>
    <pivotField allDrilled="1" showAll="0" dataSourceSort="1" defaultAttributeDrillState="1"/>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items count="4">
        <item x="0" e="0"/>
        <item x="1" e="0"/>
        <item x="2" e="0"/>
        <item t="default"/>
      </items>
    </pivotField>
    <pivotField axis="axisRow" allDrilled="1" showAll="0" dataSourceSort="1" defaultAttributeDrillState="1">
      <items count="18">
        <item x="0"/>
        <item x="1"/>
        <item x="2"/>
        <item x="3"/>
        <item x="4"/>
        <item x="5"/>
        <item x="6"/>
        <item x="7"/>
        <item x="8"/>
        <item x="9"/>
        <item x="10"/>
        <item x="11"/>
        <item x="12"/>
        <item x="13"/>
        <item x="14"/>
        <item x="15"/>
        <item x="16"/>
        <item t="default"/>
      </items>
    </pivotField>
  </pivotFields>
  <rowFields count="2">
    <field x="8"/>
    <field x="9"/>
  </rowFields>
  <rowItems count="3">
    <i>
      <x/>
    </i>
    <i>
      <x v="1"/>
    </i>
    <i>
      <x v="2"/>
    </i>
  </rowItems>
  <colFields count="1">
    <field x="7"/>
  </colFields>
  <colItems count="5">
    <i>
      <x/>
    </i>
    <i>
      <x v="1"/>
    </i>
    <i>
      <x v="2"/>
    </i>
    <i>
      <x v="3"/>
    </i>
    <i t="grand">
      <x/>
    </i>
  </colItems>
  <pageFields count="2">
    <pageField fld="3" hier="31" name="[fActualAndBudget].[ReportType].&amp;[План]" cap="План"/>
    <pageField fld="6" hier="40" name="[fActualAndBudget].[ObrazecIme].&amp;[Finansiski plan_Bilans na uspeh]" cap="Finansiski plan_Bilans na uspeh"/>
  </pageFields>
  <dataFields count="1">
    <dataField name="Sum of Износ" fld="4" baseField="0" baseItem="0" numFmtId="3"/>
  </dataField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20]"/>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5"/>
    <rowHierarchyUsage hierarchyUsage="34"/>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19" applyNumberFormats="0" applyBorderFormats="0" applyFontFormats="0" applyPatternFormats="0" applyAlignmentFormats="0" applyWidthHeightFormats="1" dataCaption="Values" tag="038dd624-92e1-42ea-a054-f083bd4a77e3" updatedVersion="6" minRefreshableVersion="3" showDataTips="0" subtotalHiddenItems="1" rowGrandTotals="0" itemPrintTitles="1" createdVersion="5" indent="0" outline="1" outlineData="1">
  <location ref="B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1" name="[fActualAndBudget].[ReportType].&amp;[План]" cap="План"/>
    <pageField fld="5" hier="40" name="[fActualAndBudget].[ObrazecIme].&amp;[Finansiski plan_Bilans na uspeh]" cap="Finansiski plan_Bilans na uspeh"/>
  </pageField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19]"/>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4" cacheId="18" applyNumberFormats="0" applyBorderFormats="0" applyFontFormats="0" applyPatternFormats="0" applyAlignmentFormats="0" applyWidthHeightFormats="1" dataCaption="Values" tag="57c22881-48b3-4c5f-9554-72a889cf11c9" updatedVersion="6" minRefreshableVersion="3" showDataTips="0" subtotalHiddenItems="1" rowGrandTotals="0" itemPrintTitles="1" createdVersion="5" indent="0" outline="1" outlineData="1">
  <location ref="Q5" firstHeaderRow="0" firstDataRow="0" firstDataCol="0" rowPageCount="2" colPageCount="1"/>
  <pivotFields count="6">
    <pivotField allDrilled="1" showAll="0" dataSourceSort="1"/>
    <pivotField showAll="0" dataSourceSort="1"/>
    <pivotField showAll="0" dataSourceSort="1"/>
    <pivotField axis="axisPage" allDrilled="1" showAll="0"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s>
  <pageFields count="2">
    <pageField fld="3" hier="31" name="[fActualAndBudget].[ReportType].&amp;[Предвидување]" cap="Предвидување"/>
    <pageField fld="5" hier="40" name="[fActualAndBudget].[ObrazecIme].&amp;[Finansiski plan_Bilans na uspeh]" cap="Finansiski plan_Bilans na uspeh"/>
  </pageField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19]"/>
      </members>
    </pivotHierarchy>
    <pivotHierarchy multipleItemSelectionAllowed="1" dragToData="1">
      <members count="1" level="1">
        <member name="[Calendar].[Година].&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ReportType].&amp;[Предвидување]"/>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uspe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9" cacheId="22" applyNumberFormats="0" applyBorderFormats="0" applyFontFormats="0" applyPatternFormats="0" applyAlignmentFormats="0" applyWidthHeightFormats="1" dataCaption="Values" tag="16b9145e-693a-4ceb-989d-8265fc609a95" updatedVersion="6" minRefreshableVersion="3" showDataTips="0" useAutoFormatting="1" subtotalHiddenItems="1" rowGrandTotals="0" itemPrintTitles="1" createdVersion="6" indent="0" compact="0" compactData="0">
  <location ref="A68:N70" firstHeaderRow="1" firstDataRow="2" firstDataCol="1" rowPageCount="3" colPageCount="1"/>
  <pivotFields count="5">
    <pivotField axis="axisPage" compact="0" allDrilled="1" outline="0" subtotalTop="0" showAll="0" dataSourceSort="1" defaultAttributeDrillState="1">
      <items count="1">
        <item t="default"/>
      </items>
    </pivotField>
    <pivotField dataField="1" compact="0" outline="0" subtotalTop="0" showAll="0"/>
    <pivotField axis="axisCol" compact="0" allDrilled="1" outline="0" subtotalTop="0" showAll="0" dataSourceSort="1" defaultAttributeDrillState="1">
      <items count="13">
        <item x="0"/>
        <item x="1"/>
        <item x="2"/>
        <item x="3"/>
        <item x="4"/>
        <item x="5"/>
        <item x="6"/>
        <item x="7"/>
        <item x="8"/>
        <item x="9"/>
        <item x="10"/>
        <item x="11"/>
        <item t="default"/>
      </items>
    </pivotField>
    <pivotField axis="axisPage" compact="0" allDrilled="1" outline="0" subtotalTop="0" showAll="0" dataSourceSort="1" defaultAttributeDrillState="1">
      <items count="1">
        <item t="default"/>
      </items>
    </pivotField>
    <pivotField axis="axisPage" compact="0" allDrilled="1" outline="0" showAll="0" dataSourceSort="1" defaultAttributeDrillState="1">
      <items count="1">
        <item t="default"/>
      </items>
    </pivotField>
  </pivotFields>
  <rowItems count="1">
    <i/>
  </rowItems>
  <colFields count="1">
    <field x="2"/>
  </colFields>
  <colItems count="13">
    <i>
      <x/>
    </i>
    <i>
      <x v="1"/>
    </i>
    <i>
      <x v="2"/>
    </i>
    <i>
      <x v="3"/>
    </i>
    <i>
      <x v="4"/>
    </i>
    <i>
      <x v="5"/>
    </i>
    <i>
      <x v="6"/>
    </i>
    <i>
      <x v="7"/>
    </i>
    <i>
      <x v="8"/>
    </i>
    <i>
      <x v="9"/>
    </i>
    <i>
      <x v="10"/>
    </i>
    <i>
      <x v="11"/>
    </i>
    <i t="grand">
      <x/>
    </i>
  </colItems>
  <pageFields count="3">
    <pageField fld="0" hier="28" name="[fActualAndBudget].[Конто].&amp;[43010]" cap="43010"/>
    <pageField fld="3" hier="8" name="[Calendar].[Година].&amp;[2022]" cap="2022"/>
    <pageField fld="4" hier="31" name="[fActualAndBudget].[ReportType].&amp;[План]" cap="План"/>
  </pageFields>
  <dataFields count="1">
    <dataField name="Sum of Износ" fld="1" baseField="0" baseItem="0"/>
  </dataFields>
  <pivotHierarchies count="176">
    <pivotHierarchy dragToData="1"/>
    <pivotHierarchy dragToData="1"/>
    <pivotHierarchy dragToData="1"/>
    <pivotHierarchy dragToData="1"/>
    <pivotHierarchy dragToData="1"/>
    <pivotHierarchy dragToData="1"/>
    <pivotHierarchy dragToData="1"/>
    <pivotHierarchy/>
    <pivotHierarchy multipleItemSelectionAllowed="1" dragToData="1">
      <members count="1" level="1">
        <member name="[Calendar].[Година].&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4" level="1">
        <member name="[fActualAndBudget].[Конто].&amp;[43010]"/>
        <member name="[fActualAndBudget].[Конто].&amp;[43011]"/>
        <member name="[fActualAndBudget].[Конто].&amp;[43020]"/>
        <member name="[fActualAndBudget].[Конто].&amp;[43030]"/>
        <member name="[fActualAndBudget].[Конто].&amp;[43031]"/>
        <member name="[fActualAndBudget].[Конто].&amp;[43132]"/>
        <member name="[fActualAndBudget].[Конто].&amp;[43133]"/>
        <member name="[fActualAndBudget].[Конто].&amp;[43134]"/>
        <member name="[fActualAndBudget].[Конто].&amp;[43136]"/>
        <member name="[fActualAndBudget].[Конто].&amp;[43139]"/>
        <member name="[fActualAndBudget].[Конто].&amp;[43155]"/>
        <member name="[fActualAndBudget].[Конто].&amp;[43211]"/>
        <member name="[fActualAndBudget].[Конто].&amp;[431001]"/>
        <member name="[fActualAndBudget].[Конто].&amp;[431002]"/>
      </members>
    </pivotHierarchy>
    <pivotHierarchy dragToData="1"/>
    <pivotHierarchy dragToData="1"/>
    <pivotHierarchy multipleItemSelectionAllowed="1" dragToData="1">
      <members count="1" level="1">
        <member name="[fActualAndBudget].[ReportType].&amp;[План]"/>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7" cacheId="2" applyNumberFormats="0" applyBorderFormats="0" applyFontFormats="0" applyPatternFormats="0" applyAlignmentFormats="0" applyWidthHeightFormats="1" dataCaption="Values" tag="9a46dde1-dd71-4045-b246-4e259d2911a9" updatedVersion="6" minRefreshableVersion="3" showDataTips="0" useAutoFormatting="1" itemPrintTitles="1" createdVersion="6" indent="0" compact="0" compactData="0">
  <location ref="A54:N61" firstHeaderRow="1" firstDataRow="2" firstDataCol="1"/>
  <pivotFields count="3">
    <pivotField axis="axisRow" compact="0" allDrilled="1" outline="0" subtotalTop="0" showAll="0" dataSourceSort="1" defaultAttributeDrillState="1">
      <items count="6">
        <item x="0"/>
        <item x="1"/>
        <item x="2"/>
        <item x="3"/>
        <item x="4"/>
        <item t="default"/>
      </items>
    </pivotField>
    <pivotField axis="axisCol" compact="0" allDrilled="1" outline="0" subtotalTop="0" showAll="0" dataSourceSort="1" defaultAttributeDrillState="1">
      <items count="13">
        <item x="0"/>
        <item x="1"/>
        <item x="2"/>
        <item x="3"/>
        <item x="4"/>
        <item x="5"/>
        <item x="6"/>
        <item x="7"/>
        <item x="8"/>
        <item x="9"/>
        <item x="10"/>
        <item x="11"/>
        <item t="default"/>
      </items>
    </pivotField>
    <pivotField dataField="1" compact="0" outline="0" subtotalTop="0" showAll="0"/>
  </pivotFields>
  <rowFields count="1">
    <field x="0"/>
  </rowFields>
  <rowItems count="6">
    <i>
      <x/>
    </i>
    <i>
      <x v="1"/>
    </i>
    <i>
      <x v="2"/>
    </i>
    <i>
      <x v="3"/>
    </i>
    <i>
      <x v="4"/>
    </i>
    <i t="grand">
      <x/>
    </i>
  </rowItems>
  <colFields count="1">
    <field x="1"/>
  </colFields>
  <colItems count="13">
    <i>
      <x/>
    </i>
    <i>
      <x v="1"/>
    </i>
    <i>
      <x v="2"/>
    </i>
    <i>
      <x v="3"/>
    </i>
    <i>
      <x v="4"/>
    </i>
    <i>
      <x v="5"/>
    </i>
    <i>
      <x v="6"/>
    </i>
    <i>
      <x v="7"/>
    </i>
    <i>
      <x v="8"/>
    </i>
    <i>
      <x v="9"/>
    </i>
    <i>
      <x v="10"/>
    </i>
    <i>
      <x v="11"/>
    </i>
    <i t="grand">
      <x/>
    </i>
  </colItems>
  <dataFields count="1">
    <dataField name="Sum of Износ" fld="2" baseField="0" baseItem="0"/>
  </dataFields>
  <pivotHierarchies count="176">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mortizacija]"/>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PivotTable3" cacheId="11" applyNumberFormats="0" applyBorderFormats="0" applyFontFormats="0" applyPatternFormats="0" applyAlignmentFormats="0" applyWidthHeightFormats="1" dataCaption="Values" tag="3d348c77-16ba-4e2d-a8c8-ee64b6ffe70a" updatedVersion="6" minRefreshableVersion="3" showDataTips="0" useAutoFormatting="1" subtotalHiddenItems="1" rowGrandTotals="0" itemPrintTitles="1" createdVersion="5" indent="0" outline="1" outlineData="1">
  <location ref="B27:F167" firstHeaderRow="1" firstDataRow="3" firstDataCol="1" rowPageCount="1" colPageCount="1"/>
  <pivotFields count="9">
    <pivotField allDrilled="1" showAll="0" dataSourceSort="1" defaultSubtotal="0"/>
    <pivotField showAll="0" dataSourceSort="1" defaultSubtotal="0"/>
    <pivotField showAll="0" dataSourceSort="1" defaultSubtotal="0"/>
    <pivotField axis="axisRow" allDrilled="1" showAll="0" dataSourceSort="1" defaultSubtotal="0" defaultAttributeDrillState="1">
      <items count="1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axis="axisCol" allDrilled="1" showAll="0" defaultSubtotal="0" defaultAttributeDrillState="1">
      <items count="3">
        <item x="2"/>
        <item x="1"/>
        <item x="0"/>
      </items>
    </pivotField>
    <pivotField dataField="1" showAll="0"/>
    <pivotField axis="axisCol" allDrilled="1" showAll="0" dataSourceSort="1" defaultSubtotal="0" defaultAttributeDrillState="1">
      <items count="1">
        <item x="0"/>
      </items>
    </pivotField>
    <pivotField axis="axisPage" allDrilled="1" showAll="0" dataSourceSort="1" defaultSubtotal="0" defaultAttributeDrillState="1"/>
    <pivotField axis="axisRow" allDrilled="1" showAll="0" dataSourceSort="1" defaultSubtotal="0" defaultAttributeDrillState="1">
      <items count="14">
        <item x="0"/>
        <item x="1"/>
        <item x="2"/>
        <item x="3"/>
        <item x="4"/>
        <item x="5"/>
        <item x="6"/>
        <item x="7"/>
        <item x="8"/>
        <item x="9"/>
        <item x="10"/>
        <item x="11"/>
        <item x="12"/>
        <item x="13"/>
      </items>
    </pivotField>
  </pivotFields>
  <rowFields count="2">
    <field x="8"/>
    <field x="3"/>
  </rowFields>
  <rowItems count="138">
    <i>
      <x/>
    </i>
    <i r="1">
      <x/>
    </i>
    <i r="1">
      <x v="1"/>
    </i>
    <i r="1">
      <x v="2"/>
    </i>
    <i r="1">
      <x v="3"/>
    </i>
    <i r="1">
      <x v="4"/>
    </i>
    <i r="1">
      <x v="5"/>
    </i>
    <i r="1">
      <x v="6"/>
    </i>
    <i r="1">
      <x v="7"/>
    </i>
    <i r="1">
      <x v="8"/>
    </i>
    <i r="1">
      <x v="9"/>
    </i>
    <i r="1">
      <x v="10"/>
    </i>
    <i r="1">
      <x v="11"/>
    </i>
    <i r="1">
      <x v="12"/>
    </i>
    <i>
      <x v="1"/>
    </i>
    <i r="1">
      <x v="13"/>
    </i>
    <i>
      <x v="2"/>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x v="3"/>
    </i>
    <i r="1">
      <x v="45"/>
    </i>
    <i>
      <x v="4"/>
    </i>
    <i r="1">
      <x v="46"/>
    </i>
    <i>
      <x v="5"/>
    </i>
    <i r="1">
      <x v="47"/>
    </i>
    <i r="1">
      <x v="48"/>
    </i>
    <i r="1">
      <x v="49"/>
    </i>
    <i r="1">
      <x v="50"/>
    </i>
    <i r="1">
      <x v="51"/>
    </i>
    <i r="1">
      <x v="52"/>
    </i>
    <i r="1">
      <x v="53"/>
    </i>
    <i r="1">
      <x v="54"/>
    </i>
    <i r="1">
      <x v="55"/>
    </i>
    <i r="1">
      <x v="56"/>
    </i>
    <i r="1">
      <x v="57"/>
    </i>
    <i r="1">
      <x v="58"/>
    </i>
    <i r="1">
      <x v="59"/>
    </i>
    <i r="1">
      <x v="60"/>
    </i>
    <i r="1">
      <x v="61"/>
    </i>
    <i r="1">
      <x v="62"/>
    </i>
    <i r="1">
      <x v="63"/>
    </i>
    <i r="1">
      <x v="64"/>
    </i>
    <i>
      <x v="6"/>
    </i>
    <i r="1">
      <x v="65"/>
    </i>
    <i r="1">
      <x v="66"/>
    </i>
    <i>
      <x v="7"/>
    </i>
    <i r="1">
      <x v="67"/>
    </i>
    <i>
      <x v="8"/>
    </i>
    <i r="1">
      <x v="68"/>
    </i>
    <i r="1">
      <x v="69"/>
    </i>
    <i r="1">
      <x v="70"/>
    </i>
    <i r="1">
      <x v="71"/>
    </i>
    <i r="1">
      <x v="72"/>
    </i>
    <i>
      <x v="9"/>
    </i>
    <i r="1">
      <x v="73"/>
    </i>
    <i>
      <x v="10"/>
    </i>
    <i r="1">
      <x v="74"/>
    </i>
    <i>
      <x v="11"/>
    </i>
    <i r="1">
      <x v="75"/>
    </i>
    <i r="1">
      <x v="76"/>
    </i>
    <i r="1">
      <x v="77"/>
    </i>
    <i r="1">
      <x v="78"/>
    </i>
    <i r="1">
      <x v="79"/>
    </i>
    <i r="1">
      <x v="80"/>
    </i>
    <i r="1">
      <x v="81"/>
    </i>
    <i r="1">
      <x v="82"/>
    </i>
    <i r="1">
      <x v="83"/>
    </i>
    <i>
      <x v="12"/>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x v="13"/>
    </i>
    <i r="1">
      <x v="117"/>
    </i>
    <i r="1">
      <x v="118"/>
    </i>
    <i r="1">
      <x v="119"/>
    </i>
    <i r="1">
      <x v="120"/>
    </i>
    <i r="1">
      <x v="121"/>
    </i>
    <i r="1">
      <x v="122"/>
    </i>
    <i r="1">
      <x v="123"/>
    </i>
  </rowItems>
  <colFields count="2">
    <field x="4"/>
    <field x="6"/>
  </colFields>
  <colItems count="4">
    <i>
      <x/>
      <x/>
    </i>
    <i>
      <x v="1"/>
      <x/>
    </i>
    <i>
      <x v="2"/>
      <x/>
    </i>
    <i t="grand">
      <x/>
    </i>
  </colItems>
  <pageFields count="1">
    <pageField fld="7" hier="40" name="[fActualAndBudget].[ObrazecIme].&amp;[Finansiski plan_Bilans na sostojba]" cap="Finansiski plan_Bilans na sostojba"/>
  </pageFields>
  <dataFields count="1">
    <dataField name="Sum of Износ" fld="5" baseField="0" baseItem="0" numFmtId="3"/>
  </dataFields>
  <formats count="5">
    <format dxfId="157">
      <pivotArea field="3" grandCol="1" collapsedLevelsAreSubtotals="1" axis="axisRow" fieldPosition="1">
        <references count="1">
          <reference field="3" count="1">
            <x v="125"/>
          </reference>
        </references>
      </pivotArea>
    </format>
    <format dxfId="156">
      <pivotArea field="3" grandCol="1" collapsedLevelsAreSubtotals="1" axis="axisRow" fieldPosition="1">
        <references count="1">
          <reference field="3" count="1">
            <x v="124"/>
          </reference>
        </references>
      </pivotArea>
    </format>
    <format dxfId="155">
      <pivotArea grandCol="1" outline="0" collapsedLevelsAreSubtotals="1" fieldPosition="0"/>
    </format>
    <format dxfId="154">
      <pivotArea type="topRight" dataOnly="0" labelOnly="1" outline="0" offset="D1" fieldPosition="0"/>
    </format>
    <format dxfId="153">
      <pivotArea dataOnly="0" labelOnly="1" grandCol="1" outline="0" fieldPosition="0"/>
    </format>
  </formats>
  <pivotHierarchies count="176">
    <pivotHierarchy dragToData="1"/>
    <pivotHierarchy dragToData="1"/>
    <pivotHierarchy dragToData="1"/>
    <pivotHierarchy dragToData="1"/>
    <pivotHierarchy dragToData="1"/>
    <pivotHierarchy dragToData="1"/>
    <pivotHierarchy dragToData="1"/>
    <pivotHierarchy multipleItemSelectionAllowed="1">
      <members count="1" level="1">
        <member name="[Calendar].[Date Hierarchy].[Year].&amp;[2019]"/>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ActualAndBudget].[ObrazecIme].&amp;[Finansiski plan_Bilans na sostojb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6"/>
    <rowHierarchyUsage hierarchyUsage="28"/>
  </rowHierarchiesUsage>
  <colHierarchiesUsage count="2">
    <colHierarchyUsage hierarchyUsage="3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ualAndBudget]"/>
        <x15:activeTabTopLevelEntity name="[Calendar]"/>
      </x15:pivotTableUISettings>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00000000-0016-0000-2200-000000000000}" autoFormatId="0" applyNumberFormats="0" applyBorderFormats="0" applyFontFormats="1" applyPatternFormats="1" applyAlignmentFormats="0" applyWidthHeightFormats="0">
  <queryTableRefresh preserveSortFilterLayout="0" nextId="6">
    <queryTableFields count="5">
      <queryTableField id="1" name="Предмет на јавна набавка" tableColumnId="1"/>
      <queryTableField id="2" name="Предвиден датум на набавка" tableColumnId="2"/>
      <queryTableField id="3" name="Проценета вредност на набавка со ДДВ (денари)" tableColumnId="3"/>
      <queryTableField id="4" name="Конто" tableColumnId="4"/>
      <queryTableField id="5" name="ReportType" tableColumnId="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13" xr16:uid="{00000000-0016-0000-2300-000001000000}" autoFormatId="0" applyNumberFormats="0" applyBorderFormats="0" applyFontFormats="1" applyPatternFormats="1" applyAlignmentFormats="0" applyWidthHeightFormats="0">
  <queryTableRefresh preserveSortFilterLayout="0" nextId="6">
    <queryTableFields count="5">
      <queryTableField id="1" name="Предмет на јавна набавка" tableColumnId="1"/>
      <queryTableField id="2" name="Предвиден датум на набавка" tableColumnId="2"/>
      <queryTableField id="3" name="Проценета вредност на набавка со ДДВ (денари)" tableColumnId="3"/>
      <queryTableField id="4" name="Конто" tableColumnId="4"/>
      <queryTableField id="5" name="ReportType"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21" xr16:uid="{00000000-0016-0000-2500-000002000000}" autoFormatId="0" applyNumberFormats="0" applyBorderFormats="0" applyFontFormats="1" applyPatternFormats="1" applyAlignmentFormats="0" applyWidthHeightFormats="0">
  <queryTableRefresh preserveSortFilterLayout="0" nextId="6">
    <queryTableFields count="5">
      <queryTableField id="1" name="Предмет на јавна набавка" tableColumnId="1"/>
      <queryTableField id="2" name="Предвиден датум на набавка" tableColumnId="2"/>
      <queryTableField id="3" name="Проценета вредност на набавка со ДДВ (денари)" tableColumnId="3"/>
      <queryTableField id="4" name="Конто" tableColumnId="4"/>
      <queryTableField id="5" name="ReportType" tableColumnId="5"/>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Месец112" xr10:uid="{00000000-0013-0000-FFFF-FFFF01000000}" sourceName="[Calendar].[Месец]">
  <data>
    <olap pivotCacheId="1088040064">
      <levels count="2">
        <level uniqueName="[Calendar].[Месец].[(All)]" sourceCaption="(All)" count="0"/>
        <level uniqueName="[Calendar].[Месец].[Месец]" sourceCaption="Месец" count="13">
          <ranges>
            <range startItem="0">
              <i n="[Calendar].[Месец].&amp;[Jan]" c="Jan"/>
              <i n="[Calendar].[Месец].&amp;[Feb]" c="Feb"/>
              <i n="[Calendar].[Месец].&amp;[Mar]" c="Mar"/>
              <i n="[Calendar].[Месец].&amp;[Apr]" c="Apr"/>
              <i n="[Calendar].[Месец].&amp;[May]" c="May"/>
              <i n="[Calendar].[Месец].&amp;[Jun]" c="Jun"/>
              <i n="[Calendar].[Месец].&amp;[Jul]" c="Jul"/>
              <i n="[Calendar].[Месец].&amp;[Aug]" c="Aug"/>
              <i n="[Calendar].[Месец].&amp;[Sep]" c="Sep"/>
              <i n="[Calendar].[Месец].&amp;[Oct]" c="Oct"/>
              <i n="[Calendar].[Месец].&amp;[Nov]" c="Nov"/>
              <i n="[Calendar].[Месец].&amp;[Dec]" c="Dec"/>
              <i n="[Calendar].[Месец].&amp;" c="(blank)"/>
            </range>
          </ranges>
        </level>
      </levels>
      <selections count="1">
        <selection n="[Calendar].[Месец].&amp;[Jan]"/>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32" xr10:uid="{00000000-0013-0000-FFFF-FFFF0A000000}" sourceName="[Calendar].[Date Hierarchy]">
  <pivotTables>
    <pivotTable tabId="95" name="PivotTable2"/>
  </pivotTables>
  <data>
    <olap pivotCacheId="1460008955">
      <levels count="4">
        <level uniqueName="[Calendar].[Date Hierarchy].[(All)]" sourceCaption="(All)" count="0"/>
        <level uniqueName="[Calendar].[Date Hierarchy].[Year]" sourceCaption="Year" count="9">
          <ranges>
            <range startItem="0">
              <i n="[Calendar].[Date Hierarchy].[Year].&amp;[2018]" c="2018"/>
              <i n="[Calendar].[Date Hierarchy].[Year].&amp;[2019]" c="2019"/>
              <i n="[Calendar].[Date Hierarchy].[Year].&amp;[2020]" c="2020"/>
              <i n="[Calendar].[Date Hierarchy].[Year].&amp;[2015]" c="2015" nd="1"/>
              <i n="[Calendar].[Date Hierarchy].[Year].&amp;[2016]" c="2016" nd="1"/>
              <i n="[Calendar].[Date Hierarchy].[Year].&amp;[2017]" c="2017" nd="1"/>
              <i n="[Calendar].[Date Hierarchy].[Year].&amp;[2021]" c="2021" nd="1"/>
              <i n="[Calendar].[Date Hierarchy].[Year].&amp;[2022]" c="2022" nd="1"/>
              <i n="[Calendar].[Date Hierarchy].[Year].&amp;" c="(blank)" nd="1"/>
            </range>
          </ranges>
        </level>
        <level uniqueName="[Calendar].[Date Hierarchy].[Month]" sourceCaption="Month" count="0"/>
        <level uniqueName="[Calendar].[Date Hierarchy].[DateColumn]" sourceCaption="DateColumn" count="0"/>
      </levels>
      <selections count="3">
        <selection n="[Calendar].[Date Hierarchy].[Year].&amp;[2018]"/>
        <selection n="[Calendar].[Date Hierarchy].[Year].&amp;[2019]"/>
        <selection n="[Calendar].[Date Hierarchy].[Year].&amp;[2020]"/>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ImeAOP1" xr10:uid="{00000000-0013-0000-FFFF-FFFF0B000000}" sourceName="[fActualAndBudget].[StavkaImeAOP]">
  <pivotTables>
    <pivotTable tabId="95" name="PivotTable2"/>
  </pivotTables>
  <data>
    <olap pivotCacheId="1460008955">
      <levels count="2">
        <level uniqueName="[fActualAndBudget].[StavkaImeAOP].[(All)]" sourceCaption="(All)" count="0"/>
        <level uniqueName="[fActualAndBudget].[StavkaImeAOP].[StavkaImeAOP]" sourceCaption="StavkaImeAOP" count="81">
          <ranges>
            <range startItem="0">
              <i n="[fActualAndBudget].[StavkaImeAOP].&amp;[3.1.1 - Приходи од заложен регистар]" c="3.1.1 - Приходи од заложен регистар"/>
              <i n="[fActualAndBudget].[StavkaImeAOP].&amp;[3.1.10 - Приходи од регионален портал и регистар на вистински сопственици]" c="3.1.10 - Приходи од регионален портал и регистар на вистински сопственици"/>
              <i n="[fActualAndBudget].[StavkaImeAOP].&amp;[3.1.11 - Приходи од прекршочна постапка]" c="3.1.11 - Приходи од прекршочна постапка"/>
              <i n="[fActualAndBudget].[StavkaImeAOP].&amp;[3.1.12 - Приходи од интернет дистрибутивен систем]" c="3.1.12 - Приходи од интернет дистрибутивен систем"/>
              <i n="[fActualAndBudget].[StavkaImeAOP].&amp;[3.1.13 - Приходи од странство]" c="3.1.13 - Приходи од странство"/>
              <i n="[fActualAndBudget].[StavkaImeAOP].&amp;[3.1.14 - Приходи од регистар на задолжница]" c="3.1.14 - Приходи од регистар на задолжница"/>
              <i n="[fActualAndBudget].[StavkaImeAOP].&amp;[3.1.2 - Приходи од годишни сметки]" c="3.1.2 - Приходи од годишни сметки"/>
              <i n="[fActualAndBudget].[StavkaImeAOP].&amp;[3.1.4 - Приходи од Регистар на резиденти и нерезиденти]" c="3.1.4 - Приходи од Регистар на резиденти и нерезиденти"/>
              <i n="[fActualAndBudget].[StavkaImeAOP].&amp;[3.1.5 - Приходи од Регистар на лизинг]" c="3.1.5 - Приходи од Регистар на лизинг"/>
              <i n="[fActualAndBudget].[StavkaImeAOP].&amp;[3.1.6 - Приходи од регистар на недвижности]" c="3.1.6 - Приходи од регистар на недвижности"/>
              <i n="[fActualAndBudget].[StavkaImeAOP].&amp;[3.1.7 - Приходи од трговски регистар]" c="3.1.7 - Приходи од трговски регистар"/>
              <i n="[fActualAndBudget].[StavkaImeAOP].&amp;[3.1.8 - Приходи од регистар на директни странски инвестиции]" c="3.1.8 - Приходи од регистар на директни странски инвестиции"/>
              <i n="[fActualAndBudget].[StavkaImeAOP].&amp;[3.1.9 - Приходи од регистрите за кривични санкции, пресуди и др.]" c="3.1.9 - Приходи од регистрите за кривични санкции, пресуди и др."/>
              <i n="[fActualAndBudget].[StavkaImeAOP].&amp;[3.2.1 - Приходи од камати]" c="3.2.1 - Приходи од камати"/>
              <i n="[fActualAndBudget].[StavkaImeAOP].&amp;[3.2.2 - Приходи од курсни разлики]" c="3.2.2 - Приходи од курсни разлики"/>
              <i n="[fActualAndBudget].[StavkaImeAOP].&amp;[3.2.3 - Други неспомнати приходи]" c="3.2.3 - Други неспомнати приходи"/>
              <i n="[fActualAndBudget].[StavkaImeAOP].&amp;[3.2.4 - Капитална добивка од продажба на материјални и неметеријални средства]" c="3.2.4 - Капитална добивка од продажба на материјални и неметеријални средства"/>
              <i n="[fActualAndBudget].[StavkaImeAOP].&amp;[3.2.5 - Приходи од донации]" c="3.2.5 - Приходи од донации"/>
              <i n="[fActualAndBudget].[StavkaImeAOP].&amp;[3.2.6 - Приходи од продажба на подвижен имот]" c="3.2.6 - Приходи од продажба на подвижен имот"/>
              <i n="[fActualAndBudget].[StavkaImeAOP].&amp;[3.2.7 - Приходи од закуп]" c="3.2.7 - Приходи од закуп"/>
              <i n="[fActualAndBudget].[StavkaImeAOP].&amp;[3.2.8 - Вонредни невообичаени приходи]" c="3.2.8 - Вонредни невообичаени приходи"/>
              <i n="[fActualAndBudget].[StavkaImeAOP].&amp;[4.1.1 - Потрошени суровини и материјали]" c="4.1.1 - Потрошени суровини и материјали"/>
              <i n="[fActualAndBudget].[StavkaImeAOP].&amp;[4.1.10 - Амортизација по минимални стапки]" c="4.1.10 - Амортизација по минимални стапки"/>
              <i n="[fActualAndBudget].[StavkaImeAOP].&amp;[4.1.11 - Надомест на трошоци на вработените, подароци и помошти]" c="4.1.11 - Надомест на трошоци на вработените, подароци и помошти"/>
              <i n="[fActualAndBudget].[StavkaImeAOP].&amp;[4.1.12 - Дневници за службени патувања и патни трошоци]" c="4.1.12 - Дневници за службени патувања и патни трошоци"/>
              <i n="[fActualAndBudget].[StavkaImeAOP].&amp;[4.1.13 - Трошоци за промоција,пропаганда, реклама, репрезентација и спонзорство]" c="4.1.13 - Трошоци за промоција,пропаганда, реклама, репрезентација и спонзорство"/>
              <i n="[fActualAndBudget].[StavkaImeAOP].&amp;[4.1.14 - Премии за осигурување]" c="4.1.14 - Премии за осигурување"/>
              <i n="[fActualAndBudget].[StavkaImeAOP].&amp;[4.1.15 - Даноци,чланарини и други давачки кои не зависат од резултатот]" c="4.1.15 - Даноци,чланарини и други давачки кои не зависат од резултатот"/>
              <i n="[fActualAndBudget].[StavkaImeAOP].&amp;[4.1.16 - Банкарски услуги и трошоци за платен промет]" c="4.1.16 - Банкарски услуги и трошоци за платен промет"/>
              <i n="[fActualAndBudget].[StavkaImeAOP].&amp;[4.1.17 - Лиценци за разни софтвери (едногодишни, обновливи)]" c="4.1.17 - Лиценци за разни софтвери (едногодишни, обновливи)"/>
              <i n="[fActualAndBudget].[StavkaImeAOP].&amp;[4.1.19 - Останати нематеријални трошоци]" c="4.1.19 - Останати нематеријални трошоци"/>
              <i n="[fActualAndBudget].[StavkaImeAOP].&amp;[4.1.2 - Потрoшена енергија и гориво за возила]" c="4.1.2 - Потрoшена енергија и гориво за возила"/>
              <i n="[fActualAndBudget].[StavkaImeAOP].&amp;[4.1.3 - Потрошени резервни делови]" c="4.1.3 - Потрошени резервни делови"/>
              <i n="[fActualAndBudget].[StavkaImeAOP].&amp;[4.1.4 - Потрошок на ситен инвентар и автогуми]" c="4.1.4 - Потрошок на ситен инвентар и автогуми"/>
              <i n="[fActualAndBudget].[StavkaImeAOP].&amp;[4.1.5 - Транспортни услуги]" c="4.1.5 - Транспортни услуги"/>
              <i n="[fActualAndBudget].[StavkaImeAOP].&amp;[4.1.6 - Надворешни услуги]" c="4.1.6 - Надворешни услуги"/>
              <i n="[fActualAndBudget].[StavkaImeAOP].&amp;[4.1.7 - Услуги за одржување и заштита]" c="4.1.7 - Услуги за одржување и заштита"/>
              <i n="[fActualAndBudget].[StavkaImeAOP].&amp;[4.1.8 - Наемнини и лизинг]" c="4.1.8 - Наемнини и лизинг"/>
              <i n="[fActualAndBudget].[StavkaImeAOP].&amp;[4.1.9 - Останати услуги]" c="4.1.9 - Останати услуги"/>
              <i n="[fActualAndBudget].[StavkaImeAOP].&amp;[4.2.2 - Казни, пенали и надомест на штети затезни камати]" c="4.2.2 - Казни, пенали и надомест на штети затезни камати"/>
              <i n="[fActualAndBudget].[StavkaImeAOP].&amp;[4.2.3 - Вредносно усогласување на тековни и нетековни средства]" c="4.2.3 - Вредносно усогласување на тековни и нетековни средства"/>
              <i n="[fActualAndBudget].[StavkaImeAOP].&amp;[4.2.5 - Курсни разлики]" c="4.2.5 - Курсни разлики"/>
              <i n="[fActualAndBudget].[StavkaImeAOP].&amp;[4.2.6 - Загуби и кусоци]" c="4.2.6 - Загуби и кусоци"/>
              <i n="[fActualAndBudget].[StavkaImeAOP].&amp;[4.2.7 - Останати расходи]" c="4.2.7 - Останати расходи"/>
              <i n="[fActualAndBudget].[StavkaImeAOP].&amp;[ - ]" c=" - " nd="1"/>
              <i n="[fActualAndBudget].[StavkaImeAOP].&amp;[ - 0]" c=" - 0" nd="1"/>
              <i n="[fActualAndBudget].[StavkaImeAOP].&amp;[1.1.1 - Жиро сметки]" c="1.1.1 - Жиро сметки" nd="1"/>
              <i n="[fActualAndBudget].[StavkaImeAOP].&amp;[1.1.3 - Готовина домашна валута]" c="1.1.3 - Готовина домашна валута" nd="1"/>
              <i n="[fActualAndBudget].[StavkaImeAOP].&amp;[1.1.4 - Готовина странска валута]" c="1.1.4 - Готовина странска валута" nd="1"/>
              <i n="[fActualAndBudget].[StavkaImeAOP].&amp;[1.13.1 - Вонбилансна актива]" c="1.13.1 - Вонбилансна актива" nd="1"/>
              <i n="[fActualAndBudget].[StavkaImeAOP].&amp;[1.14.1 - Обврски кон добавувачи во земјата]" c="1.14.1 - Обврски кон добавувачи во земјата" nd="1"/>
              <i n="[fActualAndBudget].[StavkaImeAOP].&amp;[1.14.3 - Обврски кон вработените]" c="1.14.3 - Обврски кон вработените" nd="1"/>
              <i n="[fActualAndBudget].[StavkaImeAOP].&amp;[1.14.6 - Обврски спрема државата]" c="1.14.6 - Обврски спрема државата" nd="1"/>
              <i n="[fActualAndBudget].[StavkaImeAOP].&amp;[1.14.7 - Обврски за даноци и придонеси]" c="1.14.7 - Обврски за даноци и придонеси" nd="1"/>
              <i n="[fActualAndBudget].[StavkaImeAOP].&amp;[1.14.99 - Останати тековни обврски]" c="1.14.99 - Останати тековни обврски" nd="1"/>
              <i n="[fActualAndBudget].[StavkaImeAOP].&amp;[1.15.1 - Одложено плаќање на трошоци и признавање на приходи (ПВР)]" c="1.15.1 - Одложено плаќање на трошоци и признавање на приходи (ПВР)" nd="1"/>
              <i n="[fActualAndBudget].[StavkaImeAOP].&amp;[1.17.3 - Долгорочни финансиски обврски]" c="1.17.3 - Долгорочни финансиски обврски" nd="1"/>
              <i n="[fActualAndBudget].[StavkaImeAOP].&amp;[1.2.3 - Побарувања од вработените]" c="1.2.3 - Побарувања од вработените" nd="1"/>
              <i n="[fActualAndBudget].[StavkaImeAOP].&amp;[1.2.4 - Побарувања од државата]" c="1.2.4 - Побарувања од државата" nd="1"/>
              <i n="[fActualAndBudget].[StavkaImeAOP].&amp;[1.2.6 - Краткорочни финансиски побарувања]" c="1.2.6 - Краткорочни финансиски побарувања" nd="1"/>
              <i n="[fActualAndBudget].[StavkaImeAOP].&amp;[1.21.1 - Државен капитал]" c="1.21.1 - Државен капитал" nd="1"/>
              <i n="[fActualAndBudget].[StavkaImeAOP].&amp;[1.22.1 - Акумулирана добивка]" c="1.22.1 - Акумулирана добивка" nd="1"/>
              <i n="[fActualAndBudget].[StavkaImeAOP].&amp;[1.23.1 - Законска резерва]" c="1.23.1 - Законска резерва" nd="1"/>
              <i n="[fActualAndBudget].[StavkaImeAOP].&amp;[1.23.2 - Реинвестирана добивка]" c="1.23.2 - Реинвестирана добивка" nd="1"/>
              <i n="[fActualAndBudget].[StavkaImeAOP].&amp;[1.23.3 - Останати резерви - резерви за развој]" c="1.23.3 - Останати резерви - резерви за развој" nd="1"/>
              <i n="[fActualAndBudget].[StavkaImeAOP].&amp;[1.25.1 - Добивка/ Загуба за деловната година]" c="1.25.1 - Добивка/ Загуба за деловната година" nd="1"/>
              <i n="[fActualAndBudget].[StavkaImeAOP].&amp;[1.28.1 - Вонбилансна пасива]" c="1.28.1 - Вонбилансна пасива" nd="1"/>
              <i n="[fActualAndBudget].[StavkaImeAOP].&amp;[1.3.1 - Залихи на канцелариски и останат материјал]" c="1.3.1 - Залихи на канцелариски и останат материјал" nd="1"/>
              <i n="[fActualAndBudget].[StavkaImeAOP].&amp;[1.3.2 - Залихи на ситен инвентар и авто гуми]" c="1.3.2 - Залихи на ситен инвентар и авто гуми" nd="1"/>
              <i n="[fActualAndBudget].[StavkaImeAOP].&amp;[1.3.3 - Залихи на резервни делови]" c="1.3.3 - Залихи на резервни делови" nd="1"/>
              <i n="[fActualAndBudget].[StavkaImeAOP].&amp;[15.4 - Посебна резерва - реинвестирана добивка]" c="15.4 - Посебна резерва - реинвестирана добивка" nd="1"/>
              <i n="[fActualAndBudget].[StavkaImeAOP].&amp;[3.1.7 - Приходи од регистар на вистински сопственици]" c="3.1.7 - Приходи од регистар на вистински сопственици" nd="1"/>
              <i n="[fActualAndBudget].[StavkaImeAOP].&amp;[5.1.1 - Недвижности]" c="5.1.1 - Недвижности" nd="1"/>
              <i n="[fActualAndBudget].[StavkaImeAOP].&amp;[5.1.2 - Компјутерска и останата опрема]" c="5.1.2 - Компјутерска и останата опрема" nd="1"/>
              <i n="[fActualAndBudget].[StavkaImeAOP].&amp;[5.10.1 - Софтвер]" c="5.10.1 - Софтвер" nd="1"/>
              <i n="[fActualAndBudget].[StavkaImeAOP].&amp;[5.10.2 - Нематеријални средства во подготовка]" c="5.10.2 - Нематеријални средства во подготовка" nd="1"/>
              <i n="[fActualAndBudget].[StavkaImeAOP].&amp;[5.2.1 - Патнички автомобили]" c="5.2.1 - Патнички автомобили" nd="1"/>
              <i n="[fActualAndBudget].[StavkaImeAOP].&amp;[5.3.1 - Канцелариски мебел]" c="5.3.1 - Канцелариски мебел" nd="1"/>
              <i n="[fActualAndBudget].[StavkaImeAOP].&amp;[5.4.1 - Останати материјални основни средства]" c="5.4.1 - Останати материјални основни средства" nd="1"/>
              <i n="[fActualAndBudget].[StavkaImeAOP].&amp;[5.4.2 - Инвестиции во тек - недвижности]" c="5.4.2 - Инвестиции во тек - недвижности" nd="1"/>
              <i n="[fActualAndBudget].[StavkaImeAOP].&amp;[5.6.1 - Побарувања за аванси за материјални исредства]" c="5.6.1 - Побарувања за аванси за материјални исредства" nd="1"/>
            </range>
          </ranges>
        </level>
      </levels>
      <selections count="1">
        <selection n="[fActualAndBudget].[StavkaImeAOP].[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Kategorija2" xr10:uid="{00000000-0013-0000-FFFF-FFFF0C000000}" sourceName="[fActualAndBudget].[StavkaKategorija]">
  <pivotTables>
    <pivotTable tabId="95" name="PivotTable2"/>
  </pivotTables>
  <data>
    <olap pivotCacheId="1460008955">
      <levels count="2">
        <level uniqueName="[fActualAndBudget].[StavkaKategorija].[(All)]" sourceCaption="(All)" count="0"/>
        <level uniqueName="[fActualAndBudget].[StavkaKategorija].[StavkaKategorija]" sourceCaption="StavkaKategorija" count="25">
          <ranges>
            <range startItem="0">
              <i n="[fActualAndBudget].[StavkaKategorija].&amp;[2.29. Приходи од продажба]" c="2.29. Приходи од продажба"/>
              <i n="[fActualAndBudget].[StavkaKategorija].&amp;[2.30. Останати оперативни приходи]" c="2.30. Останати оперативни приходи"/>
              <i n="[fActualAndBudget].[StavkaKategorija].&amp;[2.32. Потрошени суровини и материјали]" c="2.32. Потрошени суровини и материјали"/>
              <i n="[fActualAndBudget].[StavkaKategorija].&amp;[2.33. Трошоци за вработените]" c="2.33. Трошоци за вработените"/>
              <i n="[fActualAndBudget].[StavkaKategorija].&amp;[2.34. Амортизација на материјални средства]" c="2.34. Амортизација на материјални средства"/>
              <i n="[fActualAndBudget].[StavkaKategorija].&amp;[2.35. Вредносно усогласување на тековни средства]" c="2.35. Вредносно усогласување на тековни средства"/>
              <i n="[fActualAndBudget].[StavkaKategorija].&amp;[2.37. Останати оперативни расходи]" c="2.37. Останати оперативни расходи"/>
              <i n="[fActualAndBudget].[StavkaKategorija].&amp;[2.40. Приходи од финансирање]" c="2.40. Приходи од финансирање"/>
              <i n="[fActualAndBudget].[StavkaKategorija].&amp;[2.41. Расходи од финансирање]" c="2.41. Расходи од финансирање"/>
              <i n="[fActualAndBudget].[StavkaKategorija].&amp;" c="(blank)" nd="1"/>
              <i n="[fActualAndBudget].[StavkaKategorija].&amp;[1.1. Парични средства]" c="1.1. Парични средства" nd="1"/>
              <i n="[fActualAndBudget].[StavkaKategorija].&amp;[1.13. Вонбилансна актива]" c="1.13. Вонбилансна актива" nd="1"/>
              <i n="[fActualAndBudget].[StavkaKategorija].&amp;[1.14. Краткорочни обврски]" c="1.14. Краткорочни обврски" nd="1"/>
              <i n="[fActualAndBudget].[StavkaKategorija].&amp;[1.15. Одложено плаќање на трошоци и приходи (ПВР)]" c="1.15. Одложено плаќање на трошоци и приходи (ПВР)" nd="1"/>
              <i n="[fActualAndBudget].[StavkaKategorija].&amp;[1.17. Долгорочни обврски]" c="1.17. Долгорочни обврски" nd="1"/>
              <i n="[fActualAndBudget].[StavkaKategorija].&amp;[1.2. Побарувања]" c="1.2. Побарувања" nd="1"/>
              <i n="[fActualAndBudget].[StavkaKategorija].&amp;[1.21. Капитал]" c="1.21. Капитал" nd="1"/>
              <i n="[fActualAndBudget].[StavkaKategorija].&amp;[1.22. Акумулирана добивка]" c="1.22. Акумулирана добивка" nd="1"/>
              <i n="[fActualAndBudget].[StavkaKategorija].&amp;[1.23. Резерви]" c="1.23. Резерви" nd="1"/>
              <i n="[fActualAndBudget].[StavkaKategorija].&amp;[1.25. Добивка / Загуба за деловната година]" c="1.25. Добивка / Загуба за деловната година" nd="1"/>
              <i n="[fActualAndBudget].[StavkaKategorija].&amp;[1.28. Вонбилансна пасива]" c="1.28. Вонбилансна пасива" nd="1"/>
              <i n="[fActualAndBudget].[StavkaKategorija].&amp;[1.3. Залихи]" c="1.3. Залихи" nd="1"/>
              <i n="[fActualAndBudget].[StavkaKategorija].&amp;[1.7. Материјални средства и вложувања во недвижности]" c="1.7. Материјални средства и вложувања во недвижности" nd="1"/>
              <i n="[fActualAndBudget].[StavkaKategorija].&amp;[1.9. Нематеријални средства]" c="1.9. Нематеријални средства" nd="1"/>
              <i n="[fActualAndBudget].[StavkaKategorija].&amp;[Сопственичка главнина]" c="Сопственичка главнина" nd="1"/>
            </range>
          </ranges>
        </level>
      </levels>
      <selections count="1">
        <selection n="[fActualAndBudget].[StavkaKategorija].[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 xr10:uid="{00000000-0013-0000-FFFF-FFFF0D000000}" sourceName="[Calendar].[Date Hierarchy]">
  <pivotTables>
    <pivotTable tabId="67" name="PivotTable2"/>
  </pivotTables>
  <data>
    <olap pivotCacheId="870340423">
      <levels count="4">
        <level uniqueName="[Calendar].[Date Hierarchy].[(All)]" sourceCaption="(All)" count="0"/>
        <level uniqueName="[Calendar].[Date Hierarchy].[Year]" sourceCaption="Year" count="0"/>
        <level uniqueName="[Calendar].[Date Hierarchy].[Month]" sourceCaption="Month" count="97">
          <ranges>
            <range startItem="0">
              <i n="[Calendar].[Date Hierarchy].[Year].&amp;[2021].&amp;[Jan]" c="Jan">
                <p n="[Calendar].[Date Hierarchy].[Year].&amp;[2021]"/>
              </i>
              <i n="[Calendar].[Date Hierarchy].[Year].&amp;[2021].&amp;[Feb]" c="Feb">
                <p n="[Calendar].[Date Hierarchy].[Year].&amp;[2021]"/>
              </i>
              <i n="[Calendar].[Date Hierarchy].[Year].&amp;[2021].&amp;[Mar]" c="Mar">
                <p n="[Calendar].[Date Hierarchy].[Year].&amp;[2021]"/>
              </i>
              <i n="[Calendar].[Date Hierarchy].[Year].&amp;[2021].&amp;[Apr]" c="Apr">
                <p n="[Calendar].[Date Hierarchy].[Year].&amp;[2021]"/>
              </i>
              <i n="[Calendar].[Date Hierarchy].[Year].&amp;[2021].&amp;[May]" c="May">
                <p n="[Calendar].[Date Hierarchy].[Year].&amp;[2021]"/>
              </i>
              <i n="[Calendar].[Date Hierarchy].[Year].&amp;[2021].&amp;[Jun]" c="Jun">
                <p n="[Calendar].[Date Hierarchy].[Year].&amp;[2021]"/>
              </i>
              <i n="[Calendar].[Date Hierarchy].[Year].&amp;[2021].&amp;[Jul]" c="Jul">
                <p n="[Calendar].[Date Hierarchy].[Year].&amp;[2021]"/>
              </i>
              <i n="[Calendar].[Date Hierarchy].[Year].&amp;[2021].&amp;[Aug]" c="Aug">
                <p n="[Calendar].[Date Hierarchy].[Year].&amp;[2021]"/>
              </i>
              <i n="[Calendar].[Date Hierarchy].[Year].&amp;[2021].&amp;[Sep]" c="Sep">
                <p n="[Calendar].[Date Hierarchy].[Year].&amp;[2021]"/>
              </i>
              <i n="[Calendar].[Date Hierarchy].[Year].&amp;[2021].&amp;[Oct]" c="Oct">
                <p n="[Calendar].[Date Hierarchy].[Year].&amp;[2021]"/>
              </i>
              <i n="[Calendar].[Date Hierarchy].[Year].&amp;[2021].&amp;[Nov]" c="Nov">
                <p n="[Calendar].[Date Hierarchy].[Year].&amp;[2021]"/>
              </i>
              <i n="[Calendar].[Date Hierarchy].[Year].&amp;[2021].&amp;[Dec]" c="Dec">
                <p n="[Calendar].[Date Hierarchy].[Year].&amp;[2021]"/>
              </i>
              <i n="[Calendar].[Date Hierarchy].[Year].&amp;[2015].&amp;[Jan]" c="Jan" nd="1">
                <p n="[Calendar].[Date Hierarchy].[Year].&amp;[2015]"/>
              </i>
              <i n="[Calendar].[Date Hierarchy].[Year].&amp;[2015].&amp;[Feb]" c="Feb" nd="1">
                <p n="[Calendar].[Date Hierarchy].[Year].&amp;[2015]"/>
              </i>
              <i n="[Calendar].[Date Hierarchy].[Year].&amp;[2015].&amp;[Mar]" c="Mar" nd="1">
                <p n="[Calendar].[Date Hierarchy].[Year].&amp;[2015]"/>
              </i>
              <i n="[Calendar].[Date Hierarchy].[Year].&amp;[2015].&amp;[Apr]" c="Apr" nd="1">
                <p n="[Calendar].[Date Hierarchy].[Year].&amp;[2015]"/>
              </i>
              <i n="[Calendar].[Date Hierarchy].[Year].&amp;[2015].&amp;[May]" c="May" nd="1">
                <p n="[Calendar].[Date Hierarchy].[Year].&amp;[2015]"/>
              </i>
              <i n="[Calendar].[Date Hierarchy].[Year].&amp;[2015].&amp;[Jun]" c="Jun" nd="1">
                <p n="[Calendar].[Date Hierarchy].[Year].&amp;[2015]"/>
              </i>
              <i n="[Calendar].[Date Hierarchy].[Year].&amp;[2015].&amp;[Jul]" c="Jul" nd="1">
                <p n="[Calendar].[Date Hierarchy].[Year].&amp;[2015]"/>
              </i>
              <i n="[Calendar].[Date Hierarchy].[Year].&amp;[2015].&amp;[Aug]" c="Aug" nd="1">
                <p n="[Calendar].[Date Hierarchy].[Year].&amp;[2015]"/>
              </i>
              <i n="[Calendar].[Date Hierarchy].[Year].&amp;[2015].&amp;[Sep]" c="Sep" nd="1">
                <p n="[Calendar].[Date Hierarchy].[Year].&amp;[2015]"/>
              </i>
              <i n="[Calendar].[Date Hierarchy].[Year].&amp;[2015].&amp;[Oct]" c="Oct" nd="1">
                <p n="[Calendar].[Date Hierarchy].[Year].&amp;[2015]"/>
              </i>
              <i n="[Calendar].[Date Hierarchy].[Year].&amp;[2015].&amp;[Nov]" c="Nov" nd="1">
                <p n="[Calendar].[Date Hierarchy].[Year].&amp;[2015]"/>
              </i>
              <i n="[Calendar].[Date Hierarchy].[Year].&amp;[2015].&amp;[Dec]" c="Dec" nd="1">
                <p n="[Calendar].[Date Hierarchy].[Year].&amp;[2015]"/>
              </i>
              <i n="[Calendar].[Date Hierarchy].[Year].&amp;[2016].&amp;[Jan]" c="Jan" nd="1">
                <p n="[Calendar].[Date Hierarchy].[Year].&amp;[2016]"/>
              </i>
              <i n="[Calendar].[Date Hierarchy].[Year].&amp;[2016].&amp;[Feb]" c="Feb" nd="1">
                <p n="[Calendar].[Date Hierarchy].[Year].&amp;[2016]"/>
              </i>
              <i n="[Calendar].[Date Hierarchy].[Year].&amp;[2016].&amp;[Mar]" c="Mar" nd="1">
                <p n="[Calendar].[Date Hierarchy].[Year].&amp;[2016]"/>
              </i>
              <i n="[Calendar].[Date Hierarchy].[Year].&amp;[2016].&amp;[Apr]" c="Apr" nd="1">
                <p n="[Calendar].[Date Hierarchy].[Year].&amp;[2016]"/>
              </i>
              <i n="[Calendar].[Date Hierarchy].[Year].&amp;[2016].&amp;[May]" c="May" nd="1">
                <p n="[Calendar].[Date Hierarchy].[Year].&amp;[2016]"/>
              </i>
              <i n="[Calendar].[Date Hierarchy].[Year].&amp;[2016].&amp;[Jun]" c="Jun" nd="1">
                <p n="[Calendar].[Date Hierarchy].[Year].&amp;[2016]"/>
              </i>
              <i n="[Calendar].[Date Hierarchy].[Year].&amp;[2016].&amp;[Jul]" c="Jul" nd="1">
                <p n="[Calendar].[Date Hierarchy].[Year].&amp;[2016]"/>
              </i>
              <i n="[Calendar].[Date Hierarchy].[Year].&amp;[2016].&amp;[Aug]" c="Aug" nd="1">
                <p n="[Calendar].[Date Hierarchy].[Year].&amp;[2016]"/>
              </i>
              <i n="[Calendar].[Date Hierarchy].[Year].&amp;[2016].&amp;[Sep]" c="Sep" nd="1">
                <p n="[Calendar].[Date Hierarchy].[Year].&amp;[2016]"/>
              </i>
              <i n="[Calendar].[Date Hierarchy].[Year].&amp;[2016].&amp;[Oct]" c="Oct" nd="1">
                <p n="[Calendar].[Date Hierarchy].[Year].&amp;[2016]"/>
              </i>
              <i n="[Calendar].[Date Hierarchy].[Year].&amp;[2016].&amp;[Nov]" c="Nov" nd="1">
                <p n="[Calendar].[Date Hierarchy].[Year].&amp;[2016]"/>
              </i>
              <i n="[Calendar].[Date Hierarchy].[Year].&amp;[2016].&amp;[Dec]" c="Dec" nd="1">
                <p n="[Calendar].[Date Hierarchy].[Year].&amp;[2016]"/>
              </i>
              <i n="[Calendar].[Date Hierarchy].[Year].&amp;[2017].&amp;[Jan]" c="Jan" nd="1">
                <p n="[Calendar].[Date Hierarchy].[Year].&amp;[2017]"/>
              </i>
              <i n="[Calendar].[Date Hierarchy].[Year].&amp;[2017].&amp;[Feb]" c="Feb" nd="1">
                <p n="[Calendar].[Date Hierarchy].[Year].&amp;[2017]"/>
              </i>
              <i n="[Calendar].[Date Hierarchy].[Year].&amp;[2017].&amp;[Mar]" c="Mar" nd="1">
                <p n="[Calendar].[Date Hierarchy].[Year].&amp;[2017]"/>
              </i>
              <i n="[Calendar].[Date Hierarchy].[Year].&amp;[2017].&amp;[Apr]" c="Apr" nd="1">
                <p n="[Calendar].[Date Hierarchy].[Year].&amp;[2017]"/>
              </i>
              <i n="[Calendar].[Date Hierarchy].[Year].&amp;[2017].&amp;[May]" c="May" nd="1">
                <p n="[Calendar].[Date Hierarchy].[Year].&amp;[2017]"/>
              </i>
              <i n="[Calendar].[Date Hierarchy].[Year].&amp;[2017].&amp;[Jun]" c="Jun" nd="1">
                <p n="[Calendar].[Date Hierarchy].[Year].&amp;[2017]"/>
              </i>
              <i n="[Calendar].[Date Hierarchy].[Year].&amp;[2017].&amp;[Jul]" c="Jul" nd="1">
                <p n="[Calendar].[Date Hierarchy].[Year].&amp;[2017]"/>
              </i>
              <i n="[Calendar].[Date Hierarchy].[Year].&amp;[2017].&amp;[Aug]" c="Aug" nd="1">
                <p n="[Calendar].[Date Hierarchy].[Year].&amp;[2017]"/>
              </i>
              <i n="[Calendar].[Date Hierarchy].[Year].&amp;[2017].&amp;[Sep]" c="Sep" nd="1">
                <p n="[Calendar].[Date Hierarchy].[Year].&amp;[2017]"/>
              </i>
              <i n="[Calendar].[Date Hierarchy].[Year].&amp;[2017].&amp;[Oct]" c="Oct" nd="1">
                <p n="[Calendar].[Date Hierarchy].[Year].&amp;[2017]"/>
              </i>
              <i n="[Calendar].[Date Hierarchy].[Year].&amp;[2017].&amp;[Nov]" c="Nov" nd="1">
                <p n="[Calendar].[Date Hierarchy].[Year].&amp;[2017]"/>
              </i>
              <i n="[Calendar].[Date Hierarchy].[Year].&amp;[2017].&amp;[Dec]" c="Dec" nd="1">
                <p n="[Calendar].[Date Hierarchy].[Year].&amp;[2017]"/>
              </i>
              <i n="[Calendar].[Date Hierarchy].[Year].&amp;[2018].&amp;[Jan]" c="Jan" nd="1">
                <p n="[Calendar].[Date Hierarchy].[Year].&amp;[2018]"/>
              </i>
              <i n="[Calendar].[Date Hierarchy].[Year].&amp;[2018].&amp;[Feb]" c="Feb" nd="1">
                <p n="[Calendar].[Date Hierarchy].[Year].&amp;[2018]"/>
              </i>
              <i n="[Calendar].[Date Hierarchy].[Year].&amp;[2018].&amp;[Mar]" c="Mar" nd="1">
                <p n="[Calendar].[Date Hierarchy].[Year].&amp;[2018]"/>
              </i>
              <i n="[Calendar].[Date Hierarchy].[Year].&amp;[2018].&amp;[Apr]" c="Apr" nd="1">
                <p n="[Calendar].[Date Hierarchy].[Year].&amp;[2018]"/>
              </i>
              <i n="[Calendar].[Date Hierarchy].[Year].&amp;[2018].&amp;[May]" c="May" nd="1">
                <p n="[Calendar].[Date Hierarchy].[Year].&amp;[2018]"/>
              </i>
              <i n="[Calendar].[Date Hierarchy].[Year].&amp;[2018].&amp;[Jun]" c="Jun" nd="1">
                <p n="[Calendar].[Date Hierarchy].[Year].&amp;[2018]"/>
              </i>
              <i n="[Calendar].[Date Hierarchy].[Year].&amp;[2018].&amp;[Jul]" c="Jul" nd="1">
                <p n="[Calendar].[Date Hierarchy].[Year].&amp;[2018]"/>
              </i>
              <i n="[Calendar].[Date Hierarchy].[Year].&amp;[2018].&amp;[Aug]" c="Aug" nd="1">
                <p n="[Calendar].[Date Hierarchy].[Year].&amp;[2018]"/>
              </i>
              <i n="[Calendar].[Date Hierarchy].[Year].&amp;[2018].&amp;[Sep]" c="Sep" nd="1">
                <p n="[Calendar].[Date Hierarchy].[Year].&amp;[2018]"/>
              </i>
              <i n="[Calendar].[Date Hierarchy].[Year].&amp;[2018].&amp;[Oct]" c="Oct" nd="1">
                <p n="[Calendar].[Date Hierarchy].[Year].&amp;[2018]"/>
              </i>
              <i n="[Calendar].[Date Hierarchy].[Year].&amp;[2018].&amp;[Nov]" c="Nov" nd="1">
                <p n="[Calendar].[Date Hierarchy].[Year].&amp;[2018]"/>
              </i>
              <i n="[Calendar].[Date Hierarchy].[Year].&amp;[2018].&amp;[Dec]" c="Dec" nd="1">
                <p n="[Calendar].[Date Hierarchy].[Year].&amp;[2018]"/>
              </i>
              <i n="[Calendar].[Date Hierarchy].[Year].&amp;[2019].&amp;[Jan]" c="Jan" nd="1">
                <p n="[Calendar].[Date Hierarchy].[Year].&amp;[2019]"/>
              </i>
              <i n="[Calendar].[Date Hierarchy].[Year].&amp;[2019].&amp;[Feb]" c="Feb" nd="1">
                <p n="[Calendar].[Date Hierarchy].[Year].&amp;[2019]"/>
              </i>
              <i n="[Calendar].[Date Hierarchy].[Year].&amp;[2019].&amp;[Mar]" c="Mar" nd="1">
                <p n="[Calendar].[Date Hierarchy].[Year].&amp;[2019]"/>
              </i>
              <i n="[Calendar].[Date Hierarchy].[Year].&amp;[2019].&amp;[Apr]" c="Apr" nd="1">
                <p n="[Calendar].[Date Hierarchy].[Year].&amp;[2019]"/>
              </i>
              <i n="[Calendar].[Date Hierarchy].[Year].&amp;[2019].&amp;[May]" c="May" nd="1">
                <p n="[Calendar].[Date Hierarchy].[Year].&amp;[2019]"/>
              </i>
              <i n="[Calendar].[Date Hierarchy].[Year].&amp;[2019].&amp;[Jun]" c="Jun" nd="1">
                <p n="[Calendar].[Date Hierarchy].[Year].&amp;[2019]"/>
              </i>
              <i n="[Calendar].[Date Hierarchy].[Year].&amp;[2019].&amp;[Jul]" c="Jul" nd="1">
                <p n="[Calendar].[Date Hierarchy].[Year].&amp;[2019]"/>
              </i>
              <i n="[Calendar].[Date Hierarchy].[Year].&amp;[2019].&amp;[Aug]" c="Aug" nd="1">
                <p n="[Calendar].[Date Hierarchy].[Year].&amp;[2019]"/>
              </i>
              <i n="[Calendar].[Date Hierarchy].[Year].&amp;[2019].&amp;[Sep]" c="Sep" nd="1">
                <p n="[Calendar].[Date Hierarchy].[Year].&amp;[2019]"/>
              </i>
              <i n="[Calendar].[Date Hierarchy].[Year].&amp;[2019].&amp;[Oct]" c="Oct" nd="1">
                <p n="[Calendar].[Date Hierarchy].[Year].&amp;[2019]"/>
              </i>
              <i n="[Calendar].[Date Hierarchy].[Year].&amp;[2019].&amp;[Nov]" c="Nov" nd="1">
                <p n="[Calendar].[Date Hierarchy].[Year].&amp;[2019]"/>
              </i>
              <i n="[Calendar].[Date Hierarchy].[Year].&amp;[2019].&amp;[Dec]" c="Dec" nd="1">
                <p n="[Calendar].[Date Hierarchy].[Year].&amp;[2019]"/>
              </i>
              <i n="[Calendar].[Date Hierarchy].[Year].&amp;[2020].&amp;[Jan]" c="Jan" nd="1">
                <p n="[Calendar].[Date Hierarchy].[Year].&amp;[2020]"/>
              </i>
              <i n="[Calendar].[Date Hierarchy].[Year].&amp;[2020].&amp;[Feb]" c="Feb" nd="1">
                <p n="[Calendar].[Date Hierarchy].[Year].&amp;[2020]"/>
              </i>
              <i n="[Calendar].[Date Hierarchy].[Year].&amp;[2020].&amp;[Mar]" c="Mar" nd="1">
                <p n="[Calendar].[Date Hierarchy].[Year].&amp;[2020]"/>
              </i>
              <i n="[Calendar].[Date Hierarchy].[Year].&amp;[2020].&amp;[Apr]" c="Apr" nd="1">
                <p n="[Calendar].[Date Hierarchy].[Year].&amp;[2020]"/>
              </i>
              <i n="[Calendar].[Date Hierarchy].[Year].&amp;[2020].&amp;[May]" c="May" nd="1">
                <p n="[Calendar].[Date Hierarchy].[Year].&amp;[2020]"/>
              </i>
              <i n="[Calendar].[Date Hierarchy].[Year].&amp;[2020].&amp;[Jun]" c="Jun" nd="1">
                <p n="[Calendar].[Date Hierarchy].[Year].&amp;[2020]"/>
              </i>
              <i n="[Calendar].[Date Hierarchy].[Year].&amp;[2020].&amp;[Jul]" c="Jul" nd="1">
                <p n="[Calendar].[Date Hierarchy].[Year].&amp;[2020]"/>
              </i>
              <i n="[Calendar].[Date Hierarchy].[Year].&amp;[2020].&amp;[Aug]" c="Aug" nd="1">
                <p n="[Calendar].[Date Hierarchy].[Year].&amp;[2020]"/>
              </i>
              <i n="[Calendar].[Date Hierarchy].[Year].&amp;[2020].&amp;[Sep]" c="Sep" nd="1">
                <p n="[Calendar].[Date Hierarchy].[Year].&amp;[2020]"/>
              </i>
              <i n="[Calendar].[Date Hierarchy].[Year].&amp;[2020].&amp;[Oct]" c="Oct" nd="1">
                <p n="[Calendar].[Date Hierarchy].[Year].&amp;[2020]"/>
              </i>
              <i n="[Calendar].[Date Hierarchy].[Year].&amp;[2020].&amp;[Nov]" c="Nov" nd="1">
                <p n="[Calendar].[Date Hierarchy].[Year].&amp;[2020]"/>
              </i>
              <i n="[Calendar].[Date Hierarchy].[Year].&amp;[2020].&amp;[Dec]" c="Dec" nd="1">
                <p n="[Calendar].[Date Hierarchy].[Year].&amp;[2020]"/>
              </i>
              <i n="[Calendar].[Date Hierarchy].[Year].&amp;[2022].&amp;[Jan]" c="Jan" nd="1">
                <p n="[Calendar].[Date Hierarchy].[Year].&amp;[2022]"/>
              </i>
              <i n="[Calendar].[Date Hierarchy].[Year].&amp;[2022].&amp;[Feb]" c="Feb" nd="1">
                <p n="[Calendar].[Date Hierarchy].[Year].&amp;[2022]"/>
              </i>
              <i n="[Calendar].[Date Hierarchy].[Year].&amp;[2022].&amp;[Mar]" c="Mar" nd="1">
                <p n="[Calendar].[Date Hierarchy].[Year].&amp;[2022]"/>
              </i>
              <i n="[Calendar].[Date Hierarchy].[Year].&amp;[2022].&amp;[Apr]" c="Apr" nd="1">
                <p n="[Calendar].[Date Hierarchy].[Year].&amp;[2022]"/>
              </i>
              <i n="[Calendar].[Date Hierarchy].[Year].&amp;[2022].&amp;[May]" c="May" nd="1">
                <p n="[Calendar].[Date Hierarchy].[Year].&amp;[2022]"/>
              </i>
              <i n="[Calendar].[Date Hierarchy].[Year].&amp;[2022].&amp;[Jun]" c="Jun" nd="1">
                <p n="[Calendar].[Date Hierarchy].[Year].&amp;[2022]"/>
              </i>
              <i n="[Calendar].[Date Hierarchy].[Year].&amp;[2022].&amp;[Jul]" c="Jul" nd="1">
                <p n="[Calendar].[Date Hierarchy].[Year].&amp;[2022]"/>
              </i>
              <i n="[Calendar].[Date Hierarchy].[Year].&amp;[2022].&amp;[Aug]" c="Aug" nd="1">
                <p n="[Calendar].[Date Hierarchy].[Year].&amp;[2022]"/>
              </i>
              <i n="[Calendar].[Date Hierarchy].[Year].&amp;[2022].&amp;[Sep]" c="Sep" nd="1">
                <p n="[Calendar].[Date Hierarchy].[Year].&amp;[2022]"/>
              </i>
              <i n="[Calendar].[Date Hierarchy].[Year].&amp;[2022].&amp;[Oct]" c="Oct" nd="1">
                <p n="[Calendar].[Date Hierarchy].[Year].&amp;[2022]"/>
              </i>
              <i n="[Calendar].[Date Hierarchy].[Year].&amp;[2022].&amp;[Nov]" c="Nov" nd="1">
                <p n="[Calendar].[Date Hierarchy].[Year].&amp;[2022]"/>
              </i>
              <i n="[Calendar].[Date Hierarchy].[Year].&amp;[2022].&amp;[Dec]" c="Dec" nd="1">
                <p n="[Calendar].[Date Hierarchy].[Year].&amp;[2022]"/>
              </i>
              <i n="[Calendar].[Date Hierarchy].[Year].&amp;.&amp;" c="(blank)" nd="1">
                <p n="[Calendar].[Date Hierarchy].[Year].&amp;"/>
              </i>
            </range>
          </ranges>
        </level>
        <level uniqueName="[Calendar].[Date Hierarchy].[DateColumn]" sourceCaption="DateColumn" count="0"/>
      </levels>
      <selections count="1">
        <selection n="[Calendar].[Date Hierarchy].[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1" xr10:uid="{00000000-0013-0000-FFFF-FFFF02000000}" sourceName="[Calendar].[Date Hierarchy]">
  <pivotTables>
    <pivotTable tabId="68" name="PivotTable2"/>
  </pivotTables>
  <data>
    <olap pivotCacheId="1162410884">
      <levels count="4">
        <level uniqueName="[Calendar].[Date Hierarchy].[(All)]" sourceCaption="(All)" count="0"/>
        <level uniqueName="[Calendar].[Date Hierarchy].[Year]" sourceCaption="Year" count="9">
          <ranges>
            <range startItem="0">
              <i n="[Calendar].[Date Hierarchy].[Year].&amp;[2018]" c="2018"/>
              <i n="[Calendar].[Date Hierarchy].[Year].&amp;[2019]" c="2019"/>
              <i n="[Calendar].[Date Hierarchy].[Year].&amp;[2020]" c="2020"/>
              <i n="[Calendar].[Date Hierarchy].[Year].&amp;[2021]" c="2021"/>
              <i n="[Calendar].[Date Hierarchy].[Year].&amp;[2022]" c="2022"/>
              <i n="[Calendar].[Date Hierarchy].[Year].&amp;[2015]" c="2015" nd="1"/>
              <i n="[Calendar].[Date Hierarchy].[Year].&amp;[2016]" c="2016" nd="1"/>
              <i n="[Calendar].[Date Hierarchy].[Year].&amp;[2017]" c="2017" nd="1"/>
              <i n="[Calendar].[Date Hierarchy].[Year].&amp;" c="(blank)" nd="1"/>
            </range>
          </ranges>
        </level>
        <level uniqueName="[Calendar].[Date Hierarchy].[Month]" sourceCaption="Month" count="0"/>
        <level uniqueName="[Calendar].[Date Hierarchy].[DateColumn]" sourceCaption="DateColumn" count="0"/>
      </levels>
      <selections count="1">
        <selection n="[Calendar].[Date Hierarchy].[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12" xr10:uid="{00000000-0013-0000-FFFF-FFFF03000000}" sourceName="[Calendar].[Date Hierarchy]">
  <pivotTables>
    <pivotTable tabId="74" name="PivotTable2"/>
  </pivotTables>
  <data>
    <olap pivotCacheId="220676000">
      <levels count="4">
        <level uniqueName="[Calendar].[Date Hierarchy].[(All)]" sourceCaption="(All)" count="0"/>
        <level uniqueName="[Calendar].[Date Hierarchy].[Year]" sourceCaption="Year" count="9">
          <ranges>
            <range startItem="0">
              <i n="[Calendar].[Date Hierarchy].[Year].&amp;[2019]" c="2019"/>
              <i n="[Calendar].[Date Hierarchy].[Year].&amp;[2020]" c="2020"/>
              <i n="[Calendar].[Date Hierarchy].[Year].&amp;[2021]" c="2021"/>
              <i n="[Calendar].[Date Hierarchy].[Year].&amp;[2022]" c="2022"/>
              <i n="[Calendar].[Date Hierarchy].[Year].&amp;[2015]" c="2015" nd="1"/>
              <i n="[Calendar].[Date Hierarchy].[Year].&amp;[2016]" c="2016" nd="1"/>
              <i n="[Calendar].[Date Hierarchy].[Year].&amp;[2017]" c="2017" nd="1"/>
              <i n="[Calendar].[Date Hierarchy].[Year].&amp;[2018]" c="2018" nd="1"/>
              <i n="[Calendar].[Date Hierarchy].[Year].&amp;" c="(blank)" nd="1"/>
            </range>
          </ranges>
        </level>
        <level uniqueName="[Calendar].[Date Hierarchy].[Month]" sourceCaption="Month" count="0"/>
        <level uniqueName="[Calendar].[Date Hierarchy].[DateColumn]" sourceCaption="DateColumn" count="0"/>
      </levels>
      <selections count="1">
        <selection n="[Calendar].[Date Hierarchy].[Year].&amp;[2020]"/>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11" xr10:uid="{00000000-0013-0000-FFFF-FFFF04000000}" sourceName="[Calendar].[Date Hierarchy]">
  <pivotTables>
    <pivotTable tabId="78" name="PivotTable2"/>
    <pivotTable tabId="78" name="PivotTable3"/>
  </pivotTables>
  <data>
    <olap pivotCacheId="1610652361">
      <levels count="4">
        <level uniqueName="[Calendar].[Date Hierarchy].[(All)]" sourceCaption="(All)" count="0"/>
        <level uniqueName="[Calendar].[Date Hierarchy].[Year]" sourceCaption="Year" count="9">
          <ranges>
            <range startItem="0">
              <i n="[Calendar].[Date Hierarchy].[Year].&amp;[2019]" c="2019"/>
              <i n="[Calendar].[Date Hierarchy].[Year].&amp;[2020]" c="2020"/>
              <i n="[Calendar].[Date Hierarchy].[Year].&amp;[2021]" c="2021"/>
              <i n="[Calendar].[Date Hierarchy].[Year].&amp;[2018]" c="2018"/>
              <i n="[Calendar].[Date Hierarchy].[Year].&amp;[2015]" c="2015" nd="1"/>
              <i n="[Calendar].[Date Hierarchy].[Year].&amp;[2016]" c="2016" nd="1"/>
              <i n="[Calendar].[Date Hierarchy].[Year].&amp;[2017]" c="2017" nd="1"/>
              <i n="[Calendar].[Date Hierarchy].[Year].&amp;[2022]" c="2022" nd="1"/>
              <i n="[Calendar].[Date Hierarchy].[Year].&amp;" c="(blank)" nd="1"/>
            </range>
          </ranges>
        </level>
        <level uniqueName="[Calendar].[Date Hierarchy].[Month]" sourceCaption="Month" count="0"/>
        <level uniqueName="[Calendar].[Date Hierarchy].[DateColumn]" sourceCaption="DateColumn" count="0"/>
      </levels>
      <selections count="1">
        <selection n="[Calendar].[Date Hierarchy].[Year].&amp;[2019]"/>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Hierarchy73" xr10:uid="{00000000-0013-0000-FFFF-FFFF05000000}" sourceName="[Calendar].[Date Hierarchy]">
  <pivotTables>
    <pivotTable tabId="91" name="PivotTable2"/>
  </pivotTables>
  <data>
    <olap pivotCacheId="927463827">
      <levels count="4">
        <level uniqueName="[Calendar].[Date Hierarchy].[(All)]" sourceCaption="(All)" count="0"/>
        <level uniqueName="[Calendar].[Date Hierarchy].[Year]" sourceCaption="Year" count="9">
          <ranges>
            <range startItem="0">
              <i n="[Calendar].[Date Hierarchy].[Year].&amp;[2018]" c="2018"/>
              <i n="[Calendar].[Date Hierarchy].[Year].&amp;[2019]" c="2019"/>
              <i n="[Calendar].[Date Hierarchy].[Year].&amp;[2020]" c="2020"/>
              <i n="[Calendar].[Date Hierarchy].[Year].&amp;[2015]" c="2015" nd="1"/>
              <i n="[Calendar].[Date Hierarchy].[Year].&amp;[2016]" c="2016" nd="1"/>
              <i n="[Calendar].[Date Hierarchy].[Year].&amp;[2017]" c="2017" nd="1"/>
              <i n="[Calendar].[Date Hierarchy].[Year].&amp;[2021]" c="2021" nd="1"/>
              <i n="[Calendar].[Date Hierarchy].[Year].&amp;[2022]" c="2022" nd="1"/>
              <i n="[Calendar].[Date Hierarchy].[Year].&amp;" c="(blank)" nd="1"/>
            </range>
          </ranges>
        </level>
        <level uniqueName="[Calendar].[Date Hierarchy].[Month]" sourceCaption="Month" count="0"/>
        <level uniqueName="[Calendar].[Date Hierarchy].[DateColumn]" sourceCaption="DateColumn" count="0"/>
      </levels>
      <selections count="3">
        <selection n="[Calendar].[Date Hierarchy].[Year].&amp;[2018]"/>
        <selection n="[Calendar].[Date Hierarchy].[Year].&amp;[2019]"/>
        <selection n="[Calendar].[Date Hierarchy].[Year].&amp;[2020]"/>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ImeAOP" xr10:uid="{00000000-0013-0000-FFFF-FFFF06000000}" sourceName="[fActualAndBudget].[StavkaImeAOP]">
  <pivotTables>
    <pivotTable tabId="91" name="PivotTable2"/>
  </pivotTables>
  <data>
    <olap pivotCacheId="927463827">
      <levels count="2">
        <level uniqueName="[fActualAndBudget].[StavkaImeAOP].[(All)]" sourceCaption="(All)" count="0"/>
        <level uniqueName="[fActualAndBudget].[StavkaImeAOP].[StavkaImeAOP]" sourceCaption="StavkaImeAOP" count="81">
          <ranges>
            <range startItem="0">
              <i n="[fActualAndBudget].[StavkaImeAOP].&amp;[3.1.1 - Приходи од заложен регистар]" c="3.1.1 - Приходи од заложен регистар"/>
              <i n="[fActualAndBudget].[StavkaImeAOP].&amp;[3.1.10 - Приходи од регионален портал и регистар на вистински сопственици]" c="3.1.10 - Приходи од регионален портал и регистар на вистински сопственици"/>
              <i n="[fActualAndBudget].[StavkaImeAOP].&amp;[3.1.11 - Приходи од прекршочна постапка]" c="3.1.11 - Приходи од прекршочна постапка"/>
              <i n="[fActualAndBudget].[StavkaImeAOP].&amp;[3.1.12 - Приходи од интернет дистрибутивен систем]" c="3.1.12 - Приходи од интернет дистрибутивен систем"/>
              <i n="[fActualAndBudget].[StavkaImeAOP].&amp;[3.1.13 - Приходи од странство]" c="3.1.13 - Приходи од странство"/>
              <i n="[fActualAndBudget].[StavkaImeAOP].&amp;[3.1.14 - Приходи од регистар на задолжница]" c="3.1.14 - Приходи од регистар на задолжница"/>
              <i n="[fActualAndBudget].[StavkaImeAOP].&amp;[3.1.2 - Приходи од годишни сметки]" c="3.1.2 - Приходи од годишни сметки"/>
              <i n="[fActualAndBudget].[StavkaImeAOP].&amp;[3.1.4 - Приходи од Регистар на резиденти и нерезиденти]" c="3.1.4 - Приходи од Регистар на резиденти и нерезиденти"/>
              <i n="[fActualAndBudget].[StavkaImeAOP].&amp;[3.1.5 - Приходи од Регистар на лизинг]" c="3.1.5 - Приходи од Регистар на лизинг"/>
              <i n="[fActualAndBudget].[StavkaImeAOP].&amp;[3.1.6 - Приходи од регистар на недвижности]" c="3.1.6 - Приходи од регистар на недвижности"/>
              <i n="[fActualAndBudget].[StavkaImeAOP].&amp;[3.1.7 - Приходи од трговски регистар]" c="3.1.7 - Приходи од трговски регистар"/>
              <i n="[fActualAndBudget].[StavkaImeAOP].&amp;[3.1.8 - Приходи од регистар на директни странски инвестиции]" c="3.1.8 - Приходи од регистар на директни странски инвестиции"/>
              <i n="[fActualAndBudget].[StavkaImeAOP].&amp;[3.1.9 - Приходи од регистрите за кривични санкции, пресуди и др.]" c="3.1.9 - Приходи од регистрите за кривични санкции, пресуди и др."/>
              <i n="[fActualAndBudget].[StavkaImeAOP].&amp;[3.2.1 - Приходи од камати]" c="3.2.1 - Приходи од камати"/>
              <i n="[fActualAndBudget].[StavkaImeAOP].&amp;[3.2.2 - Приходи од курсни разлики]" c="3.2.2 - Приходи од курсни разлики"/>
              <i n="[fActualAndBudget].[StavkaImeAOP].&amp;[3.2.3 - Други неспомнати приходи]" c="3.2.3 - Други неспомнати приходи"/>
              <i n="[fActualAndBudget].[StavkaImeAOP].&amp;[3.2.4 - Капитална добивка од продажба на материјални и неметеријални средства]" c="3.2.4 - Капитална добивка од продажба на материјални и неметеријални средства"/>
              <i n="[fActualAndBudget].[StavkaImeAOP].&amp;[3.2.5 - Приходи од донации]" c="3.2.5 - Приходи од донации"/>
              <i n="[fActualAndBudget].[StavkaImeAOP].&amp;[3.2.6 - Приходи од продажба на подвижен имот]" c="3.2.6 - Приходи од продажба на подвижен имот"/>
              <i n="[fActualAndBudget].[StavkaImeAOP].&amp;[3.2.7 - Приходи од закуп]" c="3.2.7 - Приходи од закуп"/>
              <i n="[fActualAndBudget].[StavkaImeAOP].&amp;[3.2.8 - Вонредни невообичаени приходи]" c="3.2.8 - Вонредни невообичаени приходи"/>
              <i n="[fActualAndBudget].[StavkaImeAOP].&amp;[4.1.1 - Потрошени суровини и материјали]" c="4.1.1 - Потрошени суровини и материјали"/>
              <i n="[fActualAndBudget].[StavkaImeAOP].&amp;[4.1.10 - Амортизација по минимални стапки]" c="4.1.10 - Амортизација по минимални стапки"/>
              <i n="[fActualAndBudget].[StavkaImeAOP].&amp;[4.1.11 - Надомест на трошоци на вработените, подароци и помошти]" c="4.1.11 - Надомест на трошоци на вработените, подароци и помошти"/>
              <i n="[fActualAndBudget].[StavkaImeAOP].&amp;[4.1.12 - Дневници за службени патувања и патни трошоци]" c="4.1.12 - Дневници за службени патувања и патни трошоци"/>
              <i n="[fActualAndBudget].[StavkaImeAOP].&amp;[4.1.13 - Трошоци за промоција,пропаганда, реклама, репрезентација и спонзорство]" c="4.1.13 - Трошоци за промоција,пропаганда, реклама, репрезентација и спонзорство"/>
              <i n="[fActualAndBudget].[StavkaImeAOP].&amp;[4.1.14 - Премии за осигурување]" c="4.1.14 - Премии за осигурување"/>
              <i n="[fActualAndBudget].[StavkaImeAOP].&amp;[4.1.15 - Даноци,чланарини и други давачки кои не зависат од резултатот]" c="4.1.15 - Даноци,чланарини и други давачки кои не зависат од резултатот"/>
              <i n="[fActualAndBudget].[StavkaImeAOP].&amp;[4.1.16 - Банкарски услуги и трошоци за платен промет]" c="4.1.16 - Банкарски услуги и трошоци за платен промет"/>
              <i n="[fActualAndBudget].[StavkaImeAOP].&amp;[4.1.17 - Лиценци за разни софтвери (едногодишни, обновливи)]" c="4.1.17 - Лиценци за разни софтвери (едногодишни, обновливи)"/>
              <i n="[fActualAndBudget].[StavkaImeAOP].&amp;[4.1.19 - Останати нематеријални трошоци]" c="4.1.19 - Останати нематеријални трошоци"/>
              <i n="[fActualAndBudget].[StavkaImeAOP].&amp;[4.1.2 - Потрoшена енергија и гориво за возила]" c="4.1.2 - Потрoшена енергија и гориво за возила"/>
              <i n="[fActualAndBudget].[StavkaImeAOP].&amp;[4.1.3 - Потрошени резервни делови]" c="4.1.3 - Потрошени резервни делови"/>
              <i n="[fActualAndBudget].[StavkaImeAOP].&amp;[4.1.4 - Потрошок на ситен инвентар и автогуми]" c="4.1.4 - Потрошок на ситен инвентар и автогуми"/>
              <i n="[fActualAndBudget].[StavkaImeAOP].&amp;[4.1.5 - Транспортни услуги]" c="4.1.5 - Транспортни услуги"/>
              <i n="[fActualAndBudget].[StavkaImeAOP].&amp;[4.1.6 - Надворешни услуги]" c="4.1.6 - Надворешни услуги"/>
              <i n="[fActualAndBudget].[StavkaImeAOP].&amp;[4.1.7 - Услуги за одржување и заштита]" c="4.1.7 - Услуги за одржување и заштита"/>
              <i n="[fActualAndBudget].[StavkaImeAOP].&amp;[4.1.8 - Наемнини и лизинг]" c="4.1.8 - Наемнини и лизинг"/>
              <i n="[fActualAndBudget].[StavkaImeAOP].&amp;[4.1.9 - Останати услуги]" c="4.1.9 - Останати услуги"/>
              <i n="[fActualAndBudget].[StavkaImeAOP].&amp;[4.2.2 - Казни, пенали и надомест на штети затезни камати]" c="4.2.2 - Казни, пенали и надомест на штети затезни камати"/>
              <i n="[fActualAndBudget].[StavkaImeAOP].&amp;[4.2.3 - Вредносно усогласување на тековни и нетековни средства]" c="4.2.3 - Вредносно усогласување на тековни и нетековни средства"/>
              <i n="[fActualAndBudget].[StavkaImeAOP].&amp;[4.2.5 - Курсни разлики]" c="4.2.5 - Курсни разлики"/>
              <i n="[fActualAndBudget].[StavkaImeAOP].&amp;[4.2.6 - Загуби и кусоци]" c="4.2.6 - Загуби и кусоци"/>
              <i n="[fActualAndBudget].[StavkaImeAOP].&amp;[4.2.7 - Останати расходи]" c="4.2.7 - Останати расходи"/>
              <i n="[fActualAndBudget].[StavkaImeAOP].&amp;[ - ]" c=" - " nd="1"/>
              <i n="[fActualAndBudget].[StavkaImeAOP].&amp;[ - 0]" c=" - 0" nd="1"/>
              <i n="[fActualAndBudget].[StavkaImeAOP].&amp;[1.1.1 - Жиро сметки]" c="1.1.1 - Жиро сметки" nd="1"/>
              <i n="[fActualAndBudget].[StavkaImeAOP].&amp;[1.1.3 - Готовина домашна валута]" c="1.1.3 - Готовина домашна валута" nd="1"/>
              <i n="[fActualAndBudget].[StavkaImeAOP].&amp;[1.1.4 - Готовина странска валута]" c="1.1.4 - Готовина странска валута" nd="1"/>
              <i n="[fActualAndBudget].[StavkaImeAOP].&amp;[1.13.1 - Вонбилансна актива]" c="1.13.1 - Вонбилансна актива" nd="1"/>
              <i n="[fActualAndBudget].[StavkaImeAOP].&amp;[1.14.1 - Обврски кон добавувачи во земјата]" c="1.14.1 - Обврски кон добавувачи во земјата" nd="1"/>
              <i n="[fActualAndBudget].[StavkaImeAOP].&amp;[1.14.3 - Обврски кон вработените]" c="1.14.3 - Обврски кон вработените" nd="1"/>
              <i n="[fActualAndBudget].[StavkaImeAOP].&amp;[1.14.6 - Обврски спрема државата]" c="1.14.6 - Обврски спрема државата" nd="1"/>
              <i n="[fActualAndBudget].[StavkaImeAOP].&amp;[1.14.7 - Обврски за даноци и придонеси]" c="1.14.7 - Обврски за даноци и придонеси" nd="1"/>
              <i n="[fActualAndBudget].[StavkaImeAOP].&amp;[1.14.99 - Останати тековни обврски]" c="1.14.99 - Останати тековни обврски" nd="1"/>
              <i n="[fActualAndBudget].[StavkaImeAOP].&amp;[1.15.1 - Одложено плаќање на трошоци и признавање на приходи (ПВР)]" c="1.15.1 - Одложено плаќање на трошоци и признавање на приходи (ПВР)" nd="1"/>
              <i n="[fActualAndBudget].[StavkaImeAOP].&amp;[1.17.3 - Долгорочни финансиски обврски]" c="1.17.3 - Долгорочни финансиски обврски" nd="1"/>
              <i n="[fActualAndBudget].[StavkaImeAOP].&amp;[1.2.3 - Побарувања од вработените]" c="1.2.3 - Побарувања од вработените" nd="1"/>
              <i n="[fActualAndBudget].[StavkaImeAOP].&amp;[1.2.4 - Побарувања од државата]" c="1.2.4 - Побарувања од државата" nd="1"/>
              <i n="[fActualAndBudget].[StavkaImeAOP].&amp;[1.2.6 - Краткорочни финансиски побарувања]" c="1.2.6 - Краткорочни финансиски побарувања" nd="1"/>
              <i n="[fActualAndBudget].[StavkaImeAOP].&amp;[1.21.1 - Државен капитал]" c="1.21.1 - Државен капитал" nd="1"/>
              <i n="[fActualAndBudget].[StavkaImeAOP].&amp;[1.22.1 - Акумулирана добивка]" c="1.22.1 - Акумулирана добивка" nd="1"/>
              <i n="[fActualAndBudget].[StavkaImeAOP].&amp;[1.23.1 - Законска резерва]" c="1.23.1 - Законска резерва" nd="1"/>
              <i n="[fActualAndBudget].[StavkaImeAOP].&amp;[1.23.2 - Реинвестирана добивка]" c="1.23.2 - Реинвестирана добивка" nd="1"/>
              <i n="[fActualAndBudget].[StavkaImeAOP].&amp;[1.23.3 - Останати резерви - резерви за развој]" c="1.23.3 - Останати резерви - резерви за развој" nd="1"/>
              <i n="[fActualAndBudget].[StavkaImeAOP].&amp;[1.25.1 - Добивка/ Загуба за деловната година]" c="1.25.1 - Добивка/ Загуба за деловната година" nd="1"/>
              <i n="[fActualAndBudget].[StavkaImeAOP].&amp;[1.28.1 - Вонбилансна пасива]" c="1.28.1 - Вонбилансна пасива" nd="1"/>
              <i n="[fActualAndBudget].[StavkaImeAOP].&amp;[1.3.1 - Залихи на канцелариски и останат материјал]" c="1.3.1 - Залихи на канцелариски и останат материјал" nd="1"/>
              <i n="[fActualAndBudget].[StavkaImeAOP].&amp;[1.3.2 - Залихи на ситен инвентар и авто гуми]" c="1.3.2 - Залихи на ситен инвентар и авто гуми" nd="1"/>
              <i n="[fActualAndBudget].[StavkaImeAOP].&amp;[1.3.3 - Залихи на резервни делови]" c="1.3.3 - Залихи на резервни делови" nd="1"/>
              <i n="[fActualAndBudget].[StavkaImeAOP].&amp;[15.4 - Посебна резерва - реинвестирана добивка]" c="15.4 - Посебна резерва - реинвестирана добивка" nd="1"/>
              <i n="[fActualAndBudget].[StavkaImeAOP].&amp;[3.1.7 - Приходи од регистар на вистински сопственици]" c="3.1.7 - Приходи од регистар на вистински сопственици" nd="1"/>
              <i n="[fActualAndBudget].[StavkaImeAOP].&amp;[5.1.1 - Недвижности]" c="5.1.1 - Недвижности" nd="1"/>
              <i n="[fActualAndBudget].[StavkaImeAOP].&amp;[5.1.2 - Компјутерска и останата опрема]" c="5.1.2 - Компјутерска и останата опрема" nd="1"/>
              <i n="[fActualAndBudget].[StavkaImeAOP].&amp;[5.10.1 - Софтвер]" c="5.10.1 - Софтвер" nd="1"/>
              <i n="[fActualAndBudget].[StavkaImeAOP].&amp;[5.10.2 - Нематеријални средства во подготовка]" c="5.10.2 - Нематеријални средства во подготовка" nd="1"/>
              <i n="[fActualAndBudget].[StavkaImeAOP].&amp;[5.2.1 - Патнички автомобили]" c="5.2.1 - Патнички автомобили" nd="1"/>
              <i n="[fActualAndBudget].[StavkaImeAOP].&amp;[5.3.1 - Канцелариски мебел]" c="5.3.1 - Канцелариски мебел" nd="1"/>
              <i n="[fActualAndBudget].[StavkaImeAOP].&amp;[5.4.1 - Останати материјални основни средства]" c="5.4.1 - Останати материјални основни средства" nd="1"/>
              <i n="[fActualAndBudget].[StavkaImeAOP].&amp;[5.4.2 - Инвестиции во тек - недвижности]" c="5.4.2 - Инвестиции во тек - недвижности" nd="1"/>
              <i n="[fActualAndBudget].[StavkaImeAOP].&amp;[5.6.1 - Побарувања за аванси за материјални исредства]" c="5.6.1 - Побарувања за аванси за материјални исредства" nd="1"/>
            </range>
          </ranges>
        </level>
      </levels>
      <selections count="1">
        <selection n="[fActualAndBudget].[StavkaImeAOP].[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Kategorija" xr10:uid="{00000000-0013-0000-FFFF-FFFF07000000}" sourceName="[fActualAndBudget].[StavkaKategorija]">
  <pivotTables>
    <pivotTable tabId="91" name="PivotTable2"/>
  </pivotTables>
  <data>
    <olap pivotCacheId="927463827">
      <levels count="2">
        <level uniqueName="[fActualAndBudget].[StavkaKategorija].[(All)]" sourceCaption="(All)" count="0"/>
        <level uniqueName="[fActualAndBudget].[StavkaKategorija].[StavkaKategorija]" sourceCaption="StavkaKategorija" count="25">
          <ranges>
            <range startItem="0">
              <i n="[fActualAndBudget].[StavkaKategorija].&amp;[2.29. Приходи од продажба]" c="2.29. Приходи од продажба"/>
              <i n="[fActualAndBudget].[StavkaKategorija].&amp;[2.30. Останати оперативни приходи]" c="2.30. Останати оперативни приходи"/>
              <i n="[fActualAndBudget].[StavkaKategorija].&amp;[2.32. Потрошени суровини и материјали]" c="2.32. Потрошени суровини и материјали"/>
              <i n="[fActualAndBudget].[StavkaKategorija].&amp;[2.33. Трошоци за вработените]" c="2.33. Трошоци за вработените"/>
              <i n="[fActualAndBudget].[StavkaKategorija].&amp;[2.34. Амортизација на материјални средства]" c="2.34. Амортизација на материјални средства"/>
              <i n="[fActualAndBudget].[StavkaKategorija].&amp;[2.35. Вредносно усогласување на тековни средства]" c="2.35. Вредносно усогласување на тековни средства"/>
              <i n="[fActualAndBudget].[StavkaKategorija].&amp;[2.37. Останати оперативни расходи]" c="2.37. Останати оперативни расходи"/>
              <i n="[fActualAndBudget].[StavkaKategorija].&amp;[2.40. Приходи од финансирање]" c="2.40. Приходи од финансирање"/>
              <i n="[fActualAndBudget].[StavkaKategorija].&amp;[2.41. Расходи од финансирање]" c="2.41. Расходи од финансирање"/>
              <i n="[fActualAndBudget].[StavkaKategorija].&amp;" c="(blank)" nd="1"/>
              <i n="[fActualAndBudget].[StavkaKategorija].&amp;[1.1. Парични средства]" c="1.1. Парични средства" nd="1"/>
              <i n="[fActualAndBudget].[StavkaKategorija].&amp;[1.13. Вонбилансна актива]" c="1.13. Вонбилансна актива" nd="1"/>
              <i n="[fActualAndBudget].[StavkaKategorija].&amp;[1.14. Краткорочни обврски]" c="1.14. Краткорочни обврски" nd="1"/>
              <i n="[fActualAndBudget].[StavkaKategorija].&amp;[1.15. Одложено плаќање на трошоци и приходи (ПВР)]" c="1.15. Одложено плаќање на трошоци и приходи (ПВР)" nd="1"/>
              <i n="[fActualAndBudget].[StavkaKategorija].&amp;[1.17. Долгорочни обврски]" c="1.17. Долгорочни обврски" nd="1"/>
              <i n="[fActualAndBudget].[StavkaKategorija].&amp;[1.2. Побарувања]" c="1.2. Побарувања" nd="1"/>
              <i n="[fActualAndBudget].[StavkaKategorija].&amp;[1.21. Капитал]" c="1.21. Капитал" nd="1"/>
              <i n="[fActualAndBudget].[StavkaKategorija].&amp;[1.22. Акумулирана добивка]" c="1.22. Акумулирана добивка" nd="1"/>
              <i n="[fActualAndBudget].[StavkaKategorija].&amp;[1.23. Резерви]" c="1.23. Резерви" nd="1"/>
              <i n="[fActualAndBudget].[StavkaKategorija].&amp;[1.25. Добивка / Загуба за деловната година]" c="1.25. Добивка / Загуба за деловната година" nd="1"/>
              <i n="[fActualAndBudget].[StavkaKategorija].&amp;[1.28. Вонбилансна пасива]" c="1.28. Вонбилансна пасива" nd="1"/>
              <i n="[fActualAndBudget].[StavkaKategorija].&amp;[1.3. Залихи]" c="1.3. Залихи" nd="1"/>
              <i n="[fActualAndBudget].[StavkaKategorija].&amp;[1.7. Материјални средства и вложувања во недвижности]" c="1.7. Материјални средства и вложувања во недвижности" nd="1"/>
              <i n="[fActualAndBudget].[StavkaKategorija].&amp;[1.9. Нематеријални средства]" c="1.9. Нематеријални средства" nd="1"/>
              <i n="[fActualAndBudget].[StavkaKategorija].&amp;[Сопственичка главнина]" c="Сопственичка главнина" nd="1"/>
            </range>
          </ranges>
        </level>
      </levels>
      <selections count="1">
        <selection n="[fActualAndBudget].[StavkaKategorija].[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Grupa" xr10:uid="{00000000-0013-0000-FFFF-FFFF08000000}" sourceName="[fActualAndBudget].[StavkaGrupa]">
  <pivotTables>
    <pivotTable tabId="33" name="PivotTable4"/>
  </pivotTables>
  <data>
    <olap pivotCacheId="1620557857">
      <levels count="2">
        <level uniqueName="[fActualAndBudget].[StavkaGrupa].[(All)]" sourceCaption="(All)" count="0"/>
        <level uniqueName="[fActualAndBudget].[StavkaGrupa].[StavkaGrupa]" sourceCaption="StavkaGrupa" count="14">
          <ranges>
            <range startItem="0">
              <i n="[fActualAndBudget].[StavkaGrupa].&amp;[3.1. Приходи од дејноста]" c="3.1. Приходи од дејноста"/>
              <i n="[fActualAndBudget].[StavkaGrupa].&amp;[3.2. Останати приходи]" c="3.2. Останати приходи"/>
              <i n="[fActualAndBudget].[StavkaGrupa].&amp;[4.1. Расходи од дејноста]" c="4.1. Расходи од дејноста"/>
              <i n="[fActualAndBudget].[StavkaGrupa].&amp;[4.2. Останати расходи]" c="4.2. Останати расходи"/>
              <i n="[fActualAndBudget].[StavkaGrupa].&amp;" c="(blank)" nd="1"/>
              <i n="[fActualAndBudget].[StavkaGrupa].&amp;[0]" c="0" nd="1"/>
              <i n="[fActualAndBudget].[StavkaGrupa].&amp;[5.1 Имот, машини и опрема]" c="5.1 Имот, машини и опрема" nd="1"/>
              <i n="[fActualAndBudget].[StavkaGrupa].&amp;[5.10 Други нематеријални средства]" c="5.10 Други нематеријални средства" nd="1"/>
              <i n="[fActualAndBudget].[StavkaGrupa].&amp;[5.11 Нематеријални средства во подготовка]" c="5.11 Нематеријални средства во подготовка" nd="1"/>
              <i n="[fActualAndBudget].[StavkaGrupa].&amp;[5.2 Возила]" c="5.2 Возила" nd="1"/>
              <i n="[fActualAndBudget].[StavkaGrupa].&amp;[5.3 Мебел и вградување на мебел]" c="5.3 Мебел и вградување на мебел" nd="1"/>
              <i n="[fActualAndBudget].[StavkaGrupa].&amp;[5.4 Останати материјални основни средства]" c="5.4 Останати материјални основни средства" nd="1"/>
              <i n="[fActualAndBudget].[StavkaGrupa].&amp;[5.6 Дадени аванси]" c="5.6 Дадени аванси" nd="1"/>
              <i n="[fActualAndBudget].[StavkaGrupa].&amp;[Посебна резерва - реинвестирана добивка]" c="Посебна резерва - реинвестирана добивка" nd="1"/>
            </range>
          </ranges>
        </level>
      </levels>
      <selections count="1">
        <selection n="[fActualAndBudget].[StavkaGrupa].&amp;[4.1. Расходи од дејноста]"/>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vkaKategorija1" xr10:uid="{00000000-0013-0000-FFFF-FFFF09000000}" sourceName="[fActualAndBudget].[StavkaKategorija]">
  <pivotTables>
    <pivotTable tabId="33" name="PivotTable4"/>
  </pivotTables>
  <data>
    <olap pivotCacheId="1620557857">
      <levels count="2">
        <level uniqueName="[fActualAndBudget].[StavkaKategorija].[(All)]" sourceCaption="(All)" count="0"/>
        <level uniqueName="[fActualAndBudget].[StavkaKategorija].[StavkaKategorija]" sourceCaption="StavkaKategorija" count="25">
          <ranges>
            <range startItem="0">
              <i n="[fActualAndBudget].[StavkaKategorija].&amp;[2.32. Потрошени суровини и материјали]" c="2.32. Потрошени суровини и материјали"/>
              <i n="[fActualAndBudget].[StavkaKategorija].&amp;[2.33. Трошоци за вработените]" c="2.33. Трошоци за вработените"/>
              <i n="[fActualAndBudget].[StavkaKategorija].&amp;[2.34. Амортизација на материјални средства]" c="2.34. Амортизација на материјални средства"/>
              <i n="[fActualAndBudget].[StavkaKategorija].&amp;[2.37. Останати оперативни расходи]" c="2.37. Останати оперативни расходи"/>
              <i n="[fActualAndBudget].[StavkaKategorija].&amp;" c="(blank)" nd="1"/>
              <i n="[fActualAndBudget].[StavkaKategorija].&amp;[1.1. Парични средства]" c="1.1. Парични средства" nd="1"/>
              <i n="[fActualAndBudget].[StavkaKategorija].&amp;[1.13. Вонбилансна актива]" c="1.13. Вонбилансна актива" nd="1"/>
              <i n="[fActualAndBudget].[StavkaKategorija].&amp;[1.14. Краткорочни обврски]" c="1.14. Краткорочни обврски" nd="1"/>
              <i n="[fActualAndBudget].[StavkaKategorija].&amp;[1.15. Одложено плаќање на трошоци и приходи (ПВР)]" c="1.15. Одложено плаќање на трошоци и приходи (ПВР)" nd="1"/>
              <i n="[fActualAndBudget].[StavkaKategorija].&amp;[1.17. Долгорочни обврски]" c="1.17. Долгорочни обврски" nd="1"/>
              <i n="[fActualAndBudget].[StavkaKategorija].&amp;[1.2. Побарувања]" c="1.2. Побарувања" nd="1"/>
              <i n="[fActualAndBudget].[StavkaKategorija].&amp;[1.21. Капитал]" c="1.21. Капитал" nd="1"/>
              <i n="[fActualAndBudget].[StavkaKategorija].&amp;[1.22. Акумулирана добивка]" c="1.22. Акумулирана добивка" nd="1"/>
              <i n="[fActualAndBudget].[StavkaKategorija].&amp;[1.23. Резерви]" c="1.23. Резерви" nd="1"/>
              <i n="[fActualAndBudget].[StavkaKategorija].&amp;[1.25. Добивка / Загуба за деловната година]" c="1.25. Добивка / Загуба за деловната година" nd="1"/>
              <i n="[fActualAndBudget].[StavkaKategorija].&amp;[1.28. Вонбилансна пасива]" c="1.28. Вонбилансна пасива" nd="1"/>
              <i n="[fActualAndBudget].[StavkaKategorija].&amp;[1.3. Залихи]" c="1.3. Залихи" nd="1"/>
              <i n="[fActualAndBudget].[StavkaKategorija].&amp;[1.7. Материјални средства и вложувања во недвижности]" c="1.7. Материјални средства и вложувања во недвижности" nd="1"/>
              <i n="[fActualAndBudget].[StavkaKategorija].&amp;[1.9. Нематеријални средства]" c="1.9. Нематеријални средства" nd="1"/>
              <i n="[fActualAndBudget].[StavkaKategorija].&amp;[2.29. Приходи од продажба]" c="2.29. Приходи од продажба" nd="1"/>
              <i n="[fActualAndBudget].[StavkaKategorija].&amp;[2.30. Останати оперативни приходи]" c="2.30. Останати оперативни приходи" nd="1"/>
              <i n="[fActualAndBudget].[StavkaKategorija].&amp;[2.35. Вредносно усогласување на тековни средства]" c="2.35. Вредносно усогласување на тековни средства" nd="1"/>
              <i n="[fActualAndBudget].[StavkaKategorija].&amp;[2.40. Приходи од финансирање]" c="2.40. Приходи од финансирање" nd="1"/>
              <i n="[fActualAndBudget].[StavkaKategorija].&amp;[2.41. Расходи од финансирање]" c="2.41. Расходи од финансирање" nd="1"/>
              <i n="[fActualAndBudget].[StavkaKategorija].&amp;[Сопственичка главнина]" c="Сопственичка главнина" nd="1"/>
            </range>
          </ranges>
        </level>
      </levels>
      <selections count="1">
        <selection n="[fActualAndBudget].[StavkaKategorija].[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00000000-0014-0000-FFFF-FFFF01000000}" cache="Slicer_Date_Hierarchy" caption="Month" startItem="12" level="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3" xr10:uid="{00000000-0014-0000-FFFF-FFFF02000000}" cache="Slicer_Date_Hierarchy71" caption="Year" level="1"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7" xr10:uid="{00000000-0014-0000-FFFF-FFFF03000000}" cache="Slicer_Date_Hierarchy712" caption="Year" level="1" rowHeight="2349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4" xr10:uid="{00000000-0014-0000-FFFF-FFFF04000000}" cache="Slicer_Date_Hierarchy711" caption="Year" startItem="1" level="1"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6" xr10:uid="{00000000-0014-0000-FFFF-FFFF05000000}" cache="Slicer_Date_Hierarchy73" caption="Year" columnCount="2" level="1" rowHeight="234950"/>
  <slicer name="StavkaImeAOP" xr10:uid="{00000000-0014-0000-FFFF-FFFF06000000}" cache="Slicer_StavkaImeAOP" caption="StavkaImeAOP" columnCount="5" level="1" rowHeight="234950"/>
  <slicer name="StavkaKategorija" xr10:uid="{00000000-0014-0000-FFFF-FFFF07000000}" cache="Slicer_StavkaKategorija" caption="StavkaKategorija" startItem="15" columnCount="3" level="1"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9" xr10:uid="{00000000-0014-0000-FFFF-FFFF08000000}" cache="Slicer_Date_Hierarchy732" caption="Year" columnCount="2" level="1" rowHeight="234950"/>
  <slicer name="StavkaImeAOP 1" xr10:uid="{00000000-0014-0000-FFFF-FFFF09000000}" cache="Slicer_StavkaImeAOP1" caption="StavkaImeAOP" columnCount="5" level="1" rowHeight="234950"/>
  <slicer name="StavkaKategorija 2" xr10:uid="{00000000-0014-0000-FFFF-FFFF0A000000}" cache="Slicer_StavkaKategorija2" caption="StavkaKategorija" columnCount="3" level="1" rowHeight="2349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Месец 11" xr10:uid="{00000000-0014-0000-FFFF-FFFF0B000000}" cache="Slicer_Месец112" caption="Месец" level="1" rowHeight="234950"/>
  <slicer name="Месец 12" xr10:uid="{00000000-0014-0000-FFFF-FFFF0C000000}" cache="Slicer_Месец112" caption="Месец" level="1" rowHeight="234950"/>
  <slicer name="StavkaGrupa" xr10:uid="{00000000-0014-0000-FFFF-FFFF0D000000}" cache="Slicer_StavkaGrupa" caption="StavkaGrupa" startItem="2" level="1" rowHeight="234950"/>
  <slicer name="StavkaKategorija 1" xr10:uid="{00000000-0014-0000-FFFF-FFFF0E000000}" cache="Slicer_StavkaKategorija1" caption="StavkaKategorija" columnCount="2" level="1" rowHeight="2349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Месец 18" xr10:uid="{00000000-0014-0000-FFFF-FFFF0F000000}" cache="Slicer_Месец112" caption="Месец" level="1" rowHeight="234950"/>
  <slicer name="Месец 19" xr10:uid="{00000000-0014-0000-FFFF-FFFF10000000}" cache="Slicer_Месец112" caption="Месец" level="1" rowHeight="23495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ransakcii" displayName="Transakcii" ref="A1:G5321" totalsRowShown="0">
  <autoFilter ref="A1:G5321" xr:uid="{00000000-0009-0000-0100-000003000000}"/>
  <tableColumns count="7">
    <tableColumn id="1" xr3:uid="{00000000-0010-0000-0000-000001000000}" name="Регион" dataDxfId="173"/>
    <tableColumn id="2" xr3:uid="{00000000-0010-0000-0000-000002000000}" name="Продажно место" dataDxfId="172"/>
    <tableColumn id="7" xr3:uid="{00000000-0010-0000-0000-000007000000}" name="Поштенски код" dataDxfId="171"/>
    <tableColumn id="3" xr3:uid="{00000000-0010-0000-0000-000003000000}" name="Регистар име" dataDxfId="170"/>
    <tableColumn id="4" xr3:uid="{00000000-0010-0000-0000-000004000000}" name="Услуга име" dataDxfId="169"/>
    <tableColumn id="5" xr3:uid="{00000000-0010-0000-0000-000005000000}" name="Период" dataDxfId="168"/>
    <tableColumn id="6" xr3:uid="{00000000-0010-0000-0000-000006000000}" name="Трансакции"/>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APEX_JN" displayName="CAPEX_JN" ref="A1:E30" tableType="queryTable" totalsRowShown="0" headerRowDxfId="22" dataDxfId="21">
  <autoFilter ref="A1:E30" xr:uid="{47F48AE5-547F-48A3-8818-7EE602D9E2CC}"/>
  <tableColumns count="5">
    <tableColumn id="1" xr3:uid="{814EFACB-62FB-40D0-A1CE-DBA43F427B6A}" uniqueName="1" name="Предмет на јавна набавка" queryTableFieldId="1" dataDxfId="20"/>
    <tableColumn id="2" xr3:uid="{627F96FE-263D-4BAC-9B11-6B5B1F3921AD}" uniqueName="2" name="Предвиден датум на набавка" queryTableFieldId="2" dataDxfId="19"/>
    <tableColumn id="3" xr3:uid="{E779D162-357E-4D93-A960-DF30C4F480C9}" uniqueName="3" name="Проценета вредност на набавка со ДДВ (денари)" queryTableFieldId="3" dataDxfId="18"/>
    <tableColumn id="4" xr3:uid="{2AC83253-D20D-4EB0-8D83-A24A7BE464B4}" uniqueName="4" name="Конто" queryTableFieldId="4" dataDxfId="17"/>
    <tableColumn id="5" xr3:uid="{8E9F49DA-857F-4BC7-89D7-C7A3863C9157}" uniqueName="5" name="ReportType" queryTableFieldId="5" dataDxfId="16"/>
  </tableColumns>
  <tableStyleInfo name="TableStyleQueryResul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fCoveckiResursi__ЈН" displayName="fCoveckiResursi__ЈН" ref="A1:E130" tableType="queryTable" totalsRowShown="0" headerRowDxfId="15" dataDxfId="14">
  <autoFilter ref="A1:E130" xr:uid="{5DE6B41E-1587-47EE-850C-13BEC0D7ABFF}"/>
  <tableColumns count="5">
    <tableColumn id="1" xr3:uid="{4270B8ED-0577-4D4E-9C3F-410E1A4A252A}" uniqueName="1" name="Предмет на јавна набавка" queryTableFieldId="1" dataDxfId="13"/>
    <tableColumn id="2" xr3:uid="{05F2A967-A406-4772-B4EA-8960BA0AD9FE}" uniqueName="2" name="Предвиден датум на набавка" queryTableFieldId="2" dataDxfId="12"/>
    <tableColumn id="3" xr3:uid="{B1AF54B5-904D-46AE-9795-3228130740B3}" uniqueName="3" name="Проценета вредност на набавка со ДДВ (денари)" queryTableFieldId="3" dataDxfId="11"/>
    <tableColumn id="4" xr3:uid="{E640AB32-1D88-4248-8D9F-46C0E750CA01}" uniqueName="4" name="Конто" queryTableFieldId="4" dataDxfId="10"/>
    <tableColumn id="5" xr3:uid="{A28F8CF3-D63D-483F-B596-4A6BB071434A}" uniqueName="5" name="ReportType" queryTableFieldId="5" dataDxfId="9"/>
  </tableColumns>
  <tableStyleInfo name="TableStyleQueryResul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Javni_nabavki" displayName="Javni_nabavki" ref="A1:E1046" tableType="queryTable" totalsRowShown="0" headerRowDxfId="6" dataDxfId="5">
  <autoFilter ref="A1:E1046" xr:uid="{3102138B-2A4F-488F-9AAE-5396EEBCD816}"/>
  <tableColumns count="5">
    <tableColumn id="1" xr3:uid="{5A03003C-E181-452C-8F7F-87FD835F3E35}" uniqueName="1" name="Предмет на јавна набавка" queryTableFieldId="1" dataDxfId="4"/>
    <tableColumn id="2" xr3:uid="{5ACC1594-19D3-4D34-98B4-939470029C54}" uniqueName="2" name="Предвиден датум на набавка" queryTableFieldId="2" dataDxfId="3"/>
    <tableColumn id="3" xr3:uid="{8797F5AC-592F-4D63-B4BB-F630D03821B4}" uniqueName="3" name="Проценета вредност на набавка со ДДВ (денари)" queryTableFieldId="3" dataDxfId="2"/>
    <tableColumn id="4" xr3:uid="{6FE0D6E6-67D5-43D7-B0C8-F5855E97964C}" uniqueName="4" name="Конто" queryTableFieldId="4" dataDxfId="1"/>
    <tableColumn id="5" xr3:uid="{37472188-B954-43CE-BA6A-13A278D48D23}" uniqueName="5" name="ReportType" queryTableFieldId="5"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13.xml"/><Relationship Id="rId4" Type="http://schemas.microsoft.com/office/2007/relationships/slicer" Target="../slicers/slicer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14.xml"/><Relationship Id="rId4" Type="http://schemas.microsoft.com/office/2007/relationships/slicer" Target="../slicers/slicer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pivotTable" Target="../pivotTables/pivotTable15.xml"/><Relationship Id="rId4" Type="http://schemas.microsoft.com/office/2007/relationships/slicer" Target="../slicers/slicer7.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6.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7.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8.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pivotTable" Target="../pivotTables/pivotTable19.xml"/><Relationship Id="rId4" Type="http://schemas.microsoft.com/office/2007/relationships/slicer" Target="../slicers/slicer8.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20.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2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2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23.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24.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2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5321"/>
  <sheetViews>
    <sheetView topLeftCell="A5308" workbookViewId="0">
      <selection activeCell="F5320" sqref="F5320"/>
    </sheetView>
  </sheetViews>
  <sheetFormatPr defaultRowHeight="15" x14ac:dyDescent="0.25"/>
  <cols>
    <col min="1" max="1" width="13.5703125" bestFit="1" customWidth="1"/>
    <col min="2" max="2" width="18.5703125" bestFit="1" customWidth="1"/>
    <col min="3" max="3" width="27.28515625" customWidth="1"/>
    <col min="4" max="4" width="30.42578125" customWidth="1"/>
    <col min="5" max="5" width="10.140625" bestFit="1" customWidth="1"/>
    <col min="6" max="6" width="13.7109375" bestFit="1" customWidth="1"/>
  </cols>
  <sheetData>
    <row r="1" spans="1:7" x14ac:dyDescent="0.25">
      <c r="A1" t="s">
        <v>0</v>
      </c>
      <c r="B1" t="s">
        <v>1</v>
      </c>
      <c r="C1" t="s">
        <v>2</v>
      </c>
      <c r="D1" t="s">
        <v>3</v>
      </c>
      <c r="E1" t="s">
        <v>4</v>
      </c>
      <c r="F1" t="s">
        <v>5</v>
      </c>
      <c r="G1" t="s">
        <v>6</v>
      </c>
    </row>
    <row r="2" spans="1:7" x14ac:dyDescent="0.25">
      <c r="A2" s="5" t="s">
        <v>7</v>
      </c>
      <c r="B2" s="5" t="s">
        <v>7</v>
      </c>
      <c r="C2" s="5"/>
      <c r="D2" s="5" t="s">
        <v>8</v>
      </c>
      <c r="E2" s="5" t="s">
        <v>9</v>
      </c>
      <c r="F2" s="6">
        <v>42370</v>
      </c>
      <c r="G2">
        <v>0</v>
      </c>
    </row>
    <row r="3" spans="1:7" x14ac:dyDescent="0.25">
      <c r="A3" s="5" t="s">
        <v>7</v>
      </c>
      <c r="B3" s="5" t="s">
        <v>7</v>
      </c>
      <c r="C3" s="5"/>
      <c r="D3" s="5" t="s">
        <v>8</v>
      </c>
      <c r="E3" s="5" t="s">
        <v>9</v>
      </c>
      <c r="F3" s="6">
        <v>42736</v>
      </c>
      <c r="G3">
        <v>0</v>
      </c>
    </row>
    <row r="4" spans="1:7" x14ac:dyDescent="0.25">
      <c r="A4" s="5" t="s">
        <v>7</v>
      </c>
      <c r="B4" s="5" t="s">
        <v>7</v>
      </c>
      <c r="C4" s="5"/>
      <c r="D4" s="5" t="s">
        <v>8</v>
      </c>
      <c r="E4" s="5" t="s">
        <v>10</v>
      </c>
      <c r="F4" s="6">
        <v>42370</v>
      </c>
      <c r="G4">
        <v>97</v>
      </c>
    </row>
    <row r="5" spans="1:7" x14ac:dyDescent="0.25">
      <c r="A5" s="5" t="s">
        <v>7</v>
      </c>
      <c r="B5" s="5" t="s">
        <v>7</v>
      </c>
      <c r="C5" s="5"/>
      <c r="D5" s="5" t="s">
        <v>8</v>
      </c>
      <c r="E5" s="5" t="s">
        <v>10</v>
      </c>
      <c r="F5" s="6">
        <v>42736</v>
      </c>
      <c r="G5">
        <v>77</v>
      </c>
    </row>
    <row r="6" spans="1:7" x14ac:dyDescent="0.25">
      <c r="A6" s="5" t="s">
        <v>7</v>
      </c>
      <c r="B6" s="5" t="s">
        <v>7</v>
      </c>
      <c r="C6" s="5"/>
      <c r="D6" s="5" t="s">
        <v>8</v>
      </c>
      <c r="E6" s="5" t="s">
        <v>11</v>
      </c>
      <c r="F6" s="6">
        <v>42370</v>
      </c>
      <c r="G6">
        <v>0</v>
      </c>
    </row>
    <row r="7" spans="1:7" x14ac:dyDescent="0.25">
      <c r="A7" s="5" t="s">
        <v>7</v>
      </c>
      <c r="B7" s="5" t="s">
        <v>7</v>
      </c>
      <c r="C7" s="5"/>
      <c r="D7" s="5" t="s">
        <v>8</v>
      </c>
      <c r="E7" s="5" t="s">
        <v>11</v>
      </c>
      <c r="F7" s="6">
        <v>42736</v>
      </c>
      <c r="G7">
        <v>0</v>
      </c>
    </row>
    <row r="8" spans="1:7" x14ac:dyDescent="0.25">
      <c r="A8" s="5" t="s">
        <v>7</v>
      </c>
      <c r="B8" s="5" t="s">
        <v>7</v>
      </c>
      <c r="C8" s="5"/>
      <c r="D8" s="5" t="s">
        <v>8</v>
      </c>
      <c r="E8" s="5" t="s">
        <v>12</v>
      </c>
      <c r="F8" s="6">
        <v>42370</v>
      </c>
      <c r="G8">
        <v>0</v>
      </c>
    </row>
    <row r="9" spans="1:7" x14ac:dyDescent="0.25">
      <c r="A9" s="5" t="s">
        <v>7</v>
      </c>
      <c r="B9" s="5" t="s">
        <v>7</v>
      </c>
      <c r="C9" s="5"/>
      <c r="D9" s="5" t="s">
        <v>8</v>
      </c>
      <c r="E9" s="5" t="s">
        <v>12</v>
      </c>
      <c r="F9" s="6">
        <v>42736</v>
      </c>
      <c r="G9">
        <v>0</v>
      </c>
    </row>
    <row r="10" spans="1:7" x14ac:dyDescent="0.25">
      <c r="A10" s="5" t="s">
        <v>7</v>
      </c>
      <c r="B10" s="5" t="s">
        <v>7</v>
      </c>
      <c r="C10" s="5"/>
      <c r="D10" s="5" t="s">
        <v>8</v>
      </c>
      <c r="E10" s="5" t="s">
        <v>13</v>
      </c>
      <c r="F10" s="6">
        <v>42370</v>
      </c>
      <c r="G10">
        <v>0</v>
      </c>
    </row>
    <row r="11" spans="1:7" x14ac:dyDescent="0.25">
      <c r="A11" s="5" t="s">
        <v>7</v>
      </c>
      <c r="B11" s="5" t="s">
        <v>7</v>
      </c>
      <c r="C11" s="5"/>
      <c r="D11" s="5" t="s">
        <v>8</v>
      </c>
      <c r="E11" s="5" t="s">
        <v>13</v>
      </c>
      <c r="F11" s="6">
        <v>42736</v>
      </c>
      <c r="G11">
        <v>0</v>
      </c>
    </row>
    <row r="12" spans="1:7" x14ac:dyDescent="0.25">
      <c r="A12" s="5" t="s">
        <v>7</v>
      </c>
      <c r="B12" s="5" t="s">
        <v>7</v>
      </c>
      <c r="C12" s="5"/>
      <c r="D12" s="5" t="s">
        <v>8</v>
      </c>
      <c r="E12" s="5" t="s">
        <v>14</v>
      </c>
      <c r="F12" s="6">
        <v>42370</v>
      </c>
      <c r="G12">
        <v>0</v>
      </c>
    </row>
    <row r="13" spans="1:7" x14ac:dyDescent="0.25">
      <c r="A13" s="5" t="s">
        <v>7</v>
      </c>
      <c r="B13" s="5" t="s">
        <v>7</v>
      </c>
      <c r="C13" s="5"/>
      <c r="D13" s="5" t="s">
        <v>8</v>
      </c>
      <c r="E13" s="5" t="s">
        <v>14</v>
      </c>
      <c r="F13" s="6">
        <v>42736</v>
      </c>
      <c r="G13">
        <v>0</v>
      </c>
    </row>
    <row r="14" spans="1:7" x14ac:dyDescent="0.25">
      <c r="A14" s="5" t="s">
        <v>7</v>
      </c>
      <c r="B14" s="5" t="s">
        <v>7</v>
      </c>
      <c r="C14" s="5"/>
      <c r="D14" s="5" t="s">
        <v>8</v>
      </c>
      <c r="E14" s="5" t="s">
        <v>15</v>
      </c>
      <c r="F14" s="6">
        <v>42370</v>
      </c>
      <c r="G14">
        <v>0</v>
      </c>
    </row>
    <row r="15" spans="1:7" x14ac:dyDescent="0.25">
      <c r="A15" s="5" t="s">
        <v>7</v>
      </c>
      <c r="B15" s="5" t="s">
        <v>7</v>
      </c>
      <c r="C15" s="5"/>
      <c r="D15" s="5" t="s">
        <v>8</v>
      </c>
      <c r="E15" s="5" t="s">
        <v>15</v>
      </c>
      <c r="F15" s="6">
        <v>42736</v>
      </c>
      <c r="G15">
        <v>0</v>
      </c>
    </row>
    <row r="16" spans="1:7" x14ac:dyDescent="0.25">
      <c r="A16" s="5" t="s">
        <v>7</v>
      </c>
      <c r="B16" s="5" t="s">
        <v>7</v>
      </c>
      <c r="C16" s="5"/>
      <c r="D16" s="5" t="s">
        <v>8</v>
      </c>
      <c r="E16" s="5" t="s">
        <v>16</v>
      </c>
      <c r="F16" s="6">
        <v>42370</v>
      </c>
      <c r="G16">
        <v>0</v>
      </c>
    </row>
    <row r="17" spans="1:7" x14ac:dyDescent="0.25">
      <c r="A17" s="5" t="s">
        <v>7</v>
      </c>
      <c r="B17" s="5" t="s">
        <v>7</v>
      </c>
      <c r="C17" s="5"/>
      <c r="D17" s="5" t="s">
        <v>8</v>
      </c>
      <c r="E17" s="5" t="s">
        <v>16</v>
      </c>
      <c r="F17" s="6">
        <v>42736</v>
      </c>
      <c r="G17">
        <v>0</v>
      </c>
    </row>
    <row r="18" spans="1:7" x14ac:dyDescent="0.25">
      <c r="A18" s="5" t="s">
        <v>7</v>
      </c>
      <c r="B18" s="5" t="s">
        <v>7</v>
      </c>
      <c r="C18" s="5"/>
      <c r="D18" s="5" t="s">
        <v>8</v>
      </c>
      <c r="E18" s="5" t="s">
        <v>17</v>
      </c>
      <c r="F18" s="6">
        <v>42370</v>
      </c>
      <c r="G18">
        <v>0</v>
      </c>
    </row>
    <row r="19" spans="1:7" x14ac:dyDescent="0.25">
      <c r="A19" s="5" t="s">
        <v>7</v>
      </c>
      <c r="B19" s="5" t="s">
        <v>7</v>
      </c>
      <c r="C19" s="5"/>
      <c r="D19" s="5" t="s">
        <v>8</v>
      </c>
      <c r="E19" s="5" t="s">
        <v>17</v>
      </c>
      <c r="F19" s="6">
        <v>42736</v>
      </c>
      <c r="G19">
        <v>0</v>
      </c>
    </row>
    <row r="20" spans="1:7" x14ac:dyDescent="0.25">
      <c r="A20" s="5" t="s">
        <v>7</v>
      </c>
      <c r="B20" s="5" t="s">
        <v>7</v>
      </c>
      <c r="C20" s="5"/>
      <c r="D20" s="5" t="s">
        <v>8</v>
      </c>
      <c r="E20" s="5" t="s">
        <v>18</v>
      </c>
      <c r="F20" s="6">
        <v>42370</v>
      </c>
      <c r="G20">
        <v>0</v>
      </c>
    </row>
    <row r="21" spans="1:7" x14ac:dyDescent="0.25">
      <c r="A21" s="5" t="s">
        <v>7</v>
      </c>
      <c r="B21" s="5" t="s">
        <v>7</v>
      </c>
      <c r="C21" s="5"/>
      <c r="D21" s="5" t="s">
        <v>8</v>
      </c>
      <c r="E21" s="5" t="s">
        <v>18</v>
      </c>
      <c r="F21" s="6">
        <v>42736</v>
      </c>
      <c r="G21">
        <v>0</v>
      </c>
    </row>
    <row r="22" spans="1:7" x14ac:dyDescent="0.25">
      <c r="A22" s="5" t="s">
        <v>7</v>
      </c>
      <c r="B22" s="5" t="s">
        <v>7</v>
      </c>
      <c r="C22" s="5"/>
      <c r="D22" s="5" t="s">
        <v>8</v>
      </c>
      <c r="E22" s="5" t="s">
        <v>19</v>
      </c>
      <c r="F22" s="6">
        <v>42370</v>
      </c>
      <c r="G22">
        <v>0</v>
      </c>
    </row>
    <row r="23" spans="1:7" x14ac:dyDescent="0.25">
      <c r="A23" s="5" t="s">
        <v>7</v>
      </c>
      <c r="B23" s="5" t="s">
        <v>7</v>
      </c>
      <c r="C23" s="5"/>
      <c r="D23" s="5" t="s">
        <v>8</v>
      </c>
      <c r="E23" s="5" t="s">
        <v>19</v>
      </c>
      <c r="F23" s="6">
        <v>42736</v>
      </c>
      <c r="G23">
        <v>0</v>
      </c>
    </row>
    <row r="24" spans="1:7" x14ac:dyDescent="0.25">
      <c r="A24" s="5" t="s">
        <v>7</v>
      </c>
      <c r="B24" s="5" t="s">
        <v>7</v>
      </c>
      <c r="C24" s="5"/>
      <c r="D24" s="5" t="s">
        <v>20</v>
      </c>
      <c r="E24" s="5" t="s">
        <v>9</v>
      </c>
      <c r="F24" s="6">
        <v>42370</v>
      </c>
      <c r="G24">
        <v>82</v>
      </c>
    </row>
    <row r="25" spans="1:7" x14ac:dyDescent="0.25">
      <c r="A25" s="5" t="s">
        <v>7</v>
      </c>
      <c r="B25" s="5" t="s">
        <v>7</v>
      </c>
      <c r="C25" s="5"/>
      <c r="D25" s="5" t="s">
        <v>20</v>
      </c>
      <c r="E25" s="5" t="s">
        <v>9</v>
      </c>
      <c r="F25" s="6">
        <v>42736</v>
      </c>
      <c r="G25">
        <v>1025</v>
      </c>
    </row>
    <row r="26" spans="1:7" x14ac:dyDescent="0.25">
      <c r="A26" s="5" t="s">
        <v>7</v>
      </c>
      <c r="B26" s="5" t="s">
        <v>7</v>
      </c>
      <c r="C26" s="5"/>
      <c r="D26" s="5" t="s">
        <v>20</v>
      </c>
      <c r="E26" s="5" t="s">
        <v>21</v>
      </c>
      <c r="F26" s="6">
        <v>42370</v>
      </c>
      <c r="G26">
        <v>0</v>
      </c>
    </row>
    <row r="27" spans="1:7" x14ac:dyDescent="0.25">
      <c r="A27" s="5" t="s">
        <v>7</v>
      </c>
      <c r="B27" s="5" t="s">
        <v>7</v>
      </c>
      <c r="C27" s="5"/>
      <c r="D27" s="5" t="s">
        <v>20</v>
      </c>
      <c r="E27" s="5" t="s">
        <v>21</v>
      </c>
      <c r="F27" s="6">
        <v>42736</v>
      </c>
      <c r="G27">
        <v>0</v>
      </c>
    </row>
    <row r="28" spans="1:7" x14ac:dyDescent="0.25">
      <c r="A28" s="5" t="s">
        <v>7</v>
      </c>
      <c r="B28" s="5" t="s">
        <v>7</v>
      </c>
      <c r="C28" s="5"/>
      <c r="D28" s="5" t="s">
        <v>20</v>
      </c>
      <c r="E28" s="5" t="s">
        <v>22</v>
      </c>
      <c r="F28" s="6">
        <v>42370</v>
      </c>
      <c r="G28">
        <v>0</v>
      </c>
    </row>
    <row r="29" spans="1:7" x14ac:dyDescent="0.25">
      <c r="A29" s="5" t="s">
        <v>7</v>
      </c>
      <c r="B29" s="5" t="s">
        <v>7</v>
      </c>
      <c r="C29" s="5"/>
      <c r="D29" s="5" t="s">
        <v>20</v>
      </c>
      <c r="E29" s="5" t="s">
        <v>22</v>
      </c>
      <c r="F29" s="6">
        <v>42736</v>
      </c>
      <c r="G29">
        <v>0</v>
      </c>
    </row>
    <row r="30" spans="1:7" x14ac:dyDescent="0.25">
      <c r="A30" s="5" t="s">
        <v>7</v>
      </c>
      <c r="B30" s="5" t="s">
        <v>7</v>
      </c>
      <c r="C30" s="5"/>
      <c r="D30" s="5" t="s">
        <v>20</v>
      </c>
      <c r="E30" s="5" t="s">
        <v>23</v>
      </c>
      <c r="F30" s="6">
        <v>42370</v>
      </c>
      <c r="G30">
        <v>0</v>
      </c>
    </row>
    <row r="31" spans="1:7" x14ac:dyDescent="0.25">
      <c r="A31" s="5" t="s">
        <v>7</v>
      </c>
      <c r="B31" s="5" t="s">
        <v>7</v>
      </c>
      <c r="C31" s="5"/>
      <c r="D31" s="5" t="s">
        <v>20</v>
      </c>
      <c r="E31" s="5" t="s">
        <v>23</v>
      </c>
      <c r="F31" s="6">
        <v>42736</v>
      </c>
      <c r="G31">
        <v>0</v>
      </c>
    </row>
    <row r="32" spans="1:7" x14ac:dyDescent="0.25">
      <c r="A32" s="5" t="s">
        <v>7</v>
      </c>
      <c r="B32" s="5" t="s">
        <v>7</v>
      </c>
      <c r="C32" s="5"/>
      <c r="D32" s="5" t="s">
        <v>20</v>
      </c>
      <c r="E32" s="5" t="s">
        <v>24</v>
      </c>
      <c r="F32" s="6">
        <v>42370</v>
      </c>
      <c r="G32">
        <v>0</v>
      </c>
    </row>
    <row r="33" spans="1:7" x14ac:dyDescent="0.25">
      <c r="A33" s="5" t="s">
        <v>7</v>
      </c>
      <c r="B33" s="5" t="s">
        <v>7</v>
      </c>
      <c r="C33" s="5"/>
      <c r="D33" s="5" t="s">
        <v>20</v>
      </c>
      <c r="E33" s="5" t="s">
        <v>24</v>
      </c>
      <c r="F33" s="6">
        <v>42736</v>
      </c>
      <c r="G33">
        <v>0</v>
      </c>
    </row>
    <row r="34" spans="1:7" x14ac:dyDescent="0.25">
      <c r="A34" s="5" t="s">
        <v>7</v>
      </c>
      <c r="B34" s="5" t="s">
        <v>7</v>
      </c>
      <c r="C34" s="5"/>
      <c r="D34" s="5" t="s">
        <v>20</v>
      </c>
      <c r="E34" s="5" t="s">
        <v>25</v>
      </c>
      <c r="F34" s="6">
        <v>42370</v>
      </c>
      <c r="G34">
        <v>0</v>
      </c>
    </row>
    <row r="35" spans="1:7" x14ac:dyDescent="0.25">
      <c r="A35" s="5" t="s">
        <v>7</v>
      </c>
      <c r="B35" s="5" t="s">
        <v>7</v>
      </c>
      <c r="C35" s="5"/>
      <c r="D35" s="5" t="s">
        <v>20</v>
      </c>
      <c r="E35" s="5" t="s">
        <v>25</v>
      </c>
      <c r="F35" s="6">
        <v>42736</v>
      </c>
      <c r="G35">
        <v>0</v>
      </c>
    </row>
    <row r="36" spans="1:7" x14ac:dyDescent="0.25">
      <c r="A36" s="5" t="s">
        <v>7</v>
      </c>
      <c r="B36" s="5" t="s">
        <v>7</v>
      </c>
      <c r="C36" s="5"/>
      <c r="D36" s="5" t="s">
        <v>20</v>
      </c>
      <c r="E36" s="5" t="s">
        <v>26</v>
      </c>
      <c r="F36" s="6">
        <v>42370</v>
      </c>
      <c r="G36">
        <v>176</v>
      </c>
    </row>
    <row r="37" spans="1:7" x14ac:dyDescent="0.25">
      <c r="A37" s="5" t="s">
        <v>7</v>
      </c>
      <c r="B37" s="5" t="s">
        <v>7</v>
      </c>
      <c r="C37" s="5"/>
      <c r="D37" s="5" t="s">
        <v>20</v>
      </c>
      <c r="E37" s="5" t="s">
        <v>26</v>
      </c>
      <c r="F37" s="6">
        <v>42736</v>
      </c>
      <c r="G37">
        <v>287</v>
      </c>
    </row>
    <row r="38" spans="1:7" x14ac:dyDescent="0.25">
      <c r="A38" s="5" t="s">
        <v>7</v>
      </c>
      <c r="B38" s="5" t="s">
        <v>7</v>
      </c>
      <c r="C38" s="5"/>
      <c r="D38" s="5" t="s">
        <v>20</v>
      </c>
      <c r="E38" s="5" t="s">
        <v>27</v>
      </c>
      <c r="F38" s="6">
        <v>42370</v>
      </c>
      <c r="G38">
        <v>0</v>
      </c>
    </row>
    <row r="39" spans="1:7" x14ac:dyDescent="0.25">
      <c r="A39" s="5" t="s">
        <v>7</v>
      </c>
      <c r="B39" s="5" t="s">
        <v>7</v>
      </c>
      <c r="C39" s="5"/>
      <c r="D39" s="5" t="s">
        <v>20</v>
      </c>
      <c r="E39" s="5" t="s">
        <v>27</v>
      </c>
      <c r="F39" s="6">
        <v>42736</v>
      </c>
      <c r="G39">
        <v>0</v>
      </c>
    </row>
    <row r="40" spans="1:7" x14ac:dyDescent="0.25">
      <c r="A40" s="5" t="s">
        <v>7</v>
      </c>
      <c r="B40" s="5" t="s">
        <v>7</v>
      </c>
      <c r="C40" s="5"/>
      <c r="D40" s="5" t="s">
        <v>20</v>
      </c>
      <c r="E40" s="5" t="s">
        <v>28</v>
      </c>
      <c r="F40" s="6">
        <v>42370</v>
      </c>
      <c r="G40">
        <v>0</v>
      </c>
    </row>
    <row r="41" spans="1:7" x14ac:dyDescent="0.25">
      <c r="A41" s="5" t="s">
        <v>7</v>
      </c>
      <c r="B41" s="5" t="s">
        <v>7</v>
      </c>
      <c r="C41" s="5"/>
      <c r="D41" s="5" t="s">
        <v>20</v>
      </c>
      <c r="E41" s="5" t="s">
        <v>28</v>
      </c>
      <c r="F41" s="6">
        <v>42736</v>
      </c>
      <c r="G41">
        <v>0</v>
      </c>
    </row>
    <row r="42" spans="1:7" x14ac:dyDescent="0.25">
      <c r="A42" s="5" t="s">
        <v>7</v>
      </c>
      <c r="B42" s="5" t="s">
        <v>7</v>
      </c>
      <c r="C42" s="5"/>
      <c r="D42" s="5" t="s">
        <v>20</v>
      </c>
      <c r="E42" s="5" t="s">
        <v>29</v>
      </c>
      <c r="F42" s="6">
        <v>42370</v>
      </c>
      <c r="G42">
        <v>172</v>
      </c>
    </row>
    <row r="43" spans="1:7" x14ac:dyDescent="0.25">
      <c r="A43" s="5" t="s">
        <v>7</v>
      </c>
      <c r="B43" s="5" t="s">
        <v>7</v>
      </c>
      <c r="C43" s="5"/>
      <c r="D43" s="5" t="s">
        <v>20</v>
      </c>
      <c r="E43" s="5" t="s">
        <v>29</v>
      </c>
      <c r="F43" s="6">
        <v>42736</v>
      </c>
      <c r="G43">
        <v>296</v>
      </c>
    </row>
    <row r="44" spans="1:7" x14ac:dyDescent="0.25">
      <c r="A44" s="5" t="s">
        <v>7</v>
      </c>
      <c r="B44" s="5" t="s">
        <v>7</v>
      </c>
      <c r="C44" s="5"/>
      <c r="D44" s="5" t="s">
        <v>20</v>
      </c>
      <c r="E44" s="5" t="s">
        <v>30</v>
      </c>
      <c r="F44" s="6">
        <v>42370</v>
      </c>
      <c r="G44">
        <v>162</v>
      </c>
    </row>
    <row r="45" spans="1:7" x14ac:dyDescent="0.25">
      <c r="A45" s="5" t="s">
        <v>7</v>
      </c>
      <c r="B45" s="5" t="s">
        <v>7</v>
      </c>
      <c r="C45" s="5"/>
      <c r="D45" s="5" t="s">
        <v>20</v>
      </c>
      <c r="E45" s="5" t="s">
        <v>30</v>
      </c>
      <c r="F45" s="6">
        <v>42736</v>
      </c>
      <c r="G45">
        <v>266</v>
      </c>
    </row>
    <row r="46" spans="1:7" x14ac:dyDescent="0.25">
      <c r="A46" s="5" t="s">
        <v>7</v>
      </c>
      <c r="B46" s="5" t="s">
        <v>7</v>
      </c>
      <c r="C46" s="5"/>
      <c r="D46" s="5" t="s">
        <v>20</v>
      </c>
      <c r="E46" s="5" t="s">
        <v>31</v>
      </c>
      <c r="F46" s="6">
        <v>42370</v>
      </c>
      <c r="G46">
        <v>260</v>
      </c>
    </row>
    <row r="47" spans="1:7" x14ac:dyDescent="0.25">
      <c r="A47" s="5" t="s">
        <v>7</v>
      </c>
      <c r="B47" s="5" t="s">
        <v>7</v>
      </c>
      <c r="C47" s="5"/>
      <c r="D47" s="5" t="s">
        <v>20</v>
      </c>
      <c r="E47" s="5" t="s">
        <v>31</v>
      </c>
      <c r="F47" s="6">
        <v>42736</v>
      </c>
      <c r="G47">
        <v>499</v>
      </c>
    </row>
    <row r="48" spans="1:7" x14ac:dyDescent="0.25">
      <c r="A48" s="5" t="s">
        <v>7</v>
      </c>
      <c r="B48" s="5" t="s">
        <v>7</v>
      </c>
      <c r="C48" s="5"/>
      <c r="D48" s="5" t="s">
        <v>20</v>
      </c>
      <c r="E48" s="5" t="s">
        <v>32</v>
      </c>
      <c r="F48" s="6">
        <v>42370</v>
      </c>
      <c r="G48">
        <v>187</v>
      </c>
    </row>
    <row r="49" spans="1:7" x14ac:dyDescent="0.25">
      <c r="A49" s="5" t="s">
        <v>7</v>
      </c>
      <c r="B49" s="5" t="s">
        <v>7</v>
      </c>
      <c r="C49" s="5"/>
      <c r="D49" s="5" t="s">
        <v>20</v>
      </c>
      <c r="E49" s="5" t="s">
        <v>32</v>
      </c>
      <c r="F49" s="6">
        <v>42736</v>
      </c>
      <c r="G49">
        <v>324</v>
      </c>
    </row>
    <row r="50" spans="1:7" x14ac:dyDescent="0.25">
      <c r="A50" s="5" t="s">
        <v>7</v>
      </c>
      <c r="B50" s="5" t="s">
        <v>7</v>
      </c>
      <c r="C50" s="5"/>
      <c r="D50" s="5" t="s">
        <v>33</v>
      </c>
      <c r="E50" s="5" t="s">
        <v>9</v>
      </c>
      <c r="F50" s="6">
        <v>42370</v>
      </c>
      <c r="G50">
        <v>0</v>
      </c>
    </row>
    <row r="51" spans="1:7" x14ac:dyDescent="0.25">
      <c r="A51" s="5" t="s">
        <v>7</v>
      </c>
      <c r="B51" s="5" t="s">
        <v>7</v>
      </c>
      <c r="C51" s="5"/>
      <c r="D51" s="5" t="s">
        <v>33</v>
      </c>
      <c r="E51" s="5" t="s">
        <v>9</v>
      </c>
      <c r="F51" s="6">
        <v>42736</v>
      </c>
      <c r="G51">
        <v>0</v>
      </c>
    </row>
    <row r="52" spans="1:7" x14ac:dyDescent="0.25">
      <c r="A52" s="5" t="s">
        <v>7</v>
      </c>
      <c r="B52" s="5" t="s">
        <v>7</v>
      </c>
      <c r="C52" s="5"/>
      <c r="D52" s="5" t="s">
        <v>33</v>
      </c>
      <c r="E52" s="5" t="s">
        <v>34</v>
      </c>
      <c r="F52" s="6">
        <v>42370</v>
      </c>
      <c r="G52">
        <v>0</v>
      </c>
    </row>
    <row r="53" spans="1:7" x14ac:dyDescent="0.25">
      <c r="A53" s="5" t="s">
        <v>7</v>
      </c>
      <c r="B53" s="5" t="s">
        <v>7</v>
      </c>
      <c r="C53" s="5"/>
      <c r="D53" s="5" t="s">
        <v>33</v>
      </c>
      <c r="E53" s="5" t="s">
        <v>34</v>
      </c>
      <c r="F53" s="6">
        <v>42736</v>
      </c>
      <c r="G53">
        <v>0</v>
      </c>
    </row>
    <row r="54" spans="1:7" x14ac:dyDescent="0.25">
      <c r="A54" s="5" t="s">
        <v>7</v>
      </c>
      <c r="B54" s="5" t="s">
        <v>7</v>
      </c>
      <c r="C54" s="5"/>
      <c r="D54" s="5" t="s">
        <v>35</v>
      </c>
      <c r="E54" s="5" t="s">
        <v>36</v>
      </c>
      <c r="F54" s="6">
        <v>42370</v>
      </c>
      <c r="G54">
        <v>0</v>
      </c>
    </row>
    <row r="55" spans="1:7" x14ac:dyDescent="0.25">
      <c r="A55" s="5" t="s">
        <v>7</v>
      </c>
      <c r="B55" s="5" t="s">
        <v>7</v>
      </c>
      <c r="C55" s="5"/>
      <c r="D55" s="5" t="s">
        <v>35</v>
      </c>
      <c r="E55" s="5" t="s">
        <v>36</v>
      </c>
      <c r="F55" s="6">
        <v>42736</v>
      </c>
      <c r="G55">
        <v>0</v>
      </c>
    </row>
    <row r="56" spans="1:7" x14ac:dyDescent="0.25">
      <c r="A56" s="5" t="s">
        <v>7</v>
      </c>
      <c r="B56" s="5" t="s">
        <v>7</v>
      </c>
      <c r="C56" s="5"/>
      <c r="D56" s="5" t="s">
        <v>35</v>
      </c>
      <c r="E56" s="5" t="s">
        <v>37</v>
      </c>
      <c r="F56" s="6">
        <v>42370</v>
      </c>
      <c r="G56">
        <v>0</v>
      </c>
    </row>
    <row r="57" spans="1:7" x14ac:dyDescent="0.25">
      <c r="A57" s="5" t="s">
        <v>7</v>
      </c>
      <c r="B57" s="5" t="s">
        <v>7</v>
      </c>
      <c r="C57" s="5"/>
      <c r="D57" s="5" t="s">
        <v>35</v>
      </c>
      <c r="E57" s="5" t="s">
        <v>37</v>
      </c>
      <c r="F57" s="6">
        <v>42736</v>
      </c>
      <c r="G57">
        <v>0</v>
      </c>
    </row>
    <row r="58" spans="1:7" x14ac:dyDescent="0.25">
      <c r="A58" s="5" t="s">
        <v>7</v>
      </c>
      <c r="B58" s="5" t="s">
        <v>7</v>
      </c>
      <c r="C58" s="5"/>
      <c r="D58" s="5" t="s">
        <v>35</v>
      </c>
      <c r="E58" s="5" t="s">
        <v>38</v>
      </c>
      <c r="F58" s="6">
        <v>42370</v>
      </c>
      <c r="G58">
        <v>0</v>
      </c>
    </row>
    <row r="59" spans="1:7" x14ac:dyDescent="0.25">
      <c r="A59" s="5" t="s">
        <v>7</v>
      </c>
      <c r="B59" s="5" t="s">
        <v>7</v>
      </c>
      <c r="C59" s="5"/>
      <c r="D59" s="5" t="s">
        <v>35</v>
      </c>
      <c r="E59" s="5" t="s">
        <v>38</v>
      </c>
      <c r="F59" s="6">
        <v>42736</v>
      </c>
      <c r="G59">
        <v>0</v>
      </c>
    </row>
    <row r="60" spans="1:7" x14ac:dyDescent="0.25">
      <c r="A60" s="5" t="s">
        <v>7</v>
      </c>
      <c r="B60" s="5" t="s">
        <v>7</v>
      </c>
      <c r="C60" s="5"/>
      <c r="D60" s="5" t="s">
        <v>35</v>
      </c>
      <c r="E60" s="5" t="s">
        <v>39</v>
      </c>
      <c r="F60" s="6">
        <v>42370</v>
      </c>
      <c r="G60">
        <v>0</v>
      </c>
    </row>
    <row r="61" spans="1:7" x14ac:dyDescent="0.25">
      <c r="A61" s="5" t="s">
        <v>7</v>
      </c>
      <c r="B61" s="5" t="s">
        <v>7</v>
      </c>
      <c r="C61" s="5"/>
      <c r="D61" s="5" t="s">
        <v>35</v>
      </c>
      <c r="E61" s="5" t="s">
        <v>39</v>
      </c>
      <c r="F61" s="6">
        <v>42736</v>
      </c>
      <c r="G61">
        <v>0</v>
      </c>
    </row>
    <row r="62" spans="1:7" x14ac:dyDescent="0.25">
      <c r="A62" s="5" t="s">
        <v>7</v>
      </c>
      <c r="B62" s="5" t="s">
        <v>7</v>
      </c>
      <c r="C62" s="5"/>
      <c r="D62" s="5" t="s">
        <v>35</v>
      </c>
      <c r="E62" s="5" t="s">
        <v>40</v>
      </c>
      <c r="F62" s="6">
        <v>42370</v>
      </c>
      <c r="G62">
        <v>0</v>
      </c>
    </row>
    <row r="63" spans="1:7" x14ac:dyDescent="0.25">
      <c r="A63" s="5" t="s">
        <v>7</v>
      </c>
      <c r="B63" s="5" t="s">
        <v>7</v>
      </c>
      <c r="C63" s="5"/>
      <c r="D63" s="5" t="s">
        <v>35</v>
      </c>
      <c r="E63" s="5" t="s">
        <v>40</v>
      </c>
      <c r="F63" s="6">
        <v>42736</v>
      </c>
      <c r="G63">
        <v>0</v>
      </c>
    </row>
    <row r="64" spans="1:7" x14ac:dyDescent="0.25">
      <c r="A64" s="5" t="s">
        <v>7</v>
      </c>
      <c r="B64" s="5" t="s">
        <v>7</v>
      </c>
      <c r="C64" s="5"/>
      <c r="D64" s="5" t="s">
        <v>35</v>
      </c>
      <c r="E64" s="5" t="s">
        <v>41</v>
      </c>
      <c r="F64" s="6">
        <v>42370</v>
      </c>
      <c r="G64">
        <v>0</v>
      </c>
    </row>
    <row r="65" spans="1:7" x14ac:dyDescent="0.25">
      <c r="A65" s="5" t="s">
        <v>7</v>
      </c>
      <c r="B65" s="5" t="s">
        <v>7</v>
      </c>
      <c r="C65" s="5"/>
      <c r="D65" s="5" t="s">
        <v>35</v>
      </c>
      <c r="E65" s="5" t="s">
        <v>41</v>
      </c>
      <c r="F65" s="6">
        <v>42736</v>
      </c>
      <c r="G65">
        <v>0</v>
      </c>
    </row>
    <row r="66" spans="1:7" x14ac:dyDescent="0.25">
      <c r="A66" s="5" t="s">
        <v>7</v>
      </c>
      <c r="B66" s="5" t="s">
        <v>7</v>
      </c>
      <c r="C66" s="5"/>
      <c r="D66" s="5" t="s">
        <v>35</v>
      </c>
      <c r="E66" s="5" t="s">
        <v>42</v>
      </c>
      <c r="F66" s="6">
        <v>42370</v>
      </c>
      <c r="G66">
        <v>0</v>
      </c>
    </row>
    <row r="67" spans="1:7" x14ac:dyDescent="0.25">
      <c r="A67" s="5" t="s">
        <v>7</v>
      </c>
      <c r="B67" s="5" t="s">
        <v>7</v>
      </c>
      <c r="C67" s="5"/>
      <c r="D67" s="5" t="s">
        <v>35</v>
      </c>
      <c r="E67" s="5" t="s">
        <v>42</v>
      </c>
      <c r="F67" s="6">
        <v>42736</v>
      </c>
      <c r="G67">
        <v>0</v>
      </c>
    </row>
    <row r="68" spans="1:7" x14ac:dyDescent="0.25">
      <c r="A68" s="5" t="s">
        <v>7</v>
      </c>
      <c r="B68" s="5" t="s">
        <v>7</v>
      </c>
      <c r="C68" s="5"/>
      <c r="D68" s="5" t="s">
        <v>35</v>
      </c>
      <c r="E68" s="5" t="s">
        <v>43</v>
      </c>
      <c r="F68" s="6">
        <v>42370</v>
      </c>
      <c r="G68">
        <v>0</v>
      </c>
    </row>
    <row r="69" spans="1:7" x14ac:dyDescent="0.25">
      <c r="A69" s="5" t="s">
        <v>7</v>
      </c>
      <c r="B69" s="5" t="s">
        <v>7</v>
      </c>
      <c r="C69" s="5"/>
      <c r="D69" s="5" t="s">
        <v>35</v>
      </c>
      <c r="E69" s="5" t="s">
        <v>43</v>
      </c>
      <c r="F69" s="6">
        <v>42736</v>
      </c>
      <c r="G69">
        <v>0</v>
      </c>
    </row>
    <row r="70" spans="1:7" x14ac:dyDescent="0.25">
      <c r="A70" s="5" t="s">
        <v>7</v>
      </c>
      <c r="B70" s="5" t="s">
        <v>7</v>
      </c>
      <c r="C70" s="5"/>
      <c r="D70" s="5" t="s">
        <v>44</v>
      </c>
      <c r="E70" s="5" t="s">
        <v>36</v>
      </c>
      <c r="F70" s="6">
        <v>42370</v>
      </c>
      <c r="G70">
        <v>0</v>
      </c>
    </row>
    <row r="71" spans="1:7" x14ac:dyDescent="0.25">
      <c r="A71" s="5" t="s">
        <v>7</v>
      </c>
      <c r="B71" s="5" t="s">
        <v>7</v>
      </c>
      <c r="C71" s="5"/>
      <c r="D71" s="5" t="s">
        <v>44</v>
      </c>
      <c r="E71" s="5" t="s">
        <v>36</v>
      </c>
      <c r="F71" s="6">
        <v>42736</v>
      </c>
      <c r="G71">
        <v>0</v>
      </c>
    </row>
    <row r="72" spans="1:7" x14ac:dyDescent="0.25">
      <c r="A72" s="5" t="s">
        <v>7</v>
      </c>
      <c r="B72" s="5" t="s">
        <v>7</v>
      </c>
      <c r="C72" s="5"/>
      <c r="D72" s="5" t="s">
        <v>44</v>
      </c>
      <c r="E72" s="5" t="s">
        <v>37</v>
      </c>
      <c r="F72" s="6">
        <v>42370</v>
      </c>
      <c r="G72">
        <v>0</v>
      </c>
    </row>
    <row r="73" spans="1:7" x14ac:dyDescent="0.25">
      <c r="A73" s="5" t="s">
        <v>7</v>
      </c>
      <c r="B73" s="5" t="s">
        <v>7</v>
      </c>
      <c r="C73" s="5"/>
      <c r="D73" s="5" t="s">
        <v>44</v>
      </c>
      <c r="E73" s="5" t="s">
        <v>37</v>
      </c>
      <c r="F73" s="6">
        <v>42736</v>
      </c>
      <c r="G73">
        <v>0</v>
      </c>
    </row>
    <row r="74" spans="1:7" x14ac:dyDescent="0.25">
      <c r="A74" s="5" t="s">
        <v>7</v>
      </c>
      <c r="B74" s="5" t="s">
        <v>7</v>
      </c>
      <c r="C74" s="5"/>
      <c r="D74" s="5" t="s">
        <v>44</v>
      </c>
      <c r="E74" s="5" t="s">
        <v>38</v>
      </c>
      <c r="F74" s="6">
        <v>42370</v>
      </c>
      <c r="G74">
        <v>0</v>
      </c>
    </row>
    <row r="75" spans="1:7" x14ac:dyDescent="0.25">
      <c r="A75" s="5" t="s">
        <v>7</v>
      </c>
      <c r="B75" s="5" t="s">
        <v>7</v>
      </c>
      <c r="C75" s="5"/>
      <c r="D75" s="5" t="s">
        <v>44</v>
      </c>
      <c r="E75" s="5" t="s">
        <v>38</v>
      </c>
      <c r="F75" s="6">
        <v>42736</v>
      </c>
      <c r="G75">
        <v>0</v>
      </c>
    </row>
    <row r="76" spans="1:7" x14ac:dyDescent="0.25">
      <c r="A76" s="5" t="s">
        <v>7</v>
      </c>
      <c r="B76" s="5" t="s">
        <v>7</v>
      </c>
      <c r="C76" s="5"/>
      <c r="D76" s="5" t="s">
        <v>44</v>
      </c>
      <c r="E76" s="5" t="s">
        <v>39</v>
      </c>
      <c r="F76" s="6">
        <v>42370</v>
      </c>
      <c r="G76">
        <v>0</v>
      </c>
    </row>
    <row r="77" spans="1:7" x14ac:dyDescent="0.25">
      <c r="A77" s="5" t="s">
        <v>7</v>
      </c>
      <c r="B77" s="5" t="s">
        <v>7</v>
      </c>
      <c r="C77" s="5"/>
      <c r="D77" s="5" t="s">
        <v>44</v>
      </c>
      <c r="E77" s="5" t="s">
        <v>39</v>
      </c>
      <c r="F77" s="6">
        <v>42736</v>
      </c>
      <c r="G77">
        <v>0</v>
      </c>
    </row>
    <row r="78" spans="1:7" x14ac:dyDescent="0.25">
      <c r="A78" s="5" t="s">
        <v>7</v>
      </c>
      <c r="B78" s="5" t="s">
        <v>7</v>
      </c>
      <c r="C78" s="5"/>
      <c r="D78" s="5" t="s">
        <v>44</v>
      </c>
      <c r="E78" s="5" t="s">
        <v>40</v>
      </c>
      <c r="F78" s="6">
        <v>42370</v>
      </c>
      <c r="G78">
        <v>0</v>
      </c>
    </row>
    <row r="79" spans="1:7" x14ac:dyDescent="0.25">
      <c r="A79" s="5" t="s">
        <v>7</v>
      </c>
      <c r="B79" s="5" t="s">
        <v>7</v>
      </c>
      <c r="C79" s="5"/>
      <c r="D79" s="5" t="s">
        <v>44</v>
      </c>
      <c r="E79" s="5" t="s">
        <v>40</v>
      </c>
      <c r="F79" s="6">
        <v>42736</v>
      </c>
      <c r="G79">
        <v>0</v>
      </c>
    </row>
    <row r="80" spans="1:7" x14ac:dyDescent="0.25">
      <c r="A80" s="5" t="s">
        <v>7</v>
      </c>
      <c r="B80" s="5" t="s">
        <v>7</v>
      </c>
      <c r="C80" s="5"/>
      <c r="D80" s="5" t="s">
        <v>44</v>
      </c>
      <c r="E80" s="5" t="s">
        <v>41</v>
      </c>
      <c r="F80" s="6">
        <v>42370</v>
      </c>
      <c r="G80">
        <v>0</v>
      </c>
    </row>
    <row r="81" spans="1:7" x14ac:dyDescent="0.25">
      <c r="A81" s="5" t="s">
        <v>7</v>
      </c>
      <c r="B81" s="5" t="s">
        <v>7</v>
      </c>
      <c r="C81" s="5"/>
      <c r="D81" s="5" t="s">
        <v>44</v>
      </c>
      <c r="E81" s="5" t="s">
        <v>41</v>
      </c>
      <c r="F81" s="6">
        <v>42736</v>
      </c>
      <c r="G81">
        <v>0</v>
      </c>
    </row>
    <row r="82" spans="1:7" x14ac:dyDescent="0.25">
      <c r="A82" s="5" t="s">
        <v>7</v>
      </c>
      <c r="B82" s="5" t="s">
        <v>7</v>
      </c>
      <c r="C82" s="5"/>
      <c r="D82" s="5" t="s">
        <v>44</v>
      </c>
      <c r="E82" s="5" t="s">
        <v>42</v>
      </c>
      <c r="F82" s="6">
        <v>42370</v>
      </c>
      <c r="G82">
        <v>0</v>
      </c>
    </row>
    <row r="83" spans="1:7" x14ac:dyDescent="0.25">
      <c r="A83" s="5" t="s">
        <v>7</v>
      </c>
      <c r="B83" s="5" t="s">
        <v>7</v>
      </c>
      <c r="C83" s="5"/>
      <c r="D83" s="5" t="s">
        <v>44</v>
      </c>
      <c r="E83" s="5" t="s">
        <v>42</v>
      </c>
      <c r="F83" s="6">
        <v>42736</v>
      </c>
      <c r="G83">
        <v>0</v>
      </c>
    </row>
    <row r="84" spans="1:7" x14ac:dyDescent="0.25">
      <c r="A84" s="5" t="s">
        <v>7</v>
      </c>
      <c r="B84" s="5" t="s">
        <v>7</v>
      </c>
      <c r="C84" s="5"/>
      <c r="D84" s="5" t="s">
        <v>44</v>
      </c>
      <c r="E84" s="5" t="s">
        <v>43</v>
      </c>
      <c r="F84" s="6">
        <v>42370</v>
      </c>
      <c r="G84">
        <v>0</v>
      </c>
    </row>
    <row r="85" spans="1:7" x14ac:dyDescent="0.25">
      <c r="A85" s="5" t="s">
        <v>7</v>
      </c>
      <c r="B85" s="5" t="s">
        <v>7</v>
      </c>
      <c r="C85" s="5"/>
      <c r="D85" s="5" t="s">
        <v>44</v>
      </c>
      <c r="E85" s="5" t="s">
        <v>43</v>
      </c>
      <c r="F85" s="6">
        <v>42736</v>
      </c>
      <c r="G85">
        <v>0</v>
      </c>
    </row>
    <row r="86" spans="1:7" x14ac:dyDescent="0.25">
      <c r="A86" s="5" t="s">
        <v>7</v>
      </c>
      <c r="B86" s="5" t="s">
        <v>7</v>
      </c>
      <c r="C86" s="5"/>
      <c r="D86" s="5" t="s">
        <v>45</v>
      </c>
      <c r="E86" s="5" t="s">
        <v>46</v>
      </c>
      <c r="F86" s="6">
        <v>42370</v>
      </c>
      <c r="G86">
        <v>0</v>
      </c>
    </row>
    <row r="87" spans="1:7" x14ac:dyDescent="0.25">
      <c r="A87" s="5" t="s">
        <v>7</v>
      </c>
      <c r="B87" s="5" t="s">
        <v>7</v>
      </c>
      <c r="C87" s="5"/>
      <c r="D87" s="5" t="s">
        <v>45</v>
      </c>
      <c r="E87" s="5" t="s">
        <v>46</v>
      </c>
      <c r="F87" s="6">
        <v>42736</v>
      </c>
      <c r="G87">
        <v>0</v>
      </c>
    </row>
    <row r="88" spans="1:7" x14ac:dyDescent="0.25">
      <c r="A88" s="5" t="s">
        <v>7</v>
      </c>
      <c r="B88" s="5" t="s">
        <v>7</v>
      </c>
      <c r="C88" s="5"/>
      <c r="D88" s="5" t="s">
        <v>45</v>
      </c>
      <c r="E88" s="5" t="s">
        <v>47</v>
      </c>
      <c r="F88" s="6">
        <v>42370</v>
      </c>
      <c r="G88">
        <v>42</v>
      </c>
    </row>
    <row r="89" spans="1:7" x14ac:dyDescent="0.25">
      <c r="A89" s="5" t="s">
        <v>7</v>
      </c>
      <c r="B89" s="5" t="s">
        <v>7</v>
      </c>
      <c r="C89" s="5"/>
      <c r="D89" s="5" t="s">
        <v>45</v>
      </c>
      <c r="E89" s="5" t="s">
        <v>47</v>
      </c>
      <c r="F89" s="6">
        <v>42736</v>
      </c>
      <c r="G89">
        <v>0</v>
      </c>
    </row>
    <row r="90" spans="1:7" x14ac:dyDescent="0.25">
      <c r="A90" s="5" t="s">
        <v>7</v>
      </c>
      <c r="B90" s="5" t="s">
        <v>7</v>
      </c>
      <c r="C90" s="5"/>
      <c r="D90" s="5" t="s">
        <v>45</v>
      </c>
      <c r="E90" s="5" t="s">
        <v>48</v>
      </c>
      <c r="F90" s="6">
        <v>42370</v>
      </c>
      <c r="G90">
        <v>954</v>
      </c>
    </row>
    <row r="91" spans="1:7" x14ac:dyDescent="0.25">
      <c r="A91" s="5" t="s">
        <v>7</v>
      </c>
      <c r="B91" s="5" t="s">
        <v>7</v>
      </c>
      <c r="C91" s="5"/>
      <c r="D91" s="5" t="s">
        <v>45</v>
      </c>
      <c r="E91" s="5" t="s">
        <v>48</v>
      </c>
      <c r="F91" s="6">
        <v>42736</v>
      </c>
      <c r="G91">
        <v>1425</v>
      </c>
    </row>
    <row r="92" spans="1:7" x14ac:dyDescent="0.25">
      <c r="A92" s="5" t="s">
        <v>7</v>
      </c>
      <c r="B92" s="5" t="s">
        <v>7</v>
      </c>
      <c r="C92" s="5"/>
      <c r="D92" s="5" t="s">
        <v>45</v>
      </c>
      <c r="E92" s="5" t="s">
        <v>49</v>
      </c>
      <c r="F92" s="6">
        <v>42370</v>
      </c>
      <c r="G92">
        <v>0</v>
      </c>
    </row>
    <row r="93" spans="1:7" x14ac:dyDescent="0.25">
      <c r="A93" s="5" t="s">
        <v>7</v>
      </c>
      <c r="B93" s="5" t="s">
        <v>7</v>
      </c>
      <c r="C93" s="5"/>
      <c r="D93" s="5" t="s">
        <v>45</v>
      </c>
      <c r="E93" s="5" t="s">
        <v>49</v>
      </c>
      <c r="F93" s="6">
        <v>42736</v>
      </c>
      <c r="G93">
        <v>0</v>
      </c>
    </row>
    <row r="94" spans="1:7" x14ac:dyDescent="0.25">
      <c r="A94" s="5" t="s">
        <v>7</v>
      </c>
      <c r="B94" s="5" t="s">
        <v>7</v>
      </c>
      <c r="C94" s="5"/>
      <c r="D94" s="5" t="s">
        <v>45</v>
      </c>
      <c r="E94" s="5" t="s">
        <v>50</v>
      </c>
      <c r="F94" s="6">
        <v>42370</v>
      </c>
      <c r="G94">
        <v>0</v>
      </c>
    </row>
    <row r="95" spans="1:7" x14ac:dyDescent="0.25">
      <c r="A95" s="5" t="s">
        <v>7</v>
      </c>
      <c r="B95" s="5" t="s">
        <v>7</v>
      </c>
      <c r="C95" s="5"/>
      <c r="D95" s="5" t="s">
        <v>45</v>
      </c>
      <c r="E95" s="5" t="s">
        <v>50</v>
      </c>
      <c r="F95" s="6">
        <v>42736</v>
      </c>
      <c r="G95">
        <v>0</v>
      </c>
    </row>
    <row r="96" spans="1:7" x14ac:dyDescent="0.25">
      <c r="A96" s="5" t="s">
        <v>7</v>
      </c>
      <c r="B96" s="5" t="s">
        <v>7</v>
      </c>
      <c r="C96" s="5"/>
      <c r="D96" s="5" t="s">
        <v>45</v>
      </c>
      <c r="E96" s="5" t="s">
        <v>51</v>
      </c>
      <c r="F96" s="6">
        <v>42370</v>
      </c>
      <c r="G96">
        <v>0</v>
      </c>
    </row>
    <row r="97" spans="1:7" x14ac:dyDescent="0.25">
      <c r="A97" s="5" t="s">
        <v>7</v>
      </c>
      <c r="B97" s="5" t="s">
        <v>7</v>
      </c>
      <c r="C97" s="5"/>
      <c r="D97" s="5" t="s">
        <v>45</v>
      </c>
      <c r="E97" s="5" t="s">
        <v>51</v>
      </c>
      <c r="F97" s="6">
        <v>42736</v>
      </c>
      <c r="G97">
        <v>0</v>
      </c>
    </row>
    <row r="98" spans="1:7" x14ac:dyDescent="0.25">
      <c r="A98" s="5" t="s">
        <v>7</v>
      </c>
      <c r="B98" s="5" t="s">
        <v>7</v>
      </c>
      <c r="C98" s="5"/>
      <c r="D98" s="5" t="s">
        <v>45</v>
      </c>
      <c r="E98" s="5" t="s">
        <v>52</v>
      </c>
      <c r="F98" s="6">
        <v>42370</v>
      </c>
      <c r="G98">
        <v>0</v>
      </c>
    </row>
    <row r="99" spans="1:7" x14ac:dyDescent="0.25">
      <c r="A99" s="5" t="s">
        <v>7</v>
      </c>
      <c r="B99" s="5" t="s">
        <v>7</v>
      </c>
      <c r="C99" s="5"/>
      <c r="D99" s="5" t="s">
        <v>45</v>
      </c>
      <c r="E99" s="5" t="s">
        <v>52</v>
      </c>
      <c r="F99" s="6">
        <v>42736</v>
      </c>
      <c r="G99">
        <v>0</v>
      </c>
    </row>
    <row r="100" spans="1:7" x14ac:dyDescent="0.25">
      <c r="A100" s="5" t="s">
        <v>7</v>
      </c>
      <c r="B100" s="5" t="s">
        <v>7</v>
      </c>
      <c r="C100" s="5"/>
      <c r="D100" s="5" t="s">
        <v>45</v>
      </c>
      <c r="E100" s="5" t="s">
        <v>53</v>
      </c>
      <c r="F100" s="6">
        <v>42370</v>
      </c>
      <c r="G100">
        <v>2220</v>
      </c>
    </row>
    <row r="101" spans="1:7" x14ac:dyDescent="0.25">
      <c r="A101" s="5" t="s">
        <v>7</v>
      </c>
      <c r="B101" s="5" t="s">
        <v>7</v>
      </c>
      <c r="C101" s="5"/>
      <c r="D101" s="5" t="s">
        <v>45</v>
      </c>
      <c r="E101" s="5" t="s">
        <v>53</v>
      </c>
      <c r="F101" s="6">
        <v>42736</v>
      </c>
      <c r="G101">
        <v>6738</v>
      </c>
    </row>
    <row r="102" spans="1:7" x14ac:dyDescent="0.25">
      <c r="A102" s="5" t="s">
        <v>7</v>
      </c>
      <c r="B102" s="5" t="s">
        <v>7</v>
      </c>
      <c r="C102" s="5"/>
      <c r="D102" s="5" t="s">
        <v>45</v>
      </c>
      <c r="E102" s="5" t="s">
        <v>54</v>
      </c>
      <c r="F102" s="6">
        <v>42370</v>
      </c>
      <c r="G102">
        <v>0</v>
      </c>
    </row>
    <row r="103" spans="1:7" x14ac:dyDescent="0.25">
      <c r="A103" s="5" t="s">
        <v>7</v>
      </c>
      <c r="B103" s="5" t="s">
        <v>7</v>
      </c>
      <c r="C103" s="5"/>
      <c r="D103" s="5" t="s">
        <v>45</v>
      </c>
      <c r="E103" s="5" t="s">
        <v>54</v>
      </c>
      <c r="F103" s="6">
        <v>42736</v>
      </c>
      <c r="G103">
        <v>0</v>
      </c>
    </row>
    <row r="104" spans="1:7" x14ac:dyDescent="0.25">
      <c r="A104" s="5" t="s">
        <v>7</v>
      </c>
      <c r="B104" s="5" t="s">
        <v>7</v>
      </c>
      <c r="C104" s="5"/>
      <c r="D104" s="5" t="s">
        <v>45</v>
      </c>
      <c r="E104" s="5" t="s">
        <v>55</v>
      </c>
      <c r="F104" s="6">
        <v>42370</v>
      </c>
      <c r="G104">
        <v>0</v>
      </c>
    </row>
    <row r="105" spans="1:7" x14ac:dyDescent="0.25">
      <c r="A105" s="5" t="s">
        <v>7</v>
      </c>
      <c r="B105" s="5" t="s">
        <v>7</v>
      </c>
      <c r="C105" s="5"/>
      <c r="D105" s="5" t="s">
        <v>45</v>
      </c>
      <c r="E105" s="5" t="s">
        <v>55</v>
      </c>
      <c r="F105" s="6">
        <v>42736</v>
      </c>
      <c r="G105">
        <v>0</v>
      </c>
    </row>
    <row r="106" spans="1:7" x14ac:dyDescent="0.25">
      <c r="A106" s="5" t="s">
        <v>7</v>
      </c>
      <c r="B106" s="5" t="s">
        <v>7</v>
      </c>
      <c r="C106" s="5"/>
      <c r="D106" s="5" t="s">
        <v>45</v>
      </c>
      <c r="E106" s="5" t="s">
        <v>56</v>
      </c>
      <c r="F106" s="6">
        <v>42370</v>
      </c>
      <c r="G106">
        <v>0</v>
      </c>
    </row>
    <row r="107" spans="1:7" x14ac:dyDescent="0.25">
      <c r="A107" s="5" t="s">
        <v>7</v>
      </c>
      <c r="B107" s="5" t="s">
        <v>7</v>
      </c>
      <c r="C107" s="5"/>
      <c r="D107" s="5" t="s">
        <v>45</v>
      </c>
      <c r="E107" s="5" t="s">
        <v>56</v>
      </c>
      <c r="F107" s="6">
        <v>42736</v>
      </c>
      <c r="G107">
        <v>0</v>
      </c>
    </row>
    <row r="108" spans="1:7" x14ac:dyDescent="0.25">
      <c r="A108" s="5" t="s">
        <v>7</v>
      </c>
      <c r="B108" s="5" t="s">
        <v>7</v>
      </c>
      <c r="C108" s="5"/>
      <c r="D108" s="5" t="s">
        <v>45</v>
      </c>
      <c r="E108" s="5" t="s">
        <v>57</v>
      </c>
      <c r="F108" s="6">
        <v>42370</v>
      </c>
      <c r="G108">
        <v>15</v>
      </c>
    </row>
    <row r="109" spans="1:7" x14ac:dyDescent="0.25">
      <c r="A109" s="5" t="s">
        <v>7</v>
      </c>
      <c r="B109" s="5" t="s">
        <v>7</v>
      </c>
      <c r="C109" s="5"/>
      <c r="D109" s="5" t="s">
        <v>45</v>
      </c>
      <c r="E109" s="5" t="s">
        <v>57</v>
      </c>
      <c r="F109" s="6">
        <v>42736</v>
      </c>
      <c r="G109">
        <v>0</v>
      </c>
    </row>
    <row r="110" spans="1:7" x14ac:dyDescent="0.25">
      <c r="A110" s="5" t="s">
        <v>7</v>
      </c>
      <c r="B110" s="5" t="s">
        <v>7</v>
      </c>
      <c r="C110" s="5"/>
      <c r="D110" s="5" t="s">
        <v>45</v>
      </c>
      <c r="E110" s="5" t="s">
        <v>58</v>
      </c>
      <c r="F110" s="6">
        <v>42370</v>
      </c>
      <c r="G110">
        <v>0</v>
      </c>
    </row>
    <row r="111" spans="1:7" x14ac:dyDescent="0.25">
      <c r="A111" s="5" t="s">
        <v>7</v>
      </c>
      <c r="B111" s="5" t="s">
        <v>7</v>
      </c>
      <c r="C111" s="5"/>
      <c r="D111" s="5" t="s">
        <v>45</v>
      </c>
      <c r="E111" s="5" t="s">
        <v>58</v>
      </c>
      <c r="F111" s="6">
        <v>42736</v>
      </c>
      <c r="G111">
        <v>0</v>
      </c>
    </row>
    <row r="112" spans="1:7" x14ac:dyDescent="0.25">
      <c r="A112" s="5" t="s">
        <v>7</v>
      </c>
      <c r="B112" s="5" t="s">
        <v>7</v>
      </c>
      <c r="C112" s="5"/>
      <c r="D112" s="5" t="s">
        <v>45</v>
      </c>
      <c r="E112" s="5" t="s">
        <v>59</v>
      </c>
      <c r="F112" s="6">
        <v>42370</v>
      </c>
      <c r="G112">
        <v>0</v>
      </c>
    </row>
    <row r="113" spans="1:7" x14ac:dyDescent="0.25">
      <c r="A113" s="5" t="s">
        <v>7</v>
      </c>
      <c r="B113" s="5" t="s">
        <v>7</v>
      </c>
      <c r="C113" s="5"/>
      <c r="D113" s="5" t="s">
        <v>45</v>
      </c>
      <c r="E113" s="5" t="s">
        <v>59</v>
      </c>
      <c r="F113" s="6">
        <v>42736</v>
      </c>
      <c r="G113">
        <v>0</v>
      </c>
    </row>
    <row r="114" spans="1:7" x14ac:dyDescent="0.25">
      <c r="A114" s="5" t="s">
        <v>7</v>
      </c>
      <c r="B114" s="5" t="s">
        <v>7</v>
      </c>
      <c r="C114" s="5"/>
      <c r="D114" s="5" t="s">
        <v>45</v>
      </c>
      <c r="E114" s="5" t="s">
        <v>60</v>
      </c>
      <c r="F114" s="6">
        <v>42370</v>
      </c>
      <c r="G114">
        <v>90885</v>
      </c>
    </row>
    <row r="115" spans="1:7" x14ac:dyDescent="0.25">
      <c r="A115" s="5" t="s">
        <v>7</v>
      </c>
      <c r="B115" s="5" t="s">
        <v>7</v>
      </c>
      <c r="C115" s="5"/>
      <c r="D115" s="5" t="s">
        <v>45</v>
      </c>
      <c r="E115" s="5" t="s">
        <v>60</v>
      </c>
      <c r="F115" s="6">
        <v>42736</v>
      </c>
      <c r="G115">
        <v>121536</v>
      </c>
    </row>
    <row r="116" spans="1:7" x14ac:dyDescent="0.25">
      <c r="A116" s="5" t="s">
        <v>7</v>
      </c>
      <c r="B116" s="5" t="s">
        <v>7</v>
      </c>
      <c r="C116" s="5"/>
      <c r="D116" s="5" t="s">
        <v>45</v>
      </c>
      <c r="E116" s="5" t="s">
        <v>61</v>
      </c>
      <c r="F116" s="6">
        <v>42370</v>
      </c>
      <c r="G116">
        <v>0</v>
      </c>
    </row>
    <row r="117" spans="1:7" x14ac:dyDescent="0.25">
      <c r="A117" s="5" t="s">
        <v>7</v>
      </c>
      <c r="B117" s="5" t="s">
        <v>7</v>
      </c>
      <c r="C117" s="5"/>
      <c r="D117" s="5" t="s">
        <v>45</v>
      </c>
      <c r="E117" s="5" t="s">
        <v>61</v>
      </c>
      <c r="F117" s="6">
        <v>42736</v>
      </c>
      <c r="G117">
        <v>0</v>
      </c>
    </row>
    <row r="118" spans="1:7" x14ac:dyDescent="0.25">
      <c r="A118" s="5" t="s">
        <v>7</v>
      </c>
      <c r="B118" s="5" t="s">
        <v>7</v>
      </c>
      <c r="C118" s="5"/>
      <c r="D118" s="5" t="s">
        <v>62</v>
      </c>
      <c r="E118" s="5" t="s">
        <v>63</v>
      </c>
      <c r="F118" s="6">
        <v>42370</v>
      </c>
      <c r="G118">
        <v>0</v>
      </c>
    </row>
    <row r="119" spans="1:7" x14ac:dyDescent="0.25">
      <c r="A119" s="5" t="s">
        <v>7</v>
      </c>
      <c r="B119" s="5" t="s">
        <v>7</v>
      </c>
      <c r="C119" s="5"/>
      <c r="D119" s="5" t="s">
        <v>62</v>
      </c>
      <c r="E119" s="5" t="s">
        <v>63</v>
      </c>
      <c r="F119" s="6">
        <v>42736</v>
      </c>
      <c r="G119">
        <v>0</v>
      </c>
    </row>
    <row r="120" spans="1:7" x14ac:dyDescent="0.25">
      <c r="A120" s="5" t="s">
        <v>7</v>
      </c>
      <c r="B120" s="5" t="s">
        <v>7</v>
      </c>
      <c r="C120" s="5"/>
      <c r="D120" s="5" t="s">
        <v>62</v>
      </c>
      <c r="E120" s="5" t="s">
        <v>64</v>
      </c>
      <c r="F120" s="6">
        <v>42370</v>
      </c>
      <c r="G120">
        <v>0</v>
      </c>
    </row>
    <row r="121" spans="1:7" x14ac:dyDescent="0.25">
      <c r="A121" s="5" t="s">
        <v>7</v>
      </c>
      <c r="B121" s="5" t="s">
        <v>7</v>
      </c>
      <c r="C121" s="5"/>
      <c r="D121" s="5" t="s">
        <v>62</v>
      </c>
      <c r="E121" s="5" t="s">
        <v>64</v>
      </c>
      <c r="F121" s="6">
        <v>42736</v>
      </c>
      <c r="G121">
        <v>0</v>
      </c>
    </row>
    <row r="122" spans="1:7" x14ac:dyDescent="0.25">
      <c r="A122" s="5" t="s">
        <v>7</v>
      </c>
      <c r="B122" s="5" t="s">
        <v>7</v>
      </c>
      <c r="C122" s="5"/>
      <c r="D122" s="5" t="s">
        <v>62</v>
      </c>
      <c r="E122" s="5" t="s">
        <v>9</v>
      </c>
      <c r="F122" s="6">
        <v>42370</v>
      </c>
      <c r="G122">
        <v>0</v>
      </c>
    </row>
    <row r="123" spans="1:7" x14ac:dyDescent="0.25">
      <c r="A123" s="5" t="s">
        <v>7</v>
      </c>
      <c r="B123" s="5" t="s">
        <v>7</v>
      </c>
      <c r="C123" s="5"/>
      <c r="D123" s="5" t="s">
        <v>62</v>
      </c>
      <c r="E123" s="5" t="s">
        <v>9</v>
      </c>
      <c r="F123" s="6">
        <v>42736</v>
      </c>
      <c r="G123">
        <v>0</v>
      </c>
    </row>
    <row r="124" spans="1:7" x14ac:dyDescent="0.25">
      <c r="A124" s="5" t="s">
        <v>7</v>
      </c>
      <c r="B124" s="5" t="s">
        <v>7</v>
      </c>
      <c r="C124" s="5"/>
      <c r="D124" s="5" t="s">
        <v>62</v>
      </c>
      <c r="E124" s="5" t="s">
        <v>65</v>
      </c>
      <c r="F124" s="6">
        <v>42370</v>
      </c>
      <c r="G124">
        <v>0</v>
      </c>
    </row>
    <row r="125" spans="1:7" x14ac:dyDescent="0.25">
      <c r="A125" s="5" t="s">
        <v>7</v>
      </c>
      <c r="B125" s="5" t="s">
        <v>7</v>
      </c>
      <c r="C125" s="5"/>
      <c r="D125" s="5" t="s">
        <v>62</v>
      </c>
      <c r="E125" s="5" t="s">
        <v>65</v>
      </c>
      <c r="F125" s="6">
        <v>42736</v>
      </c>
      <c r="G125">
        <v>0</v>
      </c>
    </row>
    <row r="126" spans="1:7" x14ac:dyDescent="0.25">
      <c r="A126" s="5" t="s">
        <v>7</v>
      </c>
      <c r="B126" s="5" t="s">
        <v>7</v>
      </c>
      <c r="C126" s="5"/>
      <c r="D126" s="5" t="s">
        <v>62</v>
      </c>
      <c r="E126" s="5" t="s">
        <v>66</v>
      </c>
      <c r="F126" s="6">
        <v>42370</v>
      </c>
      <c r="G126">
        <v>0</v>
      </c>
    </row>
    <row r="127" spans="1:7" x14ac:dyDescent="0.25">
      <c r="A127" s="5" t="s">
        <v>7</v>
      </c>
      <c r="B127" s="5" t="s">
        <v>7</v>
      </c>
      <c r="C127" s="5"/>
      <c r="D127" s="5" t="s">
        <v>62</v>
      </c>
      <c r="E127" s="5" t="s">
        <v>66</v>
      </c>
      <c r="F127" s="6">
        <v>42736</v>
      </c>
      <c r="G127">
        <v>0</v>
      </c>
    </row>
    <row r="128" spans="1:7" x14ac:dyDescent="0.25">
      <c r="A128" s="5" t="s">
        <v>7</v>
      </c>
      <c r="B128" s="5" t="s">
        <v>7</v>
      </c>
      <c r="C128" s="5"/>
      <c r="D128" s="5" t="s">
        <v>62</v>
      </c>
      <c r="E128" s="5" t="s">
        <v>67</v>
      </c>
      <c r="F128" s="6">
        <v>42370</v>
      </c>
      <c r="G128">
        <v>0</v>
      </c>
    </row>
    <row r="129" spans="1:7" x14ac:dyDescent="0.25">
      <c r="A129" s="5" t="s">
        <v>7</v>
      </c>
      <c r="B129" s="5" t="s">
        <v>7</v>
      </c>
      <c r="C129" s="5"/>
      <c r="D129" s="5" t="s">
        <v>62</v>
      </c>
      <c r="E129" s="5" t="s">
        <v>67</v>
      </c>
      <c r="F129" s="6">
        <v>42736</v>
      </c>
      <c r="G129">
        <v>0</v>
      </c>
    </row>
    <row r="130" spans="1:7" x14ac:dyDescent="0.25">
      <c r="A130" s="5" t="s">
        <v>7</v>
      </c>
      <c r="B130" s="5" t="s">
        <v>7</v>
      </c>
      <c r="C130" s="5"/>
      <c r="D130" s="5" t="s">
        <v>62</v>
      </c>
      <c r="E130" s="5" t="s">
        <v>68</v>
      </c>
      <c r="F130" s="6">
        <v>42370</v>
      </c>
      <c r="G130">
        <v>0</v>
      </c>
    </row>
    <row r="131" spans="1:7" x14ac:dyDescent="0.25">
      <c r="A131" s="5" t="s">
        <v>7</v>
      </c>
      <c r="B131" s="5" t="s">
        <v>7</v>
      </c>
      <c r="C131" s="5"/>
      <c r="D131" s="5" t="s">
        <v>62</v>
      </c>
      <c r="E131" s="5" t="s">
        <v>68</v>
      </c>
      <c r="F131" s="6">
        <v>42736</v>
      </c>
      <c r="G131">
        <v>0</v>
      </c>
    </row>
    <row r="132" spans="1:7" x14ac:dyDescent="0.25">
      <c r="A132" s="5" t="s">
        <v>7</v>
      </c>
      <c r="B132" s="5" t="s">
        <v>7</v>
      </c>
      <c r="C132" s="5"/>
      <c r="D132" s="5" t="s">
        <v>62</v>
      </c>
      <c r="E132" s="5" t="s">
        <v>69</v>
      </c>
      <c r="F132" s="6">
        <v>42370</v>
      </c>
      <c r="G132">
        <v>0</v>
      </c>
    </row>
    <row r="133" spans="1:7" x14ac:dyDescent="0.25">
      <c r="A133" s="5" t="s">
        <v>7</v>
      </c>
      <c r="B133" s="5" t="s">
        <v>7</v>
      </c>
      <c r="C133" s="5"/>
      <c r="D133" s="5" t="s">
        <v>62</v>
      </c>
      <c r="E133" s="5" t="s">
        <v>69</v>
      </c>
      <c r="F133" s="6">
        <v>42736</v>
      </c>
      <c r="G133">
        <v>0</v>
      </c>
    </row>
    <row r="134" spans="1:7" x14ac:dyDescent="0.25">
      <c r="A134" s="5" t="s">
        <v>7</v>
      </c>
      <c r="B134" s="5" t="s">
        <v>7</v>
      </c>
      <c r="C134" s="5"/>
      <c r="D134" s="5" t="s">
        <v>62</v>
      </c>
      <c r="E134" s="5" t="s">
        <v>70</v>
      </c>
      <c r="F134" s="6">
        <v>42370</v>
      </c>
      <c r="G134">
        <v>0</v>
      </c>
    </row>
    <row r="135" spans="1:7" x14ac:dyDescent="0.25">
      <c r="A135" s="5" t="s">
        <v>7</v>
      </c>
      <c r="B135" s="5" t="s">
        <v>7</v>
      </c>
      <c r="C135" s="5"/>
      <c r="D135" s="5" t="s">
        <v>62</v>
      </c>
      <c r="E135" s="5" t="s">
        <v>70</v>
      </c>
      <c r="F135" s="6">
        <v>42736</v>
      </c>
      <c r="G135">
        <v>0</v>
      </c>
    </row>
    <row r="136" spans="1:7" x14ac:dyDescent="0.25">
      <c r="A136" s="5" t="s">
        <v>7</v>
      </c>
      <c r="B136" s="5" t="s">
        <v>7</v>
      </c>
      <c r="C136" s="5"/>
      <c r="D136" s="5" t="s">
        <v>62</v>
      </c>
      <c r="E136" s="5" t="s">
        <v>71</v>
      </c>
      <c r="F136" s="6">
        <v>42370</v>
      </c>
      <c r="G136">
        <v>0</v>
      </c>
    </row>
    <row r="137" spans="1:7" x14ac:dyDescent="0.25">
      <c r="A137" s="5" t="s">
        <v>7</v>
      </c>
      <c r="B137" s="5" t="s">
        <v>7</v>
      </c>
      <c r="C137" s="5"/>
      <c r="D137" s="5" t="s">
        <v>62</v>
      </c>
      <c r="E137" s="5" t="s">
        <v>71</v>
      </c>
      <c r="F137" s="6">
        <v>42736</v>
      </c>
      <c r="G137">
        <v>0</v>
      </c>
    </row>
    <row r="138" spans="1:7" x14ac:dyDescent="0.25">
      <c r="A138" s="5" t="s">
        <v>7</v>
      </c>
      <c r="B138" s="5" t="s">
        <v>7</v>
      </c>
      <c r="C138" s="5"/>
      <c r="D138" s="5" t="s">
        <v>72</v>
      </c>
      <c r="E138" s="5" t="s">
        <v>73</v>
      </c>
      <c r="F138" s="6">
        <v>42370</v>
      </c>
      <c r="G138">
        <v>0</v>
      </c>
    </row>
    <row r="139" spans="1:7" x14ac:dyDescent="0.25">
      <c r="A139" s="5" t="s">
        <v>7</v>
      </c>
      <c r="B139" s="5" t="s">
        <v>7</v>
      </c>
      <c r="C139" s="5"/>
      <c r="D139" s="5" t="s">
        <v>72</v>
      </c>
      <c r="E139" s="5" t="s">
        <v>73</v>
      </c>
      <c r="F139" s="6">
        <v>42736</v>
      </c>
      <c r="G139">
        <v>0</v>
      </c>
    </row>
    <row r="140" spans="1:7" x14ac:dyDescent="0.25">
      <c r="A140" s="5" t="s">
        <v>7</v>
      </c>
      <c r="B140" s="5" t="s">
        <v>7</v>
      </c>
      <c r="C140" s="5"/>
      <c r="D140" s="5" t="s">
        <v>72</v>
      </c>
      <c r="E140" s="5" t="s">
        <v>9</v>
      </c>
      <c r="F140" s="6">
        <v>42370</v>
      </c>
      <c r="G140">
        <v>0</v>
      </c>
    </row>
    <row r="141" spans="1:7" x14ac:dyDescent="0.25">
      <c r="A141" s="5" t="s">
        <v>7</v>
      </c>
      <c r="B141" s="5" t="s">
        <v>7</v>
      </c>
      <c r="C141" s="5"/>
      <c r="D141" s="5" t="s">
        <v>72</v>
      </c>
      <c r="E141" s="5" t="s">
        <v>9</v>
      </c>
      <c r="F141" s="6">
        <v>42736</v>
      </c>
      <c r="G141">
        <v>0</v>
      </c>
    </row>
    <row r="142" spans="1:7" x14ac:dyDescent="0.25">
      <c r="A142" s="5" t="s">
        <v>7</v>
      </c>
      <c r="B142" s="5" t="s">
        <v>7</v>
      </c>
      <c r="C142" s="5"/>
      <c r="D142" s="5" t="s">
        <v>72</v>
      </c>
      <c r="E142" s="5" t="s">
        <v>34</v>
      </c>
      <c r="F142" s="6">
        <v>42370</v>
      </c>
      <c r="G142">
        <v>0</v>
      </c>
    </row>
    <row r="143" spans="1:7" x14ac:dyDescent="0.25">
      <c r="A143" s="5" t="s">
        <v>7</v>
      </c>
      <c r="B143" s="5" t="s">
        <v>7</v>
      </c>
      <c r="C143" s="5"/>
      <c r="D143" s="5" t="s">
        <v>72</v>
      </c>
      <c r="E143" s="5" t="s">
        <v>34</v>
      </c>
      <c r="F143" s="6">
        <v>42736</v>
      </c>
      <c r="G143">
        <v>0</v>
      </c>
    </row>
    <row r="144" spans="1:7" x14ac:dyDescent="0.25">
      <c r="A144" s="5" t="s">
        <v>7</v>
      </c>
      <c r="B144" s="5" t="s">
        <v>7</v>
      </c>
      <c r="C144" s="5"/>
      <c r="D144" s="5" t="s">
        <v>72</v>
      </c>
      <c r="E144" s="5" t="s">
        <v>74</v>
      </c>
      <c r="F144" s="6">
        <v>42370</v>
      </c>
      <c r="G144">
        <v>0</v>
      </c>
    </row>
    <row r="145" spans="1:7" x14ac:dyDescent="0.25">
      <c r="A145" s="5" t="s">
        <v>7</v>
      </c>
      <c r="B145" s="5" t="s">
        <v>7</v>
      </c>
      <c r="C145" s="5"/>
      <c r="D145" s="5" t="s">
        <v>72</v>
      </c>
      <c r="E145" s="5" t="s">
        <v>74</v>
      </c>
      <c r="F145" s="6">
        <v>42736</v>
      </c>
      <c r="G145">
        <v>0</v>
      </c>
    </row>
    <row r="146" spans="1:7" x14ac:dyDescent="0.25">
      <c r="A146" s="5" t="s">
        <v>7</v>
      </c>
      <c r="B146" s="5" t="s">
        <v>7</v>
      </c>
      <c r="C146" s="5"/>
      <c r="D146" s="5" t="s">
        <v>72</v>
      </c>
      <c r="E146" s="5" t="s">
        <v>75</v>
      </c>
      <c r="F146" s="6">
        <v>42370</v>
      </c>
      <c r="G146">
        <v>0</v>
      </c>
    </row>
    <row r="147" spans="1:7" x14ac:dyDescent="0.25">
      <c r="A147" s="5" t="s">
        <v>7</v>
      </c>
      <c r="B147" s="5" t="s">
        <v>7</v>
      </c>
      <c r="C147" s="5"/>
      <c r="D147" s="5" t="s">
        <v>72</v>
      </c>
      <c r="E147" s="5" t="s">
        <v>75</v>
      </c>
      <c r="F147" s="6">
        <v>42736</v>
      </c>
      <c r="G147">
        <v>0</v>
      </c>
    </row>
    <row r="148" spans="1:7" x14ac:dyDescent="0.25">
      <c r="A148" s="5" t="s">
        <v>7</v>
      </c>
      <c r="B148" s="5" t="s">
        <v>7</v>
      </c>
      <c r="C148" s="5"/>
      <c r="D148" s="5" t="s">
        <v>76</v>
      </c>
      <c r="E148" s="5" t="s">
        <v>9</v>
      </c>
      <c r="F148" s="6">
        <v>42370</v>
      </c>
      <c r="G148">
        <v>0</v>
      </c>
    </row>
    <row r="149" spans="1:7" x14ac:dyDescent="0.25">
      <c r="A149" s="5" t="s">
        <v>7</v>
      </c>
      <c r="B149" s="5" t="s">
        <v>7</v>
      </c>
      <c r="C149" s="5"/>
      <c r="D149" s="5" t="s">
        <v>76</v>
      </c>
      <c r="E149" s="5" t="s">
        <v>9</v>
      </c>
      <c r="F149" s="6">
        <v>42736</v>
      </c>
      <c r="G149">
        <v>0</v>
      </c>
    </row>
    <row r="150" spans="1:7" x14ac:dyDescent="0.25">
      <c r="A150" s="5" t="s">
        <v>7</v>
      </c>
      <c r="B150" s="5" t="s">
        <v>7</v>
      </c>
      <c r="C150" s="5"/>
      <c r="D150" s="5" t="s">
        <v>76</v>
      </c>
      <c r="E150" s="5" t="s">
        <v>77</v>
      </c>
      <c r="F150" s="6">
        <v>42370</v>
      </c>
      <c r="G150">
        <v>0</v>
      </c>
    </row>
    <row r="151" spans="1:7" x14ac:dyDescent="0.25">
      <c r="A151" s="5" t="s">
        <v>7</v>
      </c>
      <c r="B151" s="5" t="s">
        <v>7</v>
      </c>
      <c r="C151" s="5"/>
      <c r="D151" s="5" t="s">
        <v>76</v>
      </c>
      <c r="E151" s="5" t="s">
        <v>77</v>
      </c>
      <c r="F151" s="6">
        <v>42736</v>
      </c>
      <c r="G151">
        <v>0</v>
      </c>
    </row>
    <row r="152" spans="1:7" x14ac:dyDescent="0.25">
      <c r="A152" s="5" t="s">
        <v>7</v>
      </c>
      <c r="B152" s="5" t="s">
        <v>7</v>
      </c>
      <c r="C152" s="5"/>
      <c r="D152" s="5" t="s">
        <v>78</v>
      </c>
      <c r="E152" s="5" t="s">
        <v>79</v>
      </c>
      <c r="F152" s="6">
        <v>42370</v>
      </c>
      <c r="G152">
        <v>0</v>
      </c>
    </row>
    <row r="153" spans="1:7" x14ac:dyDescent="0.25">
      <c r="A153" s="5" t="s">
        <v>7</v>
      </c>
      <c r="B153" s="5" t="s">
        <v>7</v>
      </c>
      <c r="C153" s="5"/>
      <c r="D153" s="5" t="s">
        <v>78</v>
      </c>
      <c r="E153" s="5" t="s">
        <v>79</v>
      </c>
      <c r="F153" s="6">
        <v>42736</v>
      </c>
      <c r="G153">
        <v>0</v>
      </c>
    </row>
    <row r="154" spans="1:7" x14ac:dyDescent="0.25">
      <c r="A154" s="5" t="s">
        <v>7</v>
      </c>
      <c r="B154" s="5" t="s">
        <v>7</v>
      </c>
      <c r="C154" s="5"/>
      <c r="D154" s="5" t="s">
        <v>78</v>
      </c>
      <c r="E154" s="5" t="s">
        <v>80</v>
      </c>
      <c r="F154" s="6">
        <v>42370</v>
      </c>
      <c r="G154">
        <v>0</v>
      </c>
    </row>
    <row r="155" spans="1:7" x14ac:dyDescent="0.25">
      <c r="A155" s="5" t="s">
        <v>7</v>
      </c>
      <c r="B155" s="5" t="s">
        <v>7</v>
      </c>
      <c r="C155" s="5"/>
      <c r="D155" s="5" t="s">
        <v>78</v>
      </c>
      <c r="E155" s="5" t="s">
        <v>80</v>
      </c>
      <c r="F155" s="6">
        <v>42736</v>
      </c>
      <c r="G155">
        <v>0</v>
      </c>
    </row>
    <row r="156" spans="1:7" x14ac:dyDescent="0.25">
      <c r="A156" s="5" t="s">
        <v>7</v>
      </c>
      <c r="B156" s="5" t="s">
        <v>7</v>
      </c>
      <c r="C156" s="5"/>
      <c r="D156" s="5" t="s">
        <v>78</v>
      </c>
      <c r="E156" s="5" t="s">
        <v>81</v>
      </c>
      <c r="F156" s="6">
        <v>42370</v>
      </c>
      <c r="G156">
        <v>2149</v>
      </c>
    </row>
    <row r="157" spans="1:7" x14ac:dyDescent="0.25">
      <c r="A157" s="5" t="s">
        <v>7</v>
      </c>
      <c r="B157" s="5" t="s">
        <v>7</v>
      </c>
      <c r="C157" s="5"/>
      <c r="D157" s="5" t="s">
        <v>78</v>
      </c>
      <c r="E157" s="5" t="s">
        <v>81</v>
      </c>
      <c r="F157" s="6">
        <v>42736</v>
      </c>
      <c r="G157">
        <v>8063</v>
      </c>
    </row>
    <row r="158" spans="1:7" x14ac:dyDescent="0.25">
      <c r="A158" s="5" t="s">
        <v>7</v>
      </c>
      <c r="B158" s="5" t="s">
        <v>7</v>
      </c>
      <c r="C158" s="5"/>
      <c r="D158" s="5" t="s">
        <v>78</v>
      </c>
      <c r="E158" s="5" t="s">
        <v>82</v>
      </c>
      <c r="F158" s="6">
        <v>42370</v>
      </c>
      <c r="G158">
        <v>9416</v>
      </c>
    </row>
    <row r="159" spans="1:7" x14ac:dyDescent="0.25">
      <c r="A159" s="5" t="s">
        <v>7</v>
      </c>
      <c r="B159" s="5" t="s">
        <v>7</v>
      </c>
      <c r="C159" s="5"/>
      <c r="D159" s="5" t="s">
        <v>78</v>
      </c>
      <c r="E159" s="5" t="s">
        <v>82</v>
      </c>
      <c r="F159" s="6">
        <v>42736</v>
      </c>
      <c r="G159">
        <v>0</v>
      </c>
    </row>
    <row r="160" spans="1:7" x14ac:dyDescent="0.25">
      <c r="A160" s="5" t="s">
        <v>7</v>
      </c>
      <c r="B160" s="5" t="s">
        <v>7</v>
      </c>
      <c r="C160" s="5"/>
      <c r="D160" s="5" t="s">
        <v>78</v>
      </c>
      <c r="E160" s="5" t="s">
        <v>83</v>
      </c>
      <c r="F160" s="6">
        <v>42370</v>
      </c>
      <c r="G160">
        <v>0</v>
      </c>
    </row>
    <row r="161" spans="1:7" x14ac:dyDescent="0.25">
      <c r="A161" s="5" t="s">
        <v>7</v>
      </c>
      <c r="B161" s="5" t="s">
        <v>7</v>
      </c>
      <c r="C161" s="5"/>
      <c r="D161" s="5" t="s">
        <v>78</v>
      </c>
      <c r="E161" s="5" t="s">
        <v>83</v>
      </c>
      <c r="F161" s="6">
        <v>42736</v>
      </c>
      <c r="G161">
        <v>0</v>
      </c>
    </row>
    <row r="162" spans="1:7" x14ac:dyDescent="0.25">
      <c r="A162" s="5" t="s">
        <v>7</v>
      </c>
      <c r="B162" s="5" t="s">
        <v>7</v>
      </c>
      <c r="C162" s="5"/>
      <c r="D162" s="5" t="s">
        <v>78</v>
      </c>
      <c r="E162" s="5" t="s">
        <v>84</v>
      </c>
      <c r="F162" s="6">
        <v>42370</v>
      </c>
      <c r="G162">
        <v>942</v>
      </c>
    </row>
    <row r="163" spans="1:7" x14ac:dyDescent="0.25">
      <c r="A163" s="5" t="s">
        <v>7</v>
      </c>
      <c r="B163" s="5" t="s">
        <v>7</v>
      </c>
      <c r="C163" s="5"/>
      <c r="D163" s="5" t="s">
        <v>78</v>
      </c>
      <c r="E163" s="5" t="s">
        <v>84</v>
      </c>
      <c r="F163" s="6">
        <v>42736</v>
      </c>
      <c r="G163">
        <v>1447</v>
      </c>
    </row>
    <row r="164" spans="1:7" x14ac:dyDescent="0.25">
      <c r="A164" s="5" t="s">
        <v>7</v>
      </c>
      <c r="B164" s="5" t="s">
        <v>7</v>
      </c>
      <c r="C164" s="5"/>
      <c r="D164" s="5" t="s">
        <v>78</v>
      </c>
      <c r="E164" s="5" t="s">
        <v>85</v>
      </c>
      <c r="F164" s="6">
        <v>42370</v>
      </c>
      <c r="G164">
        <v>0</v>
      </c>
    </row>
    <row r="165" spans="1:7" x14ac:dyDescent="0.25">
      <c r="A165" s="5" t="s">
        <v>7</v>
      </c>
      <c r="B165" s="5" t="s">
        <v>7</v>
      </c>
      <c r="C165" s="5"/>
      <c r="D165" s="5" t="s">
        <v>78</v>
      </c>
      <c r="E165" s="5" t="s">
        <v>85</v>
      </c>
      <c r="F165" s="6">
        <v>42736</v>
      </c>
      <c r="G165">
        <v>0</v>
      </c>
    </row>
    <row r="166" spans="1:7" x14ac:dyDescent="0.25">
      <c r="A166" s="5" t="s">
        <v>7</v>
      </c>
      <c r="B166" s="5" t="s">
        <v>7</v>
      </c>
      <c r="C166" s="5"/>
      <c r="D166" s="5" t="s">
        <v>78</v>
      </c>
      <c r="E166" s="5" t="s">
        <v>86</v>
      </c>
      <c r="F166" s="6">
        <v>42370</v>
      </c>
      <c r="G166">
        <v>0</v>
      </c>
    </row>
    <row r="167" spans="1:7" x14ac:dyDescent="0.25">
      <c r="A167" s="5" t="s">
        <v>7</v>
      </c>
      <c r="B167" s="5" t="s">
        <v>7</v>
      </c>
      <c r="C167" s="5"/>
      <c r="D167" s="5" t="s">
        <v>78</v>
      </c>
      <c r="E167" s="5" t="s">
        <v>86</v>
      </c>
      <c r="F167" s="6">
        <v>42736</v>
      </c>
      <c r="G167">
        <v>2324</v>
      </c>
    </row>
    <row r="168" spans="1:7" x14ac:dyDescent="0.25">
      <c r="A168" s="5" t="s">
        <v>7</v>
      </c>
      <c r="B168" s="5" t="s">
        <v>7</v>
      </c>
      <c r="C168" s="5"/>
      <c r="D168" s="5" t="s">
        <v>78</v>
      </c>
      <c r="E168" s="5" t="s">
        <v>87</v>
      </c>
      <c r="F168" s="6">
        <v>42370</v>
      </c>
      <c r="G168">
        <v>0</v>
      </c>
    </row>
    <row r="169" spans="1:7" x14ac:dyDescent="0.25">
      <c r="A169" s="5" t="s">
        <v>7</v>
      </c>
      <c r="B169" s="5" t="s">
        <v>7</v>
      </c>
      <c r="C169" s="5"/>
      <c r="D169" s="5" t="s">
        <v>78</v>
      </c>
      <c r="E169" s="5" t="s">
        <v>87</v>
      </c>
      <c r="F169" s="6">
        <v>42736</v>
      </c>
      <c r="G169">
        <v>0</v>
      </c>
    </row>
    <row r="170" spans="1:7" x14ac:dyDescent="0.25">
      <c r="A170" s="5" t="s">
        <v>7</v>
      </c>
      <c r="B170" s="5" t="s">
        <v>7</v>
      </c>
      <c r="C170" s="5"/>
      <c r="D170" s="5" t="s">
        <v>78</v>
      </c>
      <c r="E170" s="5" t="s">
        <v>88</v>
      </c>
      <c r="F170" s="6">
        <v>42370</v>
      </c>
      <c r="G170">
        <v>421</v>
      </c>
    </row>
    <row r="171" spans="1:7" x14ac:dyDescent="0.25">
      <c r="A171" s="5" t="s">
        <v>7</v>
      </c>
      <c r="B171" s="5" t="s">
        <v>7</v>
      </c>
      <c r="C171" s="5"/>
      <c r="D171" s="5" t="s">
        <v>78</v>
      </c>
      <c r="E171" s="5" t="s">
        <v>88</v>
      </c>
      <c r="F171" s="6">
        <v>42736</v>
      </c>
      <c r="G171">
        <v>1030</v>
      </c>
    </row>
    <row r="172" spans="1:7" x14ac:dyDescent="0.25">
      <c r="A172" s="5" t="s">
        <v>7</v>
      </c>
      <c r="B172" s="5" t="s">
        <v>7</v>
      </c>
      <c r="C172" s="5"/>
      <c r="D172" s="5" t="s">
        <v>78</v>
      </c>
      <c r="E172" s="5" t="s">
        <v>89</v>
      </c>
      <c r="F172" s="6">
        <v>42370</v>
      </c>
      <c r="G172">
        <v>63575</v>
      </c>
    </row>
    <row r="173" spans="1:7" x14ac:dyDescent="0.25">
      <c r="A173" s="5" t="s">
        <v>7</v>
      </c>
      <c r="B173" s="5" t="s">
        <v>7</v>
      </c>
      <c r="C173" s="5"/>
      <c r="D173" s="5" t="s">
        <v>78</v>
      </c>
      <c r="E173" s="5" t="s">
        <v>89</v>
      </c>
      <c r="F173" s="6">
        <v>42736</v>
      </c>
      <c r="G173">
        <v>136108</v>
      </c>
    </row>
    <row r="174" spans="1:7" x14ac:dyDescent="0.25">
      <c r="A174" s="5" t="s">
        <v>7</v>
      </c>
      <c r="B174" s="5" t="s">
        <v>7</v>
      </c>
      <c r="C174" s="5"/>
      <c r="D174" s="5" t="s">
        <v>78</v>
      </c>
      <c r="E174" s="5" t="s">
        <v>90</v>
      </c>
      <c r="F174" s="6">
        <v>42370</v>
      </c>
      <c r="G174">
        <v>0</v>
      </c>
    </row>
    <row r="175" spans="1:7" x14ac:dyDescent="0.25">
      <c r="A175" s="5" t="s">
        <v>7</v>
      </c>
      <c r="B175" s="5" t="s">
        <v>7</v>
      </c>
      <c r="C175" s="5"/>
      <c r="D175" s="5" t="s">
        <v>78</v>
      </c>
      <c r="E175" s="5" t="s">
        <v>90</v>
      </c>
      <c r="F175" s="6">
        <v>42736</v>
      </c>
      <c r="G175">
        <v>0</v>
      </c>
    </row>
    <row r="176" spans="1:7" x14ac:dyDescent="0.25">
      <c r="A176" s="5" t="s">
        <v>7</v>
      </c>
      <c r="B176" s="5" t="s">
        <v>7</v>
      </c>
      <c r="C176" s="5"/>
      <c r="D176" s="5" t="s">
        <v>78</v>
      </c>
      <c r="E176" s="5" t="s">
        <v>91</v>
      </c>
      <c r="F176" s="6">
        <v>42370</v>
      </c>
      <c r="G176">
        <v>1178</v>
      </c>
    </row>
    <row r="177" spans="1:7" x14ac:dyDescent="0.25">
      <c r="A177" s="5" t="s">
        <v>7</v>
      </c>
      <c r="B177" s="5" t="s">
        <v>7</v>
      </c>
      <c r="C177" s="5"/>
      <c r="D177" s="5" t="s">
        <v>78</v>
      </c>
      <c r="E177" s="5" t="s">
        <v>91</v>
      </c>
      <c r="F177" s="6">
        <v>42736</v>
      </c>
      <c r="G177">
        <v>6252</v>
      </c>
    </row>
    <row r="178" spans="1:7" x14ac:dyDescent="0.25">
      <c r="A178" s="5" t="s">
        <v>7</v>
      </c>
      <c r="B178" s="5" t="s">
        <v>7</v>
      </c>
      <c r="C178" s="5"/>
      <c r="D178" s="5" t="s">
        <v>78</v>
      </c>
      <c r="E178" s="5" t="s">
        <v>92</v>
      </c>
      <c r="F178" s="6">
        <v>42370</v>
      </c>
      <c r="G178">
        <v>1529</v>
      </c>
    </row>
    <row r="179" spans="1:7" x14ac:dyDescent="0.25">
      <c r="A179" s="5" t="s">
        <v>7</v>
      </c>
      <c r="B179" s="5" t="s">
        <v>7</v>
      </c>
      <c r="C179" s="5"/>
      <c r="D179" s="5" t="s">
        <v>78</v>
      </c>
      <c r="E179" s="5" t="s">
        <v>92</v>
      </c>
      <c r="F179" s="6">
        <v>42736</v>
      </c>
      <c r="G179">
        <v>2258</v>
      </c>
    </row>
    <row r="180" spans="1:7" x14ac:dyDescent="0.25">
      <c r="A180" s="5" t="s">
        <v>7</v>
      </c>
      <c r="B180" s="5" t="s">
        <v>7</v>
      </c>
      <c r="C180" s="5"/>
      <c r="D180" s="5" t="s">
        <v>78</v>
      </c>
      <c r="E180" s="5" t="s">
        <v>93</v>
      </c>
      <c r="F180" s="6">
        <v>42370</v>
      </c>
      <c r="G180">
        <v>4578</v>
      </c>
    </row>
    <row r="181" spans="1:7" x14ac:dyDescent="0.25">
      <c r="A181" s="5" t="s">
        <v>7</v>
      </c>
      <c r="B181" s="5" t="s">
        <v>7</v>
      </c>
      <c r="C181" s="5"/>
      <c r="D181" s="5" t="s">
        <v>78</v>
      </c>
      <c r="E181" s="5" t="s">
        <v>93</v>
      </c>
      <c r="F181" s="6">
        <v>42736</v>
      </c>
      <c r="G181">
        <v>6897</v>
      </c>
    </row>
    <row r="182" spans="1:7" x14ac:dyDescent="0.25">
      <c r="A182" s="5" t="s">
        <v>7</v>
      </c>
      <c r="B182" s="5" t="s">
        <v>7</v>
      </c>
      <c r="C182" s="5"/>
      <c r="D182" s="5" t="s">
        <v>78</v>
      </c>
      <c r="E182" s="5" t="s">
        <v>94</v>
      </c>
      <c r="F182" s="6">
        <v>42370</v>
      </c>
      <c r="G182">
        <v>10243</v>
      </c>
    </row>
    <row r="183" spans="1:7" x14ac:dyDescent="0.25">
      <c r="A183" s="5" t="s">
        <v>7</v>
      </c>
      <c r="B183" s="5" t="s">
        <v>7</v>
      </c>
      <c r="C183" s="5"/>
      <c r="D183" s="5" t="s">
        <v>78</v>
      </c>
      <c r="E183" s="5" t="s">
        <v>94</v>
      </c>
      <c r="F183" s="6">
        <v>42736</v>
      </c>
      <c r="G183">
        <v>15130</v>
      </c>
    </row>
    <row r="184" spans="1:7" x14ac:dyDescent="0.25">
      <c r="A184" s="5" t="s">
        <v>7</v>
      </c>
      <c r="B184" s="5" t="s">
        <v>7</v>
      </c>
      <c r="C184" s="5"/>
      <c r="D184" s="5" t="s">
        <v>78</v>
      </c>
      <c r="E184" s="5" t="s">
        <v>95</v>
      </c>
      <c r="F184" s="6">
        <v>42370</v>
      </c>
      <c r="G184">
        <v>2896</v>
      </c>
    </row>
    <row r="185" spans="1:7" x14ac:dyDescent="0.25">
      <c r="A185" s="5" t="s">
        <v>7</v>
      </c>
      <c r="B185" s="5" t="s">
        <v>7</v>
      </c>
      <c r="C185" s="5"/>
      <c r="D185" s="5" t="s">
        <v>78</v>
      </c>
      <c r="E185" s="5" t="s">
        <v>95</v>
      </c>
      <c r="F185" s="6">
        <v>42736</v>
      </c>
      <c r="G185">
        <v>3583</v>
      </c>
    </row>
    <row r="186" spans="1:7" x14ac:dyDescent="0.25">
      <c r="A186" s="5" t="s">
        <v>7</v>
      </c>
      <c r="B186" s="5" t="s">
        <v>7</v>
      </c>
      <c r="C186" s="5"/>
      <c r="D186" s="5" t="s">
        <v>78</v>
      </c>
      <c r="E186" s="5" t="s">
        <v>96</v>
      </c>
      <c r="F186" s="6">
        <v>42370</v>
      </c>
      <c r="G186">
        <v>45</v>
      </c>
    </row>
    <row r="187" spans="1:7" x14ac:dyDescent="0.25">
      <c r="A187" s="5" t="s">
        <v>7</v>
      </c>
      <c r="B187" s="5" t="s">
        <v>7</v>
      </c>
      <c r="C187" s="5"/>
      <c r="D187" s="5" t="s">
        <v>78</v>
      </c>
      <c r="E187" s="5" t="s">
        <v>96</v>
      </c>
      <c r="F187" s="6">
        <v>42736</v>
      </c>
      <c r="G187">
        <v>94</v>
      </c>
    </row>
    <row r="188" spans="1:7" x14ac:dyDescent="0.25">
      <c r="A188" s="5" t="s">
        <v>7</v>
      </c>
      <c r="B188" s="5" t="s">
        <v>7</v>
      </c>
      <c r="C188" s="5"/>
      <c r="D188" s="5" t="s">
        <v>78</v>
      </c>
      <c r="E188" s="5" t="s">
        <v>97</v>
      </c>
      <c r="F188" s="6">
        <v>42370</v>
      </c>
      <c r="G188">
        <v>0</v>
      </c>
    </row>
    <row r="189" spans="1:7" x14ac:dyDescent="0.25">
      <c r="A189" s="5" t="s">
        <v>7</v>
      </c>
      <c r="B189" s="5" t="s">
        <v>7</v>
      </c>
      <c r="C189" s="5"/>
      <c r="D189" s="5" t="s">
        <v>78</v>
      </c>
      <c r="E189" s="5" t="s">
        <v>97</v>
      </c>
      <c r="F189" s="6">
        <v>42736</v>
      </c>
      <c r="G189">
        <v>0</v>
      </c>
    </row>
    <row r="190" spans="1:7" x14ac:dyDescent="0.25">
      <c r="A190" s="5" t="s">
        <v>7</v>
      </c>
      <c r="B190" s="5" t="s">
        <v>7</v>
      </c>
      <c r="C190" s="5"/>
      <c r="D190" s="5" t="s">
        <v>78</v>
      </c>
      <c r="E190" s="5" t="s">
        <v>98</v>
      </c>
      <c r="F190" s="6">
        <v>42370</v>
      </c>
      <c r="G190">
        <v>3126</v>
      </c>
    </row>
    <row r="191" spans="1:7" x14ac:dyDescent="0.25">
      <c r="A191" s="5" t="s">
        <v>7</v>
      </c>
      <c r="B191" s="5" t="s">
        <v>7</v>
      </c>
      <c r="C191" s="5"/>
      <c r="D191" s="5" t="s">
        <v>78</v>
      </c>
      <c r="E191" s="5" t="s">
        <v>98</v>
      </c>
      <c r="F191" s="6">
        <v>42736</v>
      </c>
      <c r="G191">
        <v>0</v>
      </c>
    </row>
    <row r="192" spans="1:7" x14ac:dyDescent="0.25">
      <c r="A192" s="5" t="s">
        <v>99</v>
      </c>
      <c r="B192" s="5" t="s">
        <v>100</v>
      </c>
      <c r="C192" s="5">
        <v>7000</v>
      </c>
      <c r="D192" s="5" t="s">
        <v>8</v>
      </c>
      <c r="E192" s="5" t="s">
        <v>9</v>
      </c>
      <c r="F192" s="6">
        <v>42370</v>
      </c>
      <c r="G192">
        <v>0</v>
      </c>
    </row>
    <row r="193" spans="1:7" x14ac:dyDescent="0.25">
      <c r="A193" s="5" t="s">
        <v>99</v>
      </c>
      <c r="B193" s="5" t="s">
        <v>100</v>
      </c>
      <c r="C193" s="5">
        <v>7000</v>
      </c>
      <c r="D193" s="5" t="s">
        <v>8</v>
      </c>
      <c r="E193" s="5" t="s">
        <v>9</v>
      </c>
      <c r="F193" s="6">
        <v>42736</v>
      </c>
      <c r="G193">
        <v>0</v>
      </c>
    </row>
    <row r="194" spans="1:7" x14ac:dyDescent="0.25">
      <c r="A194" s="5" t="s">
        <v>99</v>
      </c>
      <c r="B194" s="5" t="s">
        <v>100</v>
      </c>
      <c r="C194" s="5">
        <v>7000</v>
      </c>
      <c r="D194" s="5" t="s">
        <v>8</v>
      </c>
      <c r="E194" s="5" t="s">
        <v>10</v>
      </c>
      <c r="F194" s="6">
        <v>42370</v>
      </c>
      <c r="G194">
        <v>409</v>
      </c>
    </row>
    <row r="195" spans="1:7" x14ac:dyDescent="0.25">
      <c r="A195" s="5" t="s">
        <v>99</v>
      </c>
      <c r="B195" s="5" t="s">
        <v>100</v>
      </c>
      <c r="C195" s="5">
        <v>7000</v>
      </c>
      <c r="D195" s="5" t="s">
        <v>8</v>
      </c>
      <c r="E195" s="5" t="s">
        <v>10</v>
      </c>
      <c r="F195" s="6">
        <v>42736</v>
      </c>
      <c r="G195">
        <v>654</v>
      </c>
    </row>
    <row r="196" spans="1:7" x14ac:dyDescent="0.25">
      <c r="A196" s="5" t="s">
        <v>99</v>
      </c>
      <c r="B196" s="5" t="s">
        <v>100</v>
      </c>
      <c r="C196" s="5">
        <v>7000</v>
      </c>
      <c r="D196" s="5" t="s">
        <v>8</v>
      </c>
      <c r="E196" s="5" t="s">
        <v>11</v>
      </c>
      <c r="F196" s="6">
        <v>42370</v>
      </c>
      <c r="G196">
        <v>208</v>
      </c>
    </row>
    <row r="197" spans="1:7" x14ac:dyDescent="0.25">
      <c r="A197" s="5" t="s">
        <v>99</v>
      </c>
      <c r="B197" s="5" t="s">
        <v>100</v>
      </c>
      <c r="C197" s="5">
        <v>7000</v>
      </c>
      <c r="D197" s="5" t="s">
        <v>8</v>
      </c>
      <c r="E197" s="5" t="s">
        <v>11</v>
      </c>
      <c r="F197" s="6">
        <v>42736</v>
      </c>
      <c r="G197">
        <v>252</v>
      </c>
    </row>
    <row r="198" spans="1:7" x14ac:dyDescent="0.25">
      <c r="A198" s="5" t="s">
        <v>99</v>
      </c>
      <c r="B198" s="5" t="s">
        <v>100</v>
      </c>
      <c r="C198" s="5">
        <v>7000</v>
      </c>
      <c r="D198" s="5" t="s">
        <v>8</v>
      </c>
      <c r="E198" s="5" t="s">
        <v>12</v>
      </c>
      <c r="F198" s="6">
        <v>42370</v>
      </c>
      <c r="G198">
        <v>0</v>
      </c>
    </row>
    <row r="199" spans="1:7" x14ac:dyDescent="0.25">
      <c r="A199" s="5" t="s">
        <v>99</v>
      </c>
      <c r="B199" s="5" t="s">
        <v>100</v>
      </c>
      <c r="C199" s="5">
        <v>7000</v>
      </c>
      <c r="D199" s="5" t="s">
        <v>8</v>
      </c>
      <c r="E199" s="5" t="s">
        <v>12</v>
      </c>
      <c r="F199" s="6">
        <v>42736</v>
      </c>
      <c r="G199">
        <v>0</v>
      </c>
    </row>
    <row r="200" spans="1:7" x14ac:dyDescent="0.25">
      <c r="A200" s="5" t="s">
        <v>99</v>
      </c>
      <c r="B200" s="5" t="s">
        <v>100</v>
      </c>
      <c r="C200" s="5">
        <v>7000</v>
      </c>
      <c r="D200" s="5" t="s">
        <v>8</v>
      </c>
      <c r="E200" s="5" t="s">
        <v>13</v>
      </c>
      <c r="F200" s="6">
        <v>42370</v>
      </c>
      <c r="G200">
        <v>0</v>
      </c>
    </row>
    <row r="201" spans="1:7" x14ac:dyDescent="0.25">
      <c r="A201" s="5" t="s">
        <v>99</v>
      </c>
      <c r="B201" s="5" t="s">
        <v>100</v>
      </c>
      <c r="C201" s="5">
        <v>7000</v>
      </c>
      <c r="D201" s="5" t="s">
        <v>8</v>
      </c>
      <c r="E201" s="5" t="s">
        <v>13</v>
      </c>
      <c r="F201" s="6">
        <v>42736</v>
      </c>
      <c r="G201">
        <v>0</v>
      </c>
    </row>
    <row r="202" spans="1:7" x14ac:dyDescent="0.25">
      <c r="A202" s="5" t="s">
        <v>99</v>
      </c>
      <c r="B202" s="5" t="s">
        <v>100</v>
      </c>
      <c r="C202" s="5">
        <v>7000</v>
      </c>
      <c r="D202" s="5" t="s">
        <v>8</v>
      </c>
      <c r="E202" s="5" t="s">
        <v>14</v>
      </c>
      <c r="F202" s="6">
        <v>42370</v>
      </c>
      <c r="G202">
        <v>0</v>
      </c>
    </row>
    <row r="203" spans="1:7" x14ac:dyDescent="0.25">
      <c r="A203" s="5" t="s">
        <v>99</v>
      </c>
      <c r="B203" s="5" t="s">
        <v>100</v>
      </c>
      <c r="C203" s="5">
        <v>7000</v>
      </c>
      <c r="D203" s="5" t="s">
        <v>8</v>
      </c>
      <c r="E203" s="5" t="s">
        <v>14</v>
      </c>
      <c r="F203" s="6">
        <v>42736</v>
      </c>
      <c r="G203">
        <v>0</v>
      </c>
    </row>
    <row r="204" spans="1:7" x14ac:dyDescent="0.25">
      <c r="A204" s="5" t="s">
        <v>99</v>
      </c>
      <c r="B204" s="5" t="s">
        <v>100</v>
      </c>
      <c r="C204" s="5">
        <v>7000</v>
      </c>
      <c r="D204" s="5" t="s">
        <v>8</v>
      </c>
      <c r="E204" s="5" t="s">
        <v>15</v>
      </c>
      <c r="F204" s="6">
        <v>42370</v>
      </c>
      <c r="G204">
        <v>0</v>
      </c>
    </row>
    <row r="205" spans="1:7" x14ac:dyDescent="0.25">
      <c r="A205" s="5" t="s">
        <v>99</v>
      </c>
      <c r="B205" s="5" t="s">
        <v>100</v>
      </c>
      <c r="C205" s="5">
        <v>7000</v>
      </c>
      <c r="D205" s="5" t="s">
        <v>8</v>
      </c>
      <c r="E205" s="5" t="s">
        <v>15</v>
      </c>
      <c r="F205" s="6">
        <v>42736</v>
      </c>
      <c r="G205">
        <v>0</v>
      </c>
    </row>
    <row r="206" spans="1:7" x14ac:dyDescent="0.25">
      <c r="A206" s="5" t="s">
        <v>99</v>
      </c>
      <c r="B206" s="5" t="s">
        <v>100</v>
      </c>
      <c r="C206" s="5">
        <v>7000</v>
      </c>
      <c r="D206" s="5" t="s">
        <v>8</v>
      </c>
      <c r="E206" s="5" t="s">
        <v>16</v>
      </c>
      <c r="F206" s="6">
        <v>42370</v>
      </c>
      <c r="G206">
        <v>118</v>
      </c>
    </row>
    <row r="207" spans="1:7" x14ac:dyDescent="0.25">
      <c r="A207" s="5" t="s">
        <v>99</v>
      </c>
      <c r="B207" s="5" t="s">
        <v>100</v>
      </c>
      <c r="C207" s="5">
        <v>7000</v>
      </c>
      <c r="D207" s="5" t="s">
        <v>8</v>
      </c>
      <c r="E207" s="5" t="s">
        <v>16</v>
      </c>
      <c r="F207" s="6">
        <v>42736</v>
      </c>
      <c r="G207">
        <v>163</v>
      </c>
    </row>
    <row r="208" spans="1:7" x14ac:dyDescent="0.25">
      <c r="A208" s="5" t="s">
        <v>99</v>
      </c>
      <c r="B208" s="5" t="s">
        <v>100</v>
      </c>
      <c r="C208" s="5">
        <v>7000</v>
      </c>
      <c r="D208" s="5" t="s">
        <v>8</v>
      </c>
      <c r="E208" s="5" t="s">
        <v>17</v>
      </c>
      <c r="F208" s="6">
        <v>42370</v>
      </c>
      <c r="G208">
        <v>0</v>
      </c>
    </row>
    <row r="209" spans="1:7" x14ac:dyDescent="0.25">
      <c r="A209" s="5" t="s">
        <v>99</v>
      </c>
      <c r="B209" s="5" t="s">
        <v>100</v>
      </c>
      <c r="C209" s="5">
        <v>7000</v>
      </c>
      <c r="D209" s="5" t="s">
        <v>8</v>
      </c>
      <c r="E209" s="5" t="s">
        <v>17</v>
      </c>
      <c r="F209" s="6">
        <v>42736</v>
      </c>
      <c r="G209">
        <v>0</v>
      </c>
    </row>
    <row r="210" spans="1:7" x14ac:dyDescent="0.25">
      <c r="A210" s="5" t="s">
        <v>99</v>
      </c>
      <c r="B210" s="5" t="s">
        <v>100</v>
      </c>
      <c r="C210" s="5">
        <v>7000</v>
      </c>
      <c r="D210" s="5" t="s">
        <v>8</v>
      </c>
      <c r="E210" s="5" t="s">
        <v>18</v>
      </c>
      <c r="F210" s="6">
        <v>42370</v>
      </c>
      <c r="G210">
        <v>24</v>
      </c>
    </row>
    <row r="211" spans="1:7" x14ac:dyDescent="0.25">
      <c r="A211" s="5" t="s">
        <v>99</v>
      </c>
      <c r="B211" s="5" t="s">
        <v>100</v>
      </c>
      <c r="C211" s="5">
        <v>7000</v>
      </c>
      <c r="D211" s="5" t="s">
        <v>8</v>
      </c>
      <c r="E211" s="5" t="s">
        <v>18</v>
      </c>
      <c r="F211" s="6">
        <v>42736</v>
      </c>
      <c r="G211">
        <v>31</v>
      </c>
    </row>
    <row r="212" spans="1:7" x14ac:dyDescent="0.25">
      <c r="A212" s="5" t="s">
        <v>99</v>
      </c>
      <c r="B212" s="5" t="s">
        <v>100</v>
      </c>
      <c r="C212" s="5">
        <v>7000</v>
      </c>
      <c r="D212" s="5" t="s">
        <v>8</v>
      </c>
      <c r="E212" s="5" t="s">
        <v>19</v>
      </c>
      <c r="F212" s="6">
        <v>42370</v>
      </c>
      <c r="G212">
        <v>0</v>
      </c>
    </row>
    <row r="213" spans="1:7" x14ac:dyDescent="0.25">
      <c r="A213" s="5" t="s">
        <v>99</v>
      </c>
      <c r="B213" s="5" t="s">
        <v>100</v>
      </c>
      <c r="C213" s="5">
        <v>7000</v>
      </c>
      <c r="D213" s="5" t="s">
        <v>8</v>
      </c>
      <c r="E213" s="5" t="s">
        <v>19</v>
      </c>
      <c r="F213" s="6">
        <v>42736</v>
      </c>
      <c r="G213">
        <v>0</v>
      </c>
    </row>
    <row r="214" spans="1:7" x14ac:dyDescent="0.25">
      <c r="A214" s="5" t="s">
        <v>99</v>
      </c>
      <c r="B214" s="5" t="s">
        <v>100</v>
      </c>
      <c r="C214" s="5">
        <v>7000</v>
      </c>
      <c r="D214" s="5" t="s">
        <v>20</v>
      </c>
      <c r="E214" s="5" t="s">
        <v>9</v>
      </c>
      <c r="F214" s="6">
        <v>42370</v>
      </c>
      <c r="G214">
        <v>18</v>
      </c>
    </row>
    <row r="215" spans="1:7" x14ac:dyDescent="0.25">
      <c r="A215" s="5" t="s">
        <v>99</v>
      </c>
      <c r="B215" s="5" t="s">
        <v>100</v>
      </c>
      <c r="C215" s="5">
        <v>7000</v>
      </c>
      <c r="D215" s="5" t="s">
        <v>20</v>
      </c>
      <c r="E215" s="5" t="s">
        <v>9</v>
      </c>
      <c r="F215" s="6">
        <v>42736</v>
      </c>
      <c r="G215">
        <v>84</v>
      </c>
    </row>
    <row r="216" spans="1:7" x14ac:dyDescent="0.25">
      <c r="A216" s="5" t="s">
        <v>99</v>
      </c>
      <c r="B216" s="5" t="s">
        <v>100</v>
      </c>
      <c r="C216" s="5">
        <v>7000</v>
      </c>
      <c r="D216" s="5" t="s">
        <v>20</v>
      </c>
      <c r="E216" s="5" t="s">
        <v>21</v>
      </c>
      <c r="F216" s="6">
        <v>42370</v>
      </c>
      <c r="G216">
        <v>2</v>
      </c>
    </row>
    <row r="217" spans="1:7" x14ac:dyDescent="0.25">
      <c r="A217" s="5" t="s">
        <v>99</v>
      </c>
      <c r="B217" s="5" t="s">
        <v>100</v>
      </c>
      <c r="C217" s="5">
        <v>7000</v>
      </c>
      <c r="D217" s="5" t="s">
        <v>20</v>
      </c>
      <c r="E217" s="5" t="s">
        <v>21</v>
      </c>
      <c r="F217" s="6">
        <v>42736</v>
      </c>
      <c r="G217">
        <v>1</v>
      </c>
    </row>
    <row r="218" spans="1:7" x14ac:dyDescent="0.25">
      <c r="A218" s="5" t="s">
        <v>99</v>
      </c>
      <c r="B218" s="5" t="s">
        <v>100</v>
      </c>
      <c r="C218" s="5">
        <v>7000</v>
      </c>
      <c r="D218" s="5" t="s">
        <v>20</v>
      </c>
      <c r="E218" s="5" t="s">
        <v>22</v>
      </c>
      <c r="F218" s="6">
        <v>42370</v>
      </c>
      <c r="G218">
        <v>11</v>
      </c>
    </row>
    <row r="219" spans="1:7" x14ac:dyDescent="0.25">
      <c r="A219" s="5" t="s">
        <v>99</v>
      </c>
      <c r="B219" s="5" t="s">
        <v>100</v>
      </c>
      <c r="C219" s="5">
        <v>7000</v>
      </c>
      <c r="D219" s="5" t="s">
        <v>20</v>
      </c>
      <c r="E219" s="5" t="s">
        <v>22</v>
      </c>
      <c r="F219" s="6">
        <v>42736</v>
      </c>
      <c r="G219">
        <v>0</v>
      </c>
    </row>
    <row r="220" spans="1:7" x14ac:dyDescent="0.25">
      <c r="A220" s="5" t="s">
        <v>99</v>
      </c>
      <c r="B220" s="5" t="s">
        <v>100</v>
      </c>
      <c r="C220" s="5">
        <v>7000</v>
      </c>
      <c r="D220" s="5" t="s">
        <v>20</v>
      </c>
      <c r="E220" s="5" t="s">
        <v>23</v>
      </c>
      <c r="F220" s="6">
        <v>42370</v>
      </c>
      <c r="G220">
        <v>1</v>
      </c>
    </row>
    <row r="221" spans="1:7" x14ac:dyDescent="0.25">
      <c r="A221" s="5" t="s">
        <v>99</v>
      </c>
      <c r="B221" s="5" t="s">
        <v>100</v>
      </c>
      <c r="C221" s="5">
        <v>7000</v>
      </c>
      <c r="D221" s="5" t="s">
        <v>20</v>
      </c>
      <c r="E221" s="5" t="s">
        <v>23</v>
      </c>
      <c r="F221" s="6">
        <v>42736</v>
      </c>
      <c r="G221">
        <v>35</v>
      </c>
    </row>
    <row r="222" spans="1:7" x14ac:dyDescent="0.25">
      <c r="A222" s="5" t="s">
        <v>99</v>
      </c>
      <c r="B222" s="5" t="s">
        <v>100</v>
      </c>
      <c r="C222" s="5">
        <v>7000</v>
      </c>
      <c r="D222" s="5" t="s">
        <v>20</v>
      </c>
      <c r="E222" s="5" t="s">
        <v>24</v>
      </c>
      <c r="F222" s="6">
        <v>42370</v>
      </c>
      <c r="G222">
        <v>0</v>
      </c>
    </row>
    <row r="223" spans="1:7" x14ac:dyDescent="0.25">
      <c r="A223" s="5" t="s">
        <v>99</v>
      </c>
      <c r="B223" s="5" t="s">
        <v>100</v>
      </c>
      <c r="C223" s="5">
        <v>7000</v>
      </c>
      <c r="D223" s="5" t="s">
        <v>20</v>
      </c>
      <c r="E223" s="5" t="s">
        <v>24</v>
      </c>
      <c r="F223" s="6">
        <v>42736</v>
      </c>
      <c r="G223">
        <v>0</v>
      </c>
    </row>
    <row r="224" spans="1:7" x14ac:dyDescent="0.25">
      <c r="A224" s="5" t="s">
        <v>99</v>
      </c>
      <c r="B224" s="5" t="s">
        <v>100</v>
      </c>
      <c r="C224" s="5">
        <v>7000</v>
      </c>
      <c r="D224" s="5" t="s">
        <v>20</v>
      </c>
      <c r="E224" s="5" t="s">
        <v>25</v>
      </c>
      <c r="F224" s="6">
        <v>42370</v>
      </c>
      <c r="G224">
        <v>0</v>
      </c>
    </row>
    <row r="225" spans="1:7" x14ac:dyDescent="0.25">
      <c r="A225" s="5" t="s">
        <v>99</v>
      </c>
      <c r="B225" s="5" t="s">
        <v>100</v>
      </c>
      <c r="C225" s="5">
        <v>7000</v>
      </c>
      <c r="D225" s="5" t="s">
        <v>20</v>
      </c>
      <c r="E225" s="5" t="s">
        <v>25</v>
      </c>
      <c r="F225" s="6">
        <v>42736</v>
      </c>
      <c r="G225">
        <v>0</v>
      </c>
    </row>
    <row r="226" spans="1:7" x14ac:dyDescent="0.25">
      <c r="A226" s="5" t="s">
        <v>99</v>
      </c>
      <c r="B226" s="5" t="s">
        <v>100</v>
      </c>
      <c r="C226" s="5">
        <v>7000</v>
      </c>
      <c r="D226" s="5" t="s">
        <v>20</v>
      </c>
      <c r="E226" s="5" t="s">
        <v>26</v>
      </c>
      <c r="F226" s="6">
        <v>42370</v>
      </c>
      <c r="G226">
        <v>313</v>
      </c>
    </row>
    <row r="227" spans="1:7" x14ac:dyDescent="0.25">
      <c r="A227" s="5" t="s">
        <v>99</v>
      </c>
      <c r="B227" s="5" t="s">
        <v>100</v>
      </c>
      <c r="C227" s="5">
        <v>7000</v>
      </c>
      <c r="D227" s="5" t="s">
        <v>20</v>
      </c>
      <c r="E227" s="5" t="s">
        <v>26</v>
      </c>
      <c r="F227" s="6">
        <v>42736</v>
      </c>
      <c r="G227">
        <v>426</v>
      </c>
    </row>
    <row r="228" spans="1:7" x14ac:dyDescent="0.25">
      <c r="A228" s="5" t="s">
        <v>99</v>
      </c>
      <c r="B228" s="5" t="s">
        <v>100</v>
      </c>
      <c r="C228" s="5">
        <v>7000</v>
      </c>
      <c r="D228" s="5" t="s">
        <v>20</v>
      </c>
      <c r="E228" s="5" t="s">
        <v>27</v>
      </c>
      <c r="F228" s="6">
        <v>42370</v>
      </c>
      <c r="G228">
        <v>0</v>
      </c>
    </row>
    <row r="229" spans="1:7" x14ac:dyDescent="0.25">
      <c r="A229" s="5" t="s">
        <v>99</v>
      </c>
      <c r="B229" s="5" t="s">
        <v>100</v>
      </c>
      <c r="C229" s="5">
        <v>7000</v>
      </c>
      <c r="D229" s="5" t="s">
        <v>20</v>
      </c>
      <c r="E229" s="5" t="s">
        <v>27</v>
      </c>
      <c r="F229" s="6">
        <v>42736</v>
      </c>
      <c r="G229">
        <v>0</v>
      </c>
    </row>
    <row r="230" spans="1:7" x14ac:dyDescent="0.25">
      <c r="A230" s="5" t="s">
        <v>99</v>
      </c>
      <c r="B230" s="5" t="s">
        <v>100</v>
      </c>
      <c r="C230" s="5">
        <v>7000</v>
      </c>
      <c r="D230" s="5" t="s">
        <v>20</v>
      </c>
      <c r="E230" s="5" t="s">
        <v>28</v>
      </c>
      <c r="F230" s="6">
        <v>42370</v>
      </c>
      <c r="G230">
        <v>0</v>
      </c>
    </row>
    <row r="231" spans="1:7" x14ac:dyDescent="0.25">
      <c r="A231" s="5" t="s">
        <v>99</v>
      </c>
      <c r="B231" s="5" t="s">
        <v>100</v>
      </c>
      <c r="C231" s="5">
        <v>7000</v>
      </c>
      <c r="D231" s="5" t="s">
        <v>20</v>
      </c>
      <c r="E231" s="5" t="s">
        <v>28</v>
      </c>
      <c r="F231" s="6">
        <v>42736</v>
      </c>
      <c r="G231">
        <v>0</v>
      </c>
    </row>
    <row r="232" spans="1:7" x14ac:dyDescent="0.25">
      <c r="A232" s="5" t="s">
        <v>99</v>
      </c>
      <c r="B232" s="5" t="s">
        <v>100</v>
      </c>
      <c r="C232" s="5">
        <v>7000</v>
      </c>
      <c r="D232" s="5" t="s">
        <v>20</v>
      </c>
      <c r="E232" s="5" t="s">
        <v>29</v>
      </c>
      <c r="F232" s="6">
        <v>42370</v>
      </c>
      <c r="G232">
        <v>322</v>
      </c>
    </row>
    <row r="233" spans="1:7" x14ac:dyDescent="0.25">
      <c r="A233" s="5" t="s">
        <v>99</v>
      </c>
      <c r="B233" s="5" t="s">
        <v>100</v>
      </c>
      <c r="C233" s="5">
        <v>7000</v>
      </c>
      <c r="D233" s="5" t="s">
        <v>20</v>
      </c>
      <c r="E233" s="5" t="s">
        <v>29</v>
      </c>
      <c r="F233" s="6">
        <v>42736</v>
      </c>
      <c r="G233">
        <v>432</v>
      </c>
    </row>
    <row r="234" spans="1:7" x14ac:dyDescent="0.25">
      <c r="A234" s="5" t="s">
        <v>99</v>
      </c>
      <c r="B234" s="5" t="s">
        <v>100</v>
      </c>
      <c r="C234" s="5">
        <v>7000</v>
      </c>
      <c r="D234" s="5" t="s">
        <v>20</v>
      </c>
      <c r="E234" s="5" t="s">
        <v>30</v>
      </c>
      <c r="F234" s="6">
        <v>42370</v>
      </c>
      <c r="G234">
        <v>313</v>
      </c>
    </row>
    <row r="235" spans="1:7" x14ac:dyDescent="0.25">
      <c r="A235" s="5" t="s">
        <v>99</v>
      </c>
      <c r="B235" s="5" t="s">
        <v>100</v>
      </c>
      <c r="C235" s="5">
        <v>7000</v>
      </c>
      <c r="D235" s="5" t="s">
        <v>20</v>
      </c>
      <c r="E235" s="5" t="s">
        <v>30</v>
      </c>
      <c r="F235" s="6">
        <v>42736</v>
      </c>
      <c r="G235">
        <v>426</v>
      </c>
    </row>
    <row r="236" spans="1:7" x14ac:dyDescent="0.25">
      <c r="A236" s="5" t="s">
        <v>99</v>
      </c>
      <c r="B236" s="5" t="s">
        <v>100</v>
      </c>
      <c r="C236" s="5">
        <v>7000</v>
      </c>
      <c r="D236" s="5" t="s">
        <v>20</v>
      </c>
      <c r="E236" s="5" t="s">
        <v>31</v>
      </c>
      <c r="F236" s="6">
        <v>42370</v>
      </c>
      <c r="G236">
        <v>603</v>
      </c>
    </row>
    <row r="237" spans="1:7" x14ac:dyDescent="0.25">
      <c r="A237" s="5" t="s">
        <v>99</v>
      </c>
      <c r="B237" s="5" t="s">
        <v>100</v>
      </c>
      <c r="C237" s="5">
        <v>7000</v>
      </c>
      <c r="D237" s="5" t="s">
        <v>20</v>
      </c>
      <c r="E237" s="5" t="s">
        <v>31</v>
      </c>
      <c r="F237" s="6">
        <v>42736</v>
      </c>
      <c r="G237">
        <v>980</v>
      </c>
    </row>
    <row r="238" spans="1:7" x14ac:dyDescent="0.25">
      <c r="A238" s="5" t="s">
        <v>99</v>
      </c>
      <c r="B238" s="5" t="s">
        <v>100</v>
      </c>
      <c r="C238" s="5">
        <v>7000</v>
      </c>
      <c r="D238" s="5" t="s">
        <v>20</v>
      </c>
      <c r="E238" s="5" t="s">
        <v>32</v>
      </c>
      <c r="F238" s="6">
        <v>42370</v>
      </c>
      <c r="G238">
        <v>317</v>
      </c>
    </row>
    <row r="239" spans="1:7" x14ac:dyDescent="0.25">
      <c r="A239" s="5" t="s">
        <v>99</v>
      </c>
      <c r="B239" s="5" t="s">
        <v>100</v>
      </c>
      <c r="C239" s="5">
        <v>7000</v>
      </c>
      <c r="D239" s="5" t="s">
        <v>20</v>
      </c>
      <c r="E239" s="5" t="s">
        <v>32</v>
      </c>
      <c r="F239" s="6">
        <v>42736</v>
      </c>
      <c r="G239">
        <v>415</v>
      </c>
    </row>
    <row r="240" spans="1:7" x14ac:dyDescent="0.25">
      <c r="A240" s="5" t="s">
        <v>99</v>
      </c>
      <c r="B240" s="5" t="s">
        <v>100</v>
      </c>
      <c r="C240" s="5">
        <v>7000</v>
      </c>
      <c r="D240" s="5" t="s">
        <v>33</v>
      </c>
      <c r="E240" s="5" t="s">
        <v>9</v>
      </c>
      <c r="F240" s="6">
        <v>42370</v>
      </c>
      <c r="G240">
        <v>0</v>
      </c>
    </row>
    <row r="241" spans="1:7" x14ac:dyDescent="0.25">
      <c r="A241" s="5" t="s">
        <v>99</v>
      </c>
      <c r="B241" s="5" t="s">
        <v>100</v>
      </c>
      <c r="C241" s="5">
        <v>7000</v>
      </c>
      <c r="D241" s="5" t="s">
        <v>33</v>
      </c>
      <c r="E241" s="5" t="s">
        <v>9</v>
      </c>
      <c r="F241" s="6">
        <v>42736</v>
      </c>
      <c r="G241">
        <v>0</v>
      </c>
    </row>
    <row r="242" spans="1:7" x14ac:dyDescent="0.25">
      <c r="A242" s="5" t="s">
        <v>99</v>
      </c>
      <c r="B242" s="5" t="s">
        <v>100</v>
      </c>
      <c r="C242" s="5">
        <v>7000</v>
      </c>
      <c r="D242" s="5" t="s">
        <v>33</v>
      </c>
      <c r="E242" s="5" t="s">
        <v>34</v>
      </c>
      <c r="F242" s="6">
        <v>42370</v>
      </c>
      <c r="G242">
        <v>0</v>
      </c>
    </row>
    <row r="243" spans="1:7" x14ac:dyDescent="0.25">
      <c r="A243" s="5" t="s">
        <v>99</v>
      </c>
      <c r="B243" s="5" t="s">
        <v>100</v>
      </c>
      <c r="C243" s="5">
        <v>7000</v>
      </c>
      <c r="D243" s="5" t="s">
        <v>33</v>
      </c>
      <c r="E243" s="5" t="s">
        <v>34</v>
      </c>
      <c r="F243" s="6">
        <v>42736</v>
      </c>
      <c r="G243">
        <v>0</v>
      </c>
    </row>
    <row r="244" spans="1:7" x14ac:dyDescent="0.25">
      <c r="A244" s="5" t="s">
        <v>99</v>
      </c>
      <c r="B244" s="5" t="s">
        <v>100</v>
      </c>
      <c r="C244" s="5">
        <v>7000</v>
      </c>
      <c r="D244" s="5" t="s">
        <v>35</v>
      </c>
      <c r="E244" s="5" t="s">
        <v>36</v>
      </c>
      <c r="F244" s="6">
        <v>42370</v>
      </c>
      <c r="G244">
        <v>0</v>
      </c>
    </row>
    <row r="245" spans="1:7" x14ac:dyDescent="0.25">
      <c r="A245" s="5" t="s">
        <v>99</v>
      </c>
      <c r="B245" s="5" t="s">
        <v>100</v>
      </c>
      <c r="C245" s="5">
        <v>7000</v>
      </c>
      <c r="D245" s="5" t="s">
        <v>35</v>
      </c>
      <c r="E245" s="5" t="s">
        <v>36</v>
      </c>
      <c r="F245" s="6">
        <v>42736</v>
      </c>
      <c r="G245">
        <v>0</v>
      </c>
    </row>
    <row r="246" spans="1:7" x14ac:dyDescent="0.25">
      <c r="A246" s="5" t="s">
        <v>99</v>
      </c>
      <c r="B246" s="5" t="s">
        <v>100</v>
      </c>
      <c r="C246" s="5">
        <v>7000</v>
      </c>
      <c r="D246" s="5" t="s">
        <v>35</v>
      </c>
      <c r="E246" s="5" t="s">
        <v>37</v>
      </c>
      <c r="F246" s="6">
        <v>42370</v>
      </c>
      <c r="G246">
        <v>3</v>
      </c>
    </row>
    <row r="247" spans="1:7" x14ac:dyDescent="0.25">
      <c r="A247" s="5" t="s">
        <v>99</v>
      </c>
      <c r="B247" s="5" t="s">
        <v>100</v>
      </c>
      <c r="C247" s="5">
        <v>7000</v>
      </c>
      <c r="D247" s="5" t="s">
        <v>35</v>
      </c>
      <c r="E247" s="5" t="s">
        <v>37</v>
      </c>
      <c r="F247" s="6">
        <v>42736</v>
      </c>
      <c r="G247">
        <v>7</v>
      </c>
    </row>
    <row r="248" spans="1:7" x14ac:dyDescent="0.25">
      <c r="A248" s="5" t="s">
        <v>99</v>
      </c>
      <c r="B248" s="5" t="s">
        <v>100</v>
      </c>
      <c r="C248" s="5">
        <v>7000</v>
      </c>
      <c r="D248" s="5" t="s">
        <v>35</v>
      </c>
      <c r="E248" s="5" t="s">
        <v>38</v>
      </c>
      <c r="F248" s="6">
        <v>42370</v>
      </c>
      <c r="G248">
        <v>0</v>
      </c>
    </row>
    <row r="249" spans="1:7" x14ac:dyDescent="0.25">
      <c r="A249" s="5" t="s">
        <v>99</v>
      </c>
      <c r="B249" s="5" t="s">
        <v>100</v>
      </c>
      <c r="C249" s="5">
        <v>7000</v>
      </c>
      <c r="D249" s="5" t="s">
        <v>35</v>
      </c>
      <c r="E249" s="5" t="s">
        <v>38</v>
      </c>
      <c r="F249" s="6">
        <v>42736</v>
      </c>
      <c r="G249">
        <v>0</v>
      </c>
    </row>
    <row r="250" spans="1:7" x14ac:dyDescent="0.25">
      <c r="A250" s="5" t="s">
        <v>99</v>
      </c>
      <c r="B250" s="5" t="s">
        <v>100</v>
      </c>
      <c r="C250" s="5">
        <v>7000</v>
      </c>
      <c r="D250" s="5" t="s">
        <v>35</v>
      </c>
      <c r="E250" s="5" t="s">
        <v>39</v>
      </c>
      <c r="F250" s="6">
        <v>42370</v>
      </c>
      <c r="G250">
        <v>0</v>
      </c>
    </row>
    <row r="251" spans="1:7" x14ac:dyDescent="0.25">
      <c r="A251" s="5" t="s">
        <v>99</v>
      </c>
      <c r="B251" s="5" t="s">
        <v>100</v>
      </c>
      <c r="C251" s="5">
        <v>7000</v>
      </c>
      <c r="D251" s="5" t="s">
        <v>35</v>
      </c>
      <c r="E251" s="5" t="s">
        <v>39</v>
      </c>
      <c r="F251" s="6">
        <v>42736</v>
      </c>
      <c r="G251">
        <v>0</v>
      </c>
    </row>
    <row r="252" spans="1:7" x14ac:dyDescent="0.25">
      <c r="A252" s="5" t="s">
        <v>99</v>
      </c>
      <c r="B252" s="5" t="s">
        <v>100</v>
      </c>
      <c r="C252" s="5">
        <v>7000</v>
      </c>
      <c r="D252" s="5" t="s">
        <v>35</v>
      </c>
      <c r="E252" s="5" t="s">
        <v>40</v>
      </c>
      <c r="F252" s="6">
        <v>42370</v>
      </c>
      <c r="G252">
        <v>0</v>
      </c>
    </row>
    <row r="253" spans="1:7" x14ac:dyDescent="0.25">
      <c r="A253" s="5" t="s">
        <v>99</v>
      </c>
      <c r="B253" s="5" t="s">
        <v>100</v>
      </c>
      <c r="C253" s="5">
        <v>7000</v>
      </c>
      <c r="D253" s="5" t="s">
        <v>35</v>
      </c>
      <c r="E253" s="5" t="s">
        <v>40</v>
      </c>
      <c r="F253" s="6">
        <v>42736</v>
      </c>
      <c r="G253">
        <v>1</v>
      </c>
    </row>
    <row r="254" spans="1:7" x14ac:dyDescent="0.25">
      <c r="A254" s="5" t="s">
        <v>99</v>
      </c>
      <c r="B254" s="5" t="s">
        <v>100</v>
      </c>
      <c r="C254" s="5">
        <v>7000</v>
      </c>
      <c r="D254" s="5" t="s">
        <v>35</v>
      </c>
      <c r="E254" s="5" t="s">
        <v>41</v>
      </c>
      <c r="F254" s="6">
        <v>42370</v>
      </c>
      <c r="G254">
        <v>14</v>
      </c>
    </row>
    <row r="255" spans="1:7" x14ac:dyDescent="0.25">
      <c r="A255" s="5" t="s">
        <v>99</v>
      </c>
      <c r="B255" s="5" t="s">
        <v>100</v>
      </c>
      <c r="C255" s="5">
        <v>7000</v>
      </c>
      <c r="D255" s="5" t="s">
        <v>35</v>
      </c>
      <c r="E255" s="5" t="s">
        <v>41</v>
      </c>
      <c r="F255" s="6">
        <v>42736</v>
      </c>
      <c r="G255">
        <v>10</v>
      </c>
    </row>
    <row r="256" spans="1:7" x14ac:dyDescent="0.25">
      <c r="A256" s="5" t="s">
        <v>99</v>
      </c>
      <c r="B256" s="5" t="s">
        <v>100</v>
      </c>
      <c r="C256" s="5">
        <v>7000</v>
      </c>
      <c r="D256" s="5" t="s">
        <v>35</v>
      </c>
      <c r="E256" s="5" t="s">
        <v>42</v>
      </c>
      <c r="F256" s="6">
        <v>42370</v>
      </c>
      <c r="G256">
        <v>0</v>
      </c>
    </row>
    <row r="257" spans="1:7" x14ac:dyDescent="0.25">
      <c r="A257" s="5" t="s">
        <v>99</v>
      </c>
      <c r="B257" s="5" t="s">
        <v>100</v>
      </c>
      <c r="C257" s="5">
        <v>7000</v>
      </c>
      <c r="D257" s="5" t="s">
        <v>35</v>
      </c>
      <c r="E257" s="5" t="s">
        <v>42</v>
      </c>
      <c r="F257" s="6">
        <v>42736</v>
      </c>
      <c r="G257">
        <v>0</v>
      </c>
    </row>
    <row r="258" spans="1:7" x14ac:dyDescent="0.25">
      <c r="A258" s="5" t="s">
        <v>99</v>
      </c>
      <c r="B258" s="5" t="s">
        <v>100</v>
      </c>
      <c r="C258" s="5">
        <v>7000</v>
      </c>
      <c r="D258" s="5" t="s">
        <v>35</v>
      </c>
      <c r="E258" s="5" t="s">
        <v>43</v>
      </c>
      <c r="F258" s="6">
        <v>42370</v>
      </c>
      <c r="G258">
        <v>0</v>
      </c>
    </row>
    <row r="259" spans="1:7" x14ac:dyDescent="0.25">
      <c r="A259" s="5" t="s">
        <v>99</v>
      </c>
      <c r="B259" s="5" t="s">
        <v>100</v>
      </c>
      <c r="C259" s="5">
        <v>7000</v>
      </c>
      <c r="D259" s="5" t="s">
        <v>35</v>
      </c>
      <c r="E259" s="5" t="s">
        <v>43</v>
      </c>
      <c r="F259" s="6">
        <v>42736</v>
      </c>
      <c r="G259">
        <v>0</v>
      </c>
    </row>
    <row r="260" spans="1:7" x14ac:dyDescent="0.25">
      <c r="A260" s="5" t="s">
        <v>99</v>
      </c>
      <c r="B260" s="5" t="s">
        <v>100</v>
      </c>
      <c r="C260" s="5">
        <v>7000</v>
      </c>
      <c r="D260" s="5" t="s">
        <v>44</v>
      </c>
      <c r="E260" s="5" t="s">
        <v>36</v>
      </c>
      <c r="F260" s="6">
        <v>42370</v>
      </c>
      <c r="G260">
        <v>0</v>
      </c>
    </row>
    <row r="261" spans="1:7" x14ac:dyDescent="0.25">
      <c r="A261" s="5" t="s">
        <v>99</v>
      </c>
      <c r="B261" s="5" t="s">
        <v>100</v>
      </c>
      <c r="C261" s="5">
        <v>7000</v>
      </c>
      <c r="D261" s="5" t="s">
        <v>44</v>
      </c>
      <c r="E261" s="5" t="s">
        <v>36</v>
      </c>
      <c r="F261" s="6">
        <v>42736</v>
      </c>
      <c r="G261">
        <v>0</v>
      </c>
    </row>
    <row r="262" spans="1:7" x14ac:dyDescent="0.25">
      <c r="A262" s="5" t="s">
        <v>99</v>
      </c>
      <c r="B262" s="5" t="s">
        <v>100</v>
      </c>
      <c r="C262" s="5">
        <v>7000</v>
      </c>
      <c r="D262" s="5" t="s">
        <v>44</v>
      </c>
      <c r="E262" s="5" t="s">
        <v>37</v>
      </c>
      <c r="F262" s="6">
        <v>42370</v>
      </c>
      <c r="G262">
        <v>0</v>
      </c>
    </row>
    <row r="263" spans="1:7" x14ac:dyDescent="0.25">
      <c r="A263" s="5" t="s">
        <v>99</v>
      </c>
      <c r="B263" s="5" t="s">
        <v>100</v>
      </c>
      <c r="C263" s="5">
        <v>7000</v>
      </c>
      <c r="D263" s="5" t="s">
        <v>44</v>
      </c>
      <c r="E263" s="5" t="s">
        <v>37</v>
      </c>
      <c r="F263" s="6">
        <v>42736</v>
      </c>
      <c r="G263">
        <v>1</v>
      </c>
    </row>
    <row r="264" spans="1:7" x14ac:dyDescent="0.25">
      <c r="A264" s="5" t="s">
        <v>99</v>
      </c>
      <c r="B264" s="5" t="s">
        <v>100</v>
      </c>
      <c r="C264" s="5">
        <v>7000</v>
      </c>
      <c r="D264" s="5" t="s">
        <v>44</v>
      </c>
      <c r="E264" s="5" t="s">
        <v>38</v>
      </c>
      <c r="F264" s="6">
        <v>42370</v>
      </c>
      <c r="G264">
        <v>0</v>
      </c>
    </row>
    <row r="265" spans="1:7" x14ac:dyDescent="0.25">
      <c r="A265" s="5" t="s">
        <v>99</v>
      </c>
      <c r="B265" s="5" t="s">
        <v>100</v>
      </c>
      <c r="C265" s="5">
        <v>7000</v>
      </c>
      <c r="D265" s="5" t="s">
        <v>44</v>
      </c>
      <c r="E265" s="5" t="s">
        <v>38</v>
      </c>
      <c r="F265" s="6">
        <v>42736</v>
      </c>
      <c r="G265">
        <v>0</v>
      </c>
    </row>
    <row r="266" spans="1:7" x14ac:dyDescent="0.25">
      <c r="A266" s="5" t="s">
        <v>99</v>
      </c>
      <c r="B266" s="5" t="s">
        <v>100</v>
      </c>
      <c r="C266" s="5">
        <v>7000</v>
      </c>
      <c r="D266" s="5" t="s">
        <v>44</v>
      </c>
      <c r="E266" s="5" t="s">
        <v>39</v>
      </c>
      <c r="F266" s="6">
        <v>42370</v>
      </c>
      <c r="G266">
        <v>0</v>
      </c>
    </row>
    <row r="267" spans="1:7" x14ac:dyDescent="0.25">
      <c r="A267" s="5" t="s">
        <v>99</v>
      </c>
      <c r="B267" s="5" t="s">
        <v>100</v>
      </c>
      <c r="C267" s="5">
        <v>7000</v>
      </c>
      <c r="D267" s="5" t="s">
        <v>44</v>
      </c>
      <c r="E267" s="5" t="s">
        <v>39</v>
      </c>
      <c r="F267" s="6">
        <v>42736</v>
      </c>
      <c r="G267">
        <v>0</v>
      </c>
    </row>
    <row r="268" spans="1:7" x14ac:dyDescent="0.25">
      <c r="A268" s="5" t="s">
        <v>99</v>
      </c>
      <c r="B268" s="5" t="s">
        <v>100</v>
      </c>
      <c r="C268" s="5">
        <v>7000</v>
      </c>
      <c r="D268" s="5" t="s">
        <v>44</v>
      </c>
      <c r="E268" s="5" t="s">
        <v>40</v>
      </c>
      <c r="F268" s="6">
        <v>42370</v>
      </c>
      <c r="G268">
        <v>0</v>
      </c>
    </row>
    <row r="269" spans="1:7" x14ac:dyDescent="0.25">
      <c r="A269" s="5" t="s">
        <v>99</v>
      </c>
      <c r="B269" s="5" t="s">
        <v>100</v>
      </c>
      <c r="C269" s="5">
        <v>7000</v>
      </c>
      <c r="D269" s="5" t="s">
        <v>44</v>
      </c>
      <c r="E269" s="5" t="s">
        <v>40</v>
      </c>
      <c r="F269" s="6">
        <v>42736</v>
      </c>
      <c r="G269">
        <v>0</v>
      </c>
    </row>
    <row r="270" spans="1:7" x14ac:dyDescent="0.25">
      <c r="A270" s="5" t="s">
        <v>99</v>
      </c>
      <c r="B270" s="5" t="s">
        <v>100</v>
      </c>
      <c r="C270" s="5">
        <v>7000</v>
      </c>
      <c r="D270" s="5" t="s">
        <v>44</v>
      </c>
      <c r="E270" s="5" t="s">
        <v>41</v>
      </c>
      <c r="F270" s="6">
        <v>42370</v>
      </c>
      <c r="G270">
        <v>0</v>
      </c>
    </row>
    <row r="271" spans="1:7" x14ac:dyDescent="0.25">
      <c r="A271" s="5" t="s">
        <v>99</v>
      </c>
      <c r="B271" s="5" t="s">
        <v>100</v>
      </c>
      <c r="C271" s="5">
        <v>7000</v>
      </c>
      <c r="D271" s="5" t="s">
        <v>44</v>
      </c>
      <c r="E271" s="5" t="s">
        <v>41</v>
      </c>
      <c r="F271" s="6">
        <v>42736</v>
      </c>
      <c r="G271">
        <v>0</v>
      </c>
    </row>
    <row r="272" spans="1:7" x14ac:dyDescent="0.25">
      <c r="A272" s="5" t="s">
        <v>99</v>
      </c>
      <c r="B272" s="5" t="s">
        <v>100</v>
      </c>
      <c r="C272" s="5">
        <v>7000</v>
      </c>
      <c r="D272" s="5" t="s">
        <v>44</v>
      </c>
      <c r="E272" s="5" t="s">
        <v>42</v>
      </c>
      <c r="F272" s="6">
        <v>42370</v>
      </c>
      <c r="G272">
        <v>0</v>
      </c>
    </row>
    <row r="273" spans="1:7" x14ac:dyDescent="0.25">
      <c r="A273" s="5" t="s">
        <v>99</v>
      </c>
      <c r="B273" s="5" t="s">
        <v>100</v>
      </c>
      <c r="C273" s="5">
        <v>7000</v>
      </c>
      <c r="D273" s="5" t="s">
        <v>44</v>
      </c>
      <c r="E273" s="5" t="s">
        <v>42</v>
      </c>
      <c r="F273" s="6">
        <v>42736</v>
      </c>
      <c r="G273">
        <v>0</v>
      </c>
    </row>
    <row r="274" spans="1:7" x14ac:dyDescent="0.25">
      <c r="A274" s="5" t="s">
        <v>99</v>
      </c>
      <c r="B274" s="5" t="s">
        <v>100</v>
      </c>
      <c r="C274" s="5">
        <v>7000</v>
      </c>
      <c r="D274" s="5" t="s">
        <v>44</v>
      </c>
      <c r="E274" s="5" t="s">
        <v>43</v>
      </c>
      <c r="F274" s="6">
        <v>42370</v>
      </c>
      <c r="G274">
        <v>0</v>
      </c>
    </row>
    <row r="275" spans="1:7" x14ac:dyDescent="0.25">
      <c r="A275" s="5" t="s">
        <v>99</v>
      </c>
      <c r="B275" s="5" t="s">
        <v>100</v>
      </c>
      <c r="C275" s="5">
        <v>7000</v>
      </c>
      <c r="D275" s="5" t="s">
        <v>44</v>
      </c>
      <c r="E275" s="5" t="s">
        <v>43</v>
      </c>
      <c r="F275" s="6">
        <v>42736</v>
      </c>
      <c r="G275">
        <v>0</v>
      </c>
    </row>
    <row r="276" spans="1:7" x14ac:dyDescent="0.25">
      <c r="A276" s="5" t="s">
        <v>99</v>
      </c>
      <c r="B276" s="5" t="s">
        <v>100</v>
      </c>
      <c r="C276" s="5">
        <v>7000</v>
      </c>
      <c r="D276" s="5" t="s">
        <v>45</v>
      </c>
      <c r="E276" s="5" t="s">
        <v>46</v>
      </c>
      <c r="F276" s="6">
        <v>42370</v>
      </c>
      <c r="G276">
        <v>0</v>
      </c>
    </row>
    <row r="277" spans="1:7" x14ac:dyDescent="0.25">
      <c r="A277" s="5" t="s">
        <v>99</v>
      </c>
      <c r="B277" s="5" t="s">
        <v>100</v>
      </c>
      <c r="C277" s="5">
        <v>7000</v>
      </c>
      <c r="D277" s="5" t="s">
        <v>45</v>
      </c>
      <c r="E277" s="5" t="s">
        <v>46</v>
      </c>
      <c r="F277" s="6">
        <v>42736</v>
      </c>
      <c r="G277">
        <v>0</v>
      </c>
    </row>
    <row r="278" spans="1:7" x14ac:dyDescent="0.25">
      <c r="A278" s="5" t="s">
        <v>99</v>
      </c>
      <c r="B278" s="5" t="s">
        <v>100</v>
      </c>
      <c r="C278" s="5">
        <v>7000</v>
      </c>
      <c r="D278" s="5" t="s">
        <v>45</v>
      </c>
      <c r="E278" s="5" t="s">
        <v>47</v>
      </c>
      <c r="F278" s="6">
        <v>42370</v>
      </c>
      <c r="G278">
        <v>3</v>
      </c>
    </row>
    <row r="279" spans="1:7" x14ac:dyDescent="0.25">
      <c r="A279" s="5" t="s">
        <v>99</v>
      </c>
      <c r="B279" s="5" t="s">
        <v>100</v>
      </c>
      <c r="C279" s="5">
        <v>7000</v>
      </c>
      <c r="D279" s="5" t="s">
        <v>45</v>
      </c>
      <c r="E279" s="5" t="s">
        <v>47</v>
      </c>
      <c r="F279" s="6">
        <v>42736</v>
      </c>
      <c r="G279">
        <v>8</v>
      </c>
    </row>
    <row r="280" spans="1:7" x14ac:dyDescent="0.25">
      <c r="A280" s="5" t="s">
        <v>99</v>
      </c>
      <c r="B280" s="5" t="s">
        <v>100</v>
      </c>
      <c r="C280" s="5">
        <v>7000</v>
      </c>
      <c r="D280" s="5" t="s">
        <v>45</v>
      </c>
      <c r="E280" s="5" t="s">
        <v>48</v>
      </c>
      <c r="F280" s="6">
        <v>42370</v>
      </c>
      <c r="G280">
        <v>98</v>
      </c>
    </row>
    <row r="281" spans="1:7" x14ac:dyDescent="0.25">
      <c r="A281" s="5" t="s">
        <v>99</v>
      </c>
      <c r="B281" s="5" t="s">
        <v>100</v>
      </c>
      <c r="C281" s="5">
        <v>7000</v>
      </c>
      <c r="D281" s="5" t="s">
        <v>45</v>
      </c>
      <c r="E281" s="5" t="s">
        <v>48</v>
      </c>
      <c r="F281" s="6">
        <v>42736</v>
      </c>
      <c r="G281">
        <v>151</v>
      </c>
    </row>
    <row r="282" spans="1:7" x14ac:dyDescent="0.25">
      <c r="A282" s="5" t="s">
        <v>99</v>
      </c>
      <c r="B282" s="5" t="s">
        <v>100</v>
      </c>
      <c r="C282" s="5">
        <v>7000</v>
      </c>
      <c r="D282" s="5" t="s">
        <v>45</v>
      </c>
      <c r="E282" s="5" t="s">
        <v>49</v>
      </c>
      <c r="F282" s="6">
        <v>42370</v>
      </c>
      <c r="G282">
        <v>78</v>
      </c>
    </row>
    <row r="283" spans="1:7" x14ac:dyDescent="0.25">
      <c r="A283" s="5" t="s">
        <v>99</v>
      </c>
      <c r="B283" s="5" t="s">
        <v>100</v>
      </c>
      <c r="C283" s="5">
        <v>7000</v>
      </c>
      <c r="D283" s="5" t="s">
        <v>45</v>
      </c>
      <c r="E283" s="5" t="s">
        <v>49</v>
      </c>
      <c r="F283" s="6">
        <v>42736</v>
      </c>
      <c r="G283">
        <v>123</v>
      </c>
    </row>
    <row r="284" spans="1:7" x14ac:dyDescent="0.25">
      <c r="A284" s="5" t="s">
        <v>99</v>
      </c>
      <c r="B284" s="5" t="s">
        <v>100</v>
      </c>
      <c r="C284" s="5">
        <v>7000</v>
      </c>
      <c r="D284" s="5" t="s">
        <v>45</v>
      </c>
      <c r="E284" s="5" t="s">
        <v>50</v>
      </c>
      <c r="F284" s="6">
        <v>42370</v>
      </c>
      <c r="G284">
        <v>0</v>
      </c>
    </row>
    <row r="285" spans="1:7" x14ac:dyDescent="0.25">
      <c r="A285" s="5" t="s">
        <v>99</v>
      </c>
      <c r="B285" s="5" t="s">
        <v>100</v>
      </c>
      <c r="C285" s="5">
        <v>7000</v>
      </c>
      <c r="D285" s="5" t="s">
        <v>45</v>
      </c>
      <c r="E285" s="5" t="s">
        <v>50</v>
      </c>
      <c r="F285" s="6">
        <v>42736</v>
      </c>
      <c r="G285">
        <v>0</v>
      </c>
    </row>
    <row r="286" spans="1:7" x14ac:dyDescent="0.25">
      <c r="A286" s="5" t="s">
        <v>99</v>
      </c>
      <c r="B286" s="5" t="s">
        <v>100</v>
      </c>
      <c r="C286" s="5">
        <v>7000</v>
      </c>
      <c r="D286" s="5" t="s">
        <v>45</v>
      </c>
      <c r="E286" s="5" t="s">
        <v>51</v>
      </c>
      <c r="F286" s="6">
        <v>42370</v>
      </c>
      <c r="G286">
        <v>0</v>
      </c>
    </row>
    <row r="287" spans="1:7" x14ac:dyDescent="0.25">
      <c r="A287" s="5" t="s">
        <v>99</v>
      </c>
      <c r="B287" s="5" t="s">
        <v>100</v>
      </c>
      <c r="C287" s="5">
        <v>7000</v>
      </c>
      <c r="D287" s="5" t="s">
        <v>45</v>
      </c>
      <c r="E287" s="5" t="s">
        <v>51</v>
      </c>
      <c r="F287" s="6">
        <v>42736</v>
      </c>
      <c r="G287">
        <v>0</v>
      </c>
    </row>
    <row r="288" spans="1:7" x14ac:dyDescent="0.25">
      <c r="A288" s="5" t="s">
        <v>99</v>
      </c>
      <c r="B288" s="5" t="s">
        <v>100</v>
      </c>
      <c r="C288" s="5">
        <v>7000</v>
      </c>
      <c r="D288" s="5" t="s">
        <v>45</v>
      </c>
      <c r="E288" s="5" t="s">
        <v>52</v>
      </c>
      <c r="F288" s="6">
        <v>42370</v>
      </c>
      <c r="G288">
        <v>1</v>
      </c>
    </row>
    <row r="289" spans="1:7" x14ac:dyDescent="0.25">
      <c r="A289" s="5" t="s">
        <v>99</v>
      </c>
      <c r="B289" s="5" t="s">
        <v>100</v>
      </c>
      <c r="C289" s="5">
        <v>7000</v>
      </c>
      <c r="D289" s="5" t="s">
        <v>45</v>
      </c>
      <c r="E289" s="5" t="s">
        <v>52</v>
      </c>
      <c r="F289" s="6">
        <v>42736</v>
      </c>
      <c r="G289">
        <v>2</v>
      </c>
    </row>
    <row r="290" spans="1:7" x14ac:dyDescent="0.25">
      <c r="A290" s="5" t="s">
        <v>99</v>
      </c>
      <c r="B290" s="5" t="s">
        <v>100</v>
      </c>
      <c r="C290" s="5">
        <v>7000</v>
      </c>
      <c r="D290" s="5" t="s">
        <v>45</v>
      </c>
      <c r="E290" s="5" t="s">
        <v>53</v>
      </c>
      <c r="F290" s="6">
        <v>42370</v>
      </c>
      <c r="G290">
        <v>35</v>
      </c>
    </row>
    <row r="291" spans="1:7" x14ac:dyDescent="0.25">
      <c r="A291" s="5" t="s">
        <v>99</v>
      </c>
      <c r="B291" s="5" t="s">
        <v>100</v>
      </c>
      <c r="C291" s="5">
        <v>7000</v>
      </c>
      <c r="D291" s="5" t="s">
        <v>45</v>
      </c>
      <c r="E291" s="5" t="s">
        <v>53</v>
      </c>
      <c r="F291" s="6">
        <v>42736</v>
      </c>
      <c r="G291">
        <v>99</v>
      </c>
    </row>
    <row r="292" spans="1:7" x14ac:dyDescent="0.25">
      <c r="A292" s="5" t="s">
        <v>99</v>
      </c>
      <c r="B292" s="5" t="s">
        <v>100</v>
      </c>
      <c r="C292" s="5">
        <v>7000</v>
      </c>
      <c r="D292" s="5" t="s">
        <v>45</v>
      </c>
      <c r="E292" s="5" t="s">
        <v>54</v>
      </c>
      <c r="F292" s="6">
        <v>42370</v>
      </c>
      <c r="G292">
        <v>3</v>
      </c>
    </row>
    <row r="293" spans="1:7" x14ac:dyDescent="0.25">
      <c r="A293" s="5" t="s">
        <v>99</v>
      </c>
      <c r="B293" s="5" t="s">
        <v>100</v>
      </c>
      <c r="C293" s="5">
        <v>7000</v>
      </c>
      <c r="D293" s="5" t="s">
        <v>45</v>
      </c>
      <c r="E293" s="5" t="s">
        <v>54</v>
      </c>
      <c r="F293" s="6">
        <v>42736</v>
      </c>
      <c r="G293">
        <v>2</v>
      </c>
    </row>
    <row r="294" spans="1:7" x14ac:dyDescent="0.25">
      <c r="A294" s="5" t="s">
        <v>99</v>
      </c>
      <c r="B294" s="5" t="s">
        <v>100</v>
      </c>
      <c r="C294" s="5">
        <v>7000</v>
      </c>
      <c r="D294" s="5" t="s">
        <v>45</v>
      </c>
      <c r="E294" s="5" t="s">
        <v>55</v>
      </c>
      <c r="F294" s="6">
        <v>42370</v>
      </c>
      <c r="G294">
        <v>2</v>
      </c>
    </row>
    <row r="295" spans="1:7" x14ac:dyDescent="0.25">
      <c r="A295" s="5" t="s">
        <v>99</v>
      </c>
      <c r="B295" s="5" t="s">
        <v>100</v>
      </c>
      <c r="C295" s="5">
        <v>7000</v>
      </c>
      <c r="D295" s="5" t="s">
        <v>45</v>
      </c>
      <c r="E295" s="5" t="s">
        <v>55</v>
      </c>
      <c r="F295" s="6">
        <v>42736</v>
      </c>
      <c r="G295">
        <v>1</v>
      </c>
    </row>
    <row r="296" spans="1:7" x14ac:dyDescent="0.25">
      <c r="A296" s="5" t="s">
        <v>99</v>
      </c>
      <c r="B296" s="5" t="s">
        <v>100</v>
      </c>
      <c r="C296" s="5">
        <v>7000</v>
      </c>
      <c r="D296" s="5" t="s">
        <v>45</v>
      </c>
      <c r="E296" s="5" t="s">
        <v>56</v>
      </c>
      <c r="F296" s="6">
        <v>42370</v>
      </c>
      <c r="G296">
        <v>1</v>
      </c>
    </row>
    <row r="297" spans="1:7" x14ac:dyDescent="0.25">
      <c r="A297" s="5" t="s">
        <v>99</v>
      </c>
      <c r="B297" s="5" t="s">
        <v>100</v>
      </c>
      <c r="C297" s="5">
        <v>7000</v>
      </c>
      <c r="D297" s="5" t="s">
        <v>45</v>
      </c>
      <c r="E297" s="5" t="s">
        <v>56</v>
      </c>
      <c r="F297" s="6">
        <v>42736</v>
      </c>
      <c r="G297">
        <v>2</v>
      </c>
    </row>
    <row r="298" spans="1:7" x14ac:dyDescent="0.25">
      <c r="A298" s="5" t="s">
        <v>99</v>
      </c>
      <c r="B298" s="5" t="s">
        <v>100</v>
      </c>
      <c r="C298" s="5">
        <v>7000</v>
      </c>
      <c r="D298" s="5" t="s">
        <v>45</v>
      </c>
      <c r="E298" s="5" t="s">
        <v>57</v>
      </c>
      <c r="F298" s="6">
        <v>42370</v>
      </c>
      <c r="G298">
        <v>1</v>
      </c>
    </row>
    <row r="299" spans="1:7" x14ac:dyDescent="0.25">
      <c r="A299" s="5" t="s">
        <v>99</v>
      </c>
      <c r="B299" s="5" t="s">
        <v>100</v>
      </c>
      <c r="C299" s="5">
        <v>7000</v>
      </c>
      <c r="D299" s="5" t="s">
        <v>45</v>
      </c>
      <c r="E299" s="5" t="s">
        <v>57</v>
      </c>
      <c r="F299" s="6">
        <v>42736</v>
      </c>
      <c r="G299">
        <v>2</v>
      </c>
    </row>
    <row r="300" spans="1:7" x14ac:dyDescent="0.25">
      <c r="A300" s="5" t="s">
        <v>99</v>
      </c>
      <c r="B300" s="5" t="s">
        <v>100</v>
      </c>
      <c r="C300" s="5">
        <v>7000</v>
      </c>
      <c r="D300" s="5" t="s">
        <v>45</v>
      </c>
      <c r="E300" s="5" t="s">
        <v>58</v>
      </c>
      <c r="F300" s="6">
        <v>42370</v>
      </c>
      <c r="G300">
        <v>3</v>
      </c>
    </row>
    <row r="301" spans="1:7" x14ac:dyDescent="0.25">
      <c r="A301" s="5" t="s">
        <v>99</v>
      </c>
      <c r="B301" s="5" t="s">
        <v>100</v>
      </c>
      <c r="C301" s="5">
        <v>7000</v>
      </c>
      <c r="D301" s="5" t="s">
        <v>45</v>
      </c>
      <c r="E301" s="5" t="s">
        <v>58</v>
      </c>
      <c r="F301" s="6">
        <v>42736</v>
      </c>
      <c r="G301">
        <v>7</v>
      </c>
    </row>
    <row r="302" spans="1:7" x14ac:dyDescent="0.25">
      <c r="A302" s="5" t="s">
        <v>99</v>
      </c>
      <c r="B302" s="5" t="s">
        <v>100</v>
      </c>
      <c r="C302" s="5">
        <v>7000</v>
      </c>
      <c r="D302" s="5" t="s">
        <v>45</v>
      </c>
      <c r="E302" s="5" t="s">
        <v>59</v>
      </c>
      <c r="F302" s="6">
        <v>42370</v>
      </c>
      <c r="G302">
        <v>25</v>
      </c>
    </row>
    <row r="303" spans="1:7" x14ac:dyDescent="0.25">
      <c r="A303" s="5" t="s">
        <v>99</v>
      </c>
      <c r="B303" s="5" t="s">
        <v>100</v>
      </c>
      <c r="C303" s="5">
        <v>7000</v>
      </c>
      <c r="D303" s="5" t="s">
        <v>45</v>
      </c>
      <c r="E303" s="5" t="s">
        <v>59</v>
      </c>
      <c r="F303" s="6">
        <v>42736</v>
      </c>
      <c r="G303">
        <v>30</v>
      </c>
    </row>
    <row r="304" spans="1:7" x14ac:dyDescent="0.25">
      <c r="A304" s="5" t="s">
        <v>99</v>
      </c>
      <c r="B304" s="5" t="s">
        <v>100</v>
      </c>
      <c r="C304" s="5">
        <v>7000</v>
      </c>
      <c r="D304" s="5" t="s">
        <v>45</v>
      </c>
      <c r="E304" s="5" t="s">
        <v>60</v>
      </c>
      <c r="F304" s="6">
        <v>42370</v>
      </c>
      <c r="G304">
        <v>24</v>
      </c>
    </row>
    <row r="305" spans="1:7" x14ac:dyDescent="0.25">
      <c r="A305" s="5" t="s">
        <v>99</v>
      </c>
      <c r="B305" s="5" t="s">
        <v>100</v>
      </c>
      <c r="C305" s="5">
        <v>7000</v>
      </c>
      <c r="D305" s="5" t="s">
        <v>45</v>
      </c>
      <c r="E305" s="5" t="s">
        <v>60</v>
      </c>
      <c r="F305" s="6">
        <v>42736</v>
      </c>
      <c r="G305">
        <v>12</v>
      </c>
    </row>
    <row r="306" spans="1:7" x14ac:dyDescent="0.25">
      <c r="A306" s="5" t="s">
        <v>99</v>
      </c>
      <c r="B306" s="5" t="s">
        <v>100</v>
      </c>
      <c r="C306" s="5">
        <v>7000</v>
      </c>
      <c r="D306" s="5" t="s">
        <v>45</v>
      </c>
      <c r="E306" s="5" t="s">
        <v>61</v>
      </c>
      <c r="F306" s="6">
        <v>42370</v>
      </c>
      <c r="G306">
        <v>0</v>
      </c>
    </row>
    <row r="307" spans="1:7" x14ac:dyDescent="0.25">
      <c r="A307" s="5" t="s">
        <v>99</v>
      </c>
      <c r="B307" s="5" t="s">
        <v>100</v>
      </c>
      <c r="C307" s="5">
        <v>7000</v>
      </c>
      <c r="D307" s="5" t="s">
        <v>45</v>
      </c>
      <c r="E307" s="5" t="s">
        <v>61</v>
      </c>
      <c r="F307" s="6">
        <v>42736</v>
      </c>
      <c r="G307">
        <v>0</v>
      </c>
    </row>
    <row r="308" spans="1:7" x14ac:dyDescent="0.25">
      <c r="A308" s="5" t="s">
        <v>99</v>
      </c>
      <c r="B308" s="5" t="s">
        <v>100</v>
      </c>
      <c r="C308" s="5">
        <v>7000</v>
      </c>
      <c r="D308" s="5" t="s">
        <v>62</v>
      </c>
      <c r="E308" s="5" t="s">
        <v>63</v>
      </c>
      <c r="F308" s="6">
        <v>42370</v>
      </c>
      <c r="G308">
        <v>1</v>
      </c>
    </row>
    <row r="309" spans="1:7" x14ac:dyDescent="0.25">
      <c r="A309" s="5" t="s">
        <v>99</v>
      </c>
      <c r="B309" s="5" t="s">
        <v>100</v>
      </c>
      <c r="C309" s="5">
        <v>7000</v>
      </c>
      <c r="D309" s="5" t="s">
        <v>62</v>
      </c>
      <c r="E309" s="5" t="s">
        <v>63</v>
      </c>
      <c r="F309" s="6">
        <v>42736</v>
      </c>
      <c r="G309">
        <v>0</v>
      </c>
    </row>
    <row r="310" spans="1:7" x14ac:dyDescent="0.25">
      <c r="A310" s="5" t="s">
        <v>99</v>
      </c>
      <c r="B310" s="5" t="s">
        <v>100</v>
      </c>
      <c r="C310" s="5">
        <v>7000</v>
      </c>
      <c r="D310" s="5" t="s">
        <v>62</v>
      </c>
      <c r="E310" s="5" t="s">
        <v>64</v>
      </c>
      <c r="F310" s="6">
        <v>42370</v>
      </c>
      <c r="G310">
        <v>0</v>
      </c>
    </row>
    <row r="311" spans="1:7" x14ac:dyDescent="0.25">
      <c r="A311" s="5" t="s">
        <v>99</v>
      </c>
      <c r="B311" s="5" t="s">
        <v>100</v>
      </c>
      <c r="C311" s="5">
        <v>7000</v>
      </c>
      <c r="D311" s="5" t="s">
        <v>62</v>
      </c>
      <c r="E311" s="5" t="s">
        <v>64</v>
      </c>
      <c r="F311" s="6">
        <v>42736</v>
      </c>
      <c r="G311">
        <v>0</v>
      </c>
    </row>
    <row r="312" spans="1:7" x14ac:dyDescent="0.25">
      <c r="A312" s="5" t="s">
        <v>99</v>
      </c>
      <c r="B312" s="5" t="s">
        <v>100</v>
      </c>
      <c r="C312" s="5">
        <v>7000</v>
      </c>
      <c r="D312" s="5" t="s">
        <v>62</v>
      </c>
      <c r="E312" s="5" t="s">
        <v>9</v>
      </c>
      <c r="F312" s="6">
        <v>42370</v>
      </c>
      <c r="G312">
        <v>0</v>
      </c>
    </row>
    <row r="313" spans="1:7" x14ac:dyDescent="0.25">
      <c r="A313" s="5" t="s">
        <v>99</v>
      </c>
      <c r="B313" s="5" t="s">
        <v>100</v>
      </c>
      <c r="C313" s="5">
        <v>7000</v>
      </c>
      <c r="D313" s="5" t="s">
        <v>62</v>
      </c>
      <c r="E313" s="5" t="s">
        <v>9</v>
      </c>
      <c r="F313" s="6">
        <v>42736</v>
      </c>
      <c r="G313">
        <v>1</v>
      </c>
    </row>
    <row r="314" spans="1:7" x14ac:dyDescent="0.25">
      <c r="A314" s="5" t="s">
        <v>99</v>
      </c>
      <c r="B314" s="5" t="s">
        <v>100</v>
      </c>
      <c r="C314" s="5">
        <v>7000</v>
      </c>
      <c r="D314" s="5" t="s">
        <v>62</v>
      </c>
      <c r="E314" s="5" t="s">
        <v>65</v>
      </c>
      <c r="F314" s="6">
        <v>42370</v>
      </c>
      <c r="G314">
        <v>0</v>
      </c>
    </row>
    <row r="315" spans="1:7" x14ac:dyDescent="0.25">
      <c r="A315" s="5" t="s">
        <v>99</v>
      </c>
      <c r="B315" s="5" t="s">
        <v>100</v>
      </c>
      <c r="C315" s="5">
        <v>7000</v>
      </c>
      <c r="D315" s="5" t="s">
        <v>62</v>
      </c>
      <c r="E315" s="5" t="s">
        <v>65</v>
      </c>
      <c r="F315" s="6">
        <v>42736</v>
      </c>
      <c r="G315">
        <v>0</v>
      </c>
    </row>
    <row r="316" spans="1:7" x14ac:dyDescent="0.25">
      <c r="A316" s="5" t="s">
        <v>99</v>
      </c>
      <c r="B316" s="5" t="s">
        <v>100</v>
      </c>
      <c r="C316" s="5">
        <v>7000</v>
      </c>
      <c r="D316" s="5" t="s">
        <v>62</v>
      </c>
      <c r="E316" s="5" t="s">
        <v>66</v>
      </c>
      <c r="F316" s="6">
        <v>42370</v>
      </c>
      <c r="G316">
        <v>0</v>
      </c>
    </row>
    <row r="317" spans="1:7" x14ac:dyDescent="0.25">
      <c r="A317" s="5" t="s">
        <v>99</v>
      </c>
      <c r="B317" s="5" t="s">
        <v>100</v>
      </c>
      <c r="C317" s="5">
        <v>7000</v>
      </c>
      <c r="D317" s="5" t="s">
        <v>62</v>
      </c>
      <c r="E317" s="5" t="s">
        <v>66</v>
      </c>
      <c r="F317" s="6">
        <v>42736</v>
      </c>
      <c r="G317">
        <v>0</v>
      </c>
    </row>
    <row r="318" spans="1:7" x14ac:dyDescent="0.25">
      <c r="A318" s="5" t="s">
        <v>99</v>
      </c>
      <c r="B318" s="5" t="s">
        <v>100</v>
      </c>
      <c r="C318" s="5">
        <v>7000</v>
      </c>
      <c r="D318" s="5" t="s">
        <v>62</v>
      </c>
      <c r="E318" s="5" t="s">
        <v>67</v>
      </c>
      <c r="F318" s="6">
        <v>42370</v>
      </c>
      <c r="G318">
        <v>0</v>
      </c>
    </row>
    <row r="319" spans="1:7" x14ac:dyDescent="0.25">
      <c r="A319" s="5" t="s">
        <v>99</v>
      </c>
      <c r="B319" s="5" t="s">
        <v>100</v>
      </c>
      <c r="C319" s="5">
        <v>7000</v>
      </c>
      <c r="D319" s="5" t="s">
        <v>62</v>
      </c>
      <c r="E319" s="5" t="s">
        <v>67</v>
      </c>
      <c r="F319" s="6">
        <v>42736</v>
      </c>
      <c r="G319">
        <v>0</v>
      </c>
    </row>
    <row r="320" spans="1:7" x14ac:dyDescent="0.25">
      <c r="A320" s="5" t="s">
        <v>99</v>
      </c>
      <c r="B320" s="5" t="s">
        <v>100</v>
      </c>
      <c r="C320" s="5">
        <v>7000</v>
      </c>
      <c r="D320" s="5" t="s">
        <v>62</v>
      </c>
      <c r="E320" s="5" t="s">
        <v>68</v>
      </c>
      <c r="F320" s="6">
        <v>42370</v>
      </c>
      <c r="G320">
        <v>0</v>
      </c>
    </row>
    <row r="321" spans="1:7" x14ac:dyDescent="0.25">
      <c r="A321" s="5" t="s">
        <v>99</v>
      </c>
      <c r="B321" s="5" t="s">
        <v>100</v>
      </c>
      <c r="C321" s="5">
        <v>7000</v>
      </c>
      <c r="D321" s="5" t="s">
        <v>62</v>
      </c>
      <c r="E321" s="5" t="s">
        <v>68</v>
      </c>
      <c r="F321" s="6">
        <v>42736</v>
      </c>
      <c r="G321">
        <v>4</v>
      </c>
    </row>
    <row r="322" spans="1:7" x14ac:dyDescent="0.25">
      <c r="A322" s="5" t="s">
        <v>99</v>
      </c>
      <c r="B322" s="5" t="s">
        <v>100</v>
      </c>
      <c r="C322" s="5">
        <v>7000</v>
      </c>
      <c r="D322" s="5" t="s">
        <v>62</v>
      </c>
      <c r="E322" s="5" t="s">
        <v>69</v>
      </c>
      <c r="F322" s="6">
        <v>42370</v>
      </c>
      <c r="G322">
        <v>4</v>
      </c>
    </row>
    <row r="323" spans="1:7" x14ac:dyDescent="0.25">
      <c r="A323" s="5" t="s">
        <v>99</v>
      </c>
      <c r="B323" s="5" t="s">
        <v>100</v>
      </c>
      <c r="C323" s="5">
        <v>7000</v>
      </c>
      <c r="D323" s="5" t="s">
        <v>62</v>
      </c>
      <c r="E323" s="5" t="s">
        <v>69</v>
      </c>
      <c r="F323" s="6">
        <v>42736</v>
      </c>
      <c r="G323">
        <v>7</v>
      </c>
    </row>
    <row r="324" spans="1:7" x14ac:dyDescent="0.25">
      <c r="A324" s="5" t="s">
        <v>99</v>
      </c>
      <c r="B324" s="5" t="s">
        <v>100</v>
      </c>
      <c r="C324" s="5">
        <v>7000</v>
      </c>
      <c r="D324" s="5" t="s">
        <v>62</v>
      </c>
      <c r="E324" s="5" t="s">
        <v>70</v>
      </c>
      <c r="F324" s="6">
        <v>42370</v>
      </c>
      <c r="G324">
        <v>0</v>
      </c>
    </row>
    <row r="325" spans="1:7" x14ac:dyDescent="0.25">
      <c r="A325" s="5" t="s">
        <v>99</v>
      </c>
      <c r="B325" s="5" t="s">
        <v>100</v>
      </c>
      <c r="C325" s="5">
        <v>7000</v>
      </c>
      <c r="D325" s="5" t="s">
        <v>62</v>
      </c>
      <c r="E325" s="5" t="s">
        <v>70</v>
      </c>
      <c r="F325" s="6">
        <v>42736</v>
      </c>
      <c r="G325">
        <v>6</v>
      </c>
    </row>
    <row r="326" spans="1:7" x14ac:dyDescent="0.25">
      <c r="A326" s="5" t="s">
        <v>99</v>
      </c>
      <c r="B326" s="5" t="s">
        <v>100</v>
      </c>
      <c r="C326" s="5">
        <v>7000</v>
      </c>
      <c r="D326" s="5" t="s">
        <v>62</v>
      </c>
      <c r="E326" s="5" t="s">
        <v>71</v>
      </c>
      <c r="F326" s="6">
        <v>42370</v>
      </c>
      <c r="G326">
        <v>0</v>
      </c>
    </row>
    <row r="327" spans="1:7" x14ac:dyDescent="0.25">
      <c r="A327" s="5" t="s">
        <v>99</v>
      </c>
      <c r="B327" s="5" t="s">
        <v>100</v>
      </c>
      <c r="C327" s="5">
        <v>7000</v>
      </c>
      <c r="D327" s="5" t="s">
        <v>62</v>
      </c>
      <c r="E327" s="5" t="s">
        <v>71</v>
      </c>
      <c r="F327" s="6">
        <v>42736</v>
      </c>
      <c r="G327">
        <v>0</v>
      </c>
    </row>
    <row r="328" spans="1:7" x14ac:dyDescent="0.25">
      <c r="A328" s="5" t="s">
        <v>99</v>
      </c>
      <c r="B328" s="5" t="s">
        <v>100</v>
      </c>
      <c r="C328" s="5">
        <v>7000</v>
      </c>
      <c r="D328" s="5" t="s">
        <v>72</v>
      </c>
      <c r="E328" s="5" t="s">
        <v>73</v>
      </c>
      <c r="F328" s="6">
        <v>42370</v>
      </c>
      <c r="G328">
        <v>0</v>
      </c>
    </row>
    <row r="329" spans="1:7" x14ac:dyDescent="0.25">
      <c r="A329" s="5" t="s">
        <v>99</v>
      </c>
      <c r="B329" s="5" t="s">
        <v>100</v>
      </c>
      <c r="C329" s="5">
        <v>7000</v>
      </c>
      <c r="D329" s="5" t="s">
        <v>72</v>
      </c>
      <c r="E329" s="5" t="s">
        <v>73</v>
      </c>
      <c r="F329" s="6">
        <v>42736</v>
      </c>
      <c r="G329">
        <v>0</v>
      </c>
    </row>
    <row r="330" spans="1:7" x14ac:dyDescent="0.25">
      <c r="A330" s="5" t="s">
        <v>99</v>
      </c>
      <c r="B330" s="5" t="s">
        <v>100</v>
      </c>
      <c r="C330" s="5">
        <v>7000</v>
      </c>
      <c r="D330" s="5" t="s">
        <v>72</v>
      </c>
      <c r="E330" s="5" t="s">
        <v>9</v>
      </c>
      <c r="F330" s="6">
        <v>42370</v>
      </c>
      <c r="G330">
        <v>0</v>
      </c>
    </row>
    <row r="331" spans="1:7" x14ac:dyDescent="0.25">
      <c r="A331" s="5" t="s">
        <v>99</v>
      </c>
      <c r="B331" s="5" t="s">
        <v>100</v>
      </c>
      <c r="C331" s="5">
        <v>7000</v>
      </c>
      <c r="D331" s="5" t="s">
        <v>72</v>
      </c>
      <c r="E331" s="5" t="s">
        <v>9</v>
      </c>
      <c r="F331" s="6">
        <v>42736</v>
      </c>
      <c r="G331">
        <v>0</v>
      </c>
    </row>
    <row r="332" spans="1:7" x14ac:dyDescent="0.25">
      <c r="A332" s="5" t="s">
        <v>99</v>
      </c>
      <c r="B332" s="5" t="s">
        <v>100</v>
      </c>
      <c r="C332" s="5">
        <v>7000</v>
      </c>
      <c r="D332" s="5" t="s">
        <v>72</v>
      </c>
      <c r="E332" s="5" t="s">
        <v>34</v>
      </c>
      <c r="F332" s="6">
        <v>42370</v>
      </c>
      <c r="G332">
        <v>0</v>
      </c>
    </row>
    <row r="333" spans="1:7" x14ac:dyDescent="0.25">
      <c r="A333" s="5" t="s">
        <v>99</v>
      </c>
      <c r="B333" s="5" t="s">
        <v>100</v>
      </c>
      <c r="C333" s="5">
        <v>7000</v>
      </c>
      <c r="D333" s="5" t="s">
        <v>72</v>
      </c>
      <c r="E333" s="5" t="s">
        <v>34</v>
      </c>
      <c r="F333" s="6">
        <v>42736</v>
      </c>
      <c r="G333">
        <v>0</v>
      </c>
    </row>
    <row r="334" spans="1:7" x14ac:dyDescent="0.25">
      <c r="A334" s="5" t="s">
        <v>99</v>
      </c>
      <c r="B334" s="5" t="s">
        <v>100</v>
      </c>
      <c r="C334" s="5">
        <v>7000</v>
      </c>
      <c r="D334" s="5" t="s">
        <v>72</v>
      </c>
      <c r="E334" s="5" t="s">
        <v>74</v>
      </c>
      <c r="F334" s="6">
        <v>42370</v>
      </c>
      <c r="G334">
        <v>0</v>
      </c>
    </row>
    <row r="335" spans="1:7" x14ac:dyDescent="0.25">
      <c r="A335" s="5" t="s">
        <v>99</v>
      </c>
      <c r="B335" s="5" t="s">
        <v>100</v>
      </c>
      <c r="C335" s="5">
        <v>7000</v>
      </c>
      <c r="D335" s="5" t="s">
        <v>72</v>
      </c>
      <c r="E335" s="5" t="s">
        <v>74</v>
      </c>
      <c r="F335" s="6">
        <v>42736</v>
      </c>
      <c r="G335">
        <v>0</v>
      </c>
    </row>
    <row r="336" spans="1:7" x14ac:dyDescent="0.25">
      <c r="A336" s="5" t="s">
        <v>99</v>
      </c>
      <c r="B336" s="5" t="s">
        <v>100</v>
      </c>
      <c r="C336" s="5">
        <v>7000</v>
      </c>
      <c r="D336" s="5" t="s">
        <v>72</v>
      </c>
      <c r="E336" s="5" t="s">
        <v>75</v>
      </c>
      <c r="F336" s="6">
        <v>42370</v>
      </c>
      <c r="G336">
        <v>28</v>
      </c>
    </row>
    <row r="337" spans="1:7" x14ac:dyDescent="0.25">
      <c r="A337" s="5" t="s">
        <v>99</v>
      </c>
      <c r="B337" s="5" t="s">
        <v>100</v>
      </c>
      <c r="C337" s="5">
        <v>7000</v>
      </c>
      <c r="D337" s="5" t="s">
        <v>72</v>
      </c>
      <c r="E337" s="5" t="s">
        <v>75</v>
      </c>
      <c r="F337" s="6">
        <v>42736</v>
      </c>
      <c r="G337">
        <v>47</v>
      </c>
    </row>
    <row r="338" spans="1:7" x14ac:dyDescent="0.25">
      <c r="A338" s="5" t="s">
        <v>99</v>
      </c>
      <c r="B338" s="5" t="s">
        <v>100</v>
      </c>
      <c r="C338" s="5">
        <v>7000</v>
      </c>
      <c r="D338" s="5" t="s">
        <v>76</v>
      </c>
      <c r="E338" s="5" t="s">
        <v>9</v>
      </c>
      <c r="F338" s="6">
        <v>42370</v>
      </c>
      <c r="G338">
        <v>0</v>
      </c>
    </row>
    <row r="339" spans="1:7" x14ac:dyDescent="0.25">
      <c r="A339" s="5" t="s">
        <v>99</v>
      </c>
      <c r="B339" s="5" t="s">
        <v>100</v>
      </c>
      <c r="C339" s="5">
        <v>7000</v>
      </c>
      <c r="D339" s="5" t="s">
        <v>76</v>
      </c>
      <c r="E339" s="5" t="s">
        <v>9</v>
      </c>
      <c r="F339" s="6">
        <v>42736</v>
      </c>
      <c r="G339">
        <v>0</v>
      </c>
    </row>
    <row r="340" spans="1:7" x14ac:dyDescent="0.25">
      <c r="A340" s="5" t="s">
        <v>99</v>
      </c>
      <c r="B340" s="5" t="s">
        <v>100</v>
      </c>
      <c r="C340" s="5">
        <v>7000</v>
      </c>
      <c r="D340" s="5" t="s">
        <v>76</v>
      </c>
      <c r="E340" s="5" t="s">
        <v>77</v>
      </c>
      <c r="F340" s="6">
        <v>42370</v>
      </c>
      <c r="G340">
        <v>2</v>
      </c>
    </row>
    <row r="341" spans="1:7" x14ac:dyDescent="0.25">
      <c r="A341" s="5" t="s">
        <v>99</v>
      </c>
      <c r="B341" s="5" t="s">
        <v>100</v>
      </c>
      <c r="C341" s="5">
        <v>7000</v>
      </c>
      <c r="D341" s="5" t="s">
        <v>76</v>
      </c>
      <c r="E341" s="5" t="s">
        <v>77</v>
      </c>
      <c r="F341" s="6">
        <v>42736</v>
      </c>
      <c r="G341">
        <v>21</v>
      </c>
    </row>
    <row r="342" spans="1:7" x14ac:dyDescent="0.25">
      <c r="A342" s="5" t="s">
        <v>99</v>
      </c>
      <c r="B342" s="5" t="s">
        <v>100</v>
      </c>
      <c r="C342" s="5">
        <v>7000</v>
      </c>
      <c r="D342" s="5" t="s">
        <v>78</v>
      </c>
      <c r="E342" s="5" t="s">
        <v>79</v>
      </c>
      <c r="F342" s="6">
        <v>42370</v>
      </c>
      <c r="G342">
        <v>165</v>
      </c>
    </row>
    <row r="343" spans="1:7" x14ac:dyDescent="0.25">
      <c r="A343" s="5" t="s">
        <v>99</v>
      </c>
      <c r="B343" s="5" t="s">
        <v>100</v>
      </c>
      <c r="C343" s="5">
        <v>7000</v>
      </c>
      <c r="D343" s="5" t="s">
        <v>78</v>
      </c>
      <c r="E343" s="5" t="s">
        <v>79</v>
      </c>
      <c r="F343" s="6">
        <v>42736</v>
      </c>
      <c r="G343">
        <v>203</v>
      </c>
    </row>
    <row r="344" spans="1:7" x14ac:dyDescent="0.25">
      <c r="A344" s="5" t="s">
        <v>99</v>
      </c>
      <c r="B344" s="5" t="s">
        <v>100</v>
      </c>
      <c r="C344" s="5">
        <v>7000</v>
      </c>
      <c r="D344" s="5" t="s">
        <v>78</v>
      </c>
      <c r="E344" s="5" t="s">
        <v>80</v>
      </c>
      <c r="F344" s="6">
        <v>42370</v>
      </c>
      <c r="G344">
        <v>9</v>
      </c>
    </row>
    <row r="345" spans="1:7" x14ac:dyDescent="0.25">
      <c r="A345" s="5" t="s">
        <v>99</v>
      </c>
      <c r="B345" s="5" t="s">
        <v>100</v>
      </c>
      <c r="C345" s="5">
        <v>7000</v>
      </c>
      <c r="D345" s="5" t="s">
        <v>78</v>
      </c>
      <c r="E345" s="5" t="s">
        <v>80</v>
      </c>
      <c r="F345" s="6">
        <v>42736</v>
      </c>
      <c r="G345">
        <v>30</v>
      </c>
    </row>
    <row r="346" spans="1:7" x14ac:dyDescent="0.25">
      <c r="A346" s="5" t="s">
        <v>99</v>
      </c>
      <c r="B346" s="5" t="s">
        <v>100</v>
      </c>
      <c r="C346" s="5">
        <v>7000</v>
      </c>
      <c r="D346" s="5" t="s">
        <v>78</v>
      </c>
      <c r="E346" s="5" t="s">
        <v>81</v>
      </c>
      <c r="F346" s="6">
        <v>42370</v>
      </c>
      <c r="G346">
        <v>1797</v>
      </c>
    </row>
    <row r="347" spans="1:7" x14ac:dyDescent="0.25">
      <c r="A347" s="5" t="s">
        <v>99</v>
      </c>
      <c r="B347" s="5" t="s">
        <v>100</v>
      </c>
      <c r="C347" s="5">
        <v>7000</v>
      </c>
      <c r="D347" s="5" t="s">
        <v>78</v>
      </c>
      <c r="E347" s="5" t="s">
        <v>81</v>
      </c>
      <c r="F347" s="6">
        <v>42736</v>
      </c>
      <c r="G347">
        <v>2518</v>
      </c>
    </row>
    <row r="348" spans="1:7" x14ac:dyDescent="0.25">
      <c r="A348" s="5" t="s">
        <v>99</v>
      </c>
      <c r="B348" s="5" t="s">
        <v>100</v>
      </c>
      <c r="C348" s="5">
        <v>7000</v>
      </c>
      <c r="D348" s="5" t="s">
        <v>78</v>
      </c>
      <c r="E348" s="5" t="s">
        <v>82</v>
      </c>
      <c r="F348" s="6">
        <v>42370</v>
      </c>
      <c r="G348">
        <v>27</v>
      </c>
    </row>
    <row r="349" spans="1:7" x14ac:dyDescent="0.25">
      <c r="A349" s="5" t="s">
        <v>99</v>
      </c>
      <c r="B349" s="5" t="s">
        <v>100</v>
      </c>
      <c r="C349" s="5">
        <v>7000</v>
      </c>
      <c r="D349" s="5" t="s">
        <v>78</v>
      </c>
      <c r="E349" s="5" t="s">
        <v>82</v>
      </c>
      <c r="F349" s="6">
        <v>42736</v>
      </c>
      <c r="G349">
        <v>52</v>
      </c>
    </row>
    <row r="350" spans="1:7" x14ac:dyDescent="0.25">
      <c r="A350" s="5" t="s">
        <v>99</v>
      </c>
      <c r="B350" s="5" t="s">
        <v>100</v>
      </c>
      <c r="C350" s="5">
        <v>7000</v>
      </c>
      <c r="D350" s="5" t="s">
        <v>78</v>
      </c>
      <c r="E350" s="5" t="s">
        <v>83</v>
      </c>
      <c r="F350" s="6">
        <v>42370</v>
      </c>
      <c r="G350">
        <v>34</v>
      </c>
    </row>
    <row r="351" spans="1:7" x14ac:dyDescent="0.25">
      <c r="A351" s="5" t="s">
        <v>99</v>
      </c>
      <c r="B351" s="5" t="s">
        <v>100</v>
      </c>
      <c r="C351" s="5">
        <v>7000</v>
      </c>
      <c r="D351" s="5" t="s">
        <v>78</v>
      </c>
      <c r="E351" s="5" t="s">
        <v>83</v>
      </c>
      <c r="F351" s="6">
        <v>42736</v>
      </c>
      <c r="G351">
        <v>34</v>
      </c>
    </row>
    <row r="352" spans="1:7" x14ac:dyDescent="0.25">
      <c r="A352" s="5" t="s">
        <v>99</v>
      </c>
      <c r="B352" s="5" t="s">
        <v>100</v>
      </c>
      <c r="C352" s="5">
        <v>7000</v>
      </c>
      <c r="D352" s="5" t="s">
        <v>78</v>
      </c>
      <c r="E352" s="5" t="s">
        <v>84</v>
      </c>
      <c r="F352" s="6">
        <v>42370</v>
      </c>
      <c r="G352">
        <v>14</v>
      </c>
    </row>
    <row r="353" spans="1:7" x14ac:dyDescent="0.25">
      <c r="A353" s="5" t="s">
        <v>99</v>
      </c>
      <c r="B353" s="5" t="s">
        <v>100</v>
      </c>
      <c r="C353" s="5">
        <v>7000</v>
      </c>
      <c r="D353" s="5" t="s">
        <v>78</v>
      </c>
      <c r="E353" s="5" t="s">
        <v>84</v>
      </c>
      <c r="F353" s="6">
        <v>42736</v>
      </c>
      <c r="G353">
        <v>10</v>
      </c>
    </row>
    <row r="354" spans="1:7" x14ac:dyDescent="0.25">
      <c r="A354" s="5" t="s">
        <v>99</v>
      </c>
      <c r="B354" s="5" t="s">
        <v>100</v>
      </c>
      <c r="C354" s="5">
        <v>7000</v>
      </c>
      <c r="D354" s="5" t="s">
        <v>78</v>
      </c>
      <c r="E354" s="5" t="s">
        <v>85</v>
      </c>
      <c r="F354" s="6">
        <v>42370</v>
      </c>
      <c r="G354">
        <v>4</v>
      </c>
    </row>
    <row r="355" spans="1:7" x14ac:dyDescent="0.25">
      <c r="A355" s="5" t="s">
        <v>99</v>
      </c>
      <c r="B355" s="5" t="s">
        <v>100</v>
      </c>
      <c r="C355" s="5">
        <v>7000</v>
      </c>
      <c r="D355" s="5" t="s">
        <v>78</v>
      </c>
      <c r="E355" s="5" t="s">
        <v>85</v>
      </c>
      <c r="F355" s="6">
        <v>42736</v>
      </c>
      <c r="G355">
        <v>3</v>
      </c>
    </row>
    <row r="356" spans="1:7" x14ac:dyDescent="0.25">
      <c r="A356" s="5" t="s">
        <v>99</v>
      </c>
      <c r="B356" s="5" t="s">
        <v>100</v>
      </c>
      <c r="C356" s="5">
        <v>7000</v>
      </c>
      <c r="D356" s="5" t="s">
        <v>78</v>
      </c>
      <c r="E356" s="5" t="s">
        <v>86</v>
      </c>
      <c r="F356" s="6">
        <v>42370</v>
      </c>
      <c r="G356">
        <v>0</v>
      </c>
    </row>
    <row r="357" spans="1:7" x14ac:dyDescent="0.25">
      <c r="A357" s="5" t="s">
        <v>99</v>
      </c>
      <c r="B357" s="5" t="s">
        <v>100</v>
      </c>
      <c r="C357" s="5">
        <v>7000</v>
      </c>
      <c r="D357" s="5" t="s">
        <v>78</v>
      </c>
      <c r="E357" s="5" t="s">
        <v>86</v>
      </c>
      <c r="F357" s="6">
        <v>42736</v>
      </c>
      <c r="G357">
        <v>23</v>
      </c>
    </row>
    <row r="358" spans="1:7" x14ac:dyDescent="0.25">
      <c r="A358" s="5" t="s">
        <v>99</v>
      </c>
      <c r="B358" s="5" t="s">
        <v>100</v>
      </c>
      <c r="C358" s="5">
        <v>7000</v>
      </c>
      <c r="D358" s="5" t="s">
        <v>78</v>
      </c>
      <c r="E358" s="5" t="s">
        <v>87</v>
      </c>
      <c r="F358" s="6">
        <v>42370</v>
      </c>
      <c r="G358">
        <v>153</v>
      </c>
    </row>
    <row r="359" spans="1:7" x14ac:dyDescent="0.25">
      <c r="A359" s="5" t="s">
        <v>99</v>
      </c>
      <c r="B359" s="5" t="s">
        <v>100</v>
      </c>
      <c r="C359" s="5">
        <v>7000</v>
      </c>
      <c r="D359" s="5" t="s">
        <v>78</v>
      </c>
      <c r="E359" s="5" t="s">
        <v>87</v>
      </c>
      <c r="F359" s="6">
        <v>42736</v>
      </c>
      <c r="G359">
        <v>291</v>
      </c>
    </row>
    <row r="360" spans="1:7" x14ac:dyDescent="0.25">
      <c r="A360" s="5" t="s">
        <v>99</v>
      </c>
      <c r="B360" s="5" t="s">
        <v>100</v>
      </c>
      <c r="C360" s="5">
        <v>7000</v>
      </c>
      <c r="D360" s="5" t="s">
        <v>78</v>
      </c>
      <c r="E360" s="5" t="s">
        <v>88</v>
      </c>
      <c r="F360" s="6">
        <v>42370</v>
      </c>
      <c r="G360">
        <v>411</v>
      </c>
    </row>
    <row r="361" spans="1:7" x14ac:dyDescent="0.25">
      <c r="A361" s="5" t="s">
        <v>99</v>
      </c>
      <c r="B361" s="5" t="s">
        <v>100</v>
      </c>
      <c r="C361" s="5">
        <v>7000</v>
      </c>
      <c r="D361" s="5" t="s">
        <v>78</v>
      </c>
      <c r="E361" s="5" t="s">
        <v>88</v>
      </c>
      <c r="F361" s="6">
        <v>42736</v>
      </c>
      <c r="G361">
        <v>600</v>
      </c>
    </row>
    <row r="362" spans="1:7" x14ac:dyDescent="0.25">
      <c r="A362" s="5" t="s">
        <v>99</v>
      </c>
      <c r="B362" s="5" t="s">
        <v>100</v>
      </c>
      <c r="C362" s="5">
        <v>7000</v>
      </c>
      <c r="D362" s="5" t="s">
        <v>78</v>
      </c>
      <c r="E362" s="5" t="s">
        <v>89</v>
      </c>
      <c r="F362" s="6">
        <v>42370</v>
      </c>
      <c r="G362">
        <v>4913</v>
      </c>
    </row>
    <row r="363" spans="1:7" x14ac:dyDescent="0.25">
      <c r="A363" s="5" t="s">
        <v>99</v>
      </c>
      <c r="B363" s="5" t="s">
        <v>100</v>
      </c>
      <c r="C363" s="5">
        <v>7000</v>
      </c>
      <c r="D363" s="5" t="s">
        <v>78</v>
      </c>
      <c r="E363" s="5" t="s">
        <v>89</v>
      </c>
      <c r="F363" s="6">
        <v>42736</v>
      </c>
      <c r="G363">
        <v>8773</v>
      </c>
    </row>
    <row r="364" spans="1:7" x14ac:dyDescent="0.25">
      <c r="A364" s="5" t="s">
        <v>99</v>
      </c>
      <c r="B364" s="5" t="s">
        <v>100</v>
      </c>
      <c r="C364" s="5">
        <v>7000</v>
      </c>
      <c r="D364" s="5" t="s">
        <v>78</v>
      </c>
      <c r="E364" s="5" t="s">
        <v>90</v>
      </c>
      <c r="F364" s="6">
        <v>42370</v>
      </c>
      <c r="G364">
        <v>1</v>
      </c>
    </row>
    <row r="365" spans="1:7" x14ac:dyDescent="0.25">
      <c r="A365" s="5" t="s">
        <v>99</v>
      </c>
      <c r="B365" s="5" t="s">
        <v>100</v>
      </c>
      <c r="C365" s="5">
        <v>7000</v>
      </c>
      <c r="D365" s="5" t="s">
        <v>78</v>
      </c>
      <c r="E365" s="5" t="s">
        <v>90</v>
      </c>
      <c r="F365" s="6">
        <v>42736</v>
      </c>
      <c r="G365">
        <v>3</v>
      </c>
    </row>
    <row r="366" spans="1:7" x14ac:dyDescent="0.25">
      <c r="A366" s="5" t="s">
        <v>99</v>
      </c>
      <c r="B366" s="5" t="s">
        <v>100</v>
      </c>
      <c r="C366" s="5">
        <v>7000</v>
      </c>
      <c r="D366" s="5" t="s">
        <v>78</v>
      </c>
      <c r="E366" s="5" t="s">
        <v>91</v>
      </c>
      <c r="F366" s="6">
        <v>42370</v>
      </c>
      <c r="G366">
        <v>172</v>
      </c>
    </row>
    <row r="367" spans="1:7" x14ac:dyDescent="0.25">
      <c r="A367" s="5" t="s">
        <v>99</v>
      </c>
      <c r="B367" s="5" t="s">
        <v>100</v>
      </c>
      <c r="C367" s="5">
        <v>7000</v>
      </c>
      <c r="D367" s="5" t="s">
        <v>78</v>
      </c>
      <c r="E367" s="5" t="s">
        <v>91</v>
      </c>
      <c r="F367" s="6">
        <v>42736</v>
      </c>
      <c r="G367">
        <v>288</v>
      </c>
    </row>
    <row r="368" spans="1:7" x14ac:dyDescent="0.25">
      <c r="A368" s="5" t="s">
        <v>99</v>
      </c>
      <c r="B368" s="5" t="s">
        <v>100</v>
      </c>
      <c r="C368" s="5">
        <v>7000</v>
      </c>
      <c r="D368" s="5" t="s">
        <v>78</v>
      </c>
      <c r="E368" s="5" t="s">
        <v>92</v>
      </c>
      <c r="F368" s="6">
        <v>42370</v>
      </c>
      <c r="G368">
        <v>9</v>
      </c>
    </row>
    <row r="369" spans="1:7" x14ac:dyDescent="0.25">
      <c r="A369" s="5" t="s">
        <v>99</v>
      </c>
      <c r="B369" s="5" t="s">
        <v>100</v>
      </c>
      <c r="C369" s="5">
        <v>7000</v>
      </c>
      <c r="D369" s="5" t="s">
        <v>78</v>
      </c>
      <c r="E369" s="5" t="s">
        <v>92</v>
      </c>
      <c r="F369" s="6">
        <v>42736</v>
      </c>
      <c r="G369">
        <v>16</v>
      </c>
    </row>
    <row r="370" spans="1:7" x14ac:dyDescent="0.25">
      <c r="A370" s="5" t="s">
        <v>99</v>
      </c>
      <c r="B370" s="5" t="s">
        <v>100</v>
      </c>
      <c r="C370" s="5">
        <v>7000</v>
      </c>
      <c r="D370" s="5" t="s">
        <v>78</v>
      </c>
      <c r="E370" s="5" t="s">
        <v>93</v>
      </c>
      <c r="F370" s="6">
        <v>42370</v>
      </c>
      <c r="G370">
        <v>124</v>
      </c>
    </row>
    <row r="371" spans="1:7" x14ac:dyDescent="0.25">
      <c r="A371" s="5" t="s">
        <v>99</v>
      </c>
      <c r="B371" s="5" t="s">
        <v>100</v>
      </c>
      <c r="C371" s="5">
        <v>7000</v>
      </c>
      <c r="D371" s="5" t="s">
        <v>78</v>
      </c>
      <c r="E371" s="5" t="s">
        <v>93</v>
      </c>
      <c r="F371" s="6">
        <v>42736</v>
      </c>
      <c r="G371">
        <v>171</v>
      </c>
    </row>
    <row r="372" spans="1:7" x14ac:dyDescent="0.25">
      <c r="A372" s="5" t="s">
        <v>99</v>
      </c>
      <c r="B372" s="5" t="s">
        <v>100</v>
      </c>
      <c r="C372" s="5">
        <v>7000</v>
      </c>
      <c r="D372" s="5" t="s">
        <v>78</v>
      </c>
      <c r="E372" s="5" t="s">
        <v>94</v>
      </c>
      <c r="F372" s="6">
        <v>42370</v>
      </c>
      <c r="G372">
        <v>131</v>
      </c>
    </row>
    <row r="373" spans="1:7" x14ac:dyDescent="0.25">
      <c r="A373" s="5" t="s">
        <v>99</v>
      </c>
      <c r="B373" s="5" t="s">
        <v>100</v>
      </c>
      <c r="C373" s="5">
        <v>7000</v>
      </c>
      <c r="D373" s="5" t="s">
        <v>78</v>
      </c>
      <c r="E373" s="5" t="s">
        <v>94</v>
      </c>
      <c r="F373" s="6">
        <v>42736</v>
      </c>
      <c r="G373">
        <v>271</v>
      </c>
    </row>
    <row r="374" spans="1:7" x14ac:dyDescent="0.25">
      <c r="A374" s="5" t="s">
        <v>99</v>
      </c>
      <c r="B374" s="5" t="s">
        <v>100</v>
      </c>
      <c r="C374" s="5">
        <v>7000</v>
      </c>
      <c r="D374" s="5" t="s">
        <v>78</v>
      </c>
      <c r="E374" s="5" t="s">
        <v>95</v>
      </c>
      <c r="F374" s="6">
        <v>42370</v>
      </c>
      <c r="G374">
        <v>11</v>
      </c>
    </row>
    <row r="375" spans="1:7" x14ac:dyDescent="0.25">
      <c r="A375" s="5" t="s">
        <v>99</v>
      </c>
      <c r="B375" s="5" t="s">
        <v>100</v>
      </c>
      <c r="C375" s="5">
        <v>7000</v>
      </c>
      <c r="D375" s="5" t="s">
        <v>78</v>
      </c>
      <c r="E375" s="5" t="s">
        <v>95</v>
      </c>
      <c r="F375" s="6">
        <v>42736</v>
      </c>
      <c r="G375">
        <v>43</v>
      </c>
    </row>
    <row r="376" spans="1:7" x14ac:dyDescent="0.25">
      <c r="A376" s="5" t="s">
        <v>99</v>
      </c>
      <c r="B376" s="5" t="s">
        <v>100</v>
      </c>
      <c r="C376" s="5">
        <v>7000</v>
      </c>
      <c r="D376" s="5" t="s">
        <v>78</v>
      </c>
      <c r="E376" s="5" t="s">
        <v>96</v>
      </c>
      <c r="F376" s="6">
        <v>42370</v>
      </c>
      <c r="G376">
        <v>34</v>
      </c>
    </row>
    <row r="377" spans="1:7" x14ac:dyDescent="0.25">
      <c r="A377" s="5" t="s">
        <v>99</v>
      </c>
      <c r="B377" s="5" t="s">
        <v>100</v>
      </c>
      <c r="C377" s="5">
        <v>7000</v>
      </c>
      <c r="D377" s="5" t="s">
        <v>78</v>
      </c>
      <c r="E377" s="5" t="s">
        <v>96</v>
      </c>
      <c r="F377" s="6">
        <v>42736</v>
      </c>
      <c r="G377">
        <v>34</v>
      </c>
    </row>
    <row r="378" spans="1:7" x14ac:dyDescent="0.25">
      <c r="A378" s="5" t="s">
        <v>99</v>
      </c>
      <c r="B378" s="5" t="s">
        <v>100</v>
      </c>
      <c r="C378" s="5">
        <v>7000</v>
      </c>
      <c r="D378" s="5" t="s">
        <v>78</v>
      </c>
      <c r="E378" s="5" t="s">
        <v>97</v>
      </c>
      <c r="F378" s="6">
        <v>42370</v>
      </c>
      <c r="G378">
        <v>249</v>
      </c>
    </row>
    <row r="379" spans="1:7" x14ac:dyDescent="0.25">
      <c r="A379" s="5" t="s">
        <v>99</v>
      </c>
      <c r="B379" s="5" t="s">
        <v>100</v>
      </c>
      <c r="C379" s="5">
        <v>7000</v>
      </c>
      <c r="D379" s="5" t="s">
        <v>78</v>
      </c>
      <c r="E379" s="5" t="s">
        <v>97</v>
      </c>
      <c r="F379" s="6">
        <v>42736</v>
      </c>
      <c r="G379">
        <v>588</v>
      </c>
    </row>
    <row r="380" spans="1:7" x14ac:dyDescent="0.25">
      <c r="A380" s="5" t="s">
        <v>99</v>
      </c>
      <c r="B380" s="5" t="s">
        <v>100</v>
      </c>
      <c r="C380" s="5">
        <v>7000</v>
      </c>
      <c r="D380" s="5" t="s">
        <v>78</v>
      </c>
      <c r="E380" s="5" t="s">
        <v>98</v>
      </c>
      <c r="F380" s="6">
        <v>42370</v>
      </c>
      <c r="G380">
        <v>242</v>
      </c>
    </row>
    <row r="381" spans="1:7" x14ac:dyDescent="0.25">
      <c r="A381" s="5" t="s">
        <v>99</v>
      </c>
      <c r="B381" s="5" t="s">
        <v>100</v>
      </c>
      <c r="C381" s="5">
        <v>7000</v>
      </c>
      <c r="D381" s="5" t="s">
        <v>78</v>
      </c>
      <c r="E381" s="5" t="s">
        <v>98</v>
      </c>
      <c r="F381" s="6">
        <v>42736</v>
      </c>
      <c r="G381">
        <v>244</v>
      </c>
    </row>
    <row r="382" spans="1:7" x14ac:dyDescent="0.25">
      <c r="A382" s="5" t="s">
        <v>99</v>
      </c>
      <c r="B382" s="5" t="s">
        <v>101</v>
      </c>
      <c r="C382" s="5">
        <v>6250</v>
      </c>
      <c r="D382" s="5" t="s">
        <v>8</v>
      </c>
      <c r="E382" s="5" t="s">
        <v>9</v>
      </c>
      <c r="F382" s="6">
        <v>42370</v>
      </c>
      <c r="G382">
        <v>0</v>
      </c>
    </row>
    <row r="383" spans="1:7" x14ac:dyDescent="0.25">
      <c r="A383" s="5" t="s">
        <v>99</v>
      </c>
      <c r="B383" s="5" t="s">
        <v>101</v>
      </c>
      <c r="C383" s="5">
        <v>6250</v>
      </c>
      <c r="D383" s="5" t="s">
        <v>8</v>
      </c>
      <c r="E383" s="5" t="s">
        <v>9</v>
      </c>
      <c r="F383" s="6">
        <v>42736</v>
      </c>
      <c r="G383">
        <v>0</v>
      </c>
    </row>
    <row r="384" spans="1:7" x14ac:dyDescent="0.25">
      <c r="A384" s="5" t="s">
        <v>99</v>
      </c>
      <c r="B384" s="5" t="s">
        <v>101</v>
      </c>
      <c r="C384" s="5">
        <v>6250</v>
      </c>
      <c r="D384" s="5" t="s">
        <v>8</v>
      </c>
      <c r="E384" s="5" t="s">
        <v>10</v>
      </c>
      <c r="F384" s="6">
        <v>42370</v>
      </c>
      <c r="G384">
        <v>0</v>
      </c>
    </row>
    <row r="385" spans="1:7" x14ac:dyDescent="0.25">
      <c r="A385" s="5" t="s">
        <v>99</v>
      </c>
      <c r="B385" s="5" t="s">
        <v>101</v>
      </c>
      <c r="C385" s="5">
        <v>6250</v>
      </c>
      <c r="D385" s="5" t="s">
        <v>8</v>
      </c>
      <c r="E385" s="5" t="s">
        <v>10</v>
      </c>
      <c r="F385" s="6">
        <v>42736</v>
      </c>
      <c r="G385">
        <v>0</v>
      </c>
    </row>
    <row r="386" spans="1:7" x14ac:dyDescent="0.25">
      <c r="A386" s="5" t="s">
        <v>99</v>
      </c>
      <c r="B386" s="5" t="s">
        <v>101</v>
      </c>
      <c r="C386" s="5">
        <v>6250</v>
      </c>
      <c r="D386" s="5" t="s">
        <v>8</v>
      </c>
      <c r="E386" s="5" t="s">
        <v>11</v>
      </c>
      <c r="F386" s="6">
        <v>42370</v>
      </c>
      <c r="G386">
        <v>0</v>
      </c>
    </row>
    <row r="387" spans="1:7" x14ac:dyDescent="0.25">
      <c r="A387" s="5" t="s">
        <v>99</v>
      </c>
      <c r="B387" s="5" t="s">
        <v>101</v>
      </c>
      <c r="C387" s="5">
        <v>6250</v>
      </c>
      <c r="D387" s="5" t="s">
        <v>8</v>
      </c>
      <c r="E387" s="5" t="s">
        <v>11</v>
      </c>
      <c r="F387" s="6">
        <v>42736</v>
      </c>
      <c r="G387">
        <v>0</v>
      </c>
    </row>
    <row r="388" spans="1:7" x14ac:dyDescent="0.25">
      <c r="A388" s="5" t="s">
        <v>99</v>
      </c>
      <c r="B388" s="5" t="s">
        <v>101</v>
      </c>
      <c r="C388" s="5">
        <v>6250</v>
      </c>
      <c r="D388" s="5" t="s">
        <v>8</v>
      </c>
      <c r="E388" s="5" t="s">
        <v>12</v>
      </c>
      <c r="F388" s="6">
        <v>42370</v>
      </c>
      <c r="G388">
        <v>0</v>
      </c>
    </row>
    <row r="389" spans="1:7" x14ac:dyDescent="0.25">
      <c r="A389" s="5" t="s">
        <v>99</v>
      </c>
      <c r="B389" s="5" t="s">
        <v>101</v>
      </c>
      <c r="C389" s="5">
        <v>6250</v>
      </c>
      <c r="D389" s="5" t="s">
        <v>8</v>
      </c>
      <c r="E389" s="5" t="s">
        <v>12</v>
      </c>
      <c r="F389" s="6">
        <v>42736</v>
      </c>
      <c r="G389">
        <v>0</v>
      </c>
    </row>
    <row r="390" spans="1:7" x14ac:dyDescent="0.25">
      <c r="A390" s="5" t="s">
        <v>99</v>
      </c>
      <c r="B390" s="5" t="s">
        <v>101</v>
      </c>
      <c r="C390" s="5">
        <v>6250</v>
      </c>
      <c r="D390" s="5" t="s">
        <v>8</v>
      </c>
      <c r="E390" s="5" t="s">
        <v>13</v>
      </c>
      <c r="F390" s="6">
        <v>42370</v>
      </c>
      <c r="G390">
        <v>0</v>
      </c>
    </row>
    <row r="391" spans="1:7" x14ac:dyDescent="0.25">
      <c r="A391" s="5" t="s">
        <v>99</v>
      </c>
      <c r="B391" s="5" t="s">
        <v>101</v>
      </c>
      <c r="C391" s="5">
        <v>6250</v>
      </c>
      <c r="D391" s="5" t="s">
        <v>8</v>
      </c>
      <c r="E391" s="5" t="s">
        <v>13</v>
      </c>
      <c r="F391" s="6">
        <v>42736</v>
      </c>
      <c r="G391">
        <v>0</v>
      </c>
    </row>
    <row r="392" spans="1:7" x14ac:dyDescent="0.25">
      <c r="A392" s="5" t="s">
        <v>99</v>
      </c>
      <c r="B392" s="5" t="s">
        <v>101</v>
      </c>
      <c r="C392" s="5">
        <v>6250</v>
      </c>
      <c r="D392" s="5" t="s">
        <v>8</v>
      </c>
      <c r="E392" s="5" t="s">
        <v>14</v>
      </c>
      <c r="F392" s="6">
        <v>42370</v>
      </c>
      <c r="G392">
        <v>0</v>
      </c>
    </row>
    <row r="393" spans="1:7" x14ac:dyDescent="0.25">
      <c r="A393" s="5" t="s">
        <v>99</v>
      </c>
      <c r="B393" s="5" t="s">
        <v>101</v>
      </c>
      <c r="C393" s="5">
        <v>6250</v>
      </c>
      <c r="D393" s="5" t="s">
        <v>8</v>
      </c>
      <c r="E393" s="5" t="s">
        <v>14</v>
      </c>
      <c r="F393" s="6">
        <v>42736</v>
      </c>
      <c r="G393">
        <v>0</v>
      </c>
    </row>
    <row r="394" spans="1:7" x14ac:dyDescent="0.25">
      <c r="A394" s="5" t="s">
        <v>99</v>
      </c>
      <c r="B394" s="5" t="s">
        <v>101</v>
      </c>
      <c r="C394" s="5">
        <v>6250</v>
      </c>
      <c r="D394" s="5" t="s">
        <v>8</v>
      </c>
      <c r="E394" s="5" t="s">
        <v>15</v>
      </c>
      <c r="F394" s="6">
        <v>42370</v>
      </c>
      <c r="G394">
        <v>0</v>
      </c>
    </row>
    <row r="395" spans="1:7" x14ac:dyDescent="0.25">
      <c r="A395" s="5" t="s">
        <v>99</v>
      </c>
      <c r="B395" s="5" t="s">
        <v>101</v>
      </c>
      <c r="C395" s="5">
        <v>6250</v>
      </c>
      <c r="D395" s="5" t="s">
        <v>8</v>
      </c>
      <c r="E395" s="5" t="s">
        <v>15</v>
      </c>
      <c r="F395" s="6">
        <v>42736</v>
      </c>
      <c r="G395">
        <v>0</v>
      </c>
    </row>
    <row r="396" spans="1:7" x14ac:dyDescent="0.25">
      <c r="A396" s="5" t="s">
        <v>99</v>
      </c>
      <c r="B396" s="5" t="s">
        <v>101</v>
      </c>
      <c r="C396" s="5">
        <v>6250</v>
      </c>
      <c r="D396" s="5" t="s">
        <v>8</v>
      </c>
      <c r="E396" s="5" t="s">
        <v>16</v>
      </c>
      <c r="F396" s="6">
        <v>42370</v>
      </c>
      <c r="G396">
        <v>0</v>
      </c>
    </row>
    <row r="397" spans="1:7" x14ac:dyDescent="0.25">
      <c r="A397" s="5" t="s">
        <v>99</v>
      </c>
      <c r="B397" s="5" t="s">
        <v>101</v>
      </c>
      <c r="C397" s="5">
        <v>6250</v>
      </c>
      <c r="D397" s="5" t="s">
        <v>8</v>
      </c>
      <c r="E397" s="5" t="s">
        <v>16</v>
      </c>
      <c r="F397" s="6">
        <v>42736</v>
      </c>
      <c r="G397">
        <v>0</v>
      </c>
    </row>
    <row r="398" spans="1:7" x14ac:dyDescent="0.25">
      <c r="A398" s="5" t="s">
        <v>99</v>
      </c>
      <c r="B398" s="5" t="s">
        <v>101</v>
      </c>
      <c r="C398" s="5">
        <v>6250</v>
      </c>
      <c r="D398" s="5" t="s">
        <v>8</v>
      </c>
      <c r="E398" s="5" t="s">
        <v>17</v>
      </c>
      <c r="F398" s="6">
        <v>42370</v>
      </c>
      <c r="G398">
        <v>0</v>
      </c>
    </row>
    <row r="399" spans="1:7" x14ac:dyDescent="0.25">
      <c r="A399" s="5" t="s">
        <v>99</v>
      </c>
      <c r="B399" s="5" t="s">
        <v>101</v>
      </c>
      <c r="C399" s="5">
        <v>6250</v>
      </c>
      <c r="D399" s="5" t="s">
        <v>8</v>
      </c>
      <c r="E399" s="5" t="s">
        <v>17</v>
      </c>
      <c r="F399" s="6">
        <v>42736</v>
      </c>
      <c r="G399">
        <v>0</v>
      </c>
    </row>
    <row r="400" spans="1:7" x14ac:dyDescent="0.25">
      <c r="A400" s="5" t="s">
        <v>99</v>
      </c>
      <c r="B400" s="5" t="s">
        <v>101</v>
      </c>
      <c r="C400" s="5">
        <v>6250</v>
      </c>
      <c r="D400" s="5" t="s">
        <v>8</v>
      </c>
      <c r="E400" s="5" t="s">
        <v>18</v>
      </c>
      <c r="F400" s="6">
        <v>42370</v>
      </c>
      <c r="G400">
        <v>0</v>
      </c>
    </row>
    <row r="401" spans="1:7" x14ac:dyDescent="0.25">
      <c r="A401" s="5" t="s">
        <v>99</v>
      </c>
      <c r="B401" s="5" t="s">
        <v>101</v>
      </c>
      <c r="C401" s="5">
        <v>6250</v>
      </c>
      <c r="D401" s="5" t="s">
        <v>8</v>
      </c>
      <c r="E401" s="5" t="s">
        <v>18</v>
      </c>
      <c r="F401" s="6">
        <v>42736</v>
      </c>
      <c r="G401">
        <v>0</v>
      </c>
    </row>
    <row r="402" spans="1:7" x14ac:dyDescent="0.25">
      <c r="A402" s="5" t="s">
        <v>99</v>
      </c>
      <c r="B402" s="5" t="s">
        <v>101</v>
      </c>
      <c r="C402" s="5">
        <v>6250</v>
      </c>
      <c r="D402" s="5" t="s">
        <v>8</v>
      </c>
      <c r="E402" s="5" t="s">
        <v>19</v>
      </c>
      <c r="F402" s="6">
        <v>42370</v>
      </c>
      <c r="G402">
        <v>0</v>
      </c>
    </row>
    <row r="403" spans="1:7" x14ac:dyDescent="0.25">
      <c r="A403" s="5" t="s">
        <v>99</v>
      </c>
      <c r="B403" s="5" t="s">
        <v>101</v>
      </c>
      <c r="C403" s="5">
        <v>6250</v>
      </c>
      <c r="D403" s="5" t="s">
        <v>8</v>
      </c>
      <c r="E403" s="5" t="s">
        <v>19</v>
      </c>
      <c r="F403" s="6">
        <v>42736</v>
      </c>
      <c r="G403">
        <v>0</v>
      </c>
    </row>
    <row r="404" spans="1:7" x14ac:dyDescent="0.25">
      <c r="A404" s="5" t="s">
        <v>99</v>
      </c>
      <c r="B404" s="5" t="s">
        <v>101</v>
      </c>
      <c r="C404" s="5">
        <v>6250</v>
      </c>
      <c r="D404" s="5" t="s">
        <v>20</v>
      </c>
      <c r="E404" s="5" t="s">
        <v>9</v>
      </c>
      <c r="F404" s="6">
        <v>42370</v>
      </c>
      <c r="G404">
        <v>7</v>
      </c>
    </row>
    <row r="405" spans="1:7" x14ac:dyDescent="0.25">
      <c r="A405" s="5" t="s">
        <v>99</v>
      </c>
      <c r="B405" s="5" t="s">
        <v>101</v>
      </c>
      <c r="C405" s="5">
        <v>6250</v>
      </c>
      <c r="D405" s="5" t="s">
        <v>20</v>
      </c>
      <c r="E405" s="5" t="s">
        <v>9</v>
      </c>
      <c r="F405" s="6">
        <v>42736</v>
      </c>
      <c r="G405">
        <v>8</v>
      </c>
    </row>
    <row r="406" spans="1:7" x14ac:dyDescent="0.25">
      <c r="A406" s="5" t="s">
        <v>99</v>
      </c>
      <c r="B406" s="5" t="s">
        <v>101</v>
      </c>
      <c r="C406" s="5">
        <v>6250</v>
      </c>
      <c r="D406" s="5" t="s">
        <v>20</v>
      </c>
      <c r="E406" s="5" t="s">
        <v>21</v>
      </c>
      <c r="F406" s="6">
        <v>42370</v>
      </c>
      <c r="G406">
        <v>0</v>
      </c>
    </row>
    <row r="407" spans="1:7" x14ac:dyDescent="0.25">
      <c r="A407" s="5" t="s">
        <v>99</v>
      </c>
      <c r="B407" s="5" t="s">
        <v>101</v>
      </c>
      <c r="C407" s="5">
        <v>6250</v>
      </c>
      <c r="D407" s="5" t="s">
        <v>20</v>
      </c>
      <c r="E407" s="5" t="s">
        <v>21</v>
      </c>
      <c r="F407" s="6">
        <v>42736</v>
      </c>
      <c r="G407">
        <v>0</v>
      </c>
    </row>
    <row r="408" spans="1:7" x14ac:dyDescent="0.25">
      <c r="A408" s="5" t="s">
        <v>99</v>
      </c>
      <c r="B408" s="5" t="s">
        <v>101</v>
      </c>
      <c r="C408" s="5">
        <v>6250</v>
      </c>
      <c r="D408" s="5" t="s">
        <v>20</v>
      </c>
      <c r="E408" s="5" t="s">
        <v>22</v>
      </c>
      <c r="F408" s="6">
        <v>42370</v>
      </c>
      <c r="G408">
        <v>0</v>
      </c>
    </row>
    <row r="409" spans="1:7" x14ac:dyDescent="0.25">
      <c r="A409" s="5" t="s">
        <v>99</v>
      </c>
      <c r="B409" s="5" t="s">
        <v>101</v>
      </c>
      <c r="C409" s="5">
        <v>6250</v>
      </c>
      <c r="D409" s="5" t="s">
        <v>20</v>
      </c>
      <c r="E409" s="5" t="s">
        <v>22</v>
      </c>
      <c r="F409" s="6">
        <v>42736</v>
      </c>
      <c r="G409">
        <v>14</v>
      </c>
    </row>
    <row r="410" spans="1:7" x14ac:dyDescent="0.25">
      <c r="A410" s="5" t="s">
        <v>99</v>
      </c>
      <c r="B410" s="5" t="s">
        <v>101</v>
      </c>
      <c r="C410" s="5">
        <v>6250</v>
      </c>
      <c r="D410" s="5" t="s">
        <v>20</v>
      </c>
      <c r="E410" s="5" t="s">
        <v>23</v>
      </c>
      <c r="F410" s="6">
        <v>42370</v>
      </c>
      <c r="G410">
        <v>1</v>
      </c>
    </row>
    <row r="411" spans="1:7" x14ac:dyDescent="0.25">
      <c r="A411" s="5" t="s">
        <v>99</v>
      </c>
      <c r="B411" s="5" t="s">
        <v>101</v>
      </c>
      <c r="C411" s="5">
        <v>6250</v>
      </c>
      <c r="D411" s="5" t="s">
        <v>20</v>
      </c>
      <c r="E411" s="5" t="s">
        <v>23</v>
      </c>
      <c r="F411" s="6">
        <v>42736</v>
      </c>
      <c r="G411">
        <v>13</v>
      </c>
    </row>
    <row r="412" spans="1:7" x14ac:dyDescent="0.25">
      <c r="A412" s="5" t="s">
        <v>99</v>
      </c>
      <c r="B412" s="5" t="s">
        <v>101</v>
      </c>
      <c r="C412" s="5">
        <v>6250</v>
      </c>
      <c r="D412" s="5" t="s">
        <v>20</v>
      </c>
      <c r="E412" s="5" t="s">
        <v>24</v>
      </c>
      <c r="F412" s="6">
        <v>42370</v>
      </c>
      <c r="G412">
        <v>0</v>
      </c>
    </row>
    <row r="413" spans="1:7" x14ac:dyDescent="0.25">
      <c r="A413" s="5" t="s">
        <v>99</v>
      </c>
      <c r="B413" s="5" t="s">
        <v>101</v>
      </c>
      <c r="C413" s="5">
        <v>6250</v>
      </c>
      <c r="D413" s="5" t="s">
        <v>20</v>
      </c>
      <c r="E413" s="5" t="s">
        <v>24</v>
      </c>
      <c r="F413" s="6">
        <v>42736</v>
      </c>
      <c r="G413">
        <v>0</v>
      </c>
    </row>
    <row r="414" spans="1:7" x14ac:dyDescent="0.25">
      <c r="A414" s="5" t="s">
        <v>99</v>
      </c>
      <c r="B414" s="5" t="s">
        <v>101</v>
      </c>
      <c r="C414" s="5">
        <v>6250</v>
      </c>
      <c r="D414" s="5" t="s">
        <v>20</v>
      </c>
      <c r="E414" s="5" t="s">
        <v>25</v>
      </c>
      <c r="F414" s="6">
        <v>42370</v>
      </c>
      <c r="G414">
        <v>0</v>
      </c>
    </row>
    <row r="415" spans="1:7" x14ac:dyDescent="0.25">
      <c r="A415" s="5" t="s">
        <v>99</v>
      </c>
      <c r="B415" s="5" t="s">
        <v>101</v>
      </c>
      <c r="C415" s="5">
        <v>6250</v>
      </c>
      <c r="D415" s="5" t="s">
        <v>20</v>
      </c>
      <c r="E415" s="5" t="s">
        <v>25</v>
      </c>
      <c r="F415" s="6">
        <v>42736</v>
      </c>
      <c r="G415">
        <v>0</v>
      </c>
    </row>
    <row r="416" spans="1:7" x14ac:dyDescent="0.25">
      <c r="A416" s="5" t="s">
        <v>99</v>
      </c>
      <c r="B416" s="5" t="s">
        <v>101</v>
      </c>
      <c r="C416" s="5">
        <v>6250</v>
      </c>
      <c r="D416" s="5" t="s">
        <v>20</v>
      </c>
      <c r="E416" s="5" t="s">
        <v>26</v>
      </c>
      <c r="F416" s="6">
        <v>42370</v>
      </c>
      <c r="G416">
        <v>80</v>
      </c>
    </row>
    <row r="417" spans="1:7" x14ac:dyDescent="0.25">
      <c r="A417" s="5" t="s">
        <v>99</v>
      </c>
      <c r="B417" s="5" t="s">
        <v>101</v>
      </c>
      <c r="C417" s="5">
        <v>6250</v>
      </c>
      <c r="D417" s="5" t="s">
        <v>20</v>
      </c>
      <c r="E417" s="5" t="s">
        <v>26</v>
      </c>
      <c r="F417" s="6">
        <v>42736</v>
      </c>
      <c r="G417">
        <v>110</v>
      </c>
    </row>
    <row r="418" spans="1:7" x14ac:dyDescent="0.25">
      <c r="A418" s="5" t="s">
        <v>99</v>
      </c>
      <c r="B418" s="5" t="s">
        <v>101</v>
      </c>
      <c r="C418" s="5">
        <v>6250</v>
      </c>
      <c r="D418" s="5" t="s">
        <v>20</v>
      </c>
      <c r="E418" s="5" t="s">
        <v>27</v>
      </c>
      <c r="F418" s="6">
        <v>42370</v>
      </c>
      <c r="G418">
        <v>3</v>
      </c>
    </row>
    <row r="419" spans="1:7" x14ac:dyDescent="0.25">
      <c r="A419" s="5" t="s">
        <v>99</v>
      </c>
      <c r="B419" s="5" t="s">
        <v>101</v>
      </c>
      <c r="C419" s="5">
        <v>6250</v>
      </c>
      <c r="D419" s="5" t="s">
        <v>20</v>
      </c>
      <c r="E419" s="5" t="s">
        <v>27</v>
      </c>
      <c r="F419" s="6">
        <v>42736</v>
      </c>
      <c r="G419">
        <v>2</v>
      </c>
    </row>
    <row r="420" spans="1:7" x14ac:dyDescent="0.25">
      <c r="A420" s="5" t="s">
        <v>99</v>
      </c>
      <c r="B420" s="5" t="s">
        <v>101</v>
      </c>
      <c r="C420" s="5">
        <v>6250</v>
      </c>
      <c r="D420" s="5" t="s">
        <v>20</v>
      </c>
      <c r="E420" s="5" t="s">
        <v>28</v>
      </c>
      <c r="F420" s="6">
        <v>42370</v>
      </c>
      <c r="G420">
        <v>0</v>
      </c>
    </row>
    <row r="421" spans="1:7" x14ac:dyDescent="0.25">
      <c r="A421" s="5" t="s">
        <v>99</v>
      </c>
      <c r="B421" s="5" t="s">
        <v>101</v>
      </c>
      <c r="C421" s="5">
        <v>6250</v>
      </c>
      <c r="D421" s="5" t="s">
        <v>20</v>
      </c>
      <c r="E421" s="5" t="s">
        <v>28</v>
      </c>
      <c r="F421" s="6">
        <v>42736</v>
      </c>
      <c r="G421">
        <v>0</v>
      </c>
    </row>
    <row r="422" spans="1:7" x14ac:dyDescent="0.25">
      <c r="A422" s="5" t="s">
        <v>99</v>
      </c>
      <c r="B422" s="5" t="s">
        <v>101</v>
      </c>
      <c r="C422" s="5">
        <v>6250</v>
      </c>
      <c r="D422" s="5" t="s">
        <v>20</v>
      </c>
      <c r="E422" s="5" t="s">
        <v>29</v>
      </c>
      <c r="F422" s="6">
        <v>42370</v>
      </c>
      <c r="G422">
        <v>86</v>
      </c>
    </row>
    <row r="423" spans="1:7" x14ac:dyDescent="0.25">
      <c r="A423" s="5" t="s">
        <v>99</v>
      </c>
      <c r="B423" s="5" t="s">
        <v>101</v>
      </c>
      <c r="C423" s="5">
        <v>6250</v>
      </c>
      <c r="D423" s="5" t="s">
        <v>20</v>
      </c>
      <c r="E423" s="5" t="s">
        <v>29</v>
      </c>
      <c r="F423" s="6">
        <v>42736</v>
      </c>
      <c r="G423">
        <v>112</v>
      </c>
    </row>
    <row r="424" spans="1:7" x14ac:dyDescent="0.25">
      <c r="A424" s="5" t="s">
        <v>99</v>
      </c>
      <c r="B424" s="5" t="s">
        <v>101</v>
      </c>
      <c r="C424" s="5">
        <v>6250</v>
      </c>
      <c r="D424" s="5" t="s">
        <v>20</v>
      </c>
      <c r="E424" s="5" t="s">
        <v>30</v>
      </c>
      <c r="F424" s="6">
        <v>42370</v>
      </c>
      <c r="G424">
        <v>84</v>
      </c>
    </row>
    <row r="425" spans="1:7" x14ac:dyDescent="0.25">
      <c r="A425" s="5" t="s">
        <v>99</v>
      </c>
      <c r="B425" s="5" t="s">
        <v>101</v>
      </c>
      <c r="C425" s="5">
        <v>6250</v>
      </c>
      <c r="D425" s="5" t="s">
        <v>20</v>
      </c>
      <c r="E425" s="5" t="s">
        <v>30</v>
      </c>
      <c r="F425" s="6">
        <v>42736</v>
      </c>
      <c r="G425">
        <v>114</v>
      </c>
    </row>
    <row r="426" spans="1:7" x14ac:dyDescent="0.25">
      <c r="A426" s="5" t="s">
        <v>99</v>
      </c>
      <c r="B426" s="5" t="s">
        <v>101</v>
      </c>
      <c r="C426" s="5">
        <v>6250</v>
      </c>
      <c r="D426" s="5" t="s">
        <v>20</v>
      </c>
      <c r="E426" s="5" t="s">
        <v>31</v>
      </c>
      <c r="F426" s="6">
        <v>42370</v>
      </c>
      <c r="G426">
        <v>191</v>
      </c>
    </row>
    <row r="427" spans="1:7" x14ac:dyDescent="0.25">
      <c r="A427" s="5" t="s">
        <v>99</v>
      </c>
      <c r="B427" s="5" t="s">
        <v>101</v>
      </c>
      <c r="C427" s="5">
        <v>6250</v>
      </c>
      <c r="D427" s="5" t="s">
        <v>20</v>
      </c>
      <c r="E427" s="5" t="s">
        <v>31</v>
      </c>
      <c r="F427" s="6">
        <v>42736</v>
      </c>
      <c r="G427">
        <v>214</v>
      </c>
    </row>
    <row r="428" spans="1:7" x14ac:dyDescent="0.25">
      <c r="A428" s="5" t="s">
        <v>99</v>
      </c>
      <c r="B428" s="5" t="s">
        <v>101</v>
      </c>
      <c r="C428" s="5">
        <v>6250</v>
      </c>
      <c r="D428" s="5" t="s">
        <v>20</v>
      </c>
      <c r="E428" s="5" t="s">
        <v>32</v>
      </c>
      <c r="F428" s="6">
        <v>42370</v>
      </c>
      <c r="G428">
        <v>85</v>
      </c>
    </row>
    <row r="429" spans="1:7" x14ac:dyDescent="0.25">
      <c r="A429" s="5" t="s">
        <v>99</v>
      </c>
      <c r="B429" s="5" t="s">
        <v>101</v>
      </c>
      <c r="C429" s="5">
        <v>6250</v>
      </c>
      <c r="D429" s="5" t="s">
        <v>20</v>
      </c>
      <c r="E429" s="5" t="s">
        <v>32</v>
      </c>
      <c r="F429" s="6">
        <v>42736</v>
      </c>
      <c r="G429">
        <v>112</v>
      </c>
    </row>
    <row r="430" spans="1:7" x14ac:dyDescent="0.25">
      <c r="A430" s="5" t="s">
        <v>99</v>
      </c>
      <c r="B430" s="5" t="s">
        <v>101</v>
      </c>
      <c r="C430" s="5">
        <v>6250</v>
      </c>
      <c r="D430" s="5" t="s">
        <v>33</v>
      </c>
      <c r="E430" s="5" t="s">
        <v>9</v>
      </c>
      <c r="F430" s="6">
        <v>42370</v>
      </c>
      <c r="G430">
        <v>0</v>
      </c>
    </row>
    <row r="431" spans="1:7" x14ac:dyDescent="0.25">
      <c r="A431" s="5" t="s">
        <v>99</v>
      </c>
      <c r="B431" s="5" t="s">
        <v>101</v>
      </c>
      <c r="C431" s="5">
        <v>6250</v>
      </c>
      <c r="D431" s="5" t="s">
        <v>33</v>
      </c>
      <c r="E431" s="5" t="s">
        <v>9</v>
      </c>
      <c r="F431" s="6">
        <v>42736</v>
      </c>
      <c r="G431">
        <v>0</v>
      </c>
    </row>
    <row r="432" spans="1:7" x14ac:dyDescent="0.25">
      <c r="A432" s="5" t="s">
        <v>99</v>
      </c>
      <c r="B432" s="5" t="s">
        <v>101</v>
      </c>
      <c r="C432" s="5">
        <v>6250</v>
      </c>
      <c r="D432" s="5" t="s">
        <v>33</v>
      </c>
      <c r="E432" s="5" t="s">
        <v>34</v>
      </c>
      <c r="F432" s="6">
        <v>42370</v>
      </c>
      <c r="G432">
        <v>0</v>
      </c>
    </row>
    <row r="433" spans="1:7" x14ac:dyDescent="0.25">
      <c r="A433" s="5" t="s">
        <v>99</v>
      </c>
      <c r="B433" s="5" t="s">
        <v>101</v>
      </c>
      <c r="C433" s="5">
        <v>6250</v>
      </c>
      <c r="D433" s="5" t="s">
        <v>33</v>
      </c>
      <c r="E433" s="5" t="s">
        <v>34</v>
      </c>
      <c r="F433" s="6">
        <v>42736</v>
      </c>
      <c r="G433">
        <v>0</v>
      </c>
    </row>
    <row r="434" spans="1:7" x14ac:dyDescent="0.25">
      <c r="A434" s="5" t="s">
        <v>99</v>
      </c>
      <c r="B434" s="5" t="s">
        <v>101</v>
      </c>
      <c r="C434" s="5">
        <v>6250</v>
      </c>
      <c r="D434" s="5" t="s">
        <v>35</v>
      </c>
      <c r="E434" s="5" t="s">
        <v>36</v>
      </c>
      <c r="F434" s="6">
        <v>42370</v>
      </c>
      <c r="G434">
        <v>0</v>
      </c>
    </row>
    <row r="435" spans="1:7" x14ac:dyDescent="0.25">
      <c r="A435" s="5" t="s">
        <v>99</v>
      </c>
      <c r="B435" s="5" t="s">
        <v>101</v>
      </c>
      <c r="C435" s="5">
        <v>6250</v>
      </c>
      <c r="D435" s="5" t="s">
        <v>35</v>
      </c>
      <c r="E435" s="5" t="s">
        <v>36</v>
      </c>
      <c r="F435" s="6">
        <v>42736</v>
      </c>
      <c r="G435">
        <v>0</v>
      </c>
    </row>
    <row r="436" spans="1:7" x14ac:dyDescent="0.25">
      <c r="A436" s="5" t="s">
        <v>99</v>
      </c>
      <c r="B436" s="5" t="s">
        <v>101</v>
      </c>
      <c r="C436" s="5">
        <v>6250</v>
      </c>
      <c r="D436" s="5" t="s">
        <v>35</v>
      </c>
      <c r="E436" s="5" t="s">
        <v>37</v>
      </c>
      <c r="F436" s="6">
        <v>42370</v>
      </c>
      <c r="G436">
        <v>0</v>
      </c>
    </row>
    <row r="437" spans="1:7" x14ac:dyDescent="0.25">
      <c r="A437" s="5" t="s">
        <v>99</v>
      </c>
      <c r="B437" s="5" t="s">
        <v>101</v>
      </c>
      <c r="C437" s="5">
        <v>6250</v>
      </c>
      <c r="D437" s="5" t="s">
        <v>35</v>
      </c>
      <c r="E437" s="5" t="s">
        <v>37</v>
      </c>
      <c r="F437" s="6">
        <v>42736</v>
      </c>
      <c r="G437">
        <v>0</v>
      </c>
    </row>
    <row r="438" spans="1:7" x14ac:dyDescent="0.25">
      <c r="A438" s="5" t="s">
        <v>99</v>
      </c>
      <c r="B438" s="5" t="s">
        <v>101</v>
      </c>
      <c r="C438" s="5">
        <v>6250</v>
      </c>
      <c r="D438" s="5" t="s">
        <v>35</v>
      </c>
      <c r="E438" s="5" t="s">
        <v>38</v>
      </c>
      <c r="F438" s="6">
        <v>42370</v>
      </c>
      <c r="G438">
        <v>0</v>
      </c>
    </row>
    <row r="439" spans="1:7" x14ac:dyDescent="0.25">
      <c r="A439" s="5" t="s">
        <v>99</v>
      </c>
      <c r="B439" s="5" t="s">
        <v>101</v>
      </c>
      <c r="C439" s="5">
        <v>6250</v>
      </c>
      <c r="D439" s="5" t="s">
        <v>35</v>
      </c>
      <c r="E439" s="5" t="s">
        <v>38</v>
      </c>
      <c r="F439" s="6">
        <v>42736</v>
      </c>
      <c r="G439">
        <v>0</v>
      </c>
    </row>
    <row r="440" spans="1:7" x14ac:dyDescent="0.25">
      <c r="A440" s="5" t="s">
        <v>99</v>
      </c>
      <c r="B440" s="5" t="s">
        <v>101</v>
      </c>
      <c r="C440" s="5">
        <v>6250</v>
      </c>
      <c r="D440" s="5" t="s">
        <v>35</v>
      </c>
      <c r="E440" s="5" t="s">
        <v>39</v>
      </c>
      <c r="F440" s="6">
        <v>42370</v>
      </c>
      <c r="G440">
        <v>0</v>
      </c>
    </row>
    <row r="441" spans="1:7" x14ac:dyDescent="0.25">
      <c r="A441" s="5" t="s">
        <v>99</v>
      </c>
      <c r="B441" s="5" t="s">
        <v>101</v>
      </c>
      <c r="C441" s="5">
        <v>6250</v>
      </c>
      <c r="D441" s="5" t="s">
        <v>35</v>
      </c>
      <c r="E441" s="5" t="s">
        <v>39</v>
      </c>
      <c r="F441" s="6">
        <v>42736</v>
      </c>
      <c r="G441">
        <v>0</v>
      </c>
    </row>
    <row r="442" spans="1:7" x14ac:dyDescent="0.25">
      <c r="A442" s="5" t="s">
        <v>99</v>
      </c>
      <c r="B442" s="5" t="s">
        <v>101</v>
      </c>
      <c r="C442" s="5">
        <v>6250</v>
      </c>
      <c r="D442" s="5" t="s">
        <v>35</v>
      </c>
      <c r="E442" s="5" t="s">
        <v>40</v>
      </c>
      <c r="F442" s="6">
        <v>42370</v>
      </c>
      <c r="G442">
        <v>0</v>
      </c>
    </row>
    <row r="443" spans="1:7" x14ac:dyDescent="0.25">
      <c r="A443" s="5" t="s">
        <v>99</v>
      </c>
      <c r="B443" s="5" t="s">
        <v>101</v>
      </c>
      <c r="C443" s="5">
        <v>6250</v>
      </c>
      <c r="D443" s="5" t="s">
        <v>35</v>
      </c>
      <c r="E443" s="5" t="s">
        <v>40</v>
      </c>
      <c r="F443" s="6">
        <v>42736</v>
      </c>
      <c r="G443">
        <v>0</v>
      </c>
    </row>
    <row r="444" spans="1:7" x14ac:dyDescent="0.25">
      <c r="A444" s="5" t="s">
        <v>99</v>
      </c>
      <c r="B444" s="5" t="s">
        <v>101</v>
      </c>
      <c r="C444" s="5">
        <v>6250</v>
      </c>
      <c r="D444" s="5" t="s">
        <v>35</v>
      </c>
      <c r="E444" s="5" t="s">
        <v>41</v>
      </c>
      <c r="F444" s="6">
        <v>42370</v>
      </c>
      <c r="G444">
        <v>0</v>
      </c>
    </row>
    <row r="445" spans="1:7" x14ac:dyDescent="0.25">
      <c r="A445" s="5" t="s">
        <v>99</v>
      </c>
      <c r="B445" s="5" t="s">
        <v>101</v>
      </c>
      <c r="C445" s="5">
        <v>6250</v>
      </c>
      <c r="D445" s="5" t="s">
        <v>35</v>
      </c>
      <c r="E445" s="5" t="s">
        <v>41</v>
      </c>
      <c r="F445" s="6">
        <v>42736</v>
      </c>
      <c r="G445">
        <v>0</v>
      </c>
    </row>
    <row r="446" spans="1:7" x14ac:dyDescent="0.25">
      <c r="A446" s="5" t="s">
        <v>99</v>
      </c>
      <c r="B446" s="5" t="s">
        <v>101</v>
      </c>
      <c r="C446" s="5">
        <v>6250</v>
      </c>
      <c r="D446" s="5" t="s">
        <v>35</v>
      </c>
      <c r="E446" s="5" t="s">
        <v>42</v>
      </c>
      <c r="F446" s="6">
        <v>42370</v>
      </c>
      <c r="G446">
        <v>0</v>
      </c>
    </row>
    <row r="447" spans="1:7" x14ac:dyDescent="0.25">
      <c r="A447" s="5" t="s">
        <v>99</v>
      </c>
      <c r="B447" s="5" t="s">
        <v>101</v>
      </c>
      <c r="C447" s="5">
        <v>6250</v>
      </c>
      <c r="D447" s="5" t="s">
        <v>35</v>
      </c>
      <c r="E447" s="5" t="s">
        <v>42</v>
      </c>
      <c r="F447" s="6">
        <v>42736</v>
      </c>
      <c r="G447">
        <v>0</v>
      </c>
    </row>
    <row r="448" spans="1:7" x14ac:dyDescent="0.25">
      <c r="A448" s="5" t="s">
        <v>99</v>
      </c>
      <c r="B448" s="5" t="s">
        <v>101</v>
      </c>
      <c r="C448" s="5">
        <v>6250</v>
      </c>
      <c r="D448" s="5" t="s">
        <v>35</v>
      </c>
      <c r="E448" s="5" t="s">
        <v>43</v>
      </c>
      <c r="F448" s="6">
        <v>42370</v>
      </c>
      <c r="G448">
        <v>0</v>
      </c>
    </row>
    <row r="449" spans="1:7" x14ac:dyDescent="0.25">
      <c r="A449" s="5" t="s">
        <v>99</v>
      </c>
      <c r="B449" s="5" t="s">
        <v>101</v>
      </c>
      <c r="C449" s="5">
        <v>6250</v>
      </c>
      <c r="D449" s="5" t="s">
        <v>35</v>
      </c>
      <c r="E449" s="5" t="s">
        <v>43</v>
      </c>
      <c r="F449" s="6">
        <v>42736</v>
      </c>
      <c r="G449">
        <v>0</v>
      </c>
    </row>
    <row r="450" spans="1:7" x14ac:dyDescent="0.25">
      <c r="A450" s="5" t="s">
        <v>99</v>
      </c>
      <c r="B450" s="5" t="s">
        <v>101</v>
      </c>
      <c r="C450" s="5">
        <v>6250</v>
      </c>
      <c r="D450" s="5" t="s">
        <v>44</v>
      </c>
      <c r="E450" s="5" t="s">
        <v>36</v>
      </c>
      <c r="F450" s="6">
        <v>42370</v>
      </c>
      <c r="G450">
        <v>0</v>
      </c>
    </row>
    <row r="451" spans="1:7" x14ac:dyDescent="0.25">
      <c r="A451" s="5" t="s">
        <v>99</v>
      </c>
      <c r="B451" s="5" t="s">
        <v>101</v>
      </c>
      <c r="C451" s="5">
        <v>6250</v>
      </c>
      <c r="D451" s="5" t="s">
        <v>44</v>
      </c>
      <c r="E451" s="5" t="s">
        <v>36</v>
      </c>
      <c r="F451" s="6">
        <v>42736</v>
      </c>
      <c r="G451">
        <v>0</v>
      </c>
    </row>
    <row r="452" spans="1:7" x14ac:dyDescent="0.25">
      <c r="A452" s="5" t="s">
        <v>99</v>
      </c>
      <c r="B452" s="5" t="s">
        <v>101</v>
      </c>
      <c r="C452" s="5">
        <v>6250</v>
      </c>
      <c r="D452" s="5" t="s">
        <v>44</v>
      </c>
      <c r="E452" s="5" t="s">
        <v>37</v>
      </c>
      <c r="F452" s="6">
        <v>42370</v>
      </c>
      <c r="G452">
        <v>0</v>
      </c>
    </row>
    <row r="453" spans="1:7" x14ac:dyDescent="0.25">
      <c r="A453" s="5" t="s">
        <v>99</v>
      </c>
      <c r="B453" s="5" t="s">
        <v>101</v>
      </c>
      <c r="C453" s="5">
        <v>6250</v>
      </c>
      <c r="D453" s="5" t="s">
        <v>44</v>
      </c>
      <c r="E453" s="5" t="s">
        <v>37</v>
      </c>
      <c r="F453" s="6">
        <v>42736</v>
      </c>
      <c r="G453">
        <v>0</v>
      </c>
    </row>
    <row r="454" spans="1:7" x14ac:dyDescent="0.25">
      <c r="A454" s="5" t="s">
        <v>99</v>
      </c>
      <c r="B454" s="5" t="s">
        <v>101</v>
      </c>
      <c r="C454" s="5">
        <v>6250</v>
      </c>
      <c r="D454" s="5" t="s">
        <v>44</v>
      </c>
      <c r="E454" s="5" t="s">
        <v>38</v>
      </c>
      <c r="F454" s="6">
        <v>42370</v>
      </c>
      <c r="G454">
        <v>0</v>
      </c>
    </row>
    <row r="455" spans="1:7" x14ac:dyDescent="0.25">
      <c r="A455" s="5" t="s">
        <v>99</v>
      </c>
      <c r="B455" s="5" t="s">
        <v>101</v>
      </c>
      <c r="C455" s="5">
        <v>6250</v>
      </c>
      <c r="D455" s="5" t="s">
        <v>44</v>
      </c>
      <c r="E455" s="5" t="s">
        <v>38</v>
      </c>
      <c r="F455" s="6">
        <v>42736</v>
      </c>
      <c r="G455">
        <v>0</v>
      </c>
    </row>
    <row r="456" spans="1:7" x14ac:dyDescent="0.25">
      <c r="A456" s="5" t="s">
        <v>99</v>
      </c>
      <c r="B456" s="5" t="s">
        <v>101</v>
      </c>
      <c r="C456" s="5">
        <v>6250</v>
      </c>
      <c r="D456" s="5" t="s">
        <v>44</v>
      </c>
      <c r="E456" s="5" t="s">
        <v>39</v>
      </c>
      <c r="F456" s="6">
        <v>42370</v>
      </c>
      <c r="G456">
        <v>0</v>
      </c>
    </row>
    <row r="457" spans="1:7" x14ac:dyDescent="0.25">
      <c r="A457" s="5" t="s">
        <v>99</v>
      </c>
      <c r="B457" s="5" t="s">
        <v>101</v>
      </c>
      <c r="C457" s="5">
        <v>6250</v>
      </c>
      <c r="D457" s="5" t="s">
        <v>44</v>
      </c>
      <c r="E457" s="5" t="s">
        <v>39</v>
      </c>
      <c r="F457" s="6">
        <v>42736</v>
      </c>
      <c r="G457">
        <v>0</v>
      </c>
    </row>
    <row r="458" spans="1:7" x14ac:dyDescent="0.25">
      <c r="A458" s="5" t="s">
        <v>99</v>
      </c>
      <c r="B458" s="5" t="s">
        <v>101</v>
      </c>
      <c r="C458" s="5">
        <v>6250</v>
      </c>
      <c r="D458" s="5" t="s">
        <v>44</v>
      </c>
      <c r="E458" s="5" t="s">
        <v>40</v>
      </c>
      <c r="F458" s="6">
        <v>42370</v>
      </c>
      <c r="G458">
        <v>0</v>
      </c>
    </row>
    <row r="459" spans="1:7" x14ac:dyDescent="0.25">
      <c r="A459" s="5" t="s">
        <v>99</v>
      </c>
      <c r="B459" s="5" t="s">
        <v>101</v>
      </c>
      <c r="C459" s="5">
        <v>6250</v>
      </c>
      <c r="D459" s="5" t="s">
        <v>44</v>
      </c>
      <c r="E459" s="5" t="s">
        <v>40</v>
      </c>
      <c r="F459" s="6">
        <v>42736</v>
      </c>
      <c r="G459">
        <v>0</v>
      </c>
    </row>
    <row r="460" spans="1:7" x14ac:dyDescent="0.25">
      <c r="A460" s="5" t="s">
        <v>99</v>
      </c>
      <c r="B460" s="5" t="s">
        <v>101</v>
      </c>
      <c r="C460" s="5">
        <v>6250</v>
      </c>
      <c r="D460" s="5" t="s">
        <v>44</v>
      </c>
      <c r="E460" s="5" t="s">
        <v>41</v>
      </c>
      <c r="F460" s="6">
        <v>42370</v>
      </c>
      <c r="G460">
        <v>0</v>
      </c>
    </row>
    <row r="461" spans="1:7" x14ac:dyDescent="0.25">
      <c r="A461" s="5" t="s">
        <v>99</v>
      </c>
      <c r="B461" s="5" t="s">
        <v>101</v>
      </c>
      <c r="C461" s="5">
        <v>6250</v>
      </c>
      <c r="D461" s="5" t="s">
        <v>44</v>
      </c>
      <c r="E461" s="5" t="s">
        <v>41</v>
      </c>
      <c r="F461" s="6">
        <v>42736</v>
      </c>
      <c r="G461">
        <v>0</v>
      </c>
    </row>
    <row r="462" spans="1:7" x14ac:dyDescent="0.25">
      <c r="A462" s="5" t="s">
        <v>99</v>
      </c>
      <c r="B462" s="5" t="s">
        <v>101</v>
      </c>
      <c r="C462" s="5">
        <v>6250</v>
      </c>
      <c r="D462" s="5" t="s">
        <v>44</v>
      </c>
      <c r="E462" s="5" t="s">
        <v>42</v>
      </c>
      <c r="F462" s="6">
        <v>42370</v>
      </c>
      <c r="G462">
        <v>0</v>
      </c>
    </row>
    <row r="463" spans="1:7" x14ac:dyDescent="0.25">
      <c r="A463" s="5" t="s">
        <v>99</v>
      </c>
      <c r="B463" s="5" t="s">
        <v>101</v>
      </c>
      <c r="C463" s="5">
        <v>6250</v>
      </c>
      <c r="D463" s="5" t="s">
        <v>44</v>
      </c>
      <c r="E463" s="5" t="s">
        <v>42</v>
      </c>
      <c r="F463" s="6">
        <v>42736</v>
      </c>
      <c r="G463">
        <v>0</v>
      </c>
    </row>
    <row r="464" spans="1:7" x14ac:dyDescent="0.25">
      <c r="A464" s="5" t="s">
        <v>99</v>
      </c>
      <c r="B464" s="5" t="s">
        <v>101</v>
      </c>
      <c r="C464" s="5">
        <v>6250</v>
      </c>
      <c r="D464" s="5" t="s">
        <v>44</v>
      </c>
      <c r="E464" s="5" t="s">
        <v>43</v>
      </c>
      <c r="F464" s="6">
        <v>42370</v>
      </c>
      <c r="G464">
        <v>0</v>
      </c>
    </row>
    <row r="465" spans="1:7" x14ac:dyDescent="0.25">
      <c r="A465" s="5" t="s">
        <v>99</v>
      </c>
      <c r="B465" s="5" t="s">
        <v>101</v>
      </c>
      <c r="C465" s="5">
        <v>6250</v>
      </c>
      <c r="D465" s="5" t="s">
        <v>44</v>
      </c>
      <c r="E465" s="5" t="s">
        <v>43</v>
      </c>
      <c r="F465" s="6">
        <v>42736</v>
      </c>
      <c r="G465">
        <v>0</v>
      </c>
    </row>
    <row r="466" spans="1:7" x14ac:dyDescent="0.25">
      <c r="A466" s="5" t="s">
        <v>99</v>
      </c>
      <c r="B466" s="5" t="s">
        <v>101</v>
      </c>
      <c r="C466" s="5">
        <v>6250</v>
      </c>
      <c r="D466" s="5" t="s">
        <v>45</v>
      </c>
      <c r="E466" s="5" t="s">
        <v>46</v>
      </c>
      <c r="F466" s="6">
        <v>42370</v>
      </c>
      <c r="G466">
        <v>0</v>
      </c>
    </row>
    <row r="467" spans="1:7" x14ac:dyDescent="0.25">
      <c r="A467" s="5" t="s">
        <v>99</v>
      </c>
      <c r="B467" s="5" t="s">
        <v>101</v>
      </c>
      <c r="C467" s="5">
        <v>6250</v>
      </c>
      <c r="D467" s="5" t="s">
        <v>45</v>
      </c>
      <c r="E467" s="5" t="s">
        <v>46</v>
      </c>
      <c r="F467" s="6">
        <v>42736</v>
      </c>
      <c r="G467">
        <v>1</v>
      </c>
    </row>
    <row r="468" spans="1:7" x14ac:dyDescent="0.25">
      <c r="A468" s="5" t="s">
        <v>99</v>
      </c>
      <c r="B468" s="5" t="s">
        <v>101</v>
      </c>
      <c r="C468" s="5">
        <v>6250</v>
      </c>
      <c r="D468" s="5" t="s">
        <v>45</v>
      </c>
      <c r="E468" s="5" t="s">
        <v>47</v>
      </c>
      <c r="F468" s="6">
        <v>42370</v>
      </c>
      <c r="G468">
        <v>1</v>
      </c>
    </row>
    <row r="469" spans="1:7" x14ac:dyDescent="0.25">
      <c r="A469" s="5" t="s">
        <v>99</v>
      </c>
      <c r="B469" s="5" t="s">
        <v>101</v>
      </c>
      <c r="C469" s="5">
        <v>6250</v>
      </c>
      <c r="D469" s="5" t="s">
        <v>45</v>
      </c>
      <c r="E469" s="5" t="s">
        <v>47</v>
      </c>
      <c r="F469" s="6">
        <v>42736</v>
      </c>
      <c r="G469">
        <v>3</v>
      </c>
    </row>
    <row r="470" spans="1:7" x14ac:dyDescent="0.25">
      <c r="A470" s="5" t="s">
        <v>99</v>
      </c>
      <c r="B470" s="5" t="s">
        <v>101</v>
      </c>
      <c r="C470" s="5">
        <v>6250</v>
      </c>
      <c r="D470" s="5" t="s">
        <v>45</v>
      </c>
      <c r="E470" s="5" t="s">
        <v>48</v>
      </c>
      <c r="F470" s="6">
        <v>42370</v>
      </c>
      <c r="G470">
        <v>42</v>
      </c>
    </row>
    <row r="471" spans="1:7" x14ac:dyDescent="0.25">
      <c r="A471" s="5" t="s">
        <v>99</v>
      </c>
      <c r="B471" s="5" t="s">
        <v>101</v>
      </c>
      <c r="C471" s="5">
        <v>6250</v>
      </c>
      <c r="D471" s="5" t="s">
        <v>45</v>
      </c>
      <c r="E471" s="5" t="s">
        <v>48</v>
      </c>
      <c r="F471" s="6">
        <v>42736</v>
      </c>
      <c r="G471">
        <v>50</v>
      </c>
    </row>
    <row r="472" spans="1:7" x14ac:dyDescent="0.25">
      <c r="A472" s="5" t="s">
        <v>99</v>
      </c>
      <c r="B472" s="5" t="s">
        <v>101</v>
      </c>
      <c r="C472" s="5">
        <v>6250</v>
      </c>
      <c r="D472" s="5" t="s">
        <v>45</v>
      </c>
      <c r="E472" s="5" t="s">
        <v>49</v>
      </c>
      <c r="F472" s="6">
        <v>42370</v>
      </c>
      <c r="G472">
        <v>10</v>
      </c>
    </row>
    <row r="473" spans="1:7" x14ac:dyDescent="0.25">
      <c r="A473" s="5" t="s">
        <v>99</v>
      </c>
      <c r="B473" s="5" t="s">
        <v>101</v>
      </c>
      <c r="C473" s="5">
        <v>6250</v>
      </c>
      <c r="D473" s="5" t="s">
        <v>45</v>
      </c>
      <c r="E473" s="5" t="s">
        <v>49</v>
      </c>
      <c r="F473" s="6">
        <v>42736</v>
      </c>
      <c r="G473">
        <v>18</v>
      </c>
    </row>
    <row r="474" spans="1:7" x14ac:dyDescent="0.25">
      <c r="A474" s="5" t="s">
        <v>99</v>
      </c>
      <c r="B474" s="5" t="s">
        <v>101</v>
      </c>
      <c r="C474" s="5">
        <v>6250</v>
      </c>
      <c r="D474" s="5" t="s">
        <v>45</v>
      </c>
      <c r="E474" s="5" t="s">
        <v>50</v>
      </c>
      <c r="F474" s="6">
        <v>42370</v>
      </c>
      <c r="G474">
        <v>0</v>
      </c>
    </row>
    <row r="475" spans="1:7" x14ac:dyDescent="0.25">
      <c r="A475" s="5" t="s">
        <v>99</v>
      </c>
      <c r="B475" s="5" t="s">
        <v>101</v>
      </c>
      <c r="C475" s="5">
        <v>6250</v>
      </c>
      <c r="D475" s="5" t="s">
        <v>45</v>
      </c>
      <c r="E475" s="5" t="s">
        <v>50</v>
      </c>
      <c r="F475" s="6">
        <v>42736</v>
      </c>
      <c r="G475">
        <v>0</v>
      </c>
    </row>
    <row r="476" spans="1:7" x14ac:dyDescent="0.25">
      <c r="A476" s="5" t="s">
        <v>99</v>
      </c>
      <c r="B476" s="5" t="s">
        <v>101</v>
      </c>
      <c r="C476" s="5">
        <v>6250</v>
      </c>
      <c r="D476" s="5" t="s">
        <v>45</v>
      </c>
      <c r="E476" s="5" t="s">
        <v>51</v>
      </c>
      <c r="F476" s="6">
        <v>42370</v>
      </c>
      <c r="G476">
        <v>0</v>
      </c>
    </row>
    <row r="477" spans="1:7" x14ac:dyDescent="0.25">
      <c r="A477" s="5" t="s">
        <v>99</v>
      </c>
      <c r="B477" s="5" t="s">
        <v>101</v>
      </c>
      <c r="C477" s="5">
        <v>6250</v>
      </c>
      <c r="D477" s="5" t="s">
        <v>45</v>
      </c>
      <c r="E477" s="5" t="s">
        <v>51</v>
      </c>
      <c r="F477" s="6">
        <v>42736</v>
      </c>
      <c r="G477">
        <v>0</v>
      </c>
    </row>
    <row r="478" spans="1:7" x14ac:dyDescent="0.25">
      <c r="A478" s="5" t="s">
        <v>99</v>
      </c>
      <c r="B478" s="5" t="s">
        <v>101</v>
      </c>
      <c r="C478" s="5">
        <v>6250</v>
      </c>
      <c r="D478" s="5" t="s">
        <v>45</v>
      </c>
      <c r="E478" s="5" t="s">
        <v>52</v>
      </c>
      <c r="F478" s="6">
        <v>42370</v>
      </c>
      <c r="G478">
        <v>0</v>
      </c>
    </row>
    <row r="479" spans="1:7" x14ac:dyDescent="0.25">
      <c r="A479" s="5" t="s">
        <v>99</v>
      </c>
      <c r="B479" s="5" t="s">
        <v>101</v>
      </c>
      <c r="C479" s="5">
        <v>6250</v>
      </c>
      <c r="D479" s="5" t="s">
        <v>45</v>
      </c>
      <c r="E479" s="5" t="s">
        <v>52</v>
      </c>
      <c r="F479" s="6">
        <v>42736</v>
      </c>
      <c r="G479">
        <v>0</v>
      </c>
    </row>
    <row r="480" spans="1:7" x14ac:dyDescent="0.25">
      <c r="A480" s="5" t="s">
        <v>99</v>
      </c>
      <c r="B480" s="5" t="s">
        <v>101</v>
      </c>
      <c r="C480" s="5">
        <v>6250</v>
      </c>
      <c r="D480" s="5" t="s">
        <v>45</v>
      </c>
      <c r="E480" s="5" t="s">
        <v>53</v>
      </c>
      <c r="F480" s="6">
        <v>42370</v>
      </c>
      <c r="G480">
        <v>3</v>
      </c>
    </row>
    <row r="481" spans="1:7" x14ac:dyDescent="0.25">
      <c r="A481" s="5" t="s">
        <v>99</v>
      </c>
      <c r="B481" s="5" t="s">
        <v>101</v>
      </c>
      <c r="C481" s="5">
        <v>6250</v>
      </c>
      <c r="D481" s="5" t="s">
        <v>45</v>
      </c>
      <c r="E481" s="5" t="s">
        <v>53</v>
      </c>
      <c r="F481" s="6">
        <v>42736</v>
      </c>
      <c r="G481">
        <v>14</v>
      </c>
    </row>
    <row r="482" spans="1:7" x14ac:dyDescent="0.25">
      <c r="A482" s="5" t="s">
        <v>99</v>
      </c>
      <c r="B482" s="5" t="s">
        <v>101</v>
      </c>
      <c r="C482" s="5">
        <v>6250</v>
      </c>
      <c r="D482" s="5" t="s">
        <v>45</v>
      </c>
      <c r="E482" s="5" t="s">
        <v>54</v>
      </c>
      <c r="F482" s="6">
        <v>42370</v>
      </c>
      <c r="G482">
        <v>0</v>
      </c>
    </row>
    <row r="483" spans="1:7" x14ac:dyDescent="0.25">
      <c r="A483" s="5" t="s">
        <v>99</v>
      </c>
      <c r="B483" s="5" t="s">
        <v>101</v>
      </c>
      <c r="C483" s="5">
        <v>6250</v>
      </c>
      <c r="D483" s="5" t="s">
        <v>45</v>
      </c>
      <c r="E483" s="5" t="s">
        <v>54</v>
      </c>
      <c r="F483" s="6">
        <v>42736</v>
      </c>
      <c r="G483">
        <v>0</v>
      </c>
    </row>
    <row r="484" spans="1:7" x14ac:dyDescent="0.25">
      <c r="A484" s="5" t="s">
        <v>99</v>
      </c>
      <c r="B484" s="5" t="s">
        <v>101</v>
      </c>
      <c r="C484" s="5">
        <v>6250</v>
      </c>
      <c r="D484" s="5" t="s">
        <v>45</v>
      </c>
      <c r="E484" s="5" t="s">
        <v>55</v>
      </c>
      <c r="F484" s="6">
        <v>42370</v>
      </c>
      <c r="G484">
        <v>0</v>
      </c>
    </row>
    <row r="485" spans="1:7" x14ac:dyDescent="0.25">
      <c r="A485" s="5" t="s">
        <v>99</v>
      </c>
      <c r="B485" s="5" t="s">
        <v>101</v>
      </c>
      <c r="C485" s="5">
        <v>6250</v>
      </c>
      <c r="D485" s="5" t="s">
        <v>45</v>
      </c>
      <c r="E485" s="5" t="s">
        <v>55</v>
      </c>
      <c r="F485" s="6">
        <v>42736</v>
      </c>
      <c r="G485">
        <v>0</v>
      </c>
    </row>
    <row r="486" spans="1:7" x14ac:dyDescent="0.25">
      <c r="A486" s="5" t="s">
        <v>99</v>
      </c>
      <c r="B486" s="5" t="s">
        <v>101</v>
      </c>
      <c r="C486" s="5">
        <v>6250</v>
      </c>
      <c r="D486" s="5" t="s">
        <v>45</v>
      </c>
      <c r="E486" s="5" t="s">
        <v>56</v>
      </c>
      <c r="F486" s="6">
        <v>42370</v>
      </c>
      <c r="G486">
        <v>1</v>
      </c>
    </row>
    <row r="487" spans="1:7" x14ac:dyDescent="0.25">
      <c r="A487" s="5" t="s">
        <v>99</v>
      </c>
      <c r="B487" s="5" t="s">
        <v>101</v>
      </c>
      <c r="C487" s="5">
        <v>6250</v>
      </c>
      <c r="D487" s="5" t="s">
        <v>45</v>
      </c>
      <c r="E487" s="5" t="s">
        <v>56</v>
      </c>
      <c r="F487" s="6">
        <v>42736</v>
      </c>
      <c r="G487">
        <v>1</v>
      </c>
    </row>
    <row r="488" spans="1:7" x14ac:dyDescent="0.25">
      <c r="A488" s="5" t="s">
        <v>99</v>
      </c>
      <c r="B488" s="5" t="s">
        <v>101</v>
      </c>
      <c r="C488" s="5">
        <v>6250</v>
      </c>
      <c r="D488" s="5" t="s">
        <v>45</v>
      </c>
      <c r="E488" s="5" t="s">
        <v>57</v>
      </c>
      <c r="F488" s="6">
        <v>42370</v>
      </c>
      <c r="G488">
        <v>4</v>
      </c>
    </row>
    <row r="489" spans="1:7" x14ac:dyDescent="0.25">
      <c r="A489" s="5" t="s">
        <v>99</v>
      </c>
      <c r="B489" s="5" t="s">
        <v>101</v>
      </c>
      <c r="C489" s="5">
        <v>6250</v>
      </c>
      <c r="D489" s="5" t="s">
        <v>45</v>
      </c>
      <c r="E489" s="5" t="s">
        <v>57</v>
      </c>
      <c r="F489" s="6">
        <v>42736</v>
      </c>
      <c r="G489">
        <v>2</v>
      </c>
    </row>
    <row r="490" spans="1:7" x14ac:dyDescent="0.25">
      <c r="A490" s="5" t="s">
        <v>99</v>
      </c>
      <c r="B490" s="5" t="s">
        <v>101</v>
      </c>
      <c r="C490" s="5">
        <v>6250</v>
      </c>
      <c r="D490" s="5" t="s">
        <v>45</v>
      </c>
      <c r="E490" s="5" t="s">
        <v>58</v>
      </c>
      <c r="F490" s="6">
        <v>42370</v>
      </c>
      <c r="G490">
        <v>0</v>
      </c>
    </row>
    <row r="491" spans="1:7" x14ac:dyDescent="0.25">
      <c r="A491" s="5" t="s">
        <v>99</v>
      </c>
      <c r="B491" s="5" t="s">
        <v>101</v>
      </c>
      <c r="C491" s="5">
        <v>6250</v>
      </c>
      <c r="D491" s="5" t="s">
        <v>45</v>
      </c>
      <c r="E491" s="5" t="s">
        <v>58</v>
      </c>
      <c r="F491" s="6">
        <v>42736</v>
      </c>
      <c r="G491">
        <v>0</v>
      </c>
    </row>
    <row r="492" spans="1:7" x14ac:dyDescent="0.25">
      <c r="A492" s="5" t="s">
        <v>99</v>
      </c>
      <c r="B492" s="5" t="s">
        <v>101</v>
      </c>
      <c r="C492" s="5">
        <v>6250</v>
      </c>
      <c r="D492" s="5" t="s">
        <v>45</v>
      </c>
      <c r="E492" s="5" t="s">
        <v>59</v>
      </c>
      <c r="F492" s="6">
        <v>42370</v>
      </c>
      <c r="G492">
        <v>0</v>
      </c>
    </row>
    <row r="493" spans="1:7" x14ac:dyDescent="0.25">
      <c r="A493" s="5" t="s">
        <v>99</v>
      </c>
      <c r="B493" s="5" t="s">
        <v>101</v>
      </c>
      <c r="C493" s="5">
        <v>6250</v>
      </c>
      <c r="D493" s="5" t="s">
        <v>45</v>
      </c>
      <c r="E493" s="5" t="s">
        <v>59</v>
      </c>
      <c r="F493" s="6">
        <v>42736</v>
      </c>
      <c r="G493">
        <v>1</v>
      </c>
    </row>
    <row r="494" spans="1:7" x14ac:dyDescent="0.25">
      <c r="A494" s="5" t="s">
        <v>99</v>
      </c>
      <c r="B494" s="5" t="s">
        <v>101</v>
      </c>
      <c r="C494" s="5">
        <v>6250</v>
      </c>
      <c r="D494" s="5" t="s">
        <v>45</v>
      </c>
      <c r="E494" s="5" t="s">
        <v>60</v>
      </c>
      <c r="F494" s="6">
        <v>42370</v>
      </c>
      <c r="G494">
        <v>0</v>
      </c>
    </row>
    <row r="495" spans="1:7" x14ac:dyDescent="0.25">
      <c r="A495" s="5" t="s">
        <v>99</v>
      </c>
      <c r="B495" s="5" t="s">
        <v>101</v>
      </c>
      <c r="C495" s="5">
        <v>6250</v>
      </c>
      <c r="D495" s="5" t="s">
        <v>45</v>
      </c>
      <c r="E495" s="5" t="s">
        <v>60</v>
      </c>
      <c r="F495" s="6">
        <v>42736</v>
      </c>
      <c r="G495">
        <v>1</v>
      </c>
    </row>
    <row r="496" spans="1:7" x14ac:dyDescent="0.25">
      <c r="A496" s="5" t="s">
        <v>99</v>
      </c>
      <c r="B496" s="5" t="s">
        <v>101</v>
      </c>
      <c r="C496" s="5">
        <v>6250</v>
      </c>
      <c r="D496" s="5" t="s">
        <v>45</v>
      </c>
      <c r="E496" s="5" t="s">
        <v>61</v>
      </c>
      <c r="F496" s="6">
        <v>42370</v>
      </c>
      <c r="G496">
        <v>5</v>
      </c>
    </row>
    <row r="497" spans="1:7" x14ac:dyDescent="0.25">
      <c r="A497" s="5" t="s">
        <v>99</v>
      </c>
      <c r="B497" s="5" t="s">
        <v>101</v>
      </c>
      <c r="C497" s="5">
        <v>6250</v>
      </c>
      <c r="D497" s="5" t="s">
        <v>45</v>
      </c>
      <c r="E497" s="5" t="s">
        <v>61</v>
      </c>
      <c r="F497" s="6">
        <v>42736</v>
      </c>
      <c r="G497">
        <v>7</v>
      </c>
    </row>
    <row r="498" spans="1:7" x14ac:dyDescent="0.25">
      <c r="A498" s="5" t="s">
        <v>99</v>
      </c>
      <c r="B498" s="5" t="s">
        <v>101</v>
      </c>
      <c r="C498" s="5">
        <v>6250</v>
      </c>
      <c r="D498" s="5" t="s">
        <v>62</v>
      </c>
      <c r="E498" s="5" t="s">
        <v>63</v>
      </c>
      <c r="F498" s="6">
        <v>42370</v>
      </c>
      <c r="G498">
        <v>0</v>
      </c>
    </row>
    <row r="499" spans="1:7" x14ac:dyDescent="0.25">
      <c r="A499" s="5" t="s">
        <v>99</v>
      </c>
      <c r="B499" s="5" t="s">
        <v>101</v>
      </c>
      <c r="C499" s="5">
        <v>6250</v>
      </c>
      <c r="D499" s="5" t="s">
        <v>62</v>
      </c>
      <c r="E499" s="5" t="s">
        <v>63</v>
      </c>
      <c r="F499" s="6">
        <v>42736</v>
      </c>
      <c r="G499">
        <v>0</v>
      </c>
    </row>
    <row r="500" spans="1:7" x14ac:dyDescent="0.25">
      <c r="A500" s="5" t="s">
        <v>99</v>
      </c>
      <c r="B500" s="5" t="s">
        <v>101</v>
      </c>
      <c r="C500" s="5">
        <v>6250</v>
      </c>
      <c r="D500" s="5" t="s">
        <v>62</v>
      </c>
      <c r="E500" s="5" t="s">
        <v>64</v>
      </c>
      <c r="F500" s="6">
        <v>42370</v>
      </c>
      <c r="G500">
        <v>0</v>
      </c>
    </row>
    <row r="501" spans="1:7" x14ac:dyDescent="0.25">
      <c r="A501" s="5" t="s">
        <v>99</v>
      </c>
      <c r="B501" s="5" t="s">
        <v>101</v>
      </c>
      <c r="C501" s="5">
        <v>6250</v>
      </c>
      <c r="D501" s="5" t="s">
        <v>62</v>
      </c>
      <c r="E501" s="5" t="s">
        <v>64</v>
      </c>
      <c r="F501" s="6">
        <v>42736</v>
      </c>
      <c r="G501">
        <v>0</v>
      </c>
    </row>
    <row r="502" spans="1:7" x14ac:dyDescent="0.25">
      <c r="A502" s="5" t="s">
        <v>99</v>
      </c>
      <c r="B502" s="5" t="s">
        <v>101</v>
      </c>
      <c r="C502" s="5">
        <v>6250</v>
      </c>
      <c r="D502" s="5" t="s">
        <v>62</v>
      </c>
      <c r="E502" s="5" t="s">
        <v>9</v>
      </c>
      <c r="F502" s="6">
        <v>42370</v>
      </c>
      <c r="G502">
        <v>0</v>
      </c>
    </row>
    <row r="503" spans="1:7" x14ac:dyDescent="0.25">
      <c r="A503" s="5" t="s">
        <v>99</v>
      </c>
      <c r="B503" s="5" t="s">
        <v>101</v>
      </c>
      <c r="C503" s="5">
        <v>6250</v>
      </c>
      <c r="D503" s="5" t="s">
        <v>62</v>
      </c>
      <c r="E503" s="5" t="s">
        <v>9</v>
      </c>
      <c r="F503" s="6">
        <v>42736</v>
      </c>
      <c r="G503">
        <v>0</v>
      </c>
    </row>
    <row r="504" spans="1:7" x14ac:dyDescent="0.25">
      <c r="A504" s="5" t="s">
        <v>99</v>
      </c>
      <c r="B504" s="5" t="s">
        <v>101</v>
      </c>
      <c r="C504" s="5">
        <v>6250</v>
      </c>
      <c r="D504" s="5" t="s">
        <v>62</v>
      </c>
      <c r="E504" s="5" t="s">
        <v>65</v>
      </c>
      <c r="F504" s="6">
        <v>42370</v>
      </c>
      <c r="G504">
        <v>0</v>
      </c>
    </row>
    <row r="505" spans="1:7" x14ac:dyDescent="0.25">
      <c r="A505" s="5" t="s">
        <v>99</v>
      </c>
      <c r="B505" s="5" t="s">
        <v>101</v>
      </c>
      <c r="C505" s="5">
        <v>6250</v>
      </c>
      <c r="D505" s="5" t="s">
        <v>62</v>
      </c>
      <c r="E505" s="5" t="s">
        <v>65</v>
      </c>
      <c r="F505" s="6">
        <v>42736</v>
      </c>
      <c r="G505">
        <v>0</v>
      </c>
    </row>
    <row r="506" spans="1:7" x14ac:dyDescent="0.25">
      <c r="A506" s="5" t="s">
        <v>99</v>
      </c>
      <c r="B506" s="5" t="s">
        <v>101</v>
      </c>
      <c r="C506" s="5">
        <v>6250</v>
      </c>
      <c r="D506" s="5" t="s">
        <v>62</v>
      </c>
      <c r="E506" s="5" t="s">
        <v>66</v>
      </c>
      <c r="F506" s="6">
        <v>42370</v>
      </c>
      <c r="G506">
        <v>0</v>
      </c>
    </row>
    <row r="507" spans="1:7" x14ac:dyDescent="0.25">
      <c r="A507" s="5" t="s">
        <v>99</v>
      </c>
      <c r="B507" s="5" t="s">
        <v>101</v>
      </c>
      <c r="C507" s="5">
        <v>6250</v>
      </c>
      <c r="D507" s="5" t="s">
        <v>62</v>
      </c>
      <c r="E507" s="5" t="s">
        <v>66</v>
      </c>
      <c r="F507" s="6">
        <v>42736</v>
      </c>
      <c r="G507">
        <v>0</v>
      </c>
    </row>
    <row r="508" spans="1:7" x14ac:dyDescent="0.25">
      <c r="A508" s="5" t="s">
        <v>99</v>
      </c>
      <c r="B508" s="5" t="s">
        <v>101</v>
      </c>
      <c r="C508" s="5">
        <v>6250</v>
      </c>
      <c r="D508" s="5" t="s">
        <v>62</v>
      </c>
      <c r="E508" s="5" t="s">
        <v>67</v>
      </c>
      <c r="F508" s="6">
        <v>42370</v>
      </c>
      <c r="G508">
        <v>0</v>
      </c>
    </row>
    <row r="509" spans="1:7" x14ac:dyDescent="0.25">
      <c r="A509" s="5" t="s">
        <v>99</v>
      </c>
      <c r="B509" s="5" t="s">
        <v>101</v>
      </c>
      <c r="C509" s="5">
        <v>6250</v>
      </c>
      <c r="D509" s="5" t="s">
        <v>62</v>
      </c>
      <c r="E509" s="5" t="s">
        <v>67</v>
      </c>
      <c r="F509" s="6">
        <v>42736</v>
      </c>
      <c r="G509">
        <v>0</v>
      </c>
    </row>
    <row r="510" spans="1:7" x14ac:dyDescent="0.25">
      <c r="A510" s="5" t="s">
        <v>99</v>
      </c>
      <c r="B510" s="5" t="s">
        <v>101</v>
      </c>
      <c r="C510" s="5">
        <v>6250</v>
      </c>
      <c r="D510" s="5" t="s">
        <v>62</v>
      </c>
      <c r="E510" s="5" t="s">
        <v>68</v>
      </c>
      <c r="F510" s="6">
        <v>42370</v>
      </c>
      <c r="G510">
        <v>0</v>
      </c>
    </row>
    <row r="511" spans="1:7" x14ac:dyDescent="0.25">
      <c r="A511" s="5" t="s">
        <v>99</v>
      </c>
      <c r="B511" s="5" t="s">
        <v>101</v>
      </c>
      <c r="C511" s="5">
        <v>6250</v>
      </c>
      <c r="D511" s="5" t="s">
        <v>62</v>
      </c>
      <c r="E511" s="5" t="s">
        <v>68</v>
      </c>
      <c r="F511" s="6">
        <v>42736</v>
      </c>
      <c r="G511">
        <v>0</v>
      </c>
    </row>
    <row r="512" spans="1:7" x14ac:dyDescent="0.25">
      <c r="A512" s="5" t="s">
        <v>99</v>
      </c>
      <c r="B512" s="5" t="s">
        <v>101</v>
      </c>
      <c r="C512" s="5">
        <v>6250</v>
      </c>
      <c r="D512" s="5" t="s">
        <v>62</v>
      </c>
      <c r="E512" s="5" t="s">
        <v>69</v>
      </c>
      <c r="F512" s="6">
        <v>42370</v>
      </c>
      <c r="G512">
        <v>0</v>
      </c>
    </row>
    <row r="513" spans="1:7" x14ac:dyDescent="0.25">
      <c r="A513" s="5" t="s">
        <v>99</v>
      </c>
      <c r="B513" s="5" t="s">
        <v>101</v>
      </c>
      <c r="C513" s="5">
        <v>6250</v>
      </c>
      <c r="D513" s="5" t="s">
        <v>62</v>
      </c>
      <c r="E513" s="5" t="s">
        <v>69</v>
      </c>
      <c r="F513" s="6">
        <v>42736</v>
      </c>
      <c r="G513">
        <v>0</v>
      </c>
    </row>
    <row r="514" spans="1:7" x14ac:dyDescent="0.25">
      <c r="A514" s="5" t="s">
        <v>99</v>
      </c>
      <c r="B514" s="5" t="s">
        <v>101</v>
      </c>
      <c r="C514" s="5">
        <v>6250</v>
      </c>
      <c r="D514" s="5" t="s">
        <v>62</v>
      </c>
      <c r="E514" s="5" t="s">
        <v>70</v>
      </c>
      <c r="F514" s="6">
        <v>42370</v>
      </c>
      <c r="G514">
        <v>0</v>
      </c>
    </row>
    <row r="515" spans="1:7" x14ac:dyDescent="0.25">
      <c r="A515" s="5" t="s">
        <v>99</v>
      </c>
      <c r="B515" s="5" t="s">
        <v>101</v>
      </c>
      <c r="C515" s="5">
        <v>6250</v>
      </c>
      <c r="D515" s="5" t="s">
        <v>62</v>
      </c>
      <c r="E515" s="5" t="s">
        <v>70</v>
      </c>
      <c r="F515" s="6">
        <v>42736</v>
      </c>
      <c r="G515">
        <v>0</v>
      </c>
    </row>
    <row r="516" spans="1:7" x14ac:dyDescent="0.25">
      <c r="A516" s="5" t="s">
        <v>99</v>
      </c>
      <c r="B516" s="5" t="s">
        <v>101</v>
      </c>
      <c r="C516" s="5">
        <v>6250</v>
      </c>
      <c r="D516" s="5" t="s">
        <v>62</v>
      </c>
      <c r="E516" s="5" t="s">
        <v>71</v>
      </c>
      <c r="F516" s="6">
        <v>42370</v>
      </c>
      <c r="G516">
        <v>0</v>
      </c>
    </row>
    <row r="517" spans="1:7" x14ac:dyDescent="0.25">
      <c r="A517" s="5" t="s">
        <v>99</v>
      </c>
      <c r="B517" s="5" t="s">
        <v>101</v>
      </c>
      <c r="C517" s="5">
        <v>6250</v>
      </c>
      <c r="D517" s="5" t="s">
        <v>62</v>
      </c>
      <c r="E517" s="5" t="s">
        <v>71</v>
      </c>
      <c r="F517" s="6">
        <v>42736</v>
      </c>
      <c r="G517">
        <v>0</v>
      </c>
    </row>
    <row r="518" spans="1:7" x14ac:dyDescent="0.25">
      <c r="A518" s="5" t="s">
        <v>99</v>
      </c>
      <c r="B518" s="5" t="s">
        <v>101</v>
      </c>
      <c r="C518" s="5">
        <v>6250</v>
      </c>
      <c r="D518" s="5" t="s">
        <v>72</v>
      </c>
      <c r="E518" s="5" t="s">
        <v>73</v>
      </c>
      <c r="F518" s="6">
        <v>42370</v>
      </c>
      <c r="G518">
        <v>0</v>
      </c>
    </row>
    <row r="519" spans="1:7" x14ac:dyDescent="0.25">
      <c r="A519" s="5" t="s">
        <v>99</v>
      </c>
      <c r="B519" s="5" t="s">
        <v>101</v>
      </c>
      <c r="C519" s="5">
        <v>6250</v>
      </c>
      <c r="D519" s="5" t="s">
        <v>72</v>
      </c>
      <c r="E519" s="5" t="s">
        <v>73</v>
      </c>
      <c r="F519" s="6">
        <v>42736</v>
      </c>
      <c r="G519">
        <v>0</v>
      </c>
    </row>
    <row r="520" spans="1:7" x14ac:dyDescent="0.25">
      <c r="A520" s="5" t="s">
        <v>99</v>
      </c>
      <c r="B520" s="5" t="s">
        <v>101</v>
      </c>
      <c r="C520" s="5">
        <v>6250</v>
      </c>
      <c r="D520" s="5" t="s">
        <v>72</v>
      </c>
      <c r="E520" s="5" t="s">
        <v>9</v>
      </c>
      <c r="F520" s="6">
        <v>42370</v>
      </c>
      <c r="G520">
        <v>0</v>
      </c>
    </row>
    <row r="521" spans="1:7" x14ac:dyDescent="0.25">
      <c r="A521" s="5" t="s">
        <v>99</v>
      </c>
      <c r="B521" s="5" t="s">
        <v>101</v>
      </c>
      <c r="C521" s="5">
        <v>6250</v>
      </c>
      <c r="D521" s="5" t="s">
        <v>72</v>
      </c>
      <c r="E521" s="5" t="s">
        <v>9</v>
      </c>
      <c r="F521" s="6">
        <v>42736</v>
      </c>
      <c r="G521">
        <v>0</v>
      </c>
    </row>
    <row r="522" spans="1:7" x14ac:dyDescent="0.25">
      <c r="A522" s="5" t="s">
        <v>99</v>
      </c>
      <c r="B522" s="5" t="s">
        <v>101</v>
      </c>
      <c r="C522" s="5">
        <v>6250</v>
      </c>
      <c r="D522" s="5" t="s">
        <v>72</v>
      </c>
      <c r="E522" s="5" t="s">
        <v>34</v>
      </c>
      <c r="F522" s="6">
        <v>42370</v>
      </c>
      <c r="G522">
        <v>0</v>
      </c>
    </row>
    <row r="523" spans="1:7" x14ac:dyDescent="0.25">
      <c r="A523" s="5" t="s">
        <v>99</v>
      </c>
      <c r="B523" s="5" t="s">
        <v>101</v>
      </c>
      <c r="C523" s="5">
        <v>6250</v>
      </c>
      <c r="D523" s="5" t="s">
        <v>72</v>
      </c>
      <c r="E523" s="5" t="s">
        <v>34</v>
      </c>
      <c r="F523" s="6">
        <v>42736</v>
      </c>
      <c r="G523">
        <v>0</v>
      </c>
    </row>
    <row r="524" spans="1:7" x14ac:dyDescent="0.25">
      <c r="A524" s="5" t="s">
        <v>99</v>
      </c>
      <c r="B524" s="5" t="s">
        <v>101</v>
      </c>
      <c r="C524" s="5">
        <v>6250</v>
      </c>
      <c r="D524" s="5" t="s">
        <v>72</v>
      </c>
      <c r="E524" s="5" t="s">
        <v>74</v>
      </c>
      <c r="F524" s="6">
        <v>42370</v>
      </c>
      <c r="G524">
        <v>0</v>
      </c>
    </row>
    <row r="525" spans="1:7" x14ac:dyDescent="0.25">
      <c r="A525" s="5" t="s">
        <v>99</v>
      </c>
      <c r="B525" s="5" t="s">
        <v>101</v>
      </c>
      <c r="C525" s="5">
        <v>6250</v>
      </c>
      <c r="D525" s="5" t="s">
        <v>72</v>
      </c>
      <c r="E525" s="5" t="s">
        <v>74</v>
      </c>
      <c r="F525" s="6">
        <v>42736</v>
      </c>
      <c r="G525">
        <v>0</v>
      </c>
    </row>
    <row r="526" spans="1:7" x14ac:dyDescent="0.25">
      <c r="A526" s="5" t="s">
        <v>99</v>
      </c>
      <c r="B526" s="5" t="s">
        <v>101</v>
      </c>
      <c r="C526" s="5">
        <v>6250</v>
      </c>
      <c r="D526" s="5" t="s">
        <v>72</v>
      </c>
      <c r="E526" s="5" t="s">
        <v>75</v>
      </c>
      <c r="F526" s="6">
        <v>42370</v>
      </c>
      <c r="G526">
        <v>0</v>
      </c>
    </row>
    <row r="527" spans="1:7" x14ac:dyDescent="0.25">
      <c r="A527" s="5" t="s">
        <v>99</v>
      </c>
      <c r="B527" s="5" t="s">
        <v>101</v>
      </c>
      <c r="C527" s="5">
        <v>6250</v>
      </c>
      <c r="D527" s="5" t="s">
        <v>72</v>
      </c>
      <c r="E527" s="5" t="s">
        <v>75</v>
      </c>
      <c r="F527" s="6">
        <v>42736</v>
      </c>
      <c r="G527">
        <v>0</v>
      </c>
    </row>
    <row r="528" spans="1:7" x14ac:dyDescent="0.25">
      <c r="A528" s="5" t="s">
        <v>99</v>
      </c>
      <c r="B528" s="5" t="s">
        <v>101</v>
      </c>
      <c r="C528" s="5">
        <v>6250</v>
      </c>
      <c r="D528" s="5" t="s">
        <v>76</v>
      </c>
      <c r="E528" s="5" t="s">
        <v>9</v>
      </c>
      <c r="F528" s="6">
        <v>42370</v>
      </c>
      <c r="G528">
        <v>0</v>
      </c>
    </row>
    <row r="529" spans="1:7" x14ac:dyDescent="0.25">
      <c r="A529" s="5" t="s">
        <v>99</v>
      </c>
      <c r="B529" s="5" t="s">
        <v>101</v>
      </c>
      <c r="C529" s="5">
        <v>6250</v>
      </c>
      <c r="D529" s="5" t="s">
        <v>76</v>
      </c>
      <c r="E529" s="5" t="s">
        <v>9</v>
      </c>
      <c r="F529" s="6">
        <v>42736</v>
      </c>
      <c r="G529">
        <v>0</v>
      </c>
    </row>
    <row r="530" spans="1:7" x14ac:dyDescent="0.25">
      <c r="A530" s="5" t="s">
        <v>99</v>
      </c>
      <c r="B530" s="5" t="s">
        <v>101</v>
      </c>
      <c r="C530" s="5">
        <v>6250</v>
      </c>
      <c r="D530" s="5" t="s">
        <v>76</v>
      </c>
      <c r="E530" s="5" t="s">
        <v>77</v>
      </c>
      <c r="F530" s="6">
        <v>42370</v>
      </c>
      <c r="G530">
        <v>0</v>
      </c>
    </row>
    <row r="531" spans="1:7" x14ac:dyDescent="0.25">
      <c r="A531" s="5" t="s">
        <v>99</v>
      </c>
      <c r="B531" s="5" t="s">
        <v>101</v>
      </c>
      <c r="C531" s="5">
        <v>6250</v>
      </c>
      <c r="D531" s="5" t="s">
        <v>76</v>
      </c>
      <c r="E531" s="5" t="s">
        <v>77</v>
      </c>
      <c r="F531" s="6">
        <v>42736</v>
      </c>
      <c r="G531">
        <v>0</v>
      </c>
    </row>
    <row r="532" spans="1:7" x14ac:dyDescent="0.25">
      <c r="A532" s="5" t="s">
        <v>99</v>
      </c>
      <c r="B532" s="5" t="s">
        <v>101</v>
      </c>
      <c r="C532" s="5">
        <v>6250</v>
      </c>
      <c r="D532" s="5" t="s">
        <v>78</v>
      </c>
      <c r="E532" s="5" t="s">
        <v>79</v>
      </c>
      <c r="F532" s="6">
        <v>42370</v>
      </c>
      <c r="G532">
        <v>65</v>
      </c>
    </row>
    <row r="533" spans="1:7" x14ac:dyDescent="0.25">
      <c r="A533" s="5" t="s">
        <v>99</v>
      </c>
      <c r="B533" s="5" t="s">
        <v>101</v>
      </c>
      <c r="C533" s="5">
        <v>6250</v>
      </c>
      <c r="D533" s="5" t="s">
        <v>78</v>
      </c>
      <c r="E533" s="5" t="s">
        <v>79</v>
      </c>
      <c r="F533" s="6">
        <v>42736</v>
      </c>
      <c r="G533">
        <v>84</v>
      </c>
    </row>
    <row r="534" spans="1:7" x14ac:dyDescent="0.25">
      <c r="A534" s="5" t="s">
        <v>99</v>
      </c>
      <c r="B534" s="5" t="s">
        <v>101</v>
      </c>
      <c r="C534" s="5">
        <v>6250</v>
      </c>
      <c r="D534" s="5" t="s">
        <v>78</v>
      </c>
      <c r="E534" s="5" t="s">
        <v>80</v>
      </c>
      <c r="F534" s="6">
        <v>42370</v>
      </c>
      <c r="G534">
        <v>0</v>
      </c>
    </row>
    <row r="535" spans="1:7" x14ac:dyDescent="0.25">
      <c r="A535" s="5" t="s">
        <v>99</v>
      </c>
      <c r="B535" s="5" t="s">
        <v>101</v>
      </c>
      <c r="C535" s="5">
        <v>6250</v>
      </c>
      <c r="D535" s="5" t="s">
        <v>78</v>
      </c>
      <c r="E535" s="5" t="s">
        <v>80</v>
      </c>
      <c r="F535" s="6">
        <v>42736</v>
      </c>
      <c r="G535">
        <v>5</v>
      </c>
    </row>
    <row r="536" spans="1:7" x14ac:dyDescent="0.25">
      <c r="A536" s="5" t="s">
        <v>99</v>
      </c>
      <c r="B536" s="5" t="s">
        <v>101</v>
      </c>
      <c r="C536" s="5">
        <v>6250</v>
      </c>
      <c r="D536" s="5" t="s">
        <v>78</v>
      </c>
      <c r="E536" s="5" t="s">
        <v>81</v>
      </c>
      <c r="F536" s="6">
        <v>42370</v>
      </c>
      <c r="G536">
        <v>552</v>
      </c>
    </row>
    <row r="537" spans="1:7" x14ac:dyDescent="0.25">
      <c r="A537" s="5" t="s">
        <v>99</v>
      </c>
      <c r="B537" s="5" t="s">
        <v>101</v>
      </c>
      <c r="C537" s="5">
        <v>6250</v>
      </c>
      <c r="D537" s="5" t="s">
        <v>78</v>
      </c>
      <c r="E537" s="5" t="s">
        <v>81</v>
      </c>
      <c r="F537" s="6">
        <v>42736</v>
      </c>
      <c r="G537">
        <v>689</v>
      </c>
    </row>
    <row r="538" spans="1:7" x14ac:dyDescent="0.25">
      <c r="A538" s="5" t="s">
        <v>99</v>
      </c>
      <c r="B538" s="5" t="s">
        <v>101</v>
      </c>
      <c r="C538" s="5">
        <v>6250</v>
      </c>
      <c r="D538" s="5" t="s">
        <v>78</v>
      </c>
      <c r="E538" s="5" t="s">
        <v>82</v>
      </c>
      <c r="F538" s="6">
        <v>42370</v>
      </c>
      <c r="G538">
        <v>7</v>
      </c>
    </row>
    <row r="539" spans="1:7" x14ac:dyDescent="0.25">
      <c r="A539" s="5" t="s">
        <v>99</v>
      </c>
      <c r="B539" s="5" t="s">
        <v>101</v>
      </c>
      <c r="C539" s="5">
        <v>6250</v>
      </c>
      <c r="D539" s="5" t="s">
        <v>78</v>
      </c>
      <c r="E539" s="5" t="s">
        <v>82</v>
      </c>
      <c r="F539" s="6">
        <v>42736</v>
      </c>
      <c r="G539">
        <v>5</v>
      </c>
    </row>
    <row r="540" spans="1:7" x14ac:dyDescent="0.25">
      <c r="A540" s="5" t="s">
        <v>99</v>
      </c>
      <c r="B540" s="5" t="s">
        <v>101</v>
      </c>
      <c r="C540" s="5">
        <v>6250</v>
      </c>
      <c r="D540" s="5" t="s">
        <v>78</v>
      </c>
      <c r="E540" s="5" t="s">
        <v>83</v>
      </c>
      <c r="F540" s="6">
        <v>42370</v>
      </c>
      <c r="G540">
        <v>0</v>
      </c>
    </row>
    <row r="541" spans="1:7" x14ac:dyDescent="0.25">
      <c r="A541" s="5" t="s">
        <v>99</v>
      </c>
      <c r="B541" s="5" t="s">
        <v>101</v>
      </c>
      <c r="C541" s="5">
        <v>6250</v>
      </c>
      <c r="D541" s="5" t="s">
        <v>78</v>
      </c>
      <c r="E541" s="5" t="s">
        <v>83</v>
      </c>
      <c r="F541" s="6">
        <v>42736</v>
      </c>
      <c r="G541">
        <v>0</v>
      </c>
    </row>
    <row r="542" spans="1:7" x14ac:dyDescent="0.25">
      <c r="A542" s="5" t="s">
        <v>99</v>
      </c>
      <c r="B542" s="5" t="s">
        <v>101</v>
      </c>
      <c r="C542" s="5">
        <v>6250</v>
      </c>
      <c r="D542" s="5" t="s">
        <v>78</v>
      </c>
      <c r="E542" s="5" t="s">
        <v>84</v>
      </c>
      <c r="F542" s="6">
        <v>42370</v>
      </c>
      <c r="G542">
        <v>0</v>
      </c>
    </row>
    <row r="543" spans="1:7" x14ac:dyDescent="0.25">
      <c r="A543" s="5" t="s">
        <v>99</v>
      </c>
      <c r="B543" s="5" t="s">
        <v>101</v>
      </c>
      <c r="C543" s="5">
        <v>6250</v>
      </c>
      <c r="D543" s="5" t="s">
        <v>78</v>
      </c>
      <c r="E543" s="5" t="s">
        <v>84</v>
      </c>
      <c r="F543" s="6">
        <v>42736</v>
      </c>
      <c r="G543">
        <v>0</v>
      </c>
    </row>
    <row r="544" spans="1:7" x14ac:dyDescent="0.25">
      <c r="A544" s="5" t="s">
        <v>99</v>
      </c>
      <c r="B544" s="5" t="s">
        <v>101</v>
      </c>
      <c r="C544" s="5">
        <v>6250</v>
      </c>
      <c r="D544" s="5" t="s">
        <v>78</v>
      </c>
      <c r="E544" s="5" t="s">
        <v>85</v>
      </c>
      <c r="F544" s="6">
        <v>42370</v>
      </c>
      <c r="G544">
        <v>0</v>
      </c>
    </row>
    <row r="545" spans="1:7" x14ac:dyDescent="0.25">
      <c r="A545" s="5" t="s">
        <v>99</v>
      </c>
      <c r="B545" s="5" t="s">
        <v>101</v>
      </c>
      <c r="C545" s="5">
        <v>6250</v>
      </c>
      <c r="D545" s="5" t="s">
        <v>78</v>
      </c>
      <c r="E545" s="5" t="s">
        <v>85</v>
      </c>
      <c r="F545" s="6">
        <v>42736</v>
      </c>
      <c r="G545">
        <v>0</v>
      </c>
    </row>
    <row r="546" spans="1:7" x14ac:dyDescent="0.25">
      <c r="A546" s="5" t="s">
        <v>99</v>
      </c>
      <c r="B546" s="5" t="s">
        <v>101</v>
      </c>
      <c r="C546" s="5">
        <v>6250</v>
      </c>
      <c r="D546" s="5" t="s">
        <v>78</v>
      </c>
      <c r="E546" s="5" t="s">
        <v>86</v>
      </c>
      <c r="F546" s="6">
        <v>42370</v>
      </c>
      <c r="G546">
        <v>0</v>
      </c>
    </row>
    <row r="547" spans="1:7" x14ac:dyDescent="0.25">
      <c r="A547" s="5" t="s">
        <v>99</v>
      </c>
      <c r="B547" s="5" t="s">
        <v>101</v>
      </c>
      <c r="C547" s="5">
        <v>6250</v>
      </c>
      <c r="D547" s="5" t="s">
        <v>78</v>
      </c>
      <c r="E547" s="5" t="s">
        <v>86</v>
      </c>
      <c r="F547" s="6">
        <v>42736</v>
      </c>
      <c r="G547">
        <v>0</v>
      </c>
    </row>
    <row r="548" spans="1:7" x14ac:dyDescent="0.25">
      <c r="A548" s="5" t="s">
        <v>99</v>
      </c>
      <c r="B548" s="5" t="s">
        <v>101</v>
      </c>
      <c r="C548" s="5">
        <v>6250</v>
      </c>
      <c r="D548" s="5" t="s">
        <v>78</v>
      </c>
      <c r="E548" s="5" t="s">
        <v>87</v>
      </c>
      <c r="F548" s="6">
        <v>42370</v>
      </c>
      <c r="G548">
        <v>2</v>
      </c>
    </row>
    <row r="549" spans="1:7" x14ac:dyDescent="0.25">
      <c r="A549" s="5" t="s">
        <v>99</v>
      </c>
      <c r="B549" s="5" t="s">
        <v>101</v>
      </c>
      <c r="C549" s="5">
        <v>6250</v>
      </c>
      <c r="D549" s="5" t="s">
        <v>78</v>
      </c>
      <c r="E549" s="5" t="s">
        <v>87</v>
      </c>
      <c r="F549" s="6">
        <v>42736</v>
      </c>
      <c r="G549">
        <v>5</v>
      </c>
    </row>
    <row r="550" spans="1:7" x14ac:dyDescent="0.25">
      <c r="A550" s="5" t="s">
        <v>99</v>
      </c>
      <c r="B550" s="5" t="s">
        <v>101</v>
      </c>
      <c r="C550" s="5">
        <v>6250</v>
      </c>
      <c r="D550" s="5" t="s">
        <v>78</v>
      </c>
      <c r="E550" s="5" t="s">
        <v>88</v>
      </c>
      <c r="F550" s="6">
        <v>42370</v>
      </c>
      <c r="G550">
        <v>92</v>
      </c>
    </row>
    <row r="551" spans="1:7" x14ac:dyDescent="0.25">
      <c r="A551" s="5" t="s">
        <v>99</v>
      </c>
      <c r="B551" s="5" t="s">
        <v>101</v>
      </c>
      <c r="C551" s="5">
        <v>6250</v>
      </c>
      <c r="D551" s="5" t="s">
        <v>78</v>
      </c>
      <c r="E551" s="5" t="s">
        <v>88</v>
      </c>
      <c r="F551" s="6">
        <v>42736</v>
      </c>
      <c r="G551">
        <v>141</v>
      </c>
    </row>
    <row r="552" spans="1:7" x14ac:dyDescent="0.25">
      <c r="A552" s="5" t="s">
        <v>99</v>
      </c>
      <c r="B552" s="5" t="s">
        <v>101</v>
      </c>
      <c r="C552" s="5">
        <v>6250</v>
      </c>
      <c r="D552" s="5" t="s">
        <v>78</v>
      </c>
      <c r="E552" s="5" t="s">
        <v>89</v>
      </c>
      <c r="F552" s="6">
        <v>42370</v>
      </c>
      <c r="G552">
        <v>1291</v>
      </c>
    </row>
    <row r="553" spans="1:7" x14ac:dyDescent="0.25">
      <c r="A553" s="5" t="s">
        <v>99</v>
      </c>
      <c r="B553" s="5" t="s">
        <v>101</v>
      </c>
      <c r="C553" s="5">
        <v>6250</v>
      </c>
      <c r="D553" s="5" t="s">
        <v>78</v>
      </c>
      <c r="E553" s="5" t="s">
        <v>89</v>
      </c>
      <c r="F553" s="6">
        <v>42736</v>
      </c>
      <c r="G553">
        <v>1564</v>
      </c>
    </row>
    <row r="554" spans="1:7" x14ac:dyDescent="0.25">
      <c r="A554" s="5" t="s">
        <v>99</v>
      </c>
      <c r="B554" s="5" t="s">
        <v>101</v>
      </c>
      <c r="C554" s="5">
        <v>6250</v>
      </c>
      <c r="D554" s="5" t="s">
        <v>78</v>
      </c>
      <c r="E554" s="5" t="s">
        <v>90</v>
      </c>
      <c r="F554" s="6">
        <v>42370</v>
      </c>
      <c r="G554">
        <v>0</v>
      </c>
    </row>
    <row r="555" spans="1:7" x14ac:dyDescent="0.25">
      <c r="A555" s="5" t="s">
        <v>99</v>
      </c>
      <c r="B555" s="5" t="s">
        <v>101</v>
      </c>
      <c r="C555" s="5">
        <v>6250</v>
      </c>
      <c r="D555" s="5" t="s">
        <v>78</v>
      </c>
      <c r="E555" s="5" t="s">
        <v>90</v>
      </c>
      <c r="F555" s="6">
        <v>42736</v>
      </c>
      <c r="G555">
        <v>0</v>
      </c>
    </row>
    <row r="556" spans="1:7" x14ac:dyDescent="0.25">
      <c r="A556" s="5" t="s">
        <v>99</v>
      </c>
      <c r="B556" s="5" t="s">
        <v>101</v>
      </c>
      <c r="C556" s="5">
        <v>6250</v>
      </c>
      <c r="D556" s="5" t="s">
        <v>78</v>
      </c>
      <c r="E556" s="5" t="s">
        <v>91</v>
      </c>
      <c r="F556" s="6">
        <v>42370</v>
      </c>
      <c r="G556">
        <v>0</v>
      </c>
    </row>
    <row r="557" spans="1:7" x14ac:dyDescent="0.25">
      <c r="A557" s="5" t="s">
        <v>99</v>
      </c>
      <c r="B557" s="5" t="s">
        <v>101</v>
      </c>
      <c r="C557" s="5">
        <v>6250</v>
      </c>
      <c r="D557" s="5" t="s">
        <v>78</v>
      </c>
      <c r="E557" s="5" t="s">
        <v>91</v>
      </c>
      <c r="F557" s="6">
        <v>42736</v>
      </c>
      <c r="G557">
        <v>0</v>
      </c>
    </row>
    <row r="558" spans="1:7" x14ac:dyDescent="0.25">
      <c r="A558" s="5" t="s">
        <v>99</v>
      </c>
      <c r="B558" s="5" t="s">
        <v>101</v>
      </c>
      <c r="C558" s="5">
        <v>6250</v>
      </c>
      <c r="D558" s="5" t="s">
        <v>78</v>
      </c>
      <c r="E558" s="5" t="s">
        <v>92</v>
      </c>
      <c r="F558" s="6">
        <v>42370</v>
      </c>
      <c r="G558">
        <v>0</v>
      </c>
    </row>
    <row r="559" spans="1:7" x14ac:dyDescent="0.25">
      <c r="A559" s="5" t="s">
        <v>99</v>
      </c>
      <c r="B559" s="5" t="s">
        <v>101</v>
      </c>
      <c r="C559" s="5">
        <v>6250</v>
      </c>
      <c r="D559" s="5" t="s">
        <v>78</v>
      </c>
      <c r="E559" s="5" t="s">
        <v>92</v>
      </c>
      <c r="F559" s="6">
        <v>42736</v>
      </c>
      <c r="G559">
        <v>0</v>
      </c>
    </row>
    <row r="560" spans="1:7" x14ac:dyDescent="0.25">
      <c r="A560" s="5" t="s">
        <v>99</v>
      </c>
      <c r="B560" s="5" t="s">
        <v>101</v>
      </c>
      <c r="C560" s="5">
        <v>6250</v>
      </c>
      <c r="D560" s="5" t="s">
        <v>78</v>
      </c>
      <c r="E560" s="5" t="s">
        <v>93</v>
      </c>
      <c r="F560" s="6">
        <v>42370</v>
      </c>
      <c r="G560">
        <v>0</v>
      </c>
    </row>
    <row r="561" spans="1:7" x14ac:dyDescent="0.25">
      <c r="A561" s="5" t="s">
        <v>99</v>
      </c>
      <c r="B561" s="5" t="s">
        <v>101</v>
      </c>
      <c r="C561" s="5">
        <v>6250</v>
      </c>
      <c r="D561" s="5" t="s">
        <v>78</v>
      </c>
      <c r="E561" s="5" t="s">
        <v>93</v>
      </c>
      <c r="F561" s="6">
        <v>42736</v>
      </c>
      <c r="G561">
        <v>0</v>
      </c>
    </row>
    <row r="562" spans="1:7" x14ac:dyDescent="0.25">
      <c r="A562" s="5" t="s">
        <v>99</v>
      </c>
      <c r="B562" s="5" t="s">
        <v>101</v>
      </c>
      <c r="C562" s="5">
        <v>6250</v>
      </c>
      <c r="D562" s="5" t="s">
        <v>78</v>
      </c>
      <c r="E562" s="5" t="s">
        <v>94</v>
      </c>
      <c r="F562" s="6">
        <v>42370</v>
      </c>
      <c r="G562">
        <v>0</v>
      </c>
    </row>
    <row r="563" spans="1:7" x14ac:dyDescent="0.25">
      <c r="A563" s="5" t="s">
        <v>99</v>
      </c>
      <c r="B563" s="5" t="s">
        <v>101</v>
      </c>
      <c r="C563" s="5">
        <v>6250</v>
      </c>
      <c r="D563" s="5" t="s">
        <v>78</v>
      </c>
      <c r="E563" s="5" t="s">
        <v>94</v>
      </c>
      <c r="F563" s="6">
        <v>42736</v>
      </c>
      <c r="G563">
        <v>0</v>
      </c>
    </row>
    <row r="564" spans="1:7" x14ac:dyDescent="0.25">
      <c r="A564" s="5" t="s">
        <v>99</v>
      </c>
      <c r="B564" s="5" t="s">
        <v>101</v>
      </c>
      <c r="C564" s="5">
        <v>6250</v>
      </c>
      <c r="D564" s="5" t="s">
        <v>78</v>
      </c>
      <c r="E564" s="5" t="s">
        <v>95</v>
      </c>
      <c r="F564" s="6">
        <v>42370</v>
      </c>
      <c r="G564">
        <v>0</v>
      </c>
    </row>
    <row r="565" spans="1:7" x14ac:dyDescent="0.25">
      <c r="A565" s="5" t="s">
        <v>99</v>
      </c>
      <c r="B565" s="5" t="s">
        <v>101</v>
      </c>
      <c r="C565" s="5">
        <v>6250</v>
      </c>
      <c r="D565" s="5" t="s">
        <v>78</v>
      </c>
      <c r="E565" s="5" t="s">
        <v>95</v>
      </c>
      <c r="F565" s="6">
        <v>42736</v>
      </c>
      <c r="G565">
        <v>0</v>
      </c>
    </row>
    <row r="566" spans="1:7" x14ac:dyDescent="0.25">
      <c r="A566" s="5" t="s">
        <v>99</v>
      </c>
      <c r="B566" s="5" t="s">
        <v>101</v>
      </c>
      <c r="C566" s="5">
        <v>6250</v>
      </c>
      <c r="D566" s="5" t="s">
        <v>78</v>
      </c>
      <c r="E566" s="5" t="s">
        <v>96</v>
      </c>
      <c r="F566" s="6">
        <v>42370</v>
      </c>
      <c r="G566">
        <v>0</v>
      </c>
    </row>
    <row r="567" spans="1:7" x14ac:dyDescent="0.25">
      <c r="A567" s="5" t="s">
        <v>99</v>
      </c>
      <c r="B567" s="5" t="s">
        <v>101</v>
      </c>
      <c r="C567" s="5">
        <v>6250</v>
      </c>
      <c r="D567" s="5" t="s">
        <v>78</v>
      </c>
      <c r="E567" s="5" t="s">
        <v>96</v>
      </c>
      <c r="F567" s="6">
        <v>42736</v>
      </c>
      <c r="G567">
        <v>0</v>
      </c>
    </row>
    <row r="568" spans="1:7" x14ac:dyDescent="0.25">
      <c r="A568" s="5" t="s">
        <v>99</v>
      </c>
      <c r="B568" s="5" t="s">
        <v>101</v>
      </c>
      <c r="C568" s="5">
        <v>6250</v>
      </c>
      <c r="D568" s="5" t="s">
        <v>78</v>
      </c>
      <c r="E568" s="5" t="s">
        <v>97</v>
      </c>
      <c r="F568" s="6">
        <v>42370</v>
      </c>
      <c r="G568">
        <v>0</v>
      </c>
    </row>
    <row r="569" spans="1:7" x14ac:dyDescent="0.25">
      <c r="A569" s="5" t="s">
        <v>99</v>
      </c>
      <c r="B569" s="5" t="s">
        <v>101</v>
      </c>
      <c r="C569" s="5">
        <v>6250</v>
      </c>
      <c r="D569" s="5" t="s">
        <v>78</v>
      </c>
      <c r="E569" s="5" t="s">
        <v>97</v>
      </c>
      <c r="F569" s="6">
        <v>42736</v>
      </c>
      <c r="G569">
        <v>0</v>
      </c>
    </row>
    <row r="570" spans="1:7" x14ac:dyDescent="0.25">
      <c r="A570" s="5" t="s">
        <v>99</v>
      </c>
      <c r="B570" s="5" t="s">
        <v>101</v>
      </c>
      <c r="C570" s="5">
        <v>6250</v>
      </c>
      <c r="D570" s="5" t="s">
        <v>78</v>
      </c>
      <c r="E570" s="5" t="s">
        <v>98</v>
      </c>
      <c r="F570" s="6">
        <v>42370</v>
      </c>
      <c r="G570">
        <v>108</v>
      </c>
    </row>
    <row r="571" spans="1:7" x14ac:dyDescent="0.25">
      <c r="A571" s="5" t="s">
        <v>99</v>
      </c>
      <c r="B571" s="5" t="s">
        <v>101</v>
      </c>
      <c r="C571" s="5">
        <v>6250</v>
      </c>
      <c r="D571" s="5" t="s">
        <v>78</v>
      </c>
      <c r="E571" s="5" t="s">
        <v>98</v>
      </c>
      <c r="F571" s="6">
        <v>42736</v>
      </c>
      <c r="G571">
        <v>48</v>
      </c>
    </row>
    <row r="572" spans="1:7" x14ac:dyDescent="0.25">
      <c r="A572" s="5" t="s">
        <v>99</v>
      </c>
      <c r="B572" s="5" t="s">
        <v>102</v>
      </c>
      <c r="C572" s="5">
        <v>7310</v>
      </c>
      <c r="D572" s="5" t="s">
        <v>8</v>
      </c>
      <c r="E572" s="5" t="s">
        <v>9</v>
      </c>
      <c r="F572" s="6">
        <v>42370</v>
      </c>
      <c r="G572">
        <v>0</v>
      </c>
    </row>
    <row r="573" spans="1:7" x14ac:dyDescent="0.25">
      <c r="A573" s="5" t="s">
        <v>99</v>
      </c>
      <c r="B573" s="5" t="s">
        <v>102</v>
      </c>
      <c r="C573" s="5">
        <v>7310</v>
      </c>
      <c r="D573" s="5" t="s">
        <v>8</v>
      </c>
      <c r="E573" s="5" t="s">
        <v>9</v>
      </c>
      <c r="F573" s="6">
        <v>42736</v>
      </c>
      <c r="G573">
        <v>0</v>
      </c>
    </row>
    <row r="574" spans="1:7" x14ac:dyDescent="0.25">
      <c r="A574" s="5" t="s">
        <v>99</v>
      </c>
      <c r="B574" s="5" t="s">
        <v>102</v>
      </c>
      <c r="C574" s="5">
        <v>7310</v>
      </c>
      <c r="D574" s="5" t="s">
        <v>8</v>
      </c>
      <c r="E574" s="5" t="s">
        <v>10</v>
      </c>
      <c r="F574" s="6">
        <v>42370</v>
      </c>
      <c r="G574">
        <v>0</v>
      </c>
    </row>
    <row r="575" spans="1:7" x14ac:dyDescent="0.25">
      <c r="A575" s="5" t="s">
        <v>99</v>
      </c>
      <c r="B575" s="5" t="s">
        <v>102</v>
      </c>
      <c r="C575" s="5">
        <v>7310</v>
      </c>
      <c r="D575" s="5" t="s">
        <v>8</v>
      </c>
      <c r="E575" s="5" t="s">
        <v>10</v>
      </c>
      <c r="F575" s="6">
        <v>42736</v>
      </c>
      <c r="G575">
        <v>0</v>
      </c>
    </row>
    <row r="576" spans="1:7" x14ac:dyDescent="0.25">
      <c r="A576" s="5" t="s">
        <v>99</v>
      </c>
      <c r="B576" s="5" t="s">
        <v>102</v>
      </c>
      <c r="C576" s="5">
        <v>7310</v>
      </c>
      <c r="D576" s="5" t="s">
        <v>8</v>
      </c>
      <c r="E576" s="5" t="s">
        <v>11</v>
      </c>
      <c r="F576" s="6">
        <v>42370</v>
      </c>
      <c r="G576">
        <v>0</v>
      </c>
    </row>
    <row r="577" spans="1:7" x14ac:dyDescent="0.25">
      <c r="A577" s="5" t="s">
        <v>99</v>
      </c>
      <c r="B577" s="5" t="s">
        <v>102</v>
      </c>
      <c r="C577" s="5">
        <v>7310</v>
      </c>
      <c r="D577" s="5" t="s">
        <v>8</v>
      </c>
      <c r="E577" s="5" t="s">
        <v>11</v>
      </c>
      <c r="F577" s="6">
        <v>42736</v>
      </c>
      <c r="G577">
        <v>0</v>
      </c>
    </row>
    <row r="578" spans="1:7" x14ac:dyDescent="0.25">
      <c r="A578" s="5" t="s">
        <v>99</v>
      </c>
      <c r="B578" s="5" t="s">
        <v>102</v>
      </c>
      <c r="C578" s="5">
        <v>7310</v>
      </c>
      <c r="D578" s="5" t="s">
        <v>8</v>
      </c>
      <c r="E578" s="5" t="s">
        <v>12</v>
      </c>
      <c r="F578" s="6">
        <v>42370</v>
      </c>
      <c r="G578">
        <v>0</v>
      </c>
    </row>
    <row r="579" spans="1:7" x14ac:dyDescent="0.25">
      <c r="A579" s="5" t="s">
        <v>99</v>
      </c>
      <c r="B579" s="5" t="s">
        <v>102</v>
      </c>
      <c r="C579" s="5">
        <v>7310</v>
      </c>
      <c r="D579" s="5" t="s">
        <v>8</v>
      </c>
      <c r="E579" s="5" t="s">
        <v>12</v>
      </c>
      <c r="F579" s="6">
        <v>42736</v>
      </c>
      <c r="G579">
        <v>0</v>
      </c>
    </row>
    <row r="580" spans="1:7" x14ac:dyDescent="0.25">
      <c r="A580" s="5" t="s">
        <v>99</v>
      </c>
      <c r="B580" s="5" t="s">
        <v>102</v>
      </c>
      <c r="C580" s="5">
        <v>7310</v>
      </c>
      <c r="D580" s="5" t="s">
        <v>8</v>
      </c>
      <c r="E580" s="5" t="s">
        <v>13</v>
      </c>
      <c r="F580" s="6">
        <v>42370</v>
      </c>
      <c r="G580">
        <v>0</v>
      </c>
    </row>
    <row r="581" spans="1:7" x14ac:dyDescent="0.25">
      <c r="A581" s="5" t="s">
        <v>99</v>
      </c>
      <c r="B581" s="5" t="s">
        <v>102</v>
      </c>
      <c r="C581" s="5">
        <v>7310</v>
      </c>
      <c r="D581" s="5" t="s">
        <v>8</v>
      </c>
      <c r="E581" s="5" t="s">
        <v>13</v>
      </c>
      <c r="F581" s="6">
        <v>42736</v>
      </c>
      <c r="G581">
        <v>0</v>
      </c>
    </row>
    <row r="582" spans="1:7" x14ac:dyDescent="0.25">
      <c r="A582" s="5" t="s">
        <v>99</v>
      </c>
      <c r="B582" s="5" t="s">
        <v>102</v>
      </c>
      <c r="C582" s="5">
        <v>7310</v>
      </c>
      <c r="D582" s="5" t="s">
        <v>8</v>
      </c>
      <c r="E582" s="5" t="s">
        <v>14</v>
      </c>
      <c r="F582" s="6">
        <v>42370</v>
      </c>
      <c r="G582">
        <v>0</v>
      </c>
    </row>
    <row r="583" spans="1:7" x14ac:dyDescent="0.25">
      <c r="A583" s="5" t="s">
        <v>99</v>
      </c>
      <c r="B583" s="5" t="s">
        <v>102</v>
      </c>
      <c r="C583" s="5">
        <v>7310</v>
      </c>
      <c r="D583" s="5" t="s">
        <v>8</v>
      </c>
      <c r="E583" s="5" t="s">
        <v>14</v>
      </c>
      <c r="F583" s="6">
        <v>42736</v>
      </c>
      <c r="G583">
        <v>0</v>
      </c>
    </row>
    <row r="584" spans="1:7" x14ac:dyDescent="0.25">
      <c r="A584" s="5" t="s">
        <v>99</v>
      </c>
      <c r="B584" s="5" t="s">
        <v>102</v>
      </c>
      <c r="C584" s="5">
        <v>7310</v>
      </c>
      <c r="D584" s="5" t="s">
        <v>8</v>
      </c>
      <c r="E584" s="5" t="s">
        <v>15</v>
      </c>
      <c r="F584" s="6">
        <v>42370</v>
      </c>
      <c r="G584">
        <v>0</v>
      </c>
    </row>
    <row r="585" spans="1:7" x14ac:dyDescent="0.25">
      <c r="A585" s="5" t="s">
        <v>99</v>
      </c>
      <c r="B585" s="5" t="s">
        <v>102</v>
      </c>
      <c r="C585" s="5">
        <v>7310</v>
      </c>
      <c r="D585" s="5" t="s">
        <v>8</v>
      </c>
      <c r="E585" s="5" t="s">
        <v>15</v>
      </c>
      <c r="F585" s="6">
        <v>42736</v>
      </c>
      <c r="G585">
        <v>0</v>
      </c>
    </row>
    <row r="586" spans="1:7" x14ac:dyDescent="0.25">
      <c r="A586" s="5" t="s">
        <v>99</v>
      </c>
      <c r="B586" s="5" t="s">
        <v>102</v>
      </c>
      <c r="C586" s="5">
        <v>7310</v>
      </c>
      <c r="D586" s="5" t="s">
        <v>8</v>
      </c>
      <c r="E586" s="5" t="s">
        <v>16</v>
      </c>
      <c r="F586" s="6">
        <v>42370</v>
      </c>
      <c r="G586">
        <v>0</v>
      </c>
    </row>
    <row r="587" spans="1:7" x14ac:dyDescent="0.25">
      <c r="A587" s="5" t="s">
        <v>99</v>
      </c>
      <c r="B587" s="5" t="s">
        <v>102</v>
      </c>
      <c r="C587" s="5">
        <v>7310</v>
      </c>
      <c r="D587" s="5" t="s">
        <v>8</v>
      </c>
      <c r="E587" s="5" t="s">
        <v>16</v>
      </c>
      <c r="F587" s="6">
        <v>42736</v>
      </c>
      <c r="G587">
        <v>0</v>
      </c>
    </row>
    <row r="588" spans="1:7" x14ac:dyDescent="0.25">
      <c r="A588" s="5" t="s">
        <v>99</v>
      </c>
      <c r="B588" s="5" t="s">
        <v>102</v>
      </c>
      <c r="C588" s="5">
        <v>7310</v>
      </c>
      <c r="D588" s="5" t="s">
        <v>8</v>
      </c>
      <c r="E588" s="5" t="s">
        <v>17</v>
      </c>
      <c r="F588" s="6">
        <v>42370</v>
      </c>
      <c r="G588">
        <v>0</v>
      </c>
    </row>
    <row r="589" spans="1:7" x14ac:dyDescent="0.25">
      <c r="A589" s="5" t="s">
        <v>99</v>
      </c>
      <c r="B589" s="5" t="s">
        <v>102</v>
      </c>
      <c r="C589" s="5">
        <v>7310</v>
      </c>
      <c r="D589" s="5" t="s">
        <v>8</v>
      </c>
      <c r="E589" s="5" t="s">
        <v>17</v>
      </c>
      <c r="F589" s="6">
        <v>42736</v>
      </c>
      <c r="G589">
        <v>0</v>
      </c>
    </row>
    <row r="590" spans="1:7" x14ac:dyDescent="0.25">
      <c r="A590" s="5" t="s">
        <v>99</v>
      </c>
      <c r="B590" s="5" t="s">
        <v>102</v>
      </c>
      <c r="C590" s="5">
        <v>7310</v>
      </c>
      <c r="D590" s="5" t="s">
        <v>8</v>
      </c>
      <c r="E590" s="5" t="s">
        <v>18</v>
      </c>
      <c r="F590" s="6">
        <v>42370</v>
      </c>
      <c r="G590">
        <v>0</v>
      </c>
    </row>
    <row r="591" spans="1:7" x14ac:dyDescent="0.25">
      <c r="A591" s="5" t="s">
        <v>99</v>
      </c>
      <c r="B591" s="5" t="s">
        <v>102</v>
      </c>
      <c r="C591" s="5">
        <v>7310</v>
      </c>
      <c r="D591" s="5" t="s">
        <v>8</v>
      </c>
      <c r="E591" s="5" t="s">
        <v>18</v>
      </c>
      <c r="F591" s="6">
        <v>42736</v>
      </c>
      <c r="G591">
        <v>0</v>
      </c>
    </row>
    <row r="592" spans="1:7" x14ac:dyDescent="0.25">
      <c r="A592" s="5" t="s">
        <v>99</v>
      </c>
      <c r="B592" s="5" t="s">
        <v>102</v>
      </c>
      <c r="C592" s="5">
        <v>7310</v>
      </c>
      <c r="D592" s="5" t="s">
        <v>8</v>
      </c>
      <c r="E592" s="5" t="s">
        <v>19</v>
      </c>
      <c r="F592" s="6">
        <v>42370</v>
      </c>
      <c r="G592">
        <v>0</v>
      </c>
    </row>
    <row r="593" spans="1:7" x14ac:dyDescent="0.25">
      <c r="A593" s="5" t="s">
        <v>99</v>
      </c>
      <c r="B593" s="5" t="s">
        <v>102</v>
      </c>
      <c r="C593" s="5">
        <v>7310</v>
      </c>
      <c r="D593" s="5" t="s">
        <v>8</v>
      </c>
      <c r="E593" s="5" t="s">
        <v>19</v>
      </c>
      <c r="F593" s="6">
        <v>42736</v>
      </c>
      <c r="G593">
        <v>0</v>
      </c>
    </row>
    <row r="594" spans="1:7" x14ac:dyDescent="0.25">
      <c r="A594" s="5" t="s">
        <v>99</v>
      </c>
      <c r="B594" s="5" t="s">
        <v>102</v>
      </c>
      <c r="C594" s="5">
        <v>7310</v>
      </c>
      <c r="D594" s="5" t="s">
        <v>20</v>
      </c>
      <c r="E594" s="5" t="s">
        <v>9</v>
      </c>
      <c r="F594" s="6">
        <v>42370</v>
      </c>
      <c r="G594">
        <v>1</v>
      </c>
    </row>
    <row r="595" spans="1:7" x14ac:dyDescent="0.25">
      <c r="A595" s="5" t="s">
        <v>99</v>
      </c>
      <c r="B595" s="5" t="s">
        <v>102</v>
      </c>
      <c r="C595" s="5">
        <v>7310</v>
      </c>
      <c r="D595" s="5" t="s">
        <v>20</v>
      </c>
      <c r="E595" s="5" t="s">
        <v>9</v>
      </c>
      <c r="F595" s="6">
        <v>42736</v>
      </c>
      <c r="G595">
        <v>7</v>
      </c>
    </row>
    <row r="596" spans="1:7" x14ac:dyDescent="0.25">
      <c r="A596" s="5" t="s">
        <v>99</v>
      </c>
      <c r="B596" s="5" t="s">
        <v>102</v>
      </c>
      <c r="C596" s="5">
        <v>7310</v>
      </c>
      <c r="D596" s="5" t="s">
        <v>20</v>
      </c>
      <c r="E596" s="5" t="s">
        <v>21</v>
      </c>
      <c r="F596" s="6">
        <v>42370</v>
      </c>
      <c r="G596">
        <v>0</v>
      </c>
    </row>
    <row r="597" spans="1:7" x14ac:dyDescent="0.25">
      <c r="A597" s="5" t="s">
        <v>99</v>
      </c>
      <c r="B597" s="5" t="s">
        <v>102</v>
      </c>
      <c r="C597" s="5">
        <v>7310</v>
      </c>
      <c r="D597" s="5" t="s">
        <v>20</v>
      </c>
      <c r="E597" s="5" t="s">
        <v>21</v>
      </c>
      <c r="F597" s="6">
        <v>42736</v>
      </c>
      <c r="G597">
        <v>0</v>
      </c>
    </row>
    <row r="598" spans="1:7" x14ac:dyDescent="0.25">
      <c r="A598" s="5" t="s">
        <v>99</v>
      </c>
      <c r="B598" s="5" t="s">
        <v>102</v>
      </c>
      <c r="C598" s="5">
        <v>7310</v>
      </c>
      <c r="D598" s="5" t="s">
        <v>20</v>
      </c>
      <c r="E598" s="5" t="s">
        <v>22</v>
      </c>
      <c r="F598" s="6">
        <v>42370</v>
      </c>
      <c r="G598">
        <v>0</v>
      </c>
    </row>
    <row r="599" spans="1:7" x14ac:dyDescent="0.25">
      <c r="A599" s="5" t="s">
        <v>99</v>
      </c>
      <c r="B599" s="5" t="s">
        <v>102</v>
      </c>
      <c r="C599" s="5">
        <v>7310</v>
      </c>
      <c r="D599" s="5" t="s">
        <v>20</v>
      </c>
      <c r="E599" s="5" t="s">
        <v>22</v>
      </c>
      <c r="F599" s="6">
        <v>42736</v>
      </c>
      <c r="G599">
        <v>0</v>
      </c>
    </row>
    <row r="600" spans="1:7" x14ac:dyDescent="0.25">
      <c r="A600" s="5" t="s">
        <v>99</v>
      </c>
      <c r="B600" s="5" t="s">
        <v>102</v>
      </c>
      <c r="C600" s="5">
        <v>7310</v>
      </c>
      <c r="D600" s="5" t="s">
        <v>20</v>
      </c>
      <c r="E600" s="5" t="s">
        <v>23</v>
      </c>
      <c r="F600" s="6">
        <v>42370</v>
      </c>
      <c r="G600">
        <v>1</v>
      </c>
    </row>
    <row r="601" spans="1:7" x14ac:dyDescent="0.25">
      <c r="A601" s="5" t="s">
        <v>99</v>
      </c>
      <c r="B601" s="5" t="s">
        <v>102</v>
      </c>
      <c r="C601" s="5">
        <v>7310</v>
      </c>
      <c r="D601" s="5" t="s">
        <v>20</v>
      </c>
      <c r="E601" s="5" t="s">
        <v>23</v>
      </c>
      <c r="F601" s="6">
        <v>42736</v>
      </c>
      <c r="G601">
        <v>3</v>
      </c>
    </row>
    <row r="602" spans="1:7" x14ac:dyDescent="0.25">
      <c r="A602" s="5" t="s">
        <v>99</v>
      </c>
      <c r="B602" s="5" t="s">
        <v>102</v>
      </c>
      <c r="C602" s="5">
        <v>7310</v>
      </c>
      <c r="D602" s="5" t="s">
        <v>20</v>
      </c>
      <c r="E602" s="5" t="s">
        <v>24</v>
      </c>
      <c r="F602" s="6">
        <v>42370</v>
      </c>
      <c r="G602">
        <v>0</v>
      </c>
    </row>
    <row r="603" spans="1:7" x14ac:dyDescent="0.25">
      <c r="A603" s="5" t="s">
        <v>99</v>
      </c>
      <c r="B603" s="5" t="s">
        <v>102</v>
      </c>
      <c r="C603" s="5">
        <v>7310</v>
      </c>
      <c r="D603" s="5" t="s">
        <v>20</v>
      </c>
      <c r="E603" s="5" t="s">
        <v>24</v>
      </c>
      <c r="F603" s="6">
        <v>42736</v>
      </c>
      <c r="G603">
        <v>0</v>
      </c>
    </row>
    <row r="604" spans="1:7" x14ac:dyDescent="0.25">
      <c r="A604" s="5" t="s">
        <v>99</v>
      </c>
      <c r="B604" s="5" t="s">
        <v>102</v>
      </c>
      <c r="C604" s="5">
        <v>7310</v>
      </c>
      <c r="D604" s="5" t="s">
        <v>20</v>
      </c>
      <c r="E604" s="5" t="s">
        <v>25</v>
      </c>
      <c r="F604" s="6">
        <v>42370</v>
      </c>
      <c r="G604">
        <v>0</v>
      </c>
    </row>
    <row r="605" spans="1:7" x14ac:dyDescent="0.25">
      <c r="A605" s="5" t="s">
        <v>99</v>
      </c>
      <c r="B605" s="5" t="s">
        <v>102</v>
      </c>
      <c r="C605" s="5">
        <v>7310</v>
      </c>
      <c r="D605" s="5" t="s">
        <v>20</v>
      </c>
      <c r="E605" s="5" t="s">
        <v>25</v>
      </c>
      <c r="F605" s="6">
        <v>42736</v>
      </c>
      <c r="G605">
        <v>0</v>
      </c>
    </row>
    <row r="606" spans="1:7" x14ac:dyDescent="0.25">
      <c r="A606" s="5" t="s">
        <v>99</v>
      </c>
      <c r="B606" s="5" t="s">
        <v>102</v>
      </c>
      <c r="C606" s="5">
        <v>7310</v>
      </c>
      <c r="D606" s="5" t="s">
        <v>20</v>
      </c>
      <c r="E606" s="5" t="s">
        <v>26</v>
      </c>
      <c r="F606" s="6">
        <v>42370</v>
      </c>
      <c r="G606">
        <v>7</v>
      </c>
    </row>
    <row r="607" spans="1:7" x14ac:dyDescent="0.25">
      <c r="A607" s="5" t="s">
        <v>99</v>
      </c>
      <c r="B607" s="5" t="s">
        <v>102</v>
      </c>
      <c r="C607" s="5">
        <v>7310</v>
      </c>
      <c r="D607" s="5" t="s">
        <v>20</v>
      </c>
      <c r="E607" s="5" t="s">
        <v>26</v>
      </c>
      <c r="F607" s="6">
        <v>42736</v>
      </c>
      <c r="G607">
        <v>12</v>
      </c>
    </row>
    <row r="608" spans="1:7" x14ac:dyDescent="0.25">
      <c r="A608" s="5" t="s">
        <v>99</v>
      </c>
      <c r="B608" s="5" t="s">
        <v>102</v>
      </c>
      <c r="C608" s="5">
        <v>7310</v>
      </c>
      <c r="D608" s="5" t="s">
        <v>20</v>
      </c>
      <c r="E608" s="5" t="s">
        <v>27</v>
      </c>
      <c r="F608" s="6">
        <v>42370</v>
      </c>
      <c r="G608">
        <v>0</v>
      </c>
    </row>
    <row r="609" spans="1:7" x14ac:dyDescent="0.25">
      <c r="A609" s="5" t="s">
        <v>99</v>
      </c>
      <c r="B609" s="5" t="s">
        <v>102</v>
      </c>
      <c r="C609" s="5">
        <v>7310</v>
      </c>
      <c r="D609" s="5" t="s">
        <v>20</v>
      </c>
      <c r="E609" s="5" t="s">
        <v>27</v>
      </c>
      <c r="F609" s="6">
        <v>42736</v>
      </c>
      <c r="G609">
        <v>0</v>
      </c>
    </row>
    <row r="610" spans="1:7" x14ac:dyDescent="0.25">
      <c r="A610" s="5" t="s">
        <v>99</v>
      </c>
      <c r="B610" s="5" t="s">
        <v>102</v>
      </c>
      <c r="C610" s="5">
        <v>7310</v>
      </c>
      <c r="D610" s="5" t="s">
        <v>20</v>
      </c>
      <c r="E610" s="5" t="s">
        <v>28</v>
      </c>
      <c r="F610" s="6">
        <v>42370</v>
      </c>
      <c r="G610">
        <v>0</v>
      </c>
    </row>
    <row r="611" spans="1:7" x14ac:dyDescent="0.25">
      <c r="A611" s="5" t="s">
        <v>99</v>
      </c>
      <c r="B611" s="5" t="s">
        <v>102</v>
      </c>
      <c r="C611" s="5">
        <v>7310</v>
      </c>
      <c r="D611" s="5" t="s">
        <v>20</v>
      </c>
      <c r="E611" s="5" t="s">
        <v>28</v>
      </c>
      <c r="F611" s="6">
        <v>42736</v>
      </c>
      <c r="G611">
        <v>0</v>
      </c>
    </row>
    <row r="612" spans="1:7" x14ac:dyDescent="0.25">
      <c r="A612" s="5" t="s">
        <v>99</v>
      </c>
      <c r="B612" s="5" t="s">
        <v>102</v>
      </c>
      <c r="C612" s="5">
        <v>7310</v>
      </c>
      <c r="D612" s="5" t="s">
        <v>20</v>
      </c>
      <c r="E612" s="5" t="s">
        <v>29</v>
      </c>
      <c r="F612" s="6">
        <v>42370</v>
      </c>
      <c r="G612">
        <v>7</v>
      </c>
    </row>
    <row r="613" spans="1:7" x14ac:dyDescent="0.25">
      <c r="A613" s="5" t="s">
        <v>99</v>
      </c>
      <c r="B613" s="5" t="s">
        <v>102</v>
      </c>
      <c r="C613" s="5">
        <v>7310</v>
      </c>
      <c r="D613" s="5" t="s">
        <v>20</v>
      </c>
      <c r="E613" s="5" t="s">
        <v>29</v>
      </c>
      <c r="F613" s="6">
        <v>42736</v>
      </c>
      <c r="G613">
        <v>14</v>
      </c>
    </row>
    <row r="614" spans="1:7" x14ac:dyDescent="0.25">
      <c r="A614" s="5" t="s">
        <v>99</v>
      </c>
      <c r="B614" s="5" t="s">
        <v>102</v>
      </c>
      <c r="C614" s="5">
        <v>7310</v>
      </c>
      <c r="D614" s="5" t="s">
        <v>20</v>
      </c>
      <c r="E614" s="5" t="s">
        <v>30</v>
      </c>
      <c r="F614" s="6">
        <v>42370</v>
      </c>
      <c r="G614">
        <v>8</v>
      </c>
    </row>
    <row r="615" spans="1:7" x14ac:dyDescent="0.25">
      <c r="A615" s="5" t="s">
        <v>99</v>
      </c>
      <c r="B615" s="5" t="s">
        <v>102</v>
      </c>
      <c r="C615" s="5">
        <v>7310</v>
      </c>
      <c r="D615" s="5" t="s">
        <v>20</v>
      </c>
      <c r="E615" s="5" t="s">
        <v>30</v>
      </c>
      <c r="F615" s="6">
        <v>42736</v>
      </c>
      <c r="G615">
        <v>13</v>
      </c>
    </row>
    <row r="616" spans="1:7" x14ac:dyDescent="0.25">
      <c r="A616" s="5" t="s">
        <v>99</v>
      </c>
      <c r="B616" s="5" t="s">
        <v>102</v>
      </c>
      <c r="C616" s="5">
        <v>7310</v>
      </c>
      <c r="D616" s="5" t="s">
        <v>20</v>
      </c>
      <c r="E616" s="5" t="s">
        <v>31</v>
      </c>
      <c r="F616" s="6">
        <v>42370</v>
      </c>
      <c r="G616">
        <v>29</v>
      </c>
    </row>
    <row r="617" spans="1:7" x14ac:dyDescent="0.25">
      <c r="A617" s="5" t="s">
        <v>99</v>
      </c>
      <c r="B617" s="5" t="s">
        <v>102</v>
      </c>
      <c r="C617" s="5">
        <v>7310</v>
      </c>
      <c r="D617" s="5" t="s">
        <v>20</v>
      </c>
      <c r="E617" s="5" t="s">
        <v>31</v>
      </c>
      <c r="F617" s="6">
        <v>42736</v>
      </c>
      <c r="G617">
        <v>56</v>
      </c>
    </row>
    <row r="618" spans="1:7" x14ac:dyDescent="0.25">
      <c r="A618" s="5" t="s">
        <v>99</v>
      </c>
      <c r="B618" s="5" t="s">
        <v>102</v>
      </c>
      <c r="C618" s="5">
        <v>7310</v>
      </c>
      <c r="D618" s="5" t="s">
        <v>20</v>
      </c>
      <c r="E618" s="5" t="s">
        <v>32</v>
      </c>
      <c r="F618" s="6">
        <v>42370</v>
      </c>
      <c r="G618">
        <v>7</v>
      </c>
    </row>
    <row r="619" spans="1:7" x14ac:dyDescent="0.25">
      <c r="A619" s="5" t="s">
        <v>99</v>
      </c>
      <c r="B619" s="5" t="s">
        <v>102</v>
      </c>
      <c r="C619" s="5">
        <v>7310</v>
      </c>
      <c r="D619" s="5" t="s">
        <v>20</v>
      </c>
      <c r="E619" s="5" t="s">
        <v>32</v>
      </c>
      <c r="F619" s="6">
        <v>42736</v>
      </c>
      <c r="G619">
        <v>17</v>
      </c>
    </row>
    <row r="620" spans="1:7" x14ac:dyDescent="0.25">
      <c r="A620" s="5" t="s">
        <v>99</v>
      </c>
      <c r="B620" s="5" t="s">
        <v>102</v>
      </c>
      <c r="C620" s="5">
        <v>7310</v>
      </c>
      <c r="D620" s="5" t="s">
        <v>33</v>
      </c>
      <c r="E620" s="5" t="s">
        <v>9</v>
      </c>
      <c r="F620" s="6">
        <v>42370</v>
      </c>
      <c r="G620">
        <v>0</v>
      </c>
    </row>
    <row r="621" spans="1:7" x14ac:dyDescent="0.25">
      <c r="A621" s="5" t="s">
        <v>99</v>
      </c>
      <c r="B621" s="5" t="s">
        <v>102</v>
      </c>
      <c r="C621" s="5">
        <v>7310</v>
      </c>
      <c r="D621" s="5" t="s">
        <v>33</v>
      </c>
      <c r="E621" s="5" t="s">
        <v>9</v>
      </c>
      <c r="F621" s="6">
        <v>42736</v>
      </c>
      <c r="G621">
        <v>0</v>
      </c>
    </row>
    <row r="622" spans="1:7" x14ac:dyDescent="0.25">
      <c r="A622" s="5" t="s">
        <v>99</v>
      </c>
      <c r="B622" s="5" t="s">
        <v>102</v>
      </c>
      <c r="C622" s="5">
        <v>7310</v>
      </c>
      <c r="D622" s="5" t="s">
        <v>33</v>
      </c>
      <c r="E622" s="5" t="s">
        <v>34</v>
      </c>
      <c r="F622" s="6">
        <v>42370</v>
      </c>
      <c r="G622">
        <v>0</v>
      </c>
    </row>
    <row r="623" spans="1:7" x14ac:dyDescent="0.25">
      <c r="A623" s="5" t="s">
        <v>99</v>
      </c>
      <c r="B623" s="5" t="s">
        <v>102</v>
      </c>
      <c r="C623" s="5">
        <v>7310</v>
      </c>
      <c r="D623" s="5" t="s">
        <v>33</v>
      </c>
      <c r="E623" s="5" t="s">
        <v>34</v>
      </c>
      <c r="F623" s="6">
        <v>42736</v>
      </c>
      <c r="G623">
        <v>0</v>
      </c>
    </row>
    <row r="624" spans="1:7" x14ac:dyDescent="0.25">
      <c r="A624" s="5" t="s">
        <v>99</v>
      </c>
      <c r="B624" s="5" t="s">
        <v>102</v>
      </c>
      <c r="C624" s="5">
        <v>7310</v>
      </c>
      <c r="D624" s="5" t="s">
        <v>35</v>
      </c>
      <c r="E624" s="5" t="s">
        <v>36</v>
      </c>
      <c r="F624" s="6">
        <v>42370</v>
      </c>
      <c r="G624">
        <v>0</v>
      </c>
    </row>
    <row r="625" spans="1:7" x14ac:dyDescent="0.25">
      <c r="A625" s="5" t="s">
        <v>99</v>
      </c>
      <c r="B625" s="5" t="s">
        <v>102</v>
      </c>
      <c r="C625" s="5">
        <v>7310</v>
      </c>
      <c r="D625" s="5" t="s">
        <v>35</v>
      </c>
      <c r="E625" s="5" t="s">
        <v>36</v>
      </c>
      <c r="F625" s="6">
        <v>42736</v>
      </c>
      <c r="G625">
        <v>0</v>
      </c>
    </row>
    <row r="626" spans="1:7" x14ac:dyDescent="0.25">
      <c r="A626" s="5" t="s">
        <v>99</v>
      </c>
      <c r="B626" s="5" t="s">
        <v>102</v>
      </c>
      <c r="C626" s="5">
        <v>7310</v>
      </c>
      <c r="D626" s="5" t="s">
        <v>35</v>
      </c>
      <c r="E626" s="5" t="s">
        <v>37</v>
      </c>
      <c r="F626" s="6">
        <v>42370</v>
      </c>
      <c r="G626">
        <v>0</v>
      </c>
    </row>
    <row r="627" spans="1:7" x14ac:dyDescent="0.25">
      <c r="A627" s="5" t="s">
        <v>99</v>
      </c>
      <c r="B627" s="5" t="s">
        <v>102</v>
      </c>
      <c r="C627" s="5">
        <v>7310</v>
      </c>
      <c r="D627" s="5" t="s">
        <v>35</v>
      </c>
      <c r="E627" s="5" t="s">
        <v>37</v>
      </c>
      <c r="F627" s="6">
        <v>42736</v>
      </c>
      <c r="G627">
        <v>0</v>
      </c>
    </row>
    <row r="628" spans="1:7" x14ac:dyDescent="0.25">
      <c r="A628" s="5" t="s">
        <v>99</v>
      </c>
      <c r="B628" s="5" t="s">
        <v>102</v>
      </c>
      <c r="C628" s="5">
        <v>7310</v>
      </c>
      <c r="D628" s="5" t="s">
        <v>35</v>
      </c>
      <c r="E628" s="5" t="s">
        <v>38</v>
      </c>
      <c r="F628" s="6">
        <v>42370</v>
      </c>
      <c r="G628">
        <v>0</v>
      </c>
    </row>
    <row r="629" spans="1:7" x14ac:dyDescent="0.25">
      <c r="A629" s="5" t="s">
        <v>99</v>
      </c>
      <c r="B629" s="5" t="s">
        <v>102</v>
      </c>
      <c r="C629" s="5">
        <v>7310</v>
      </c>
      <c r="D629" s="5" t="s">
        <v>35</v>
      </c>
      <c r="E629" s="5" t="s">
        <v>38</v>
      </c>
      <c r="F629" s="6">
        <v>42736</v>
      </c>
      <c r="G629">
        <v>0</v>
      </c>
    </row>
    <row r="630" spans="1:7" x14ac:dyDescent="0.25">
      <c r="A630" s="5" t="s">
        <v>99</v>
      </c>
      <c r="B630" s="5" t="s">
        <v>102</v>
      </c>
      <c r="C630" s="5">
        <v>7310</v>
      </c>
      <c r="D630" s="5" t="s">
        <v>35</v>
      </c>
      <c r="E630" s="5" t="s">
        <v>39</v>
      </c>
      <c r="F630" s="6">
        <v>42370</v>
      </c>
      <c r="G630">
        <v>0</v>
      </c>
    </row>
    <row r="631" spans="1:7" x14ac:dyDescent="0.25">
      <c r="A631" s="5" t="s">
        <v>99</v>
      </c>
      <c r="B631" s="5" t="s">
        <v>102</v>
      </c>
      <c r="C631" s="5">
        <v>7310</v>
      </c>
      <c r="D631" s="5" t="s">
        <v>35</v>
      </c>
      <c r="E631" s="5" t="s">
        <v>39</v>
      </c>
      <c r="F631" s="6">
        <v>42736</v>
      </c>
      <c r="G631">
        <v>0</v>
      </c>
    </row>
    <row r="632" spans="1:7" x14ac:dyDescent="0.25">
      <c r="A632" s="5" t="s">
        <v>99</v>
      </c>
      <c r="B632" s="5" t="s">
        <v>102</v>
      </c>
      <c r="C632" s="5">
        <v>7310</v>
      </c>
      <c r="D632" s="5" t="s">
        <v>35</v>
      </c>
      <c r="E632" s="5" t="s">
        <v>40</v>
      </c>
      <c r="F632" s="6">
        <v>42370</v>
      </c>
      <c r="G632">
        <v>0</v>
      </c>
    </row>
    <row r="633" spans="1:7" x14ac:dyDescent="0.25">
      <c r="A633" s="5" t="s">
        <v>99</v>
      </c>
      <c r="B633" s="5" t="s">
        <v>102</v>
      </c>
      <c r="C633" s="5">
        <v>7310</v>
      </c>
      <c r="D633" s="5" t="s">
        <v>35</v>
      </c>
      <c r="E633" s="5" t="s">
        <v>40</v>
      </c>
      <c r="F633" s="6">
        <v>42736</v>
      </c>
      <c r="G633">
        <v>0</v>
      </c>
    </row>
    <row r="634" spans="1:7" x14ac:dyDescent="0.25">
      <c r="A634" s="5" t="s">
        <v>99</v>
      </c>
      <c r="B634" s="5" t="s">
        <v>102</v>
      </c>
      <c r="C634" s="5">
        <v>7310</v>
      </c>
      <c r="D634" s="5" t="s">
        <v>35</v>
      </c>
      <c r="E634" s="5" t="s">
        <v>41</v>
      </c>
      <c r="F634" s="6">
        <v>42370</v>
      </c>
      <c r="G634">
        <v>0</v>
      </c>
    </row>
    <row r="635" spans="1:7" x14ac:dyDescent="0.25">
      <c r="A635" s="5" t="s">
        <v>99</v>
      </c>
      <c r="B635" s="5" t="s">
        <v>102</v>
      </c>
      <c r="C635" s="5">
        <v>7310</v>
      </c>
      <c r="D635" s="5" t="s">
        <v>35</v>
      </c>
      <c r="E635" s="5" t="s">
        <v>41</v>
      </c>
      <c r="F635" s="6">
        <v>42736</v>
      </c>
      <c r="G635">
        <v>0</v>
      </c>
    </row>
    <row r="636" spans="1:7" x14ac:dyDescent="0.25">
      <c r="A636" s="5" t="s">
        <v>99</v>
      </c>
      <c r="B636" s="5" t="s">
        <v>102</v>
      </c>
      <c r="C636" s="5">
        <v>7310</v>
      </c>
      <c r="D636" s="5" t="s">
        <v>35</v>
      </c>
      <c r="E636" s="5" t="s">
        <v>42</v>
      </c>
      <c r="F636" s="6">
        <v>42370</v>
      </c>
      <c r="G636">
        <v>0</v>
      </c>
    </row>
    <row r="637" spans="1:7" x14ac:dyDescent="0.25">
      <c r="A637" s="5" t="s">
        <v>99</v>
      </c>
      <c r="B637" s="5" t="s">
        <v>102</v>
      </c>
      <c r="C637" s="5">
        <v>7310</v>
      </c>
      <c r="D637" s="5" t="s">
        <v>35</v>
      </c>
      <c r="E637" s="5" t="s">
        <v>42</v>
      </c>
      <c r="F637" s="6">
        <v>42736</v>
      </c>
      <c r="G637">
        <v>0</v>
      </c>
    </row>
    <row r="638" spans="1:7" x14ac:dyDescent="0.25">
      <c r="A638" s="5" t="s">
        <v>99</v>
      </c>
      <c r="B638" s="5" t="s">
        <v>102</v>
      </c>
      <c r="C638" s="5">
        <v>7310</v>
      </c>
      <c r="D638" s="5" t="s">
        <v>35</v>
      </c>
      <c r="E638" s="5" t="s">
        <v>43</v>
      </c>
      <c r="F638" s="6">
        <v>42370</v>
      </c>
      <c r="G638">
        <v>0</v>
      </c>
    </row>
    <row r="639" spans="1:7" x14ac:dyDescent="0.25">
      <c r="A639" s="5" t="s">
        <v>99</v>
      </c>
      <c r="B639" s="5" t="s">
        <v>102</v>
      </c>
      <c r="C639" s="5">
        <v>7310</v>
      </c>
      <c r="D639" s="5" t="s">
        <v>35</v>
      </c>
      <c r="E639" s="5" t="s">
        <v>43</v>
      </c>
      <c r="F639" s="6">
        <v>42736</v>
      </c>
      <c r="G639">
        <v>0</v>
      </c>
    </row>
    <row r="640" spans="1:7" x14ac:dyDescent="0.25">
      <c r="A640" s="5" t="s">
        <v>99</v>
      </c>
      <c r="B640" s="5" t="s">
        <v>102</v>
      </c>
      <c r="C640" s="5">
        <v>7310</v>
      </c>
      <c r="D640" s="5" t="s">
        <v>44</v>
      </c>
      <c r="E640" s="5" t="s">
        <v>36</v>
      </c>
      <c r="F640" s="6">
        <v>42370</v>
      </c>
      <c r="G640">
        <v>0</v>
      </c>
    </row>
    <row r="641" spans="1:7" x14ac:dyDescent="0.25">
      <c r="A641" s="5" t="s">
        <v>99</v>
      </c>
      <c r="B641" s="5" t="s">
        <v>102</v>
      </c>
      <c r="C641" s="5">
        <v>7310</v>
      </c>
      <c r="D641" s="5" t="s">
        <v>44</v>
      </c>
      <c r="E641" s="5" t="s">
        <v>36</v>
      </c>
      <c r="F641" s="6">
        <v>42736</v>
      </c>
      <c r="G641">
        <v>0</v>
      </c>
    </row>
    <row r="642" spans="1:7" x14ac:dyDescent="0.25">
      <c r="A642" s="5" t="s">
        <v>99</v>
      </c>
      <c r="B642" s="5" t="s">
        <v>102</v>
      </c>
      <c r="C642" s="5">
        <v>7310</v>
      </c>
      <c r="D642" s="5" t="s">
        <v>44</v>
      </c>
      <c r="E642" s="5" t="s">
        <v>37</v>
      </c>
      <c r="F642" s="6">
        <v>42370</v>
      </c>
      <c r="G642">
        <v>0</v>
      </c>
    </row>
    <row r="643" spans="1:7" x14ac:dyDescent="0.25">
      <c r="A643" s="5" t="s">
        <v>99</v>
      </c>
      <c r="B643" s="5" t="s">
        <v>102</v>
      </c>
      <c r="C643" s="5">
        <v>7310</v>
      </c>
      <c r="D643" s="5" t="s">
        <v>44</v>
      </c>
      <c r="E643" s="5" t="s">
        <v>37</v>
      </c>
      <c r="F643" s="6">
        <v>42736</v>
      </c>
      <c r="G643">
        <v>0</v>
      </c>
    </row>
    <row r="644" spans="1:7" x14ac:dyDescent="0.25">
      <c r="A644" s="5" t="s">
        <v>99</v>
      </c>
      <c r="B644" s="5" t="s">
        <v>102</v>
      </c>
      <c r="C644" s="5">
        <v>7310</v>
      </c>
      <c r="D644" s="5" t="s">
        <v>44</v>
      </c>
      <c r="E644" s="5" t="s">
        <v>38</v>
      </c>
      <c r="F644" s="6">
        <v>42370</v>
      </c>
      <c r="G644">
        <v>0</v>
      </c>
    </row>
    <row r="645" spans="1:7" x14ac:dyDescent="0.25">
      <c r="A645" s="5" t="s">
        <v>99</v>
      </c>
      <c r="B645" s="5" t="s">
        <v>102</v>
      </c>
      <c r="C645" s="5">
        <v>7310</v>
      </c>
      <c r="D645" s="5" t="s">
        <v>44</v>
      </c>
      <c r="E645" s="5" t="s">
        <v>38</v>
      </c>
      <c r="F645" s="6">
        <v>42736</v>
      </c>
      <c r="G645">
        <v>0</v>
      </c>
    </row>
    <row r="646" spans="1:7" x14ac:dyDescent="0.25">
      <c r="A646" s="5" t="s">
        <v>99</v>
      </c>
      <c r="B646" s="5" t="s">
        <v>102</v>
      </c>
      <c r="C646" s="5">
        <v>7310</v>
      </c>
      <c r="D646" s="5" t="s">
        <v>44</v>
      </c>
      <c r="E646" s="5" t="s">
        <v>39</v>
      </c>
      <c r="F646" s="6">
        <v>42370</v>
      </c>
      <c r="G646">
        <v>0</v>
      </c>
    </row>
    <row r="647" spans="1:7" x14ac:dyDescent="0.25">
      <c r="A647" s="5" t="s">
        <v>99</v>
      </c>
      <c r="B647" s="5" t="s">
        <v>102</v>
      </c>
      <c r="C647" s="5">
        <v>7310</v>
      </c>
      <c r="D647" s="5" t="s">
        <v>44</v>
      </c>
      <c r="E647" s="5" t="s">
        <v>39</v>
      </c>
      <c r="F647" s="6">
        <v>42736</v>
      </c>
      <c r="G647">
        <v>0</v>
      </c>
    </row>
    <row r="648" spans="1:7" x14ac:dyDescent="0.25">
      <c r="A648" s="5" t="s">
        <v>99</v>
      </c>
      <c r="B648" s="5" t="s">
        <v>102</v>
      </c>
      <c r="C648" s="5">
        <v>7310</v>
      </c>
      <c r="D648" s="5" t="s">
        <v>44</v>
      </c>
      <c r="E648" s="5" t="s">
        <v>40</v>
      </c>
      <c r="F648" s="6">
        <v>42370</v>
      </c>
      <c r="G648">
        <v>0</v>
      </c>
    </row>
    <row r="649" spans="1:7" x14ac:dyDescent="0.25">
      <c r="A649" s="5" t="s">
        <v>99</v>
      </c>
      <c r="B649" s="5" t="s">
        <v>102</v>
      </c>
      <c r="C649" s="5">
        <v>7310</v>
      </c>
      <c r="D649" s="5" t="s">
        <v>44</v>
      </c>
      <c r="E649" s="5" t="s">
        <v>40</v>
      </c>
      <c r="F649" s="6">
        <v>42736</v>
      </c>
      <c r="G649">
        <v>0</v>
      </c>
    </row>
    <row r="650" spans="1:7" x14ac:dyDescent="0.25">
      <c r="A650" s="5" t="s">
        <v>99</v>
      </c>
      <c r="B650" s="5" t="s">
        <v>102</v>
      </c>
      <c r="C650" s="5">
        <v>7310</v>
      </c>
      <c r="D650" s="5" t="s">
        <v>44</v>
      </c>
      <c r="E650" s="5" t="s">
        <v>41</v>
      </c>
      <c r="F650" s="6">
        <v>42370</v>
      </c>
      <c r="G650">
        <v>0</v>
      </c>
    </row>
    <row r="651" spans="1:7" x14ac:dyDescent="0.25">
      <c r="A651" s="5" t="s">
        <v>99</v>
      </c>
      <c r="B651" s="5" t="s">
        <v>102</v>
      </c>
      <c r="C651" s="5">
        <v>7310</v>
      </c>
      <c r="D651" s="5" t="s">
        <v>44</v>
      </c>
      <c r="E651" s="5" t="s">
        <v>41</v>
      </c>
      <c r="F651" s="6">
        <v>42736</v>
      </c>
      <c r="G651">
        <v>0</v>
      </c>
    </row>
    <row r="652" spans="1:7" x14ac:dyDescent="0.25">
      <c r="A652" s="5" t="s">
        <v>99</v>
      </c>
      <c r="B652" s="5" t="s">
        <v>102</v>
      </c>
      <c r="C652" s="5">
        <v>7310</v>
      </c>
      <c r="D652" s="5" t="s">
        <v>44</v>
      </c>
      <c r="E652" s="5" t="s">
        <v>42</v>
      </c>
      <c r="F652" s="6">
        <v>42370</v>
      </c>
      <c r="G652">
        <v>0</v>
      </c>
    </row>
    <row r="653" spans="1:7" x14ac:dyDescent="0.25">
      <c r="A653" s="5" t="s">
        <v>99</v>
      </c>
      <c r="B653" s="5" t="s">
        <v>102</v>
      </c>
      <c r="C653" s="5">
        <v>7310</v>
      </c>
      <c r="D653" s="5" t="s">
        <v>44</v>
      </c>
      <c r="E653" s="5" t="s">
        <v>42</v>
      </c>
      <c r="F653" s="6">
        <v>42736</v>
      </c>
      <c r="G653">
        <v>0</v>
      </c>
    </row>
    <row r="654" spans="1:7" x14ac:dyDescent="0.25">
      <c r="A654" s="5" t="s">
        <v>99</v>
      </c>
      <c r="B654" s="5" t="s">
        <v>102</v>
      </c>
      <c r="C654" s="5">
        <v>7310</v>
      </c>
      <c r="D654" s="5" t="s">
        <v>44</v>
      </c>
      <c r="E654" s="5" t="s">
        <v>43</v>
      </c>
      <c r="F654" s="6">
        <v>42370</v>
      </c>
      <c r="G654">
        <v>0</v>
      </c>
    </row>
    <row r="655" spans="1:7" x14ac:dyDescent="0.25">
      <c r="A655" s="5" t="s">
        <v>99</v>
      </c>
      <c r="B655" s="5" t="s">
        <v>102</v>
      </c>
      <c r="C655" s="5">
        <v>7310</v>
      </c>
      <c r="D655" s="5" t="s">
        <v>44</v>
      </c>
      <c r="E655" s="5" t="s">
        <v>43</v>
      </c>
      <c r="F655" s="6">
        <v>42736</v>
      </c>
      <c r="G655">
        <v>0</v>
      </c>
    </row>
    <row r="656" spans="1:7" x14ac:dyDescent="0.25">
      <c r="A656" s="5" t="s">
        <v>99</v>
      </c>
      <c r="B656" s="5" t="s">
        <v>102</v>
      </c>
      <c r="C656" s="5">
        <v>7310</v>
      </c>
      <c r="D656" s="5" t="s">
        <v>45</v>
      </c>
      <c r="E656" s="5" t="s">
        <v>46</v>
      </c>
      <c r="F656" s="6">
        <v>42370</v>
      </c>
      <c r="G656">
        <v>0</v>
      </c>
    </row>
    <row r="657" spans="1:7" x14ac:dyDescent="0.25">
      <c r="A657" s="5" t="s">
        <v>99</v>
      </c>
      <c r="B657" s="5" t="s">
        <v>102</v>
      </c>
      <c r="C657" s="5">
        <v>7310</v>
      </c>
      <c r="D657" s="5" t="s">
        <v>45</v>
      </c>
      <c r="E657" s="5" t="s">
        <v>46</v>
      </c>
      <c r="F657" s="6">
        <v>42736</v>
      </c>
      <c r="G657">
        <v>0</v>
      </c>
    </row>
    <row r="658" spans="1:7" x14ac:dyDescent="0.25">
      <c r="A658" s="5" t="s">
        <v>99</v>
      </c>
      <c r="B658" s="5" t="s">
        <v>102</v>
      </c>
      <c r="C658" s="5">
        <v>7310</v>
      </c>
      <c r="D658" s="5" t="s">
        <v>45</v>
      </c>
      <c r="E658" s="5" t="s">
        <v>47</v>
      </c>
      <c r="F658" s="6">
        <v>42370</v>
      </c>
      <c r="G658">
        <v>0</v>
      </c>
    </row>
    <row r="659" spans="1:7" x14ac:dyDescent="0.25">
      <c r="A659" s="5" t="s">
        <v>99</v>
      </c>
      <c r="B659" s="5" t="s">
        <v>102</v>
      </c>
      <c r="C659" s="5">
        <v>7310</v>
      </c>
      <c r="D659" s="5" t="s">
        <v>45</v>
      </c>
      <c r="E659" s="5" t="s">
        <v>47</v>
      </c>
      <c r="F659" s="6">
        <v>42736</v>
      </c>
      <c r="G659">
        <v>0</v>
      </c>
    </row>
    <row r="660" spans="1:7" x14ac:dyDescent="0.25">
      <c r="A660" s="5" t="s">
        <v>99</v>
      </c>
      <c r="B660" s="5" t="s">
        <v>102</v>
      </c>
      <c r="C660" s="5">
        <v>7310</v>
      </c>
      <c r="D660" s="5" t="s">
        <v>45</v>
      </c>
      <c r="E660" s="5" t="s">
        <v>48</v>
      </c>
      <c r="F660" s="6">
        <v>42370</v>
      </c>
      <c r="G660">
        <v>2</v>
      </c>
    </row>
    <row r="661" spans="1:7" x14ac:dyDescent="0.25">
      <c r="A661" s="5" t="s">
        <v>99</v>
      </c>
      <c r="B661" s="5" t="s">
        <v>102</v>
      </c>
      <c r="C661" s="5">
        <v>7310</v>
      </c>
      <c r="D661" s="5" t="s">
        <v>45</v>
      </c>
      <c r="E661" s="5" t="s">
        <v>48</v>
      </c>
      <c r="F661" s="6">
        <v>42736</v>
      </c>
      <c r="G661">
        <v>5</v>
      </c>
    </row>
    <row r="662" spans="1:7" x14ac:dyDescent="0.25">
      <c r="A662" s="5" t="s">
        <v>99</v>
      </c>
      <c r="B662" s="5" t="s">
        <v>102</v>
      </c>
      <c r="C662" s="5">
        <v>7310</v>
      </c>
      <c r="D662" s="5" t="s">
        <v>45</v>
      </c>
      <c r="E662" s="5" t="s">
        <v>49</v>
      </c>
      <c r="F662" s="6">
        <v>42370</v>
      </c>
      <c r="G662">
        <v>0</v>
      </c>
    </row>
    <row r="663" spans="1:7" x14ac:dyDescent="0.25">
      <c r="A663" s="5" t="s">
        <v>99</v>
      </c>
      <c r="B663" s="5" t="s">
        <v>102</v>
      </c>
      <c r="C663" s="5">
        <v>7310</v>
      </c>
      <c r="D663" s="5" t="s">
        <v>45</v>
      </c>
      <c r="E663" s="5" t="s">
        <v>49</v>
      </c>
      <c r="F663" s="6">
        <v>42736</v>
      </c>
      <c r="G663">
        <v>0</v>
      </c>
    </row>
    <row r="664" spans="1:7" x14ac:dyDescent="0.25">
      <c r="A664" s="5" t="s">
        <v>99</v>
      </c>
      <c r="B664" s="5" t="s">
        <v>102</v>
      </c>
      <c r="C664" s="5">
        <v>7310</v>
      </c>
      <c r="D664" s="5" t="s">
        <v>45</v>
      </c>
      <c r="E664" s="5" t="s">
        <v>50</v>
      </c>
      <c r="F664" s="6">
        <v>42370</v>
      </c>
      <c r="G664">
        <v>0</v>
      </c>
    </row>
    <row r="665" spans="1:7" x14ac:dyDescent="0.25">
      <c r="A665" s="5" t="s">
        <v>99</v>
      </c>
      <c r="B665" s="5" t="s">
        <v>102</v>
      </c>
      <c r="C665" s="5">
        <v>7310</v>
      </c>
      <c r="D665" s="5" t="s">
        <v>45</v>
      </c>
      <c r="E665" s="5" t="s">
        <v>50</v>
      </c>
      <c r="F665" s="6">
        <v>42736</v>
      </c>
      <c r="G665">
        <v>0</v>
      </c>
    </row>
    <row r="666" spans="1:7" x14ac:dyDescent="0.25">
      <c r="A666" s="5" t="s">
        <v>99</v>
      </c>
      <c r="B666" s="5" t="s">
        <v>102</v>
      </c>
      <c r="C666" s="5">
        <v>7310</v>
      </c>
      <c r="D666" s="5" t="s">
        <v>45</v>
      </c>
      <c r="E666" s="5" t="s">
        <v>51</v>
      </c>
      <c r="F666" s="6">
        <v>42370</v>
      </c>
      <c r="G666">
        <v>0</v>
      </c>
    </row>
    <row r="667" spans="1:7" x14ac:dyDescent="0.25">
      <c r="A667" s="5" t="s">
        <v>99</v>
      </c>
      <c r="B667" s="5" t="s">
        <v>102</v>
      </c>
      <c r="C667" s="5">
        <v>7310</v>
      </c>
      <c r="D667" s="5" t="s">
        <v>45</v>
      </c>
      <c r="E667" s="5" t="s">
        <v>51</v>
      </c>
      <c r="F667" s="6">
        <v>42736</v>
      </c>
      <c r="G667">
        <v>0</v>
      </c>
    </row>
    <row r="668" spans="1:7" x14ac:dyDescent="0.25">
      <c r="A668" s="5" t="s">
        <v>99</v>
      </c>
      <c r="B668" s="5" t="s">
        <v>102</v>
      </c>
      <c r="C668" s="5">
        <v>7310</v>
      </c>
      <c r="D668" s="5" t="s">
        <v>45</v>
      </c>
      <c r="E668" s="5" t="s">
        <v>52</v>
      </c>
      <c r="F668" s="6">
        <v>42370</v>
      </c>
      <c r="G668">
        <v>0</v>
      </c>
    </row>
    <row r="669" spans="1:7" x14ac:dyDescent="0.25">
      <c r="A669" s="5" t="s">
        <v>99</v>
      </c>
      <c r="B669" s="5" t="s">
        <v>102</v>
      </c>
      <c r="C669" s="5">
        <v>7310</v>
      </c>
      <c r="D669" s="5" t="s">
        <v>45</v>
      </c>
      <c r="E669" s="5" t="s">
        <v>52</v>
      </c>
      <c r="F669" s="6">
        <v>42736</v>
      </c>
      <c r="G669">
        <v>0</v>
      </c>
    </row>
    <row r="670" spans="1:7" x14ac:dyDescent="0.25">
      <c r="A670" s="5" t="s">
        <v>99</v>
      </c>
      <c r="B670" s="5" t="s">
        <v>102</v>
      </c>
      <c r="C670" s="5">
        <v>7310</v>
      </c>
      <c r="D670" s="5" t="s">
        <v>45</v>
      </c>
      <c r="E670" s="5" t="s">
        <v>53</v>
      </c>
      <c r="F670" s="6">
        <v>42370</v>
      </c>
      <c r="G670">
        <v>12</v>
      </c>
    </row>
    <row r="671" spans="1:7" x14ac:dyDescent="0.25">
      <c r="A671" s="5" t="s">
        <v>99</v>
      </c>
      <c r="B671" s="5" t="s">
        <v>102</v>
      </c>
      <c r="C671" s="5">
        <v>7310</v>
      </c>
      <c r="D671" s="5" t="s">
        <v>45</v>
      </c>
      <c r="E671" s="5" t="s">
        <v>53</v>
      </c>
      <c r="F671" s="6">
        <v>42736</v>
      </c>
      <c r="G671">
        <v>8</v>
      </c>
    </row>
    <row r="672" spans="1:7" x14ac:dyDescent="0.25">
      <c r="A672" s="5" t="s">
        <v>99</v>
      </c>
      <c r="B672" s="5" t="s">
        <v>102</v>
      </c>
      <c r="C672" s="5">
        <v>7310</v>
      </c>
      <c r="D672" s="5" t="s">
        <v>45</v>
      </c>
      <c r="E672" s="5" t="s">
        <v>54</v>
      </c>
      <c r="F672" s="6">
        <v>42370</v>
      </c>
      <c r="G672">
        <v>10</v>
      </c>
    </row>
    <row r="673" spans="1:7" x14ac:dyDescent="0.25">
      <c r="A673" s="5" t="s">
        <v>99</v>
      </c>
      <c r="B673" s="5" t="s">
        <v>102</v>
      </c>
      <c r="C673" s="5">
        <v>7310</v>
      </c>
      <c r="D673" s="5" t="s">
        <v>45</v>
      </c>
      <c r="E673" s="5" t="s">
        <v>54</v>
      </c>
      <c r="F673" s="6">
        <v>42736</v>
      </c>
      <c r="G673">
        <v>0</v>
      </c>
    </row>
    <row r="674" spans="1:7" x14ac:dyDescent="0.25">
      <c r="A674" s="5" t="s">
        <v>99</v>
      </c>
      <c r="B674" s="5" t="s">
        <v>102</v>
      </c>
      <c r="C674" s="5">
        <v>7310</v>
      </c>
      <c r="D674" s="5" t="s">
        <v>45</v>
      </c>
      <c r="E674" s="5" t="s">
        <v>55</v>
      </c>
      <c r="F674" s="6">
        <v>42370</v>
      </c>
      <c r="G674">
        <v>0</v>
      </c>
    </row>
    <row r="675" spans="1:7" x14ac:dyDescent="0.25">
      <c r="A675" s="5" t="s">
        <v>99</v>
      </c>
      <c r="B675" s="5" t="s">
        <v>102</v>
      </c>
      <c r="C675" s="5">
        <v>7310</v>
      </c>
      <c r="D675" s="5" t="s">
        <v>45</v>
      </c>
      <c r="E675" s="5" t="s">
        <v>55</v>
      </c>
      <c r="F675" s="6">
        <v>42736</v>
      </c>
      <c r="G675">
        <v>0</v>
      </c>
    </row>
    <row r="676" spans="1:7" x14ac:dyDescent="0.25">
      <c r="A676" s="5" t="s">
        <v>99</v>
      </c>
      <c r="B676" s="5" t="s">
        <v>102</v>
      </c>
      <c r="C676" s="5">
        <v>7310</v>
      </c>
      <c r="D676" s="5" t="s">
        <v>45</v>
      </c>
      <c r="E676" s="5" t="s">
        <v>56</v>
      </c>
      <c r="F676" s="6">
        <v>42370</v>
      </c>
      <c r="G676">
        <v>0</v>
      </c>
    </row>
    <row r="677" spans="1:7" x14ac:dyDescent="0.25">
      <c r="A677" s="5" t="s">
        <v>99</v>
      </c>
      <c r="B677" s="5" t="s">
        <v>102</v>
      </c>
      <c r="C677" s="5">
        <v>7310</v>
      </c>
      <c r="D677" s="5" t="s">
        <v>45</v>
      </c>
      <c r="E677" s="5" t="s">
        <v>56</v>
      </c>
      <c r="F677" s="6">
        <v>42736</v>
      </c>
      <c r="G677">
        <v>0</v>
      </c>
    </row>
    <row r="678" spans="1:7" x14ac:dyDescent="0.25">
      <c r="A678" s="5" t="s">
        <v>99</v>
      </c>
      <c r="B678" s="5" t="s">
        <v>102</v>
      </c>
      <c r="C678" s="5">
        <v>7310</v>
      </c>
      <c r="D678" s="5" t="s">
        <v>45</v>
      </c>
      <c r="E678" s="5" t="s">
        <v>57</v>
      </c>
      <c r="F678" s="6">
        <v>42370</v>
      </c>
      <c r="G678">
        <v>0</v>
      </c>
    </row>
    <row r="679" spans="1:7" x14ac:dyDescent="0.25">
      <c r="A679" s="5" t="s">
        <v>99</v>
      </c>
      <c r="B679" s="5" t="s">
        <v>102</v>
      </c>
      <c r="C679" s="5">
        <v>7310</v>
      </c>
      <c r="D679" s="5" t="s">
        <v>45</v>
      </c>
      <c r="E679" s="5" t="s">
        <v>57</v>
      </c>
      <c r="F679" s="6">
        <v>42736</v>
      </c>
      <c r="G679">
        <v>0</v>
      </c>
    </row>
    <row r="680" spans="1:7" x14ac:dyDescent="0.25">
      <c r="A680" s="5" t="s">
        <v>99</v>
      </c>
      <c r="B680" s="5" t="s">
        <v>102</v>
      </c>
      <c r="C680" s="5">
        <v>7310</v>
      </c>
      <c r="D680" s="5" t="s">
        <v>45</v>
      </c>
      <c r="E680" s="5" t="s">
        <v>58</v>
      </c>
      <c r="F680" s="6">
        <v>42370</v>
      </c>
      <c r="G680">
        <v>0</v>
      </c>
    </row>
    <row r="681" spans="1:7" x14ac:dyDescent="0.25">
      <c r="A681" s="5" t="s">
        <v>99</v>
      </c>
      <c r="B681" s="5" t="s">
        <v>102</v>
      </c>
      <c r="C681" s="5">
        <v>7310</v>
      </c>
      <c r="D681" s="5" t="s">
        <v>45</v>
      </c>
      <c r="E681" s="5" t="s">
        <v>58</v>
      </c>
      <c r="F681" s="6">
        <v>42736</v>
      </c>
      <c r="G681">
        <v>0</v>
      </c>
    </row>
    <row r="682" spans="1:7" x14ac:dyDescent="0.25">
      <c r="A682" s="5" t="s">
        <v>99</v>
      </c>
      <c r="B682" s="5" t="s">
        <v>102</v>
      </c>
      <c r="C682" s="5">
        <v>7310</v>
      </c>
      <c r="D682" s="5" t="s">
        <v>45</v>
      </c>
      <c r="E682" s="5" t="s">
        <v>59</v>
      </c>
      <c r="F682" s="6">
        <v>42370</v>
      </c>
      <c r="G682">
        <v>0</v>
      </c>
    </row>
    <row r="683" spans="1:7" x14ac:dyDescent="0.25">
      <c r="A683" s="5" t="s">
        <v>99</v>
      </c>
      <c r="B683" s="5" t="s">
        <v>102</v>
      </c>
      <c r="C683" s="5">
        <v>7310</v>
      </c>
      <c r="D683" s="5" t="s">
        <v>45</v>
      </c>
      <c r="E683" s="5" t="s">
        <v>59</v>
      </c>
      <c r="F683" s="6">
        <v>42736</v>
      </c>
      <c r="G683">
        <v>0</v>
      </c>
    </row>
    <row r="684" spans="1:7" x14ac:dyDescent="0.25">
      <c r="A684" s="5" t="s">
        <v>99</v>
      </c>
      <c r="B684" s="5" t="s">
        <v>102</v>
      </c>
      <c r="C684" s="5">
        <v>7310</v>
      </c>
      <c r="D684" s="5" t="s">
        <v>45</v>
      </c>
      <c r="E684" s="5" t="s">
        <v>60</v>
      </c>
      <c r="F684" s="6">
        <v>42370</v>
      </c>
      <c r="G684">
        <v>0</v>
      </c>
    </row>
    <row r="685" spans="1:7" x14ac:dyDescent="0.25">
      <c r="A685" s="5" t="s">
        <v>99</v>
      </c>
      <c r="B685" s="5" t="s">
        <v>102</v>
      </c>
      <c r="C685" s="5">
        <v>7310</v>
      </c>
      <c r="D685" s="5" t="s">
        <v>45</v>
      </c>
      <c r="E685" s="5" t="s">
        <v>60</v>
      </c>
      <c r="F685" s="6">
        <v>42736</v>
      </c>
      <c r="G685">
        <v>0</v>
      </c>
    </row>
    <row r="686" spans="1:7" x14ac:dyDescent="0.25">
      <c r="A686" s="5" t="s">
        <v>99</v>
      </c>
      <c r="B686" s="5" t="s">
        <v>102</v>
      </c>
      <c r="C686" s="5">
        <v>7310</v>
      </c>
      <c r="D686" s="5" t="s">
        <v>45</v>
      </c>
      <c r="E686" s="5" t="s">
        <v>61</v>
      </c>
      <c r="F686" s="6">
        <v>42370</v>
      </c>
      <c r="G686">
        <v>0</v>
      </c>
    </row>
    <row r="687" spans="1:7" x14ac:dyDescent="0.25">
      <c r="A687" s="5" t="s">
        <v>99</v>
      </c>
      <c r="B687" s="5" t="s">
        <v>102</v>
      </c>
      <c r="C687" s="5">
        <v>7310</v>
      </c>
      <c r="D687" s="5" t="s">
        <v>45</v>
      </c>
      <c r="E687" s="5" t="s">
        <v>61</v>
      </c>
      <c r="F687" s="6">
        <v>42736</v>
      </c>
      <c r="G687">
        <v>0</v>
      </c>
    </row>
    <row r="688" spans="1:7" x14ac:dyDescent="0.25">
      <c r="A688" s="5" t="s">
        <v>99</v>
      </c>
      <c r="B688" s="5" t="s">
        <v>102</v>
      </c>
      <c r="C688" s="5">
        <v>7310</v>
      </c>
      <c r="D688" s="5" t="s">
        <v>62</v>
      </c>
      <c r="E688" s="5" t="s">
        <v>63</v>
      </c>
      <c r="F688" s="6">
        <v>42370</v>
      </c>
      <c r="G688">
        <v>0</v>
      </c>
    </row>
    <row r="689" spans="1:7" x14ac:dyDescent="0.25">
      <c r="A689" s="5" t="s">
        <v>99</v>
      </c>
      <c r="B689" s="5" t="s">
        <v>102</v>
      </c>
      <c r="C689" s="5">
        <v>7310</v>
      </c>
      <c r="D689" s="5" t="s">
        <v>62</v>
      </c>
      <c r="E689" s="5" t="s">
        <v>63</v>
      </c>
      <c r="F689" s="6">
        <v>42736</v>
      </c>
      <c r="G689">
        <v>0</v>
      </c>
    </row>
    <row r="690" spans="1:7" x14ac:dyDescent="0.25">
      <c r="A690" s="5" t="s">
        <v>99</v>
      </c>
      <c r="B690" s="5" t="s">
        <v>102</v>
      </c>
      <c r="C690" s="5">
        <v>7310</v>
      </c>
      <c r="D690" s="5" t="s">
        <v>62</v>
      </c>
      <c r="E690" s="5" t="s">
        <v>64</v>
      </c>
      <c r="F690" s="6">
        <v>42370</v>
      </c>
      <c r="G690">
        <v>0</v>
      </c>
    </row>
    <row r="691" spans="1:7" x14ac:dyDescent="0.25">
      <c r="A691" s="5" t="s">
        <v>99</v>
      </c>
      <c r="B691" s="5" t="s">
        <v>102</v>
      </c>
      <c r="C691" s="5">
        <v>7310</v>
      </c>
      <c r="D691" s="5" t="s">
        <v>62</v>
      </c>
      <c r="E691" s="5" t="s">
        <v>64</v>
      </c>
      <c r="F691" s="6">
        <v>42736</v>
      </c>
      <c r="G691">
        <v>0</v>
      </c>
    </row>
    <row r="692" spans="1:7" x14ac:dyDescent="0.25">
      <c r="A692" s="5" t="s">
        <v>99</v>
      </c>
      <c r="B692" s="5" t="s">
        <v>102</v>
      </c>
      <c r="C692" s="5">
        <v>7310</v>
      </c>
      <c r="D692" s="5" t="s">
        <v>62</v>
      </c>
      <c r="E692" s="5" t="s">
        <v>9</v>
      </c>
      <c r="F692" s="6">
        <v>42370</v>
      </c>
      <c r="G692">
        <v>0</v>
      </c>
    </row>
    <row r="693" spans="1:7" x14ac:dyDescent="0.25">
      <c r="A693" s="5" t="s">
        <v>99</v>
      </c>
      <c r="B693" s="5" t="s">
        <v>102</v>
      </c>
      <c r="C693" s="5">
        <v>7310</v>
      </c>
      <c r="D693" s="5" t="s">
        <v>62</v>
      </c>
      <c r="E693" s="5" t="s">
        <v>9</v>
      </c>
      <c r="F693" s="6">
        <v>42736</v>
      </c>
      <c r="G693">
        <v>0</v>
      </c>
    </row>
    <row r="694" spans="1:7" x14ac:dyDescent="0.25">
      <c r="A694" s="5" t="s">
        <v>99</v>
      </c>
      <c r="B694" s="5" t="s">
        <v>102</v>
      </c>
      <c r="C694" s="5">
        <v>7310</v>
      </c>
      <c r="D694" s="5" t="s">
        <v>62</v>
      </c>
      <c r="E694" s="5" t="s">
        <v>65</v>
      </c>
      <c r="F694" s="6">
        <v>42370</v>
      </c>
      <c r="G694">
        <v>0</v>
      </c>
    </row>
    <row r="695" spans="1:7" x14ac:dyDescent="0.25">
      <c r="A695" s="5" t="s">
        <v>99</v>
      </c>
      <c r="B695" s="5" t="s">
        <v>102</v>
      </c>
      <c r="C695" s="5">
        <v>7310</v>
      </c>
      <c r="D695" s="5" t="s">
        <v>62</v>
      </c>
      <c r="E695" s="5" t="s">
        <v>65</v>
      </c>
      <c r="F695" s="6">
        <v>42736</v>
      </c>
      <c r="G695">
        <v>0</v>
      </c>
    </row>
    <row r="696" spans="1:7" x14ac:dyDescent="0.25">
      <c r="A696" s="5" t="s">
        <v>99</v>
      </c>
      <c r="B696" s="5" t="s">
        <v>102</v>
      </c>
      <c r="C696" s="5">
        <v>7310</v>
      </c>
      <c r="D696" s="5" t="s">
        <v>62</v>
      </c>
      <c r="E696" s="5" t="s">
        <v>66</v>
      </c>
      <c r="F696" s="6">
        <v>42370</v>
      </c>
      <c r="G696">
        <v>0</v>
      </c>
    </row>
    <row r="697" spans="1:7" x14ac:dyDescent="0.25">
      <c r="A697" s="5" t="s">
        <v>99</v>
      </c>
      <c r="B697" s="5" t="s">
        <v>102</v>
      </c>
      <c r="C697" s="5">
        <v>7310</v>
      </c>
      <c r="D697" s="5" t="s">
        <v>62</v>
      </c>
      <c r="E697" s="5" t="s">
        <v>66</v>
      </c>
      <c r="F697" s="6">
        <v>42736</v>
      </c>
      <c r="G697">
        <v>0</v>
      </c>
    </row>
    <row r="698" spans="1:7" x14ac:dyDescent="0.25">
      <c r="A698" s="5" t="s">
        <v>99</v>
      </c>
      <c r="B698" s="5" t="s">
        <v>102</v>
      </c>
      <c r="C698" s="5">
        <v>7310</v>
      </c>
      <c r="D698" s="5" t="s">
        <v>62</v>
      </c>
      <c r="E698" s="5" t="s">
        <v>67</v>
      </c>
      <c r="F698" s="6">
        <v>42370</v>
      </c>
      <c r="G698">
        <v>0</v>
      </c>
    </row>
    <row r="699" spans="1:7" x14ac:dyDescent="0.25">
      <c r="A699" s="5" t="s">
        <v>99</v>
      </c>
      <c r="B699" s="5" t="s">
        <v>102</v>
      </c>
      <c r="C699" s="5">
        <v>7310</v>
      </c>
      <c r="D699" s="5" t="s">
        <v>62</v>
      </c>
      <c r="E699" s="5" t="s">
        <v>67</v>
      </c>
      <c r="F699" s="6">
        <v>42736</v>
      </c>
      <c r="G699">
        <v>0</v>
      </c>
    </row>
    <row r="700" spans="1:7" x14ac:dyDescent="0.25">
      <c r="A700" s="5" t="s">
        <v>99</v>
      </c>
      <c r="B700" s="5" t="s">
        <v>102</v>
      </c>
      <c r="C700" s="5">
        <v>7310</v>
      </c>
      <c r="D700" s="5" t="s">
        <v>62</v>
      </c>
      <c r="E700" s="5" t="s">
        <v>68</v>
      </c>
      <c r="F700" s="6">
        <v>42370</v>
      </c>
      <c r="G700">
        <v>0</v>
      </c>
    </row>
    <row r="701" spans="1:7" x14ac:dyDescent="0.25">
      <c r="A701" s="5" t="s">
        <v>99</v>
      </c>
      <c r="B701" s="5" t="s">
        <v>102</v>
      </c>
      <c r="C701" s="5">
        <v>7310</v>
      </c>
      <c r="D701" s="5" t="s">
        <v>62</v>
      </c>
      <c r="E701" s="5" t="s">
        <v>68</v>
      </c>
      <c r="F701" s="6">
        <v>42736</v>
      </c>
      <c r="G701">
        <v>0</v>
      </c>
    </row>
    <row r="702" spans="1:7" x14ac:dyDescent="0.25">
      <c r="A702" s="5" t="s">
        <v>99</v>
      </c>
      <c r="B702" s="5" t="s">
        <v>102</v>
      </c>
      <c r="C702" s="5">
        <v>7310</v>
      </c>
      <c r="D702" s="5" t="s">
        <v>62</v>
      </c>
      <c r="E702" s="5" t="s">
        <v>69</v>
      </c>
      <c r="F702" s="6">
        <v>42370</v>
      </c>
      <c r="G702">
        <v>0</v>
      </c>
    </row>
    <row r="703" spans="1:7" x14ac:dyDescent="0.25">
      <c r="A703" s="5" t="s">
        <v>99</v>
      </c>
      <c r="B703" s="5" t="s">
        <v>102</v>
      </c>
      <c r="C703" s="5">
        <v>7310</v>
      </c>
      <c r="D703" s="5" t="s">
        <v>62</v>
      </c>
      <c r="E703" s="5" t="s">
        <v>69</v>
      </c>
      <c r="F703" s="6">
        <v>42736</v>
      </c>
      <c r="G703">
        <v>0</v>
      </c>
    </row>
    <row r="704" spans="1:7" x14ac:dyDescent="0.25">
      <c r="A704" s="5" t="s">
        <v>99</v>
      </c>
      <c r="B704" s="5" t="s">
        <v>102</v>
      </c>
      <c r="C704" s="5">
        <v>7310</v>
      </c>
      <c r="D704" s="5" t="s">
        <v>62</v>
      </c>
      <c r="E704" s="5" t="s">
        <v>70</v>
      </c>
      <c r="F704" s="6">
        <v>42370</v>
      </c>
      <c r="G704">
        <v>0</v>
      </c>
    </row>
    <row r="705" spans="1:7" x14ac:dyDescent="0.25">
      <c r="A705" s="5" t="s">
        <v>99</v>
      </c>
      <c r="B705" s="5" t="s">
        <v>102</v>
      </c>
      <c r="C705" s="5">
        <v>7310</v>
      </c>
      <c r="D705" s="5" t="s">
        <v>62</v>
      </c>
      <c r="E705" s="5" t="s">
        <v>70</v>
      </c>
      <c r="F705" s="6">
        <v>42736</v>
      </c>
      <c r="G705">
        <v>0</v>
      </c>
    </row>
    <row r="706" spans="1:7" x14ac:dyDescent="0.25">
      <c r="A706" s="5" t="s">
        <v>99</v>
      </c>
      <c r="B706" s="5" t="s">
        <v>102</v>
      </c>
      <c r="C706" s="5">
        <v>7310</v>
      </c>
      <c r="D706" s="5" t="s">
        <v>62</v>
      </c>
      <c r="E706" s="5" t="s">
        <v>71</v>
      </c>
      <c r="F706" s="6">
        <v>42370</v>
      </c>
      <c r="G706">
        <v>0</v>
      </c>
    </row>
    <row r="707" spans="1:7" x14ac:dyDescent="0.25">
      <c r="A707" s="5" t="s">
        <v>99</v>
      </c>
      <c r="B707" s="5" t="s">
        <v>102</v>
      </c>
      <c r="C707" s="5">
        <v>7310</v>
      </c>
      <c r="D707" s="5" t="s">
        <v>62</v>
      </c>
      <c r="E707" s="5" t="s">
        <v>71</v>
      </c>
      <c r="F707" s="6">
        <v>42736</v>
      </c>
      <c r="G707">
        <v>0</v>
      </c>
    </row>
    <row r="708" spans="1:7" x14ac:dyDescent="0.25">
      <c r="A708" s="5" t="s">
        <v>99</v>
      </c>
      <c r="B708" s="5" t="s">
        <v>102</v>
      </c>
      <c r="C708" s="5">
        <v>7310</v>
      </c>
      <c r="D708" s="5" t="s">
        <v>72</v>
      </c>
      <c r="E708" s="5" t="s">
        <v>73</v>
      </c>
      <c r="F708" s="6">
        <v>42370</v>
      </c>
      <c r="G708">
        <v>0</v>
      </c>
    </row>
    <row r="709" spans="1:7" x14ac:dyDescent="0.25">
      <c r="A709" s="5" t="s">
        <v>99</v>
      </c>
      <c r="B709" s="5" t="s">
        <v>102</v>
      </c>
      <c r="C709" s="5">
        <v>7310</v>
      </c>
      <c r="D709" s="5" t="s">
        <v>72</v>
      </c>
      <c r="E709" s="5" t="s">
        <v>73</v>
      </c>
      <c r="F709" s="6">
        <v>42736</v>
      </c>
      <c r="G709">
        <v>0</v>
      </c>
    </row>
    <row r="710" spans="1:7" x14ac:dyDescent="0.25">
      <c r="A710" s="5" t="s">
        <v>99</v>
      </c>
      <c r="B710" s="5" t="s">
        <v>102</v>
      </c>
      <c r="C710" s="5">
        <v>7310</v>
      </c>
      <c r="D710" s="5" t="s">
        <v>72</v>
      </c>
      <c r="E710" s="5" t="s">
        <v>9</v>
      </c>
      <c r="F710" s="6">
        <v>42370</v>
      </c>
      <c r="G710">
        <v>0</v>
      </c>
    </row>
    <row r="711" spans="1:7" x14ac:dyDescent="0.25">
      <c r="A711" s="5" t="s">
        <v>99</v>
      </c>
      <c r="B711" s="5" t="s">
        <v>102</v>
      </c>
      <c r="C711" s="5">
        <v>7310</v>
      </c>
      <c r="D711" s="5" t="s">
        <v>72</v>
      </c>
      <c r="E711" s="5" t="s">
        <v>9</v>
      </c>
      <c r="F711" s="6">
        <v>42736</v>
      </c>
      <c r="G711">
        <v>0</v>
      </c>
    </row>
    <row r="712" spans="1:7" x14ac:dyDescent="0.25">
      <c r="A712" s="5" t="s">
        <v>99</v>
      </c>
      <c r="B712" s="5" t="s">
        <v>102</v>
      </c>
      <c r="C712" s="5">
        <v>7310</v>
      </c>
      <c r="D712" s="5" t="s">
        <v>72</v>
      </c>
      <c r="E712" s="5" t="s">
        <v>34</v>
      </c>
      <c r="F712" s="6">
        <v>42370</v>
      </c>
      <c r="G712">
        <v>0</v>
      </c>
    </row>
    <row r="713" spans="1:7" x14ac:dyDescent="0.25">
      <c r="A713" s="5" t="s">
        <v>99</v>
      </c>
      <c r="B713" s="5" t="s">
        <v>102</v>
      </c>
      <c r="C713" s="5">
        <v>7310</v>
      </c>
      <c r="D713" s="5" t="s">
        <v>72</v>
      </c>
      <c r="E713" s="5" t="s">
        <v>34</v>
      </c>
      <c r="F713" s="6">
        <v>42736</v>
      </c>
      <c r="G713">
        <v>0</v>
      </c>
    </row>
    <row r="714" spans="1:7" x14ac:dyDescent="0.25">
      <c r="A714" s="5" t="s">
        <v>99</v>
      </c>
      <c r="B714" s="5" t="s">
        <v>102</v>
      </c>
      <c r="C714" s="5">
        <v>7310</v>
      </c>
      <c r="D714" s="5" t="s">
        <v>72</v>
      </c>
      <c r="E714" s="5" t="s">
        <v>74</v>
      </c>
      <c r="F714" s="6">
        <v>42370</v>
      </c>
      <c r="G714">
        <v>0</v>
      </c>
    </row>
    <row r="715" spans="1:7" x14ac:dyDescent="0.25">
      <c r="A715" s="5" t="s">
        <v>99</v>
      </c>
      <c r="B715" s="5" t="s">
        <v>102</v>
      </c>
      <c r="C715" s="5">
        <v>7310</v>
      </c>
      <c r="D715" s="5" t="s">
        <v>72</v>
      </c>
      <c r="E715" s="5" t="s">
        <v>74</v>
      </c>
      <c r="F715" s="6">
        <v>42736</v>
      </c>
      <c r="G715">
        <v>0</v>
      </c>
    </row>
    <row r="716" spans="1:7" x14ac:dyDescent="0.25">
      <c r="A716" s="5" t="s">
        <v>99</v>
      </c>
      <c r="B716" s="5" t="s">
        <v>102</v>
      </c>
      <c r="C716" s="5">
        <v>7310</v>
      </c>
      <c r="D716" s="5" t="s">
        <v>72</v>
      </c>
      <c r="E716" s="5" t="s">
        <v>75</v>
      </c>
      <c r="F716" s="6">
        <v>42370</v>
      </c>
      <c r="G716">
        <v>0</v>
      </c>
    </row>
    <row r="717" spans="1:7" x14ac:dyDescent="0.25">
      <c r="A717" s="5" t="s">
        <v>99</v>
      </c>
      <c r="B717" s="5" t="s">
        <v>102</v>
      </c>
      <c r="C717" s="5">
        <v>7310</v>
      </c>
      <c r="D717" s="5" t="s">
        <v>72</v>
      </c>
      <c r="E717" s="5" t="s">
        <v>75</v>
      </c>
      <c r="F717" s="6">
        <v>42736</v>
      </c>
      <c r="G717">
        <v>0</v>
      </c>
    </row>
    <row r="718" spans="1:7" x14ac:dyDescent="0.25">
      <c r="A718" s="5" t="s">
        <v>99</v>
      </c>
      <c r="B718" s="5" t="s">
        <v>102</v>
      </c>
      <c r="C718" s="5">
        <v>7310</v>
      </c>
      <c r="D718" s="5" t="s">
        <v>76</v>
      </c>
      <c r="E718" s="5" t="s">
        <v>9</v>
      </c>
      <c r="F718" s="6">
        <v>42370</v>
      </c>
      <c r="G718">
        <v>0</v>
      </c>
    </row>
    <row r="719" spans="1:7" x14ac:dyDescent="0.25">
      <c r="A719" s="5" t="s">
        <v>99</v>
      </c>
      <c r="B719" s="5" t="s">
        <v>102</v>
      </c>
      <c r="C719" s="5">
        <v>7310</v>
      </c>
      <c r="D719" s="5" t="s">
        <v>76</v>
      </c>
      <c r="E719" s="5" t="s">
        <v>9</v>
      </c>
      <c r="F719" s="6">
        <v>42736</v>
      </c>
      <c r="G719">
        <v>0</v>
      </c>
    </row>
    <row r="720" spans="1:7" x14ac:dyDescent="0.25">
      <c r="A720" s="5" t="s">
        <v>99</v>
      </c>
      <c r="B720" s="5" t="s">
        <v>102</v>
      </c>
      <c r="C720" s="5">
        <v>7310</v>
      </c>
      <c r="D720" s="5" t="s">
        <v>76</v>
      </c>
      <c r="E720" s="5" t="s">
        <v>77</v>
      </c>
      <c r="F720" s="6">
        <v>42370</v>
      </c>
      <c r="G720">
        <v>0</v>
      </c>
    </row>
    <row r="721" spans="1:7" x14ac:dyDescent="0.25">
      <c r="A721" s="5" t="s">
        <v>99</v>
      </c>
      <c r="B721" s="5" t="s">
        <v>102</v>
      </c>
      <c r="C721" s="5">
        <v>7310</v>
      </c>
      <c r="D721" s="5" t="s">
        <v>76</v>
      </c>
      <c r="E721" s="5" t="s">
        <v>77</v>
      </c>
      <c r="F721" s="6">
        <v>42736</v>
      </c>
      <c r="G721">
        <v>0</v>
      </c>
    </row>
    <row r="722" spans="1:7" x14ac:dyDescent="0.25">
      <c r="A722" s="5" t="s">
        <v>99</v>
      </c>
      <c r="B722" s="5" t="s">
        <v>102</v>
      </c>
      <c r="C722" s="5">
        <v>7310</v>
      </c>
      <c r="D722" s="5" t="s">
        <v>78</v>
      </c>
      <c r="E722" s="5" t="s">
        <v>79</v>
      </c>
      <c r="F722" s="6">
        <v>42370</v>
      </c>
      <c r="G722">
        <v>11</v>
      </c>
    </row>
    <row r="723" spans="1:7" x14ac:dyDescent="0.25">
      <c r="A723" s="5" t="s">
        <v>99</v>
      </c>
      <c r="B723" s="5" t="s">
        <v>102</v>
      </c>
      <c r="C723" s="5">
        <v>7310</v>
      </c>
      <c r="D723" s="5" t="s">
        <v>78</v>
      </c>
      <c r="E723" s="5" t="s">
        <v>79</v>
      </c>
      <c r="F723" s="6">
        <v>42736</v>
      </c>
      <c r="G723">
        <v>21</v>
      </c>
    </row>
    <row r="724" spans="1:7" x14ac:dyDescent="0.25">
      <c r="A724" s="5" t="s">
        <v>99</v>
      </c>
      <c r="B724" s="5" t="s">
        <v>102</v>
      </c>
      <c r="C724" s="5">
        <v>7310</v>
      </c>
      <c r="D724" s="5" t="s">
        <v>78</v>
      </c>
      <c r="E724" s="5" t="s">
        <v>80</v>
      </c>
      <c r="F724" s="6">
        <v>42370</v>
      </c>
      <c r="G724">
        <v>0</v>
      </c>
    </row>
    <row r="725" spans="1:7" x14ac:dyDescent="0.25">
      <c r="A725" s="5" t="s">
        <v>99</v>
      </c>
      <c r="B725" s="5" t="s">
        <v>102</v>
      </c>
      <c r="C725" s="5">
        <v>7310</v>
      </c>
      <c r="D725" s="5" t="s">
        <v>78</v>
      </c>
      <c r="E725" s="5" t="s">
        <v>80</v>
      </c>
      <c r="F725" s="6">
        <v>42736</v>
      </c>
      <c r="G725">
        <v>3</v>
      </c>
    </row>
    <row r="726" spans="1:7" x14ac:dyDescent="0.25">
      <c r="A726" s="5" t="s">
        <v>99</v>
      </c>
      <c r="B726" s="5" t="s">
        <v>102</v>
      </c>
      <c r="C726" s="5">
        <v>7310</v>
      </c>
      <c r="D726" s="5" t="s">
        <v>78</v>
      </c>
      <c r="E726" s="5" t="s">
        <v>81</v>
      </c>
      <c r="F726" s="6">
        <v>42370</v>
      </c>
      <c r="G726">
        <v>212</v>
      </c>
    </row>
    <row r="727" spans="1:7" x14ac:dyDescent="0.25">
      <c r="A727" s="5" t="s">
        <v>99</v>
      </c>
      <c r="B727" s="5" t="s">
        <v>102</v>
      </c>
      <c r="C727" s="5">
        <v>7310</v>
      </c>
      <c r="D727" s="5" t="s">
        <v>78</v>
      </c>
      <c r="E727" s="5" t="s">
        <v>81</v>
      </c>
      <c r="F727" s="6">
        <v>42736</v>
      </c>
      <c r="G727">
        <v>266</v>
      </c>
    </row>
    <row r="728" spans="1:7" x14ac:dyDescent="0.25">
      <c r="A728" s="5" t="s">
        <v>99</v>
      </c>
      <c r="B728" s="5" t="s">
        <v>102</v>
      </c>
      <c r="C728" s="5">
        <v>7310</v>
      </c>
      <c r="D728" s="5" t="s">
        <v>78</v>
      </c>
      <c r="E728" s="5" t="s">
        <v>82</v>
      </c>
      <c r="F728" s="6">
        <v>42370</v>
      </c>
      <c r="G728">
        <v>0</v>
      </c>
    </row>
    <row r="729" spans="1:7" x14ac:dyDescent="0.25">
      <c r="A729" s="5" t="s">
        <v>99</v>
      </c>
      <c r="B729" s="5" t="s">
        <v>102</v>
      </c>
      <c r="C729" s="5">
        <v>7310</v>
      </c>
      <c r="D729" s="5" t="s">
        <v>78</v>
      </c>
      <c r="E729" s="5" t="s">
        <v>82</v>
      </c>
      <c r="F729" s="6">
        <v>42736</v>
      </c>
      <c r="G729">
        <v>0</v>
      </c>
    </row>
    <row r="730" spans="1:7" x14ac:dyDescent="0.25">
      <c r="A730" s="5" t="s">
        <v>99</v>
      </c>
      <c r="B730" s="5" t="s">
        <v>102</v>
      </c>
      <c r="C730" s="5">
        <v>7310</v>
      </c>
      <c r="D730" s="5" t="s">
        <v>78</v>
      </c>
      <c r="E730" s="5" t="s">
        <v>83</v>
      </c>
      <c r="F730" s="6">
        <v>42370</v>
      </c>
      <c r="G730">
        <v>0</v>
      </c>
    </row>
    <row r="731" spans="1:7" x14ac:dyDescent="0.25">
      <c r="A731" s="5" t="s">
        <v>99</v>
      </c>
      <c r="B731" s="5" t="s">
        <v>102</v>
      </c>
      <c r="C731" s="5">
        <v>7310</v>
      </c>
      <c r="D731" s="5" t="s">
        <v>78</v>
      </c>
      <c r="E731" s="5" t="s">
        <v>83</v>
      </c>
      <c r="F731" s="6">
        <v>42736</v>
      </c>
      <c r="G731">
        <v>0</v>
      </c>
    </row>
    <row r="732" spans="1:7" x14ac:dyDescent="0.25">
      <c r="A732" s="5" t="s">
        <v>99</v>
      </c>
      <c r="B732" s="5" t="s">
        <v>102</v>
      </c>
      <c r="C732" s="5">
        <v>7310</v>
      </c>
      <c r="D732" s="5" t="s">
        <v>78</v>
      </c>
      <c r="E732" s="5" t="s">
        <v>84</v>
      </c>
      <c r="F732" s="6">
        <v>42370</v>
      </c>
      <c r="G732">
        <v>0</v>
      </c>
    </row>
    <row r="733" spans="1:7" x14ac:dyDescent="0.25">
      <c r="A733" s="5" t="s">
        <v>99</v>
      </c>
      <c r="B733" s="5" t="s">
        <v>102</v>
      </c>
      <c r="C733" s="5">
        <v>7310</v>
      </c>
      <c r="D733" s="5" t="s">
        <v>78</v>
      </c>
      <c r="E733" s="5" t="s">
        <v>84</v>
      </c>
      <c r="F733" s="6">
        <v>42736</v>
      </c>
      <c r="G733">
        <v>0</v>
      </c>
    </row>
    <row r="734" spans="1:7" x14ac:dyDescent="0.25">
      <c r="A734" s="5" t="s">
        <v>99</v>
      </c>
      <c r="B734" s="5" t="s">
        <v>102</v>
      </c>
      <c r="C734" s="5">
        <v>7310</v>
      </c>
      <c r="D734" s="5" t="s">
        <v>78</v>
      </c>
      <c r="E734" s="5" t="s">
        <v>85</v>
      </c>
      <c r="F734" s="6">
        <v>42370</v>
      </c>
      <c r="G734">
        <v>0</v>
      </c>
    </row>
    <row r="735" spans="1:7" x14ac:dyDescent="0.25">
      <c r="A735" s="5" t="s">
        <v>99</v>
      </c>
      <c r="B735" s="5" t="s">
        <v>102</v>
      </c>
      <c r="C735" s="5">
        <v>7310</v>
      </c>
      <c r="D735" s="5" t="s">
        <v>78</v>
      </c>
      <c r="E735" s="5" t="s">
        <v>85</v>
      </c>
      <c r="F735" s="6">
        <v>42736</v>
      </c>
      <c r="G735">
        <v>0</v>
      </c>
    </row>
    <row r="736" spans="1:7" x14ac:dyDescent="0.25">
      <c r="A736" s="5" t="s">
        <v>99</v>
      </c>
      <c r="B736" s="5" t="s">
        <v>102</v>
      </c>
      <c r="C736" s="5">
        <v>7310</v>
      </c>
      <c r="D736" s="5" t="s">
        <v>78</v>
      </c>
      <c r="E736" s="5" t="s">
        <v>86</v>
      </c>
      <c r="F736" s="6">
        <v>42370</v>
      </c>
      <c r="G736">
        <v>0</v>
      </c>
    </row>
    <row r="737" spans="1:7" x14ac:dyDescent="0.25">
      <c r="A737" s="5" t="s">
        <v>99</v>
      </c>
      <c r="B737" s="5" t="s">
        <v>102</v>
      </c>
      <c r="C737" s="5">
        <v>7310</v>
      </c>
      <c r="D737" s="5" t="s">
        <v>78</v>
      </c>
      <c r="E737" s="5" t="s">
        <v>86</v>
      </c>
      <c r="F737" s="6">
        <v>42736</v>
      </c>
      <c r="G737">
        <v>0</v>
      </c>
    </row>
    <row r="738" spans="1:7" x14ac:dyDescent="0.25">
      <c r="A738" s="5" t="s">
        <v>99</v>
      </c>
      <c r="B738" s="5" t="s">
        <v>102</v>
      </c>
      <c r="C738" s="5">
        <v>7310</v>
      </c>
      <c r="D738" s="5" t="s">
        <v>78</v>
      </c>
      <c r="E738" s="5" t="s">
        <v>87</v>
      </c>
      <c r="F738" s="6">
        <v>42370</v>
      </c>
      <c r="G738">
        <v>0</v>
      </c>
    </row>
    <row r="739" spans="1:7" x14ac:dyDescent="0.25">
      <c r="A739" s="5" t="s">
        <v>99</v>
      </c>
      <c r="B739" s="5" t="s">
        <v>102</v>
      </c>
      <c r="C739" s="5">
        <v>7310</v>
      </c>
      <c r="D739" s="5" t="s">
        <v>78</v>
      </c>
      <c r="E739" s="5" t="s">
        <v>87</v>
      </c>
      <c r="F739" s="6">
        <v>42736</v>
      </c>
      <c r="G739">
        <v>0</v>
      </c>
    </row>
    <row r="740" spans="1:7" x14ac:dyDescent="0.25">
      <c r="A740" s="5" t="s">
        <v>99</v>
      </c>
      <c r="B740" s="5" t="s">
        <v>102</v>
      </c>
      <c r="C740" s="5">
        <v>7310</v>
      </c>
      <c r="D740" s="5" t="s">
        <v>78</v>
      </c>
      <c r="E740" s="5" t="s">
        <v>88</v>
      </c>
      <c r="F740" s="6">
        <v>42370</v>
      </c>
      <c r="G740">
        <v>30</v>
      </c>
    </row>
    <row r="741" spans="1:7" x14ac:dyDescent="0.25">
      <c r="A741" s="5" t="s">
        <v>99</v>
      </c>
      <c r="B741" s="5" t="s">
        <v>102</v>
      </c>
      <c r="C741" s="5">
        <v>7310</v>
      </c>
      <c r="D741" s="5" t="s">
        <v>78</v>
      </c>
      <c r="E741" s="5" t="s">
        <v>88</v>
      </c>
      <c r="F741" s="6">
        <v>42736</v>
      </c>
      <c r="G741">
        <v>38</v>
      </c>
    </row>
    <row r="742" spans="1:7" x14ac:dyDescent="0.25">
      <c r="A742" s="5" t="s">
        <v>99</v>
      </c>
      <c r="B742" s="5" t="s">
        <v>102</v>
      </c>
      <c r="C742" s="5">
        <v>7310</v>
      </c>
      <c r="D742" s="5" t="s">
        <v>78</v>
      </c>
      <c r="E742" s="5" t="s">
        <v>89</v>
      </c>
      <c r="F742" s="6">
        <v>42370</v>
      </c>
      <c r="G742">
        <v>513</v>
      </c>
    </row>
    <row r="743" spans="1:7" x14ac:dyDescent="0.25">
      <c r="A743" s="5" t="s">
        <v>99</v>
      </c>
      <c r="B743" s="5" t="s">
        <v>102</v>
      </c>
      <c r="C743" s="5">
        <v>7310</v>
      </c>
      <c r="D743" s="5" t="s">
        <v>78</v>
      </c>
      <c r="E743" s="5" t="s">
        <v>89</v>
      </c>
      <c r="F743" s="6">
        <v>42736</v>
      </c>
      <c r="G743">
        <v>924</v>
      </c>
    </row>
    <row r="744" spans="1:7" x14ac:dyDescent="0.25">
      <c r="A744" s="5" t="s">
        <v>99</v>
      </c>
      <c r="B744" s="5" t="s">
        <v>102</v>
      </c>
      <c r="C744" s="5">
        <v>7310</v>
      </c>
      <c r="D744" s="5" t="s">
        <v>78</v>
      </c>
      <c r="E744" s="5" t="s">
        <v>90</v>
      </c>
      <c r="F744" s="6">
        <v>42370</v>
      </c>
      <c r="G744">
        <v>0</v>
      </c>
    </row>
    <row r="745" spans="1:7" x14ac:dyDescent="0.25">
      <c r="A745" s="5" t="s">
        <v>99</v>
      </c>
      <c r="B745" s="5" t="s">
        <v>102</v>
      </c>
      <c r="C745" s="5">
        <v>7310</v>
      </c>
      <c r="D745" s="5" t="s">
        <v>78</v>
      </c>
      <c r="E745" s="5" t="s">
        <v>90</v>
      </c>
      <c r="F745" s="6">
        <v>42736</v>
      </c>
      <c r="G745">
        <v>0</v>
      </c>
    </row>
    <row r="746" spans="1:7" x14ac:dyDescent="0.25">
      <c r="A746" s="5" t="s">
        <v>99</v>
      </c>
      <c r="B746" s="5" t="s">
        <v>102</v>
      </c>
      <c r="C746" s="5">
        <v>7310</v>
      </c>
      <c r="D746" s="5" t="s">
        <v>78</v>
      </c>
      <c r="E746" s="5" t="s">
        <v>91</v>
      </c>
      <c r="F746" s="6">
        <v>42370</v>
      </c>
      <c r="G746">
        <v>0</v>
      </c>
    </row>
    <row r="747" spans="1:7" x14ac:dyDescent="0.25">
      <c r="A747" s="5" t="s">
        <v>99</v>
      </c>
      <c r="B747" s="5" t="s">
        <v>102</v>
      </c>
      <c r="C747" s="5">
        <v>7310</v>
      </c>
      <c r="D747" s="5" t="s">
        <v>78</v>
      </c>
      <c r="E747" s="5" t="s">
        <v>91</v>
      </c>
      <c r="F747" s="6">
        <v>42736</v>
      </c>
      <c r="G747">
        <v>0</v>
      </c>
    </row>
    <row r="748" spans="1:7" x14ac:dyDescent="0.25">
      <c r="A748" s="5" t="s">
        <v>99</v>
      </c>
      <c r="B748" s="5" t="s">
        <v>102</v>
      </c>
      <c r="C748" s="5">
        <v>7310</v>
      </c>
      <c r="D748" s="5" t="s">
        <v>78</v>
      </c>
      <c r="E748" s="5" t="s">
        <v>92</v>
      </c>
      <c r="F748" s="6">
        <v>42370</v>
      </c>
      <c r="G748">
        <v>0</v>
      </c>
    </row>
    <row r="749" spans="1:7" x14ac:dyDescent="0.25">
      <c r="A749" s="5" t="s">
        <v>99</v>
      </c>
      <c r="B749" s="5" t="s">
        <v>102</v>
      </c>
      <c r="C749" s="5">
        <v>7310</v>
      </c>
      <c r="D749" s="5" t="s">
        <v>78</v>
      </c>
      <c r="E749" s="5" t="s">
        <v>92</v>
      </c>
      <c r="F749" s="6">
        <v>42736</v>
      </c>
      <c r="G749">
        <v>0</v>
      </c>
    </row>
    <row r="750" spans="1:7" x14ac:dyDescent="0.25">
      <c r="A750" s="5" t="s">
        <v>99</v>
      </c>
      <c r="B750" s="5" t="s">
        <v>102</v>
      </c>
      <c r="C750" s="5">
        <v>7310</v>
      </c>
      <c r="D750" s="5" t="s">
        <v>78</v>
      </c>
      <c r="E750" s="5" t="s">
        <v>93</v>
      </c>
      <c r="F750" s="6">
        <v>42370</v>
      </c>
      <c r="G750">
        <v>0</v>
      </c>
    </row>
    <row r="751" spans="1:7" x14ac:dyDescent="0.25">
      <c r="A751" s="5" t="s">
        <v>99</v>
      </c>
      <c r="B751" s="5" t="s">
        <v>102</v>
      </c>
      <c r="C751" s="5">
        <v>7310</v>
      </c>
      <c r="D751" s="5" t="s">
        <v>78</v>
      </c>
      <c r="E751" s="5" t="s">
        <v>93</v>
      </c>
      <c r="F751" s="6">
        <v>42736</v>
      </c>
      <c r="G751">
        <v>0</v>
      </c>
    </row>
    <row r="752" spans="1:7" x14ac:dyDescent="0.25">
      <c r="A752" s="5" t="s">
        <v>99</v>
      </c>
      <c r="B752" s="5" t="s">
        <v>102</v>
      </c>
      <c r="C752" s="5">
        <v>7310</v>
      </c>
      <c r="D752" s="5" t="s">
        <v>78</v>
      </c>
      <c r="E752" s="5" t="s">
        <v>94</v>
      </c>
      <c r="F752" s="6">
        <v>42370</v>
      </c>
      <c r="G752">
        <v>0</v>
      </c>
    </row>
    <row r="753" spans="1:7" x14ac:dyDescent="0.25">
      <c r="A753" s="5" t="s">
        <v>99</v>
      </c>
      <c r="B753" s="5" t="s">
        <v>102</v>
      </c>
      <c r="C753" s="5">
        <v>7310</v>
      </c>
      <c r="D753" s="5" t="s">
        <v>78</v>
      </c>
      <c r="E753" s="5" t="s">
        <v>94</v>
      </c>
      <c r="F753" s="6">
        <v>42736</v>
      </c>
      <c r="G753">
        <v>0</v>
      </c>
    </row>
    <row r="754" spans="1:7" x14ac:dyDescent="0.25">
      <c r="A754" s="5" t="s">
        <v>99</v>
      </c>
      <c r="B754" s="5" t="s">
        <v>102</v>
      </c>
      <c r="C754" s="5">
        <v>7310</v>
      </c>
      <c r="D754" s="5" t="s">
        <v>78</v>
      </c>
      <c r="E754" s="5" t="s">
        <v>95</v>
      </c>
      <c r="F754" s="6">
        <v>42370</v>
      </c>
      <c r="G754">
        <v>0</v>
      </c>
    </row>
    <row r="755" spans="1:7" x14ac:dyDescent="0.25">
      <c r="A755" s="5" t="s">
        <v>99</v>
      </c>
      <c r="B755" s="5" t="s">
        <v>102</v>
      </c>
      <c r="C755" s="5">
        <v>7310</v>
      </c>
      <c r="D755" s="5" t="s">
        <v>78</v>
      </c>
      <c r="E755" s="5" t="s">
        <v>95</v>
      </c>
      <c r="F755" s="6">
        <v>42736</v>
      </c>
      <c r="G755">
        <v>0</v>
      </c>
    </row>
    <row r="756" spans="1:7" x14ac:dyDescent="0.25">
      <c r="A756" s="5" t="s">
        <v>99</v>
      </c>
      <c r="B756" s="5" t="s">
        <v>102</v>
      </c>
      <c r="C756" s="5">
        <v>7310</v>
      </c>
      <c r="D756" s="5" t="s">
        <v>78</v>
      </c>
      <c r="E756" s="5" t="s">
        <v>96</v>
      </c>
      <c r="F756" s="6">
        <v>42370</v>
      </c>
      <c r="G756">
        <v>0</v>
      </c>
    </row>
    <row r="757" spans="1:7" x14ac:dyDescent="0.25">
      <c r="A757" s="5" t="s">
        <v>99</v>
      </c>
      <c r="B757" s="5" t="s">
        <v>102</v>
      </c>
      <c r="C757" s="5">
        <v>7310</v>
      </c>
      <c r="D757" s="5" t="s">
        <v>78</v>
      </c>
      <c r="E757" s="5" t="s">
        <v>96</v>
      </c>
      <c r="F757" s="6">
        <v>42736</v>
      </c>
      <c r="G757">
        <v>0</v>
      </c>
    </row>
    <row r="758" spans="1:7" x14ac:dyDescent="0.25">
      <c r="A758" s="5" t="s">
        <v>99</v>
      </c>
      <c r="B758" s="5" t="s">
        <v>102</v>
      </c>
      <c r="C758" s="5">
        <v>7310</v>
      </c>
      <c r="D758" s="5" t="s">
        <v>78</v>
      </c>
      <c r="E758" s="5" t="s">
        <v>97</v>
      </c>
      <c r="F758" s="6">
        <v>42370</v>
      </c>
      <c r="G758">
        <v>0</v>
      </c>
    </row>
    <row r="759" spans="1:7" x14ac:dyDescent="0.25">
      <c r="A759" s="5" t="s">
        <v>99</v>
      </c>
      <c r="B759" s="5" t="s">
        <v>102</v>
      </c>
      <c r="C759" s="5">
        <v>7310</v>
      </c>
      <c r="D759" s="5" t="s">
        <v>78</v>
      </c>
      <c r="E759" s="5" t="s">
        <v>97</v>
      </c>
      <c r="F759" s="6">
        <v>42736</v>
      </c>
      <c r="G759">
        <v>0</v>
      </c>
    </row>
    <row r="760" spans="1:7" x14ac:dyDescent="0.25">
      <c r="A760" s="5" t="s">
        <v>99</v>
      </c>
      <c r="B760" s="5" t="s">
        <v>102</v>
      </c>
      <c r="C760" s="5">
        <v>7310</v>
      </c>
      <c r="D760" s="5" t="s">
        <v>78</v>
      </c>
      <c r="E760" s="5" t="s">
        <v>98</v>
      </c>
      <c r="F760" s="6">
        <v>42370</v>
      </c>
      <c r="G760">
        <v>6</v>
      </c>
    </row>
    <row r="761" spans="1:7" x14ac:dyDescent="0.25">
      <c r="A761" s="5" t="s">
        <v>99</v>
      </c>
      <c r="B761" s="5" t="s">
        <v>102</v>
      </c>
      <c r="C761" s="5">
        <v>7310</v>
      </c>
      <c r="D761" s="5" t="s">
        <v>78</v>
      </c>
      <c r="E761" s="5" t="s">
        <v>98</v>
      </c>
      <c r="F761" s="6">
        <v>42736</v>
      </c>
      <c r="G761">
        <v>7</v>
      </c>
    </row>
    <row r="762" spans="1:7" x14ac:dyDescent="0.25">
      <c r="A762" s="5" t="s">
        <v>103</v>
      </c>
      <c r="B762" s="5" t="s">
        <v>104</v>
      </c>
      <c r="C762" s="5">
        <v>1400</v>
      </c>
      <c r="D762" s="5" t="s">
        <v>8</v>
      </c>
      <c r="E762" s="5" t="s">
        <v>9</v>
      </c>
      <c r="F762" s="6">
        <v>42370</v>
      </c>
      <c r="G762">
        <v>0</v>
      </c>
    </row>
    <row r="763" spans="1:7" x14ac:dyDescent="0.25">
      <c r="A763" s="5" t="s">
        <v>103</v>
      </c>
      <c r="B763" s="5" t="s">
        <v>104</v>
      </c>
      <c r="C763" s="5">
        <v>1400</v>
      </c>
      <c r="D763" s="5" t="s">
        <v>8</v>
      </c>
      <c r="E763" s="5" t="s">
        <v>9</v>
      </c>
      <c r="F763" s="6">
        <v>42736</v>
      </c>
      <c r="G763">
        <v>0</v>
      </c>
    </row>
    <row r="764" spans="1:7" x14ac:dyDescent="0.25">
      <c r="A764" s="5" t="s">
        <v>103</v>
      </c>
      <c r="B764" s="5" t="s">
        <v>104</v>
      </c>
      <c r="C764" s="5">
        <v>1400</v>
      </c>
      <c r="D764" s="5" t="s">
        <v>8</v>
      </c>
      <c r="E764" s="5" t="s">
        <v>10</v>
      </c>
      <c r="F764" s="6">
        <v>42370</v>
      </c>
      <c r="G764">
        <v>108</v>
      </c>
    </row>
    <row r="765" spans="1:7" x14ac:dyDescent="0.25">
      <c r="A765" s="5" t="s">
        <v>103</v>
      </c>
      <c r="B765" s="5" t="s">
        <v>104</v>
      </c>
      <c r="C765" s="5">
        <v>1400</v>
      </c>
      <c r="D765" s="5" t="s">
        <v>8</v>
      </c>
      <c r="E765" s="5" t="s">
        <v>10</v>
      </c>
      <c r="F765" s="6">
        <v>42736</v>
      </c>
      <c r="G765">
        <v>153</v>
      </c>
    </row>
    <row r="766" spans="1:7" x14ac:dyDescent="0.25">
      <c r="A766" s="5" t="s">
        <v>103</v>
      </c>
      <c r="B766" s="5" t="s">
        <v>104</v>
      </c>
      <c r="C766" s="5">
        <v>1400</v>
      </c>
      <c r="D766" s="5" t="s">
        <v>8</v>
      </c>
      <c r="E766" s="5" t="s">
        <v>11</v>
      </c>
      <c r="F766" s="6">
        <v>42370</v>
      </c>
      <c r="G766">
        <v>29</v>
      </c>
    </row>
    <row r="767" spans="1:7" x14ac:dyDescent="0.25">
      <c r="A767" s="5" t="s">
        <v>103</v>
      </c>
      <c r="B767" s="5" t="s">
        <v>104</v>
      </c>
      <c r="C767" s="5">
        <v>1400</v>
      </c>
      <c r="D767" s="5" t="s">
        <v>8</v>
      </c>
      <c r="E767" s="5" t="s">
        <v>11</v>
      </c>
      <c r="F767" s="6">
        <v>42736</v>
      </c>
      <c r="G767">
        <v>30</v>
      </c>
    </row>
    <row r="768" spans="1:7" x14ac:dyDescent="0.25">
      <c r="A768" s="5" t="s">
        <v>103</v>
      </c>
      <c r="B768" s="5" t="s">
        <v>104</v>
      </c>
      <c r="C768" s="5">
        <v>1400</v>
      </c>
      <c r="D768" s="5" t="s">
        <v>8</v>
      </c>
      <c r="E768" s="5" t="s">
        <v>12</v>
      </c>
      <c r="F768" s="6">
        <v>42370</v>
      </c>
      <c r="G768">
        <v>0</v>
      </c>
    </row>
    <row r="769" spans="1:7" x14ac:dyDescent="0.25">
      <c r="A769" s="5" t="s">
        <v>103</v>
      </c>
      <c r="B769" s="5" t="s">
        <v>104</v>
      </c>
      <c r="C769" s="5">
        <v>1400</v>
      </c>
      <c r="D769" s="5" t="s">
        <v>8</v>
      </c>
      <c r="E769" s="5" t="s">
        <v>12</v>
      </c>
      <c r="F769" s="6">
        <v>42736</v>
      </c>
      <c r="G769">
        <v>0</v>
      </c>
    </row>
    <row r="770" spans="1:7" x14ac:dyDescent="0.25">
      <c r="A770" s="5" t="s">
        <v>103</v>
      </c>
      <c r="B770" s="5" t="s">
        <v>104</v>
      </c>
      <c r="C770" s="5">
        <v>1400</v>
      </c>
      <c r="D770" s="5" t="s">
        <v>8</v>
      </c>
      <c r="E770" s="5" t="s">
        <v>13</v>
      </c>
      <c r="F770" s="6">
        <v>42370</v>
      </c>
      <c r="G770">
        <v>0</v>
      </c>
    </row>
    <row r="771" spans="1:7" x14ac:dyDescent="0.25">
      <c r="A771" s="5" t="s">
        <v>103</v>
      </c>
      <c r="B771" s="5" t="s">
        <v>104</v>
      </c>
      <c r="C771" s="5">
        <v>1400</v>
      </c>
      <c r="D771" s="5" t="s">
        <v>8</v>
      </c>
      <c r="E771" s="5" t="s">
        <v>13</v>
      </c>
      <c r="F771" s="6">
        <v>42736</v>
      </c>
      <c r="G771">
        <v>0</v>
      </c>
    </row>
    <row r="772" spans="1:7" x14ac:dyDescent="0.25">
      <c r="A772" s="5" t="s">
        <v>103</v>
      </c>
      <c r="B772" s="5" t="s">
        <v>104</v>
      </c>
      <c r="C772" s="5">
        <v>1400</v>
      </c>
      <c r="D772" s="5" t="s">
        <v>8</v>
      </c>
      <c r="E772" s="5" t="s">
        <v>14</v>
      </c>
      <c r="F772" s="6">
        <v>42370</v>
      </c>
      <c r="G772">
        <v>0</v>
      </c>
    </row>
    <row r="773" spans="1:7" x14ac:dyDescent="0.25">
      <c r="A773" s="5" t="s">
        <v>103</v>
      </c>
      <c r="B773" s="5" t="s">
        <v>104</v>
      </c>
      <c r="C773" s="5">
        <v>1400</v>
      </c>
      <c r="D773" s="5" t="s">
        <v>8</v>
      </c>
      <c r="E773" s="5" t="s">
        <v>14</v>
      </c>
      <c r="F773" s="6">
        <v>42736</v>
      </c>
      <c r="G773">
        <v>0</v>
      </c>
    </row>
    <row r="774" spans="1:7" x14ac:dyDescent="0.25">
      <c r="A774" s="5" t="s">
        <v>103</v>
      </c>
      <c r="B774" s="5" t="s">
        <v>104</v>
      </c>
      <c r="C774" s="5">
        <v>1400</v>
      </c>
      <c r="D774" s="5" t="s">
        <v>8</v>
      </c>
      <c r="E774" s="5" t="s">
        <v>15</v>
      </c>
      <c r="F774" s="6">
        <v>42370</v>
      </c>
      <c r="G774">
        <v>0</v>
      </c>
    </row>
    <row r="775" spans="1:7" x14ac:dyDescent="0.25">
      <c r="A775" s="5" t="s">
        <v>103</v>
      </c>
      <c r="B775" s="5" t="s">
        <v>104</v>
      </c>
      <c r="C775" s="5">
        <v>1400</v>
      </c>
      <c r="D775" s="5" t="s">
        <v>8</v>
      </c>
      <c r="E775" s="5" t="s">
        <v>15</v>
      </c>
      <c r="F775" s="6">
        <v>42736</v>
      </c>
      <c r="G775">
        <v>0</v>
      </c>
    </row>
    <row r="776" spans="1:7" x14ac:dyDescent="0.25">
      <c r="A776" s="5" t="s">
        <v>103</v>
      </c>
      <c r="B776" s="5" t="s">
        <v>104</v>
      </c>
      <c r="C776" s="5">
        <v>1400</v>
      </c>
      <c r="D776" s="5" t="s">
        <v>8</v>
      </c>
      <c r="E776" s="5" t="s">
        <v>16</v>
      </c>
      <c r="F776" s="6">
        <v>42370</v>
      </c>
      <c r="G776">
        <v>34</v>
      </c>
    </row>
    <row r="777" spans="1:7" x14ac:dyDescent="0.25">
      <c r="A777" s="5" t="s">
        <v>103</v>
      </c>
      <c r="B777" s="5" t="s">
        <v>104</v>
      </c>
      <c r="C777" s="5">
        <v>1400</v>
      </c>
      <c r="D777" s="5" t="s">
        <v>8</v>
      </c>
      <c r="E777" s="5" t="s">
        <v>16</v>
      </c>
      <c r="F777" s="6">
        <v>42736</v>
      </c>
      <c r="G777">
        <v>29</v>
      </c>
    </row>
    <row r="778" spans="1:7" x14ac:dyDescent="0.25">
      <c r="A778" s="5" t="s">
        <v>103</v>
      </c>
      <c r="B778" s="5" t="s">
        <v>104</v>
      </c>
      <c r="C778" s="5">
        <v>1400</v>
      </c>
      <c r="D778" s="5" t="s">
        <v>8</v>
      </c>
      <c r="E778" s="5" t="s">
        <v>17</v>
      </c>
      <c r="F778" s="6">
        <v>42370</v>
      </c>
      <c r="G778">
        <v>0</v>
      </c>
    </row>
    <row r="779" spans="1:7" x14ac:dyDescent="0.25">
      <c r="A779" s="5" t="s">
        <v>103</v>
      </c>
      <c r="B779" s="5" t="s">
        <v>104</v>
      </c>
      <c r="C779" s="5">
        <v>1400</v>
      </c>
      <c r="D779" s="5" t="s">
        <v>8</v>
      </c>
      <c r="E779" s="5" t="s">
        <v>17</v>
      </c>
      <c r="F779" s="6">
        <v>42736</v>
      </c>
      <c r="G779">
        <v>0</v>
      </c>
    </row>
    <row r="780" spans="1:7" x14ac:dyDescent="0.25">
      <c r="A780" s="5" t="s">
        <v>103</v>
      </c>
      <c r="B780" s="5" t="s">
        <v>104</v>
      </c>
      <c r="C780" s="5">
        <v>1400</v>
      </c>
      <c r="D780" s="5" t="s">
        <v>8</v>
      </c>
      <c r="E780" s="5" t="s">
        <v>18</v>
      </c>
      <c r="F780" s="6">
        <v>42370</v>
      </c>
      <c r="G780">
        <v>7</v>
      </c>
    </row>
    <row r="781" spans="1:7" x14ac:dyDescent="0.25">
      <c r="A781" s="5" t="s">
        <v>103</v>
      </c>
      <c r="B781" s="5" t="s">
        <v>104</v>
      </c>
      <c r="C781" s="5">
        <v>1400</v>
      </c>
      <c r="D781" s="5" t="s">
        <v>8</v>
      </c>
      <c r="E781" s="5" t="s">
        <v>18</v>
      </c>
      <c r="F781" s="6">
        <v>42736</v>
      </c>
      <c r="G781">
        <v>10</v>
      </c>
    </row>
    <row r="782" spans="1:7" x14ac:dyDescent="0.25">
      <c r="A782" s="5" t="s">
        <v>103</v>
      </c>
      <c r="B782" s="5" t="s">
        <v>104</v>
      </c>
      <c r="C782" s="5">
        <v>1400</v>
      </c>
      <c r="D782" s="5" t="s">
        <v>8</v>
      </c>
      <c r="E782" s="5" t="s">
        <v>19</v>
      </c>
      <c r="F782" s="6">
        <v>42370</v>
      </c>
      <c r="G782">
        <v>0</v>
      </c>
    </row>
    <row r="783" spans="1:7" x14ac:dyDescent="0.25">
      <c r="A783" s="5" t="s">
        <v>103</v>
      </c>
      <c r="B783" s="5" t="s">
        <v>104</v>
      </c>
      <c r="C783" s="5">
        <v>1400</v>
      </c>
      <c r="D783" s="5" t="s">
        <v>8</v>
      </c>
      <c r="E783" s="5" t="s">
        <v>19</v>
      </c>
      <c r="F783" s="6">
        <v>42736</v>
      </c>
      <c r="G783">
        <v>0</v>
      </c>
    </row>
    <row r="784" spans="1:7" x14ac:dyDescent="0.25">
      <c r="A784" s="5" t="s">
        <v>103</v>
      </c>
      <c r="B784" s="5" t="s">
        <v>104</v>
      </c>
      <c r="C784" s="5">
        <v>1400</v>
      </c>
      <c r="D784" s="5" t="s">
        <v>20</v>
      </c>
      <c r="E784" s="5" t="s">
        <v>9</v>
      </c>
      <c r="F784" s="6">
        <v>42370</v>
      </c>
      <c r="G784">
        <v>0</v>
      </c>
    </row>
    <row r="785" spans="1:7" x14ac:dyDescent="0.25">
      <c r="A785" s="5" t="s">
        <v>103</v>
      </c>
      <c r="B785" s="5" t="s">
        <v>104</v>
      </c>
      <c r="C785" s="5">
        <v>1400</v>
      </c>
      <c r="D785" s="5" t="s">
        <v>20</v>
      </c>
      <c r="E785" s="5" t="s">
        <v>9</v>
      </c>
      <c r="F785" s="6">
        <v>42736</v>
      </c>
      <c r="G785">
        <v>13</v>
      </c>
    </row>
    <row r="786" spans="1:7" x14ac:dyDescent="0.25">
      <c r="A786" s="5" t="s">
        <v>103</v>
      </c>
      <c r="B786" s="5" t="s">
        <v>104</v>
      </c>
      <c r="C786" s="5">
        <v>1400</v>
      </c>
      <c r="D786" s="5" t="s">
        <v>20</v>
      </c>
      <c r="E786" s="5" t="s">
        <v>21</v>
      </c>
      <c r="F786" s="6">
        <v>42370</v>
      </c>
      <c r="G786">
        <v>0</v>
      </c>
    </row>
    <row r="787" spans="1:7" x14ac:dyDescent="0.25">
      <c r="A787" s="5" t="s">
        <v>103</v>
      </c>
      <c r="B787" s="5" t="s">
        <v>104</v>
      </c>
      <c r="C787" s="5">
        <v>1400</v>
      </c>
      <c r="D787" s="5" t="s">
        <v>20</v>
      </c>
      <c r="E787" s="5" t="s">
        <v>21</v>
      </c>
      <c r="F787" s="6">
        <v>42736</v>
      </c>
      <c r="G787">
        <v>0</v>
      </c>
    </row>
    <row r="788" spans="1:7" x14ac:dyDescent="0.25">
      <c r="A788" s="5" t="s">
        <v>103</v>
      </c>
      <c r="B788" s="5" t="s">
        <v>104</v>
      </c>
      <c r="C788" s="5">
        <v>1400</v>
      </c>
      <c r="D788" s="5" t="s">
        <v>20</v>
      </c>
      <c r="E788" s="5" t="s">
        <v>22</v>
      </c>
      <c r="F788" s="6">
        <v>42370</v>
      </c>
      <c r="G788">
        <v>0</v>
      </c>
    </row>
    <row r="789" spans="1:7" x14ac:dyDescent="0.25">
      <c r="A789" s="5" t="s">
        <v>103</v>
      </c>
      <c r="B789" s="5" t="s">
        <v>104</v>
      </c>
      <c r="C789" s="5">
        <v>1400</v>
      </c>
      <c r="D789" s="5" t="s">
        <v>20</v>
      </c>
      <c r="E789" s="5" t="s">
        <v>22</v>
      </c>
      <c r="F789" s="6">
        <v>42736</v>
      </c>
      <c r="G789">
        <v>6</v>
      </c>
    </row>
    <row r="790" spans="1:7" x14ac:dyDescent="0.25">
      <c r="A790" s="5" t="s">
        <v>103</v>
      </c>
      <c r="B790" s="5" t="s">
        <v>104</v>
      </c>
      <c r="C790" s="5">
        <v>1400</v>
      </c>
      <c r="D790" s="5" t="s">
        <v>20</v>
      </c>
      <c r="E790" s="5" t="s">
        <v>23</v>
      </c>
      <c r="F790" s="6">
        <v>42370</v>
      </c>
      <c r="G790">
        <v>7</v>
      </c>
    </row>
    <row r="791" spans="1:7" x14ac:dyDescent="0.25">
      <c r="A791" s="5" t="s">
        <v>103</v>
      </c>
      <c r="B791" s="5" t="s">
        <v>104</v>
      </c>
      <c r="C791" s="5">
        <v>1400</v>
      </c>
      <c r="D791" s="5" t="s">
        <v>20</v>
      </c>
      <c r="E791" s="5" t="s">
        <v>23</v>
      </c>
      <c r="F791" s="6">
        <v>42736</v>
      </c>
      <c r="G791">
        <v>5</v>
      </c>
    </row>
    <row r="792" spans="1:7" x14ac:dyDescent="0.25">
      <c r="A792" s="5" t="s">
        <v>103</v>
      </c>
      <c r="B792" s="5" t="s">
        <v>104</v>
      </c>
      <c r="C792" s="5">
        <v>1400</v>
      </c>
      <c r="D792" s="5" t="s">
        <v>20</v>
      </c>
      <c r="E792" s="5" t="s">
        <v>24</v>
      </c>
      <c r="F792" s="6">
        <v>42370</v>
      </c>
      <c r="G792">
        <v>0</v>
      </c>
    </row>
    <row r="793" spans="1:7" x14ac:dyDescent="0.25">
      <c r="A793" s="5" t="s">
        <v>103</v>
      </c>
      <c r="B793" s="5" t="s">
        <v>104</v>
      </c>
      <c r="C793" s="5">
        <v>1400</v>
      </c>
      <c r="D793" s="5" t="s">
        <v>20</v>
      </c>
      <c r="E793" s="5" t="s">
        <v>24</v>
      </c>
      <c r="F793" s="6">
        <v>42736</v>
      </c>
      <c r="G793">
        <v>0</v>
      </c>
    </row>
    <row r="794" spans="1:7" x14ac:dyDescent="0.25">
      <c r="A794" s="5" t="s">
        <v>103</v>
      </c>
      <c r="B794" s="5" t="s">
        <v>104</v>
      </c>
      <c r="C794" s="5">
        <v>1400</v>
      </c>
      <c r="D794" s="5" t="s">
        <v>20</v>
      </c>
      <c r="E794" s="5" t="s">
        <v>25</v>
      </c>
      <c r="F794" s="6">
        <v>42370</v>
      </c>
      <c r="G794">
        <v>0</v>
      </c>
    </row>
    <row r="795" spans="1:7" x14ac:dyDescent="0.25">
      <c r="A795" s="5" t="s">
        <v>103</v>
      </c>
      <c r="B795" s="5" t="s">
        <v>104</v>
      </c>
      <c r="C795" s="5">
        <v>1400</v>
      </c>
      <c r="D795" s="5" t="s">
        <v>20</v>
      </c>
      <c r="E795" s="5" t="s">
        <v>25</v>
      </c>
      <c r="F795" s="6">
        <v>42736</v>
      </c>
      <c r="G795">
        <v>0</v>
      </c>
    </row>
    <row r="796" spans="1:7" x14ac:dyDescent="0.25">
      <c r="A796" s="5" t="s">
        <v>103</v>
      </c>
      <c r="B796" s="5" t="s">
        <v>104</v>
      </c>
      <c r="C796" s="5">
        <v>1400</v>
      </c>
      <c r="D796" s="5" t="s">
        <v>20</v>
      </c>
      <c r="E796" s="5" t="s">
        <v>26</v>
      </c>
      <c r="F796" s="6">
        <v>42370</v>
      </c>
      <c r="G796">
        <v>109</v>
      </c>
    </row>
    <row r="797" spans="1:7" x14ac:dyDescent="0.25">
      <c r="A797" s="5" t="s">
        <v>103</v>
      </c>
      <c r="B797" s="5" t="s">
        <v>104</v>
      </c>
      <c r="C797" s="5">
        <v>1400</v>
      </c>
      <c r="D797" s="5" t="s">
        <v>20</v>
      </c>
      <c r="E797" s="5" t="s">
        <v>26</v>
      </c>
      <c r="F797" s="6">
        <v>42736</v>
      </c>
      <c r="G797">
        <v>133</v>
      </c>
    </row>
    <row r="798" spans="1:7" x14ac:dyDescent="0.25">
      <c r="A798" s="5" t="s">
        <v>103</v>
      </c>
      <c r="B798" s="5" t="s">
        <v>104</v>
      </c>
      <c r="C798" s="5">
        <v>1400</v>
      </c>
      <c r="D798" s="5" t="s">
        <v>20</v>
      </c>
      <c r="E798" s="5" t="s">
        <v>27</v>
      </c>
      <c r="F798" s="6">
        <v>42370</v>
      </c>
      <c r="G798">
        <v>5</v>
      </c>
    </row>
    <row r="799" spans="1:7" x14ac:dyDescent="0.25">
      <c r="A799" s="5" t="s">
        <v>103</v>
      </c>
      <c r="B799" s="5" t="s">
        <v>104</v>
      </c>
      <c r="C799" s="5">
        <v>1400</v>
      </c>
      <c r="D799" s="5" t="s">
        <v>20</v>
      </c>
      <c r="E799" s="5" t="s">
        <v>27</v>
      </c>
      <c r="F799" s="6">
        <v>42736</v>
      </c>
      <c r="G799">
        <v>3</v>
      </c>
    </row>
    <row r="800" spans="1:7" x14ac:dyDescent="0.25">
      <c r="A800" s="5" t="s">
        <v>103</v>
      </c>
      <c r="B800" s="5" t="s">
        <v>104</v>
      </c>
      <c r="C800" s="5">
        <v>1400</v>
      </c>
      <c r="D800" s="5" t="s">
        <v>20</v>
      </c>
      <c r="E800" s="5" t="s">
        <v>28</v>
      </c>
      <c r="F800" s="6">
        <v>42370</v>
      </c>
      <c r="G800">
        <v>0</v>
      </c>
    </row>
    <row r="801" spans="1:7" x14ac:dyDescent="0.25">
      <c r="A801" s="5" t="s">
        <v>103</v>
      </c>
      <c r="B801" s="5" t="s">
        <v>104</v>
      </c>
      <c r="C801" s="5">
        <v>1400</v>
      </c>
      <c r="D801" s="5" t="s">
        <v>20</v>
      </c>
      <c r="E801" s="5" t="s">
        <v>28</v>
      </c>
      <c r="F801" s="6">
        <v>42736</v>
      </c>
      <c r="G801">
        <v>0</v>
      </c>
    </row>
    <row r="802" spans="1:7" x14ac:dyDescent="0.25">
      <c r="A802" s="5" t="s">
        <v>103</v>
      </c>
      <c r="B802" s="5" t="s">
        <v>104</v>
      </c>
      <c r="C802" s="5">
        <v>1400</v>
      </c>
      <c r="D802" s="5" t="s">
        <v>20</v>
      </c>
      <c r="E802" s="5" t="s">
        <v>29</v>
      </c>
      <c r="F802" s="6">
        <v>42370</v>
      </c>
      <c r="G802">
        <v>108</v>
      </c>
    </row>
    <row r="803" spans="1:7" x14ac:dyDescent="0.25">
      <c r="A803" s="5" t="s">
        <v>103</v>
      </c>
      <c r="B803" s="5" t="s">
        <v>104</v>
      </c>
      <c r="C803" s="5">
        <v>1400</v>
      </c>
      <c r="D803" s="5" t="s">
        <v>20</v>
      </c>
      <c r="E803" s="5" t="s">
        <v>29</v>
      </c>
      <c r="F803" s="6">
        <v>42736</v>
      </c>
      <c r="G803">
        <v>134</v>
      </c>
    </row>
    <row r="804" spans="1:7" x14ac:dyDescent="0.25">
      <c r="A804" s="5" t="s">
        <v>103</v>
      </c>
      <c r="B804" s="5" t="s">
        <v>104</v>
      </c>
      <c r="C804" s="5">
        <v>1400</v>
      </c>
      <c r="D804" s="5" t="s">
        <v>20</v>
      </c>
      <c r="E804" s="5" t="s">
        <v>30</v>
      </c>
      <c r="F804" s="6">
        <v>42370</v>
      </c>
      <c r="G804">
        <v>111</v>
      </c>
    </row>
    <row r="805" spans="1:7" x14ac:dyDescent="0.25">
      <c r="A805" s="5" t="s">
        <v>103</v>
      </c>
      <c r="B805" s="5" t="s">
        <v>104</v>
      </c>
      <c r="C805" s="5">
        <v>1400</v>
      </c>
      <c r="D805" s="5" t="s">
        <v>20</v>
      </c>
      <c r="E805" s="5" t="s">
        <v>30</v>
      </c>
      <c r="F805" s="6">
        <v>42736</v>
      </c>
      <c r="G805">
        <v>132</v>
      </c>
    </row>
    <row r="806" spans="1:7" x14ac:dyDescent="0.25">
      <c r="A806" s="5" t="s">
        <v>103</v>
      </c>
      <c r="B806" s="5" t="s">
        <v>104</v>
      </c>
      <c r="C806" s="5">
        <v>1400</v>
      </c>
      <c r="D806" s="5" t="s">
        <v>20</v>
      </c>
      <c r="E806" s="5" t="s">
        <v>31</v>
      </c>
      <c r="F806" s="6">
        <v>42370</v>
      </c>
      <c r="G806">
        <v>228</v>
      </c>
    </row>
    <row r="807" spans="1:7" x14ac:dyDescent="0.25">
      <c r="A807" s="5" t="s">
        <v>103</v>
      </c>
      <c r="B807" s="5" t="s">
        <v>104</v>
      </c>
      <c r="C807" s="5">
        <v>1400</v>
      </c>
      <c r="D807" s="5" t="s">
        <v>20</v>
      </c>
      <c r="E807" s="5" t="s">
        <v>31</v>
      </c>
      <c r="F807" s="6">
        <v>42736</v>
      </c>
      <c r="G807">
        <v>283</v>
      </c>
    </row>
    <row r="808" spans="1:7" x14ac:dyDescent="0.25">
      <c r="A808" s="5" t="s">
        <v>103</v>
      </c>
      <c r="B808" s="5" t="s">
        <v>104</v>
      </c>
      <c r="C808" s="5">
        <v>1400</v>
      </c>
      <c r="D808" s="5" t="s">
        <v>20</v>
      </c>
      <c r="E808" s="5" t="s">
        <v>32</v>
      </c>
      <c r="F808" s="6">
        <v>42370</v>
      </c>
      <c r="G808">
        <v>106</v>
      </c>
    </row>
    <row r="809" spans="1:7" x14ac:dyDescent="0.25">
      <c r="A809" s="5" t="s">
        <v>103</v>
      </c>
      <c r="B809" s="5" t="s">
        <v>104</v>
      </c>
      <c r="C809" s="5">
        <v>1400</v>
      </c>
      <c r="D809" s="5" t="s">
        <v>20</v>
      </c>
      <c r="E809" s="5" t="s">
        <v>32</v>
      </c>
      <c r="F809" s="6">
        <v>42736</v>
      </c>
      <c r="G809">
        <v>139</v>
      </c>
    </row>
    <row r="810" spans="1:7" x14ac:dyDescent="0.25">
      <c r="A810" s="5" t="s">
        <v>103</v>
      </c>
      <c r="B810" s="5" t="s">
        <v>104</v>
      </c>
      <c r="C810" s="5">
        <v>1400</v>
      </c>
      <c r="D810" s="5" t="s">
        <v>33</v>
      </c>
      <c r="E810" s="5" t="s">
        <v>9</v>
      </c>
      <c r="F810" s="6">
        <v>42370</v>
      </c>
      <c r="G810">
        <v>0</v>
      </c>
    </row>
    <row r="811" spans="1:7" x14ac:dyDescent="0.25">
      <c r="A811" s="5" t="s">
        <v>103</v>
      </c>
      <c r="B811" s="5" t="s">
        <v>104</v>
      </c>
      <c r="C811" s="5">
        <v>1400</v>
      </c>
      <c r="D811" s="5" t="s">
        <v>33</v>
      </c>
      <c r="E811" s="5" t="s">
        <v>9</v>
      </c>
      <c r="F811" s="6">
        <v>42736</v>
      </c>
      <c r="G811">
        <v>0</v>
      </c>
    </row>
    <row r="812" spans="1:7" x14ac:dyDescent="0.25">
      <c r="A812" s="5" t="s">
        <v>103</v>
      </c>
      <c r="B812" s="5" t="s">
        <v>104</v>
      </c>
      <c r="C812" s="5">
        <v>1400</v>
      </c>
      <c r="D812" s="5" t="s">
        <v>33</v>
      </c>
      <c r="E812" s="5" t="s">
        <v>34</v>
      </c>
      <c r="F812" s="6">
        <v>42370</v>
      </c>
      <c r="G812">
        <v>0</v>
      </c>
    </row>
    <row r="813" spans="1:7" x14ac:dyDescent="0.25">
      <c r="A813" s="5" t="s">
        <v>103</v>
      </c>
      <c r="B813" s="5" t="s">
        <v>104</v>
      </c>
      <c r="C813" s="5">
        <v>1400</v>
      </c>
      <c r="D813" s="5" t="s">
        <v>33</v>
      </c>
      <c r="E813" s="5" t="s">
        <v>34</v>
      </c>
      <c r="F813" s="6">
        <v>42736</v>
      </c>
      <c r="G813">
        <v>0</v>
      </c>
    </row>
    <row r="814" spans="1:7" x14ac:dyDescent="0.25">
      <c r="A814" s="5" t="s">
        <v>103</v>
      </c>
      <c r="B814" s="5" t="s">
        <v>104</v>
      </c>
      <c r="C814" s="5">
        <v>1400</v>
      </c>
      <c r="D814" s="5" t="s">
        <v>35</v>
      </c>
      <c r="E814" s="5" t="s">
        <v>36</v>
      </c>
      <c r="F814" s="6">
        <v>42370</v>
      </c>
      <c r="G814">
        <v>0</v>
      </c>
    </row>
    <row r="815" spans="1:7" x14ac:dyDescent="0.25">
      <c r="A815" s="5" t="s">
        <v>103</v>
      </c>
      <c r="B815" s="5" t="s">
        <v>104</v>
      </c>
      <c r="C815" s="5">
        <v>1400</v>
      </c>
      <c r="D815" s="5" t="s">
        <v>35</v>
      </c>
      <c r="E815" s="5" t="s">
        <v>36</v>
      </c>
      <c r="F815" s="6">
        <v>42736</v>
      </c>
      <c r="G815">
        <v>0</v>
      </c>
    </row>
    <row r="816" spans="1:7" x14ac:dyDescent="0.25">
      <c r="A816" s="5" t="s">
        <v>103</v>
      </c>
      <c r="B816" s="5" t="s">
        <v>104</v>
      </c>
      <c r="C816" s="5">
        <v>1400</v>
      </c>
      <c r="D816" s="5" t="s">
        <v>35</v>
      </c>
      <c r="E816" s="5" t="s">
        <v>37</v>
      </c>
      <c r="F816" s="6">
        <v>42370</v>
      </c>
      <c r="G816">
        <v>0</v>
      </c>
    </row>
    <row r="817" spans="1:7" x14ac:dyDescent="0.25">
      <c r="A817" s="5" t="s">
        <v>103</v>
      </c>
      <c r="B817" s="5" t="s">
        <v>104</v>
      </c>
      <c r="C817" s="5">
        <v>1400</v>
      </c>
      <c r="D817" s="5" t="s">
        <v>35</v>
      </c>
      <c r="E817" s="5" t="s">
        <v>37</v>
      </c>
      <c r="F817" s="6">
        <v>42736</v>
      </c>
      <c r="G817">
        <v>0</v>
      </c>
    </row>
    <row r="818" spans="1:7" x14ac:dyDescent="0.25">
      <c r="A818" s="5" t="s">
        <v>103</v>
      </c>
      <c r="B818" s="5" t="s">
        <v>104</v>
      </c>
      <c r="C818" s="5">
        <v>1400</v>
      </c>
      <c r="D818" s="5" t="s">
        <v>35</v>
      </c>
      <c r="E818" s="5" t="s">
        <v>38</v>
      </c>
      <c r="F818" s="6">
        <v>42370</v>
      </c>
      <c r="G818">
        <v>0</v>
      </c>
    </row>
    <row r="819" spans="1:7" x14ac:dyDescent="0.25">
      <c r="A819" s="5" t="s">
        <v>103</v>
      </c>
      <c r="B819" s="5" t="s">
        <v>104</v>
      </c>
      <c r="C819" s="5">
        <v>1400</v>
      </c>
      <c r="D819" s="5" t="s">
        <v>35</v>
      </c>
      <c r="E819" s="5" t="s">
        <v>38</v>
      </c>
      <c r="F819" s="6">
        <v>42736</v>
      </c>
      <c r="G819">
        <v>0</v>
      </c>
    </row>
    <row r="820" spans="1:7" x14ac:dyDescent="0.25">
      <c r="A820" s="5" t="s">
        <v>103</v>
      </c>
      <c r="B820" s="5" t="s">
        <v>104</v>
      </c>
      <c r="C820" s="5">
        <v>1400</v>
      </c>
      <c r="D820" s="5" t="s">
        <v>35</v>
      </c>
      <c r="E820" s="5" t="s">
        <v>39</v>
      </c>
      <c r="F820" s="6">
        <v>42370</v>
      </c>
      <c r="G820">
        <v>0</v>
      </c>
    </row>
    <row r="821" spans="1:7" x14ac:dyDescent="0.25">
      <c r="A821" s="5" t="s">
        <v>103</v>
      </c>
      <c r="B821" s="5" t="s">
        <v>104</v>
      </c>
      <c r="C821" s="5">
        <v>1400</v>
      </c>
      <c r="D821" s="5" t="s">
        <v>35</v>
      </c>
      <c r="E821" s="5" t="s">
        <v>39</v>
      </c>
      <c r="F821" s="6">
        <v>42736</v>
      </c>
      <c r="G821">
        <v>0</v>
      </c>
    </row>
    <row r="822" spans="1:7" x14ac:dyDescent="0.25">
      <c r="A822" s="5" t="s">
        <v>103</v>
      </c>
      <c r="B822" s="5" t="s">
        <v>104</v>
      </c>
      <c r="C822" s="5">
        <v>1400</v>
      </c>
      <c r="D822" s="5" t="s">
        <v>35</v>
      </c>
      <c r="E822" s="5" t="s">
        <v>40</v>
      </c>
      <c r="F822" s="6">
        <v>42370</v>
      </c>
      <c r="G822">
        <v>0</v>
      </c>
    </row>
    <row r="823" spans="1:7" x14ac:dyDescent="0.25">
      <c r="A823" s="5" t="s">
        <v>103</v>
      </c>
      <c r="B823" s="5" t="s">
        <v>104</v>
      </c>
      <c r="C823" s="5">
        <v>1400</v>
      </c>
      <c r="D823" s="5" t="s">
        <v>35</v>
      </c>
      <c r="E823" s="5" t="s">
        <v>40</v>
      </c>
      <c r="F823" s="6">
        <v>42736</v>
      </c>
      <c r="G823">
        <v>0</v>
      </c>
    </row>
    <row r="824" spans="1:7" x14ac:dyDescent="0.25">
      <c r="A824" s="5" t="s">
        <v>103</v>
      </c>
      <c r="B824" s="5" t="s">
        <v>104</v>
      </c>
      <c r="C824" s="5">
        <v>1400</v>
      </c>
      <c r="D824" s="5" t="s">
        <v>35</v>
      </c>
      <c r="E824" s="5" t="s">
        <v>41</v>
      </c>
      <c r="F824" s="6">
        <v>42370</v>
      </c>
      <c r="G824">
        <v>0</v>
      </c>
    </row>
    <row r="825" spans="1:7" x14ac:dyDescent="0.25">
      <c r="A825" s="5" t="s">
        <v>103</v>
      </c>
      <c r="B825" s="5" t="s">
        <v>104</v>
      </c>
      <c r="C825" s="5">
        <v>1400</v>
      </c>
      <c r="D825" s="5" t="s">
        <v>35</v>
      </c>
      <c r="E825" s="5" t="s">
        <v>41</v>
      </c>
      <c r="F825" s="6">
        <v>42736</v>
      </c>
      <c r="G825">
        <v>0</v>
      </c>
    </row>
    <row r="826" spans="1:7" x14ac:dyDescent="0.25">
      <c r="A826" s="5" t="s">
        <v>103</v>
      </c>
      <c r="B826" s="5" t="s">
        <v>104</v>
      </c>
      <c r="C826" s="5">
        <v>1400</v>
      </c>
      <c r="D826" s="5" t="s">
        <v>35</v>
      </c>
      <c r="E826" s="5" t="s">
        <v>42</v>
      </c>
      <c r="F826" s="6">
        <v>42370</v>
      </c>
      <c r="G826">
        <v>0</v>
      </c>
    </row>
    <row r="827" spans="1:7" x14ac:dyDescent="0.25">
      <c r="A827" s="5" t="s">
        <v>103</v>
      </c>
      <c r="B827" s="5" t="s">
        <v>104</v>
      </c>
      <c r="C827" s="5">
        <v>1400</v>
      </c>
      <c r="D827" s="5" t="s">
        <v>35</v>
      </c>
      <c r="E827" s="5" t="s">
        <v>42</v>
      </c>
      <c r="F827" s="6">
        <v>42736</v>
      </c>
      <c r="G827">
        <v>0</v>
      </c>
    </row>
    <row r="828" spans="1:7" x14ac:dyDescent="0.25">
      <c r="A828" s="5" t="s">
        <v>103</v>
      </c>
      <c r="B828" s="5" t="s">
        <v>104</v>
      </c>
      <c r="C828" s="5">
        <v>1400</v>
      </c>
      <c r="D828" s="5" t="s">
        <v>35</v>
      </c>
      <c r="E828" s="5" t="s">
        <v>43</v>
      </c>
      <c r="F828" s="6">
        <v>42370</v>
      </c>
      <c r="G828">
        <v>0</v>
      </c>
    </row>
    <row r="829" spans="1:7" x14ac:dyDescent="0.25">
      <c r="A829" s="5" t="s">
        <v>103</v>
      </c>
      <c r="B829" s="5" t="s">
        <v>104</v>
      </c>
      <c r="C829" s="5">
        <v>1400</v>
      </c>
      <c r="D829" s="5" t="s">
        <v>35</v>
      </c>
      <c r="E829" s="5" t="s">
        <v>43</v>
      </c>
      <c r="F829" s="6">
        <v>42736</v>
      </c>
      <c r="G829">
        <v>0</v>
      </c>
    </row>
    <row r="830" spans="1:7" x14ac:dyDescent="0.25">
      <c r="A830" s="5" t="s">
        <v>103</v>
      </c>
      <c r="B830" s="5" t="s">
        <v>104</v>
      </c>
      <c r="C830" s="5">
        <v>1400</v>
      </c>
      <c r="D830" s="5" t="s">
        <v>44</v>
      </c>
      <c r="E830" s="5" t="s">
        <v>36</v>
      </c>
      <c r="F830" s="6">
        <v>42370</v>
      </c>
      <c r="G830">
        <v>0</v>
      </c>
    </row>
    <row r="831" spans="1:7" x14ac:dyDescent="0.25">
      <c r="A831" s="5" t="s">
        <v>103</v>
      </c>
      <c r="B831" s="5" t="s">
        <v>104</v>
      </c>
      <c r="C831" s="5">
        <v>1400</v>
      </c>
      <c r="D831" s="5" t="s">
        <v>44</v>
      </c>
      <c r="E831" s="5" t="s">
        <v>36</v>
      </c>
      <c r="F831" s="6">
        <v>42736</v>
      </c>
      <c r="G831">
        <v>0</v>
      </c>
    </row>
    <row r="832" spans="1:7" x14ac:dyDescent="0.25">
      <c r="A832" s="5" t="s">
        <v>103</v>
      </c>
      <c r="B832" s="5" t="s">
        <v>104</v>
      </c>
      <c r="C832" s="5">
        <v>1400</v>
      </c>
      <c r="D832" s="5" t="s">
        <v>44</v>
      </c>
      <c r="E832" s="5" t="s">
        <v>37</v>
      </c>
      <c r="F832" s="6">
        <v>42370</v>
      </c>
      <c r="G832">
        <v>0</v>
      </c>
    </row>
    <row r="833" spans="1:7" x14ac:dyDescent="0.25">
      <c r="A833" s="5" t="s">
        <v>103</v>
      </c>
      <c r="B833" s="5" t="s">
        <v>104</v>
      </c>
      <c r="C833" s="5">
        <v>1400</v>
      </c>
      <c r="D833" s="5" t="s">
        <v>44</v>
      </c>
      <c r="E833" s="5" t="s">
        <v>37</v>
      </c>
      <c r="F833" s="6">
        <v>42736</v>
      </c>
      <c r="G833">
        <v>0</v>
      </c>
    </row>
    <row r="834" spans="1:7" x14ac:dyDescent="0.25">
      <c r="A834" s="5" t="s">
        <v>103</v>
      </c>
      <c r="B834" s="5" t="s">
        <v>104</v>
      </c>
      <c r="C834" s="5">
        <v>1400</v>
      </c>
      <c r="D834" s="5" t="s">
        <v>44</v>
      </c>
      <c r="E834" s="5" t="s">
        <v>38</v>
      </c>
      <c r="F834" s="6">
        <v>42370</v>
      </c>
      <c r="G834">
        <v>0</v>
      </c>
    </row>
    <row r="835" spans="1:7" x14ac:dyDescent="0.25">
      <c r="A835" s="5" t="s">
        <v>103</v>
      </c>
      <c r="B835" s="5" t="s">
        <v>104</v>
      </c>
      <c r="C835" s="5">
        <v>1400</v>
      </c>
      <c r="D835" s="5" t="s">
        <v>44</v>
      </c>
      <c r="E835" s="5" t="s">
        <v>38</v>
      </c>
      <c r="F835" s="6">
        <v>42736</v>
      </c>
      <c r="G835">
        <v>0</v>
      </c>
    </row>
    <row r="836" spans="1:7" x14ac:dyDescent="0.25">
      <c r="A836" s="5" t="s">
        <v>103</v>
      </c>
      <c r="B836" s="5" t="s">
        <v>104</v>
      </c>
      <c r="C836" s="5">
        <v>1400</v>
      </c>
      <c r="D836" s="5" t="s">
        <v>44</v>
      </c>
      <c r="E836" s="5" t="s">
        <v>39</v>
      </c>
      <c r="F836" s="6">
        <v>42370</v>
      </c>
      <c r="G836">
        <v>0</v>
      </c>
    </row>
    <row r="837" spans="1:7" x14ac:dyDescent="0.25">
      <c r="A837" s="5" t="s">
        <v>103</v>
      </c>
      <c r="B837" s="5" t="s">
        <v>104</v>
      </c>
      <c r="C837" s="5">
        <v>1400</v>
      </c>
      <c r="D837" s="5" t="s">
        <v>44</v>
      </c>
      <c r="E837" s="5" t="s">
        <v>39</v>
      </c>
      <c r="F837" s="6">
        <v>42736</v>
      </c>
      <c r="G837">
        <v>0</v>
      </c>
    </row>
    <row r="838" spans="1:7" x14ac:dyDescent="0.25">
      <c r="A838" s="5" t="s">
        <v>103</v>
      </c>
      <c r="B838" s="5" t="s">
        <v>104</v>
      </c>
      <c r="C838" s="5">
        <v>1400</v>
      </c>
      <c r="D838" s="5" t="s">
        <v>44</v>
      </c>
      <c r="E838" s="5" t="s">
        <v>40</v>
      </c>
      <c r="F838" s="6">
        <v>42370</v>
      </c>
      <c r="G838">
        <v>0</v>
      </c>
    </row>
    <row r="839" spans="1:7" x14ac:dyDescent="0.25">
      <c r="A839" s="5" t="s">
        <v>103</v>
      </c>
      <c r="B839" s="5" t="s">
        <v>104</v>
      </c>
      <c r="C839" s="5">
        <v>1400</v>
      </c>
      <c r="D839" s="5" t="s">
        <v>44</v>
      </c>
      <c r="E839" s="5" t="s">
        <v>40</v>
      </c>
      <c r="F839" s="6">
        <v>42736</v>
      </c>
      <c r="G839">
        <v>0</v>
      </c>
    </row>
    <row r="840" spans="1:7" x14ac:dyDescent="0.25">
      <c r="A840" s="5" t="s">
        <v>103</v>
      </c>
      <c r="B840" s="5" t="s">
        <v>104</v>
      </c>
      <c r="C840" s="5">
        <v>1400</v>
      </c>
      <c r="D840" s="5" t="s">
        <v>44</v>
      </c>
      <c r="E840" s="5" t="s">
        <v>41</v>
      </c>
      <c r="F840" s="6">
        <v>42370</v>
      </c>
      <c r="G840">
        <v>0</v>
      </c>
    </row>
    <row r="841" spans="1:7" x14ac:dyDescent="0.25">
      <c r="A841" s="5" t="s">
        <v>103</v>
      </c>
      <c r="B841" s="5" t="s">
        <v>104</v>
      </c>
      <c r="C841" s="5">
        <v>1400</v>
      </c>
      <c r="D841" s="5" t="s">
        <v>44</v>
      </c>
      <c r="E841" s="5" t="s">
        <v>41</v>
      </c>
      <c r="F841" s="6">
        <v>42736</v>
      </c>
      <c r="G841">
        <v>0</v>
      </c>
    </row>
    <row r="842" spans="1:7" x14ac:dyDescent="0.25">
      <c r="A842" s="5" t="s">
        <v>103</v>
      </c>
      <c r="B842" s="5" t="s">
        <v>104</v>
      </c>
      <c r="C842" s="5">
        <v>1400</v>
      </c>
      <c r="D842" s="5" t="s">
        <v>44</v>
      </c>
      <c r="E842" s="5" t="s">
        <v>42</v>
      </c>
      <c r="F842" s="6">
        <v>42370</v>
      </c>
      <c r="G842">
        <v>0</v>
      </c>
    </row>
    <row r="843" spans="1:7" x14ac:dyDescent="0.25">
      <c r="A843" s="5" t="s">
        <v>103</v>
      </c>
      <c r="B843" s="5" t="s">
        <v>104</v>
      </c>
      <c r="C843" s="5">
        <v>1400</v>
      </c>
      <c r="D843" s="5" t="s">
        <v>44</v>
      </c>
      <c r="E843" s="5" t="s">
        <v>42</v>
      </c>
      <c r="F843" s="6">
        <v>42736</v>
      </c>
      <c r="G843">
        <v>0</v>
      </c>
    </row>
    <row r="844" spans="1:7" x14ac:dyDescent="0.25">
      <c r="A844" s="5" t="s">
        <v>103</v>
      </c>
      <c r="B844" s="5" t="s">
        <v>104</v>
      </c>
      <c r="C844" s="5">
        <v>1400</v>
      </c>
      <c r="D844" s="5" t="s">
        <v>44</v>
      </c>
      <c r="E844" s="5" t="s">
        <v>43</v>
      </c>
      <c r="F844" s="6">
        <v>42370</v>
      </c>
      <c r="G844">
        <v>0</v>
      </c>
    </row>
    <row r="845" spans="1:7" x14ac:dyDescent="0.25">
      <c r="A845" s="5" t="s">
        <v>103</v>
      </c>
      <c r="B845" s="5" t="s">
        <v>104</v>
      </c>
      <c r="C845" s="5">
        <v>1400</v>
      </c>
      <c r="D845" s="5" t="s">
        <v>44</v>
      </c>
      <c r="E845" s="5" t="s">
        <v>43</v>
      </c>
      <c r="F845" s="6">
        <v>42736</v>
      </c>
      <c r="G845">
        <v>0</v>
      </c>
    </row>
    <row r="846" spans="1:7" x14ac:dyDescent="0.25">
      <c r="A846" s="5" t="s">
        <v>103</v>
      </c>
      <c r="B846" s="5" t="s">
        <v>104</v>
      </c>
      <c r="C846" s="5">
        <v>1400</v>
      </c>
      <c r="D846" s="5" t="s">
        <v>45</v>
      </c>
      <c r="E846" s="5" t="s">
        <v>46</v>
      </c>
      <c r="F846" s="6">
        <v>42370</v>
      </c>
      <c r="G846">
        <v>0</v>
      </c>
    </row>
    <row r="847" spans="1:7" x14ac:dyDescent="0.25">
      <c r="A847" s="5" t="s">
        <v>103</v>
      </c>
      <c r="B847" s="5" t="s">
        <v>104</v>
      </c>
      <c r="C847" s="5">
        <v>1400</v>
      </c>
      <c r="D847" s="5" t="s">
        <v>45</v>
      </c>
      <c r="E847" s="5" t="s">
        <v>46</v>
      </c>
      <c r="F847" s="6">
        <v>42736</v>
      </c>
      <c r="G847">
        <v>0</v>
      </c>
    </row>
    <row r="848" spans="1:7" x14ac:dyDescent="0.25">
      <c r="A848" s="5" t="s">
        <v>103</v>
      </c>
      <c r="B848" s="5" t="s">
        <v>104</v>
      </c>
      <c r="C848" s="5">
        <v>1400</v>
      </c>
      <c r="D848" s="5" t="s">
        <v>45</v>
      </c>
      <c r="E848" s="5" t="s">
        <v>47</v>
      </c>
      <c r="F848" s="6">
        <v>42370</v>
      </c>
      <c r="G848">
        <v>3</v>
      </c>
    </row>
    <row r="849" spans="1:7" x14ac:dyDescent="0.25">
      <c r="A849" s="5" t="s">
        <v>103</v>
      </c>
      <c r="B849" s="5" t="s">
        <v>104</v>
      </c>
      <c r="C849" s="5">
        <v>1400</v>
      </c>
      <c r="D849" s="5" t="s">
        <v>45</v>
      </c>
      <c r="E849" s="5" t="s">
        <v>47</v>
      </c>
      <c r="F849" s="6">
        <v>42736</v>
      </c>
      <c r="G849">
        <v>10</v>
      </c>
    </row>
    <row r="850" spans="1:7" x14ac:dyDescent="0.25">
      <c r="A850" s="5" t="s">
        <v>103</v>
      </c>
      <c r="B850" s="5" t="s">
        <v>104</v>
      </c>
      <c r="C850" s="5">
        <v>1400</v>
      </c>
      <c r="D850" s="5" t="s">
        <v>45</v>
      </c>
      <c r="E850" s="5" t="s">
        <v>48</v>
      </c>
      <c r="F850" s="6">
        <v>42370</v>
      </c>
      <c r="G850">
        <v>36</v>
      </c>
    </row>
    <row r="851" spans="1:7" x14ac:dyDescent="0.25">
      <c r="A851" s="5" t="s">
        <v>103</v>
      </c>
      <c r="B851" s="5" t="s">
        <v>104</v>
      </c>
      <c r="C851" s="5">
        <v>1400</v>
      </c>
      <c r="D851" s="5" t="s">
        <v>45</v>
      </c>
      <c r="E851" s="5" t="s">
        <v>48</v>
      </c>
      <c r="F851" s="6">
        <v>42736</v>
      </c>
      <c r="G851">
        <v>36</v>
      </c>
    </row>
    <row r="852" spans="1:7" x14ac:dyDescent="0.25">
      <c r="A852" s="5" t="s">
        <v>103</v>
      </c>
      <c r="B852" s="5" t="s">
        <v>104</v>
      </c>
      <c r="C852" s="5">
        <v>1400</v>
      </c>
      <c r="D852" s="5" t="s">
        <v>45</v>
      </c>
      <c r="E852" s="5" t="s">
        <v>49</v>
      </c>
      <c r="F852" s="6">
        <v>42370</v>
      </c>
      <c r="G852">
        <v>49</v>
      </c>
    </row>
    <row r="853" spans="1:7" x14ac:dyDescent="0.25">
      <c r="A853" s="5" t="s">
        <v>103</v>
      </c>
      <c r="B853" s="5" t="s">
        <v>104</v>
      </c>
      <c r="C853" s="5">
        <v>1400</v>
      </c>
      <c r="D853" s="5" t="s">
        <v>45</v>
      </c>
      <c r="E853" s="5" t="s">
        <v>49</v>
      </c>
      <c r="F853" s="6">
        <v>42736</v>
      </c>
      <c r="G853">
        <v>55</v>
      </c>
    </row>
    <row r="854" spans="1:7" x14ac:dyDescent="0.25">
      <c r="A854" s="5" t="s">
        <v>103</v>
      </c>
      <c r="B854" s="5" t="s">
        <v>104</v>
      </c>
      <c r="C854" s="5">
        <v>1400</v>
      </c>
      <c r="D854" s="5" t="s">
        <v>45</v>
      </c>
      <c r="E854" s="5" t="s">
        <v>50</v>
      </c>
      <c r="F854" s="6">
        <v>42370</v>
      </c>
      <c r="G854">
        <v>0</v>
      </c>
    </row>
    <row r="855" spans="1:7" x14ac:dyDescent="0.25">
      <c r="A855" s="5" t="s">
        <v>103</v>
      </c>
      <c r="B855" s="5" t="s">
        <v>104</v>
      </c>
      <c r="C855" s="5">
        <v>1400</v>
      </c>
      <c r="D855" s="5" t="s">
        <v>45</v>
      </c>
      <c r="E855" s="5" t="s">
        <v>50</v>
      </c>
      <c r="F855" s="6">
        <v>42736</v>
      </c>
      <c r="G855">
        <v>0</v>
      </c>
    </row>
    <row r="856" spans="1:7" x14ac:dyDescent="0.25">
      <c r="A856" s="5" t="s">
        <v>103</v>
      </c>
      <c r="B856" s="5" t="s">
        <v>104</v>
      </c>
      <c r="C856" s="5">
        <v>1400</v>
      </c>
      <c r="D856" s="5" t="s">
        <v>45</v>
      </c>
      <c r="E856" s="5" t="s">
        <v>51</v>
      </c>
      <c r="F856" s="6">
        <v>42370</v>
      </c>
      <c r="G856">
        <v>0</v>
      </c>
    </row>
    <row r="857" spans="1:7" x14ac:dyDescent="0.25">
      <c r="A857" s="5" t="s">
        <v>103</v>
      </c>
      <c r="B857" s="5" t="s">
        <v>104</v>
      </c>
      <c r="C857" s="5">
        <v>1400</v>
      </c>
      <c r="D857" s="5" t="s">
        <v>45</v>
      </c>
      <c r="E857" s="5" t="s">
        <v>51</v>
      </c>
      <c r="F857" s="6">
        <v>42736</v>
      </c>
      <c r="G857">
        <v>0</v>
      </c>
    </row>
    <row r="858" spans="1:7" x14ac:dyDescent="0.25">
      <c r="A858" s="5" t="s">
        <v>103</v>
      </c>
      <c r="B858" s="5" t="s">
        <v>104</v>
      </c>
      <c r="C858" s="5">
        <v>1400</v>
      </c>
      <c r="D858" s="5" t="s">
        <v>45</v>
      </c>
      <c r="E858" s="5" t="s">
        <v>52</v>
      </c>
      <c r="F858" s="6">
        <v>42370</v>
      </c>
      <c r="G858">
        <v>0</v>
      </c>
    </row>
    <row r="859" spans="1:7" x14ac:dyDescent="0.25">
      <c r="A859" s="5" t="s">
        <v>103</v>
      </c>
      <c r="B859" s="5" t="s">
        <v>104</v>
      </c>
      <c r="C859" s="5">
        <v>1400</v>
      </c>
      <c r="D859" s="5" t="s">
        <v>45</v>
      </c>
      <c r="E859" s="5" t="s">
        <v>52</v>
      </c>
      <c r="F859" s="6">
        <v>42736</v>
      </c>
      <c r="G859">
        <v>0</v>
      </c>
    </row>
    <row r="860" spans="1:7" x14ac:dyDescent="0.25">
      <c r="A860" s="5" t="s">
        <v>103</v>
      </c>
      <c r="B860" s="5" t="s">
        <v>104</v>
      </c>
      <c r="C860" s="5">
        <v>1400</v>
      </c>
      <c r="D860" s="5" t="s">
        <v>45</v>
      </c>
      <c r="E860" s="5" t="s">
        <v>53</v>
      </c>
      <c r="F860" s="6">
        <v>42370</v>
      </c>
      <c r="G860">
        <v>9</v>
      </c>
    </row>
    <row r="861" spans="1:7" x14ac:dyDescent="0.25">
      <c r="A861" s="5" t="s">
        <v>103</v>
      </c>
      <c r="B861" s="5" t="s">
        <v>104</v>
      </c>
      <c r="C861" s="5">
        <v>1400</v>
      </c>
      <c r="D861" s="5" t="s">
        <v>45</v>
      </c>
      <c r="E861" s="5" t="s">
        <v>53</v>
      </c>
      <c r="F861" s="6">
        <v>42736</v>
      </c>
      <c r="G861">
        <v>10</v>
      </c>
    </row>
    <row r="862" spans="1:7" x14ac:dyDescent="0.25">
      <c r="A862" s="5" t="s">
        <v>103</v>
      </c>
      <c r="B862" s="5" t="s">
        <v>104</v>
      </c>
      <c r="C862" s="5">
        <v>1400</v>
      </c>
      <c r="D862" s="5" t="s">
        <v>45</v>
      </c>
      <c r="E862" s="5" t="s">
        <v>54</v>
      </c>
      <c r="F862" s="6">
        <v>42370</v>
      </c>
      <c r="G862">
        <v>1</v>
      </c>
    </row>
    <row r="863" spans="1:7" x14ac:dyDescent="0.25">
      <c r="A863" s="5" t="s">
        <v>103</v>
      </c>
      <c r="B863" s="5" t="s">
        <v>104</v>
      </c>
      <c r="C863" s="5">
        <v>1400</v>
      </c>
      <c r="D863" s="5" t="s">
        <v>45</v>
      </c>
      <c r="E863" s="5" t="s">
        <v>54</v>
      </c>
      <c r="F863" s="6">
        <v>42736</v>
      </c>
      <c r="G863">
        <v>3</v>
      </c>
    </row>
    <row r="864" spans="1:7" x14ac:dyDescent="0.25">
      <c r="A864" s="5" t="s">
        <v>103</v>
      </c>
      <c r="B864" s="5" t="s">
        <v>104</v>
      </c>
      <c r="C864" s="5">
        <v>1400</v>
      </c>
      <c r="D864" s="5" t="s">
        <v>45</v>
      </c>
      <c r="E864" s="5" t="s">
        <v>55</v>
      </c>
      <c r="F864" s="6">
        <v>42370</v>
      </c>
      <c r="G864">
        <v>0</v>
      </c>
    </row>
    <row r="865" spans="1:7" x14ac:dyDescent="0.25">
      <c r="A865" s="5" t="s">
        <v>103</v>
      </c>
      <c r="B865" s="5" t="s">
        <v>104</v>
      </c>
      <c r="C865" s="5">
        <v>1400</v>
      </c>
      <c r="D865" s="5" t="s">
        <v>45</v>
      </c>
      <c r="E865" s="5" t="s">
        <v>55</v>
      </c>
      <c r="F865" s="6">
        <v>42736</v>
      </c>
      <c r="G865">
        <v>4</v>
      </c>
    </row>
    <row r="866" spans="1:7" x14ac:dyDescent="0.25">
      <c r="A866" s="5" t="s">
        <v>103</v>
      </c>
      <c r="B866" s="5" t="s">
        <v>104</v>
      </c>
      <c r="C866" s="5">
        <v>1400</v>
      </c>
      <c r="D866" s="5" t="s">
        <v>45</v>
      </c>
      <c r="E866" s="5" t="s">
        <v>56</v>
      </c>
      <c r="F866" s="6">
        <v>42370</v>
      </c>
      <c r="G866">
        <v>0</v>
      </c>
    </row>
    <row r="867" spans="1:7" x14ac:dyDescent="0.25">
      <c r="A867" s="5" t="s">
        <v>103</v>
      </c>
      <c r="B867" s="5" t="s">
        <v>104</v>
      </c>
      <c r="C867" s="5">
        <v>1400</v>
      </c>
      <c r="D867" s="5" t="s">
        <v>45</v>
      </c>
      <c r="E867" s="5" t="s">
        <v>56</v>
      </c>
      <c r="F867" s="6">
        <v>42736</v>
      </c>
      <c r="G867">
        <v>0</v>
      </c>
    </row>
    <row r="868" spans="1:7" x14ac:dyDescent="0.25">
      <c r="A868" s="5" t="s">
        <v>103</v>
      </c>
      <c r="B868" s="5" t="s">
        <v>104</v>
      </c>
      <c r="C868" s="5">
        <v>1400</v>
      </c>
      <c r="D868" s="5" t="s">
        <v>45</v>
      </c>
      <c r="E868" s="5" t="s">
        <v>57</v>
      </c>
      <c r="F868" s="6">
        <v>42370</v>
      </c>
      <c r="G868">
        <v>0</v>
      </c>
    </row>
    <row r="869" spans="1:7" x14ac:dyDescent="0.25">
      <c r="A869" s="5" t="s">
        <v>103</v>
      </c>
      <c r="B869" s="5" t="s">
        <v>104</v>
      </c>
      <c r="C869" s="5">
        <v>1400</v>
      </c>
      <c r="D869" s="5" t="s">
        <v>45</v>
      </c>
      <c r="E869" s="5" t="s">
        <v>57</v>
      </c>
      <c r="F869" s="6">
        <v>42736</v>
      </c>
      <c r="G869">
        <v>5</v>
      </c>
    </row>
    <row r="870" spans="1:7" x14ac:dyDescent="0.25">
      <c r="A870" s="5" t="s">
        <v>103</v>
      </c>
      <c r="B870" s="5" t="s">
        <v>104</v>
      </c>
      <c r="C870" s="5">
        <v>1400</v>
      </c>
      <c r="D870" s="5" t="s">
        <v>45</v>
      </c>
      <c r="E870" s="5" t="s">
        <v>58</v>
      </c>
      <c r="F870" s="6">
        <v>42370</v>
      </c>
      <c r="G870">
        <v>3</v>
      </c>
    </row>
    <row r="871" spans="1:7" x14ac:dyDescent="0.25">
      <c r="A871" s="5" t="s">
        <v>103</v>
      </c>
      <c r="B871" s="5" t="s">
        <v>104</v>
      </c>
      <c r="C871" s="5">
        <v>1400</v>
      </c>
      <c r="D871" s="5" t="s">
        <v>45</v>
      </c>
      <c r="E871" s="5" t="s">
        <v>58</v>
      </c>
      <c r="F871" s="6">
        <v>42736</v>
      </c>
      <c r="G871">
        <v>0</v>
      </c>
    </row>
    <row r="872" spans="1:7" x14ac:dyDescent="0.25">
      <c r="A872" s="5" t="s">
        <v>103</v>
      </c>
      <c r="B872" s="5" t="s">
        <v>104</v>
      </c>
      <c r="C872" s="5">
        <v>1400</v>
      </c>
      <c r="D872" s="5" t="s">
        <v>45</v>
      </c>
      <c r="E872" s="5" t="s">
        <v>59</v>
      </c>
      <c r="F872" s="6">
        <v>42370</v>
      </c>
      <c r="G872">
        <v>0</v>
      </c>
    </row>
    <row r="873" spans="1:7" x14ac:dyDescent="0.25">
      <c r="A873" s="5" t="s">
        <v>103</v>
      </c>
      <c r="B873" s="5" t="s">
        <v>104</v>
      </c>
      <c r="C873" s="5">
        <v>1400</v>
      </c>
      <c r="D873" s="5" t="s">
        <v>45</v>
      </c>
      <c r="E873" s="5" t="s">
        <v>59</v>
      </c>
      <c r="F873" s="6">
        <v>42736</v>
      </c>
      <c r="G873">
        <v>0</v>
      </c>
    </row>
    <row r="874" spans="1:7" x14ac:dyDescent="0.25">
      <c r="A874" s="5" t="s">
        <v>103</v>
      </c>
      <c r="B874" s="5" t="s">
        <v>104</v>
      </c>
      <c r="C874" s="5">
        <v>1400</v>
      </c>
      <c r="D874" s="5" t="s">
        <v>45</v>
      </c>
      <c r="E874" s="5" t="s">
        <v>60</v>
      </c>
      <c r="F874" s="6">
        <v>42370</v>
      </c>
      <c r="G874">
        <v>4</v>
      </c>
    </row>
    <row r="875" spans="1:7" x14ac:dyDescent="0.25">
      <c r="A875" s="5" t="s">
        <v>103</v>
      </c>
      <c r="B875" s="5" t="s">
        <v>104</v>
      </c>
      <c r="C875" s="5">
        <v>1400</v>
      </c>
      <c r="D875" s="5" t="s">
        <v>45</v>
      </c>
      <c r="E875" s="5" t="s">
        <v>60</v>
      </c>
      <c r="F875" s="6">
        <v>42736</v>
      </c>
      <c r="G875">
        <v>0</v>
      </c>
    </row>
    <row r="876" spans="1:7" x14ac:dyDescent="0.25">
      <c r="A876" s="5" t="s">
        <v>103</v>
      </c>
      <c r="B876" s="5" t="s">
        <v>104</v>
      </c>
      <c r="C876" s="5">
        <v>1400</v>
      </c>
      <c r="D876" s="5" t="s">
        <v>45</v>
      </c>
      <c r="E876" s="5" t="s">
        <v>61</v>
      </c>
      <c r="F876" s="6">
        <v>42370</v>
      </c>
      <c r="G876">
        <v>10</v>
      </c>
    </row>
    <row r="877" spans="1:7" x14ac:dyDescent="0.25">
      <c r="A877" s="5" t="s">
        <v>103</v>
      </c>
      <c r="B877" s="5" t="s">
        <v>104</v>
      </c>
      <c r="C877" s="5">
        <v>1400</v>
      </c>
      <c r="D877" s="5" t="s">
        <v>45</v>
      </c>
      <c r="E877" s="5" t="s">
        <v>61</v>
      </c>
      <c r="F877" s="6">
        <v>42736</v>
      </c>
      <c r="G877">
        <v>2</v>
      </c>
    </row>
    <row r="878" spans="1:7" x14ac:dyDescent="0.25">
      <c r="A878" s="5" t="s">
        <v>103</v>
      </c>
      <c r="B878" s="5" t="s">
        <v>104</v>
      </c>
      <c r="C878" s="5">
        <v>1400</v>
      </c>
      <c r="D878" s="5" t="s">
        <v>62</v>
      </c>
      <c r="E878" s="5" t="s">
        <v>63</v>
      </c>
      <c r="F878" s="6">
        <v>42370</v>
      </c>
      <c r="G878">
        <v>0</v>
      </c>
    </row>
    <row r="879" spans="1:7" x14ac:dyDescent="0.25">
      <c r="A879" s="5" t="s">
        <v>103</v>
      </c>
      <c r="B879" s="5" t="s">
        <v>104</v>
      </c>
      <c r="C879" s="5">
        <v>1400</v>
      </c>
      <c r="D879" s="5" t="s">
        <v>62</v>
      </c>
      <c r="E879" s="5" t="s">
        <v>63</v>
      </c>
      <c r="F879" s="6">
        <v>42736</v>
      </c>
      <c r="G879">
        <v>0</v>
      </c>
    </row>
    <row r="880" spans="1:7" x14ac:dyDescent="0.25">
      <c r="A880" s="5" t="s">
        <v>103</v>
      </c>
      <c r="B880" s="5" t="s">
        <v>104</v>
      </c>
      <c r="C880" s="5">
        <v>1400</v>
      </c>
      <c r="D880" s="5" t="s">
        <v>62</v>
      </c>
      <c r="E880" s="5" t="s">
        <v>64</v>
      </c>
      <c r="F880" s="6">
        <v>42370</v>
      </c>
      <c r="G880">
        <v>0</v>
      </c>
    </row>
    <row r="881" spans="1:7" x14ac:dyDescent="0.25">
      <c r="A881" s="5" t="s">
        <v>103</v>
      </c>
      <c r="B881" s="5" t="s">
        <v>104</v>
      </c>
      <c r="C881" s="5">
        <v>1400</v>
      </c>
      <c r="D881" s="5" t="s">
        <v>62</v>
      </c>
      <c r="E881" s="5" t="s">
        <v>64</v>
      </c>
      <c r="F881" s="6">
        <v>42736</v>
      </c>
      <c r="G881">
        <v>0</v>
      </c>
    </row>
    <row r="882" spans="1:7" x14ac:dyDescent="0.25">
      <c r="A882" s="5" t="s">
        <v>103</v>
      </c>
      <c r="B882" s="5" t="s">
        <v>104</v>
      </c>
      <c r="C882" s="5">
        <v>1400</v>
      </c>
      <c r="D882" s="5" t="s">
        <v>62</v>
      </c>
      <c r="E882" s="5" t="s">
        <v>9</v>
      </c>
      <c r="F882" s="6">
        <v>42370</v>
      </c>
      <c r="G882">
        <v>0</v>
      </c>
    </row>
    <row r="883" spans="1:7" x14ac:dyDescent="0.25">
      <c r="A883" s="5" t="s">
        <v>103</v>
      </c>
      <c r="B883" s="5" t="s">
        <v>104</v>
      </c>
      <c r="C883" s="5">
        <v>1400</v>
      </c>
      <c r="D883" s="5" t="s">
        <v>62</v>
      </c>
      <c r="E883" s="5" t="s">
        <v>9</v>
      </c>
      <c r="F883" s="6">
        <v>42736</v>
      </c>
      <c r="G883">
        <v>0</v>
      </c>
    </row>
    <row r="884" spans="1:7" x14ac:dyDescent="0.25">
      <c r="A884" s="5" t="s">
        <v>103</v>
      </c>
      <c r="B884" s="5" t="s">
        <v>104</v>
      </c>
      <c r="C884" s="5">
        <v>1400</v>
      </c>
      <c r="D884" s="5" t="s">
        <v>62</v>
      </c>
      <c r="E884" s="5" t="s">
        <v>65</v>
      </c>
      <c r="F884" s="6">
        <v>42370</v>
      </c>
      <c r="G884">
        <v>0</v>
      </c>
    </row>
    <row r="885" spans="1:7" x14ac:dyDescent="0.25">
      <c r="A885" s="5" t="s">
        <v>103</v>
      </c>
      <c r="B885" s="5" t="s">
        <v>104</v>
      </c>
      <c r="C885" s="5">
        <v>1400</v>
      </c>
      <c r="D885" s="5" t="s">
        <v>62</v>
      </c>
      <c r="E885" s="5" t="s">
        <v>65</v>
      </c>
      <c r="F885" s="6">
        <v>42736</v>
      </c>
      <c r="G885">
        <v>0</v>
      </c>
    </row>
    <row r="886" spans="1:7" x14ac:dyDescent="0.25">
      <c r="A886" s="5" t="s">
        <v>103</v>
      </c>
      <c r="B886" s="5" t="s">
        <v>104</v>
      </c>
      <c r="C886" s="5">
        <v>1400</v>
      </c>
      <c r="D886" s="5" t="s">
        <v>62</v>
      </c>
      <c r="E886" s="5" t="s">
        <v>66</v>
      </c>
      <c r="F886" s="6">
        <v>42370</v>
      </c>
      <c r="G886">
        <v>0</v>
      </c>
    </row>
    <row r="887" spans="1:7" x14ac:dyDescent="0.25">
      <c r="A887" s="5" t="s">
        <v>103</v>
      </c>
      <c r="B887" s="5" t="s">
        <v>104</v>
      </c>
      <c r="C887" s="5">
        <v>1400</v>
      </c>
      <c r="D887" s="5" t="s">
        <v>62</v>
      </c>
      <c r="E887" s="5" t="s">
        <v>66</v>
      </c>
      <c r="F887" s="6">
        <v>42736</v>
      </c>
      <c r="G887">
        <v>0</v>
      </c>
    </row>
    <row r="888" spans="1:7" x14ac:dyDescent="0.25">
      <c r="A888" s="5" t="s">
        <v>103</v>
      </c>
      <c r="B888" s="5" t="s">
        <v>104</v>
      </c>
      <c r="C888" s="5">
        <v>1400</v>
      </c>
      <c r="D888" s="5" t="s">
        <v>62</v>
      </c>
      <c r="E888" s="5" t="s">
        <v>67</v>
      </c>
      <c r="F888" s="6">
        <v>42370</v>
      </c>
      <c r="G888">
        <v>0</v>
      </c>
    </row>
    <row r="889" spans="1:7" x14ac:dyDescent="0.25">
      <c r="A889" s="5" t="s">
        <v>103</v>
      </c>
      <c r="B889" s="5" t="s">
        <v>104</v>
      </c>
      <c r="C889" s="5">
        <v>1400</v>
      </c>
      <c r="D889" s="5" t="s">
        <v>62</v>
      </c>
      <c r="E889" s="5" t="s">
        <v>67</v>
      </c>
      <c r="F889" s="6">
        <v>42736</v>
      </c>
      <c r="G889">
        <v>0</v>
      </c>
    </row>
    <row r="890" spans="1:7" x14ac:dyDescent="0.25">
      <c r="A890" s="5" t="s">
        <v>103</v>
      </c>
      <c r="B890" s="5" t="s">
        <v>104</v>
      </c>
      <c r="C890" s="5">
        <v>1400</v>
      </c>
      <c r="D890" s="5" t="s">
        <v>62</v>
      </c>
      <c r="E890" s="5" t="s">
        <v>68</v>
      </c>
      <c r="F890" s="6">
        <v>42370</v>
      </c>
      <c r="G890">
        <v>0</v>
      </c>
    </row>
    <row r="891" spans="1:7" x14ac:dyDescent="0.25">
      <c r="A891" s="5" t="s">
        <v>103</v>
      </c>
      <c r="B891" s="5" t="s">
        <v>104</v>
      </c>
      <c r="C891" s="5">
        <v>1400</v>
      </c>
      <c r="D891" s="5" t="s">
        <v>62</v>
      </c>
      <c r="E891" s="5" t="s">
        <v>68</v>
      </c>
      <c r="F891" s="6">
        <v>42736</v>
      </c>
      <c r="G891">
        <v>0</v>
      </c>
    </row>
    <row r="892" spans="1:7" x14ac:dyDescent="0.25">
      <c r="A892" s="5" t="s">
        <v>103</v>
      </c>
      <c r="B892" s="5" t="s">
        <v>104</v>
      </c>
      <c r="C892" s="5">
        <v>1400</v>
      </c>
      <c r="D892" s="5" t="s">
        <v>62</v>
      </c>
      <c r="E892" s="5" t="s">
        <v>69</v>
      </c>
      <c r="F892" s="6">
        <v>42370</v>
      </c>
      <c r="G892">
        <v>0</v>
      </c>
    </row>
    <row r="893" spans="1:7" x14ac:dyDescent="0.25">
      <c r="A893" s="5" t="s">
        <v>103</v>
      </c>
      <c r="B893" s="5" t="s">
        <v>104</v>
      </c>
      <c r="C893" s="5">
        <v>1400</v>
      </c>
      <c r="D893" s="5" t="s">
        <v>62</v>
      </c>
      <c r="E893" s="5" t="s">
        <v>69</v>
      </c>
      <c r="F893" s="6">
        <v>42736</v>
      </c>
      <c r="G893">
        <v>0</v>
      </c>
    </row>
    <row r="894" spans="1:7" x14ac:dyDescent="0.25">
      <c r="A894" s="5" t="s">
        <v>103</v>
      </c>
      <c r="B894" s="5" t="s">
        <v>104</v>
      </c>
      <c r="C894" s="5">
        <v>1400</v>
      </c>
      <c r="D894" s="5" t="s">
        <v>62</v>
      </c>
      <c r="E894" s="5" t="s">
        <v>70</v>
      </c>
      <c r="F894" s="6">
        <v>42370</v>
      </c>
      <c r="G894">
        <v>0</v>
      </c>
    </row>
    <row r="895" spans="1:7" x14ac:dyDescent="0.25">
      <c r="A895" s="5" t="s">
        <v>103</v>
      </c>
      <c r="B895" s="5" t="s">
        <v>104</v>
      </c>
      <c r="C895" s="5">
        <v>1400</v>
      </c>
      <c r="D895" s="5" t="s">
        <v>62</v>
      </c>
      <c r="E895" s="5" t="s">
        <v>70</v>
      </c>
      <c r="F895" s="6">
        <v>42736</v>
      </c>
      <c r="G895">
        <v>0</v>
      </c>
    </row>
    <row r="896" spans="1:7" x14ac:dyDescent="0.25">
      <c r="A896" s="5" t="s">
        <v>103</v>
      </c>
      <c r="B896" s="5" t="s">
        <v>104</v>
      </c>
      <c r="C896" s="5">
        <v>1400</v>
      </c>
      <c r="D896" s="5" t="s">
        <v>62</v>
      </c>
      <c r="E896" s="5" t="s">
        <v>71</v>
      </c>
      <c r="F896" s="6">
        <v>42370</v>
      </c>
      <c r="G896">
        <v>0</v>
      </c>
    </row>
    <row r="897" spans="1:7" x14ac:dyDescent="0.25">
      <c r="A897" s="5" t="s">
        <v>103</v>
      </c>
      <c r="B897" s="5" t="s">
        <v>104</v>
      </c>
      <c r="C897" s="5">
        <v>1400</v>
      </c>
      <c r="D897" s="5" t="s">
        <v>62</v>
      </c>
      <c r="E897" s="5" t="s">
        <v>71</v>
      </c>
      <c r="F897" s="6">
        <v>42736</v>
      </c>
      <c r="G897">
        <v>0</v>
      </c>
    </row>
    <row r="898" spans="1:7" x14ac:dyDescent="0.25">
      <c r="A898" s="5" t="s">
        <v>103</v>
      </c>
      <c r="B898" s="5" t="s">
        <v>104</v>
      </c>
      <c r="C898" s="5">
        <v>1400</v>
      </c>
      <c r="D898" s="5" t="s">
        <v>72</v>
      </c>
      <c r="E898" s="5" t="s">
        <v>73</v>
      </c>
      <c r="F898" s="6">
        <v>42370</v>
      </c>
      <c r="G898">
        <v>0</v>
      </c>
    </row>
    <row r="899" spans="1:7" x14ac:dyDescent="0.25">
      <c r="A899" s="5" t="s">
        <v>103</v>
      </c>
      <c r="B899" s="5" t="s">
        <v>104</v>
      </c>
      <c r="C899" s="5">
        <v>1400</v>
      </c>
      <c r="D899" s="5" t="s">
        <v>72</v>
      </c>
      <c r="E899" s="5" t="s">
        <v>73</v>
      </c>
      <c r="F899" s="6">
        <v>42736</v>
      </c>
      <c r="G899">
        <v>0</v>
      </c>
    </row>
    <row r="900" spans="1:7" x14ac:dyDescent="0.25">
      <c r="A900" s="5" t="s">
        <v>103</v>
      </c>
      <c r="B900" s="5" t="s">
        <v>104</v>
      </c>
      <c r="C900" s="5">
        <v>1400</v>
      </c>
      <c r="D900" s="5" t="s">
        <v>72</v>
      </c>
      <c r="E900" s="5" t="s">
        <v>9</v>
      </c>
      <c r="F900" s="6">
        <v>42370</v>
      </c>
      <c r="G900">
        <v>0</v>
      </c>
    </row>
    <row r="901" spans="1:7" x14ac:dyDescent="0.25">
      <c r="A901" s="5" t="s">
        <v>103</v>
      </c>
      <c r="B901" s="5" t="s">
        <v>104</v>
      </c>
      <c r="C901" s="5">
        <v>1400</v>
      </c>
      <c r="D901" s="5" t="s">
        <v>72</v>
      </c>
      <c r="E901" s="5" t="s">
        <v>9</v>
      </c>
      <c r="F901" s="6">
        <v>42736</v>
      </c>
      <c r="G901">
        <v>0</v>
      </c>
    </row>
    <row r="902" spans="1:7" x14ac:dyDescent="0.25">
      <c r="A902" s="5" t="s">
        <v>103</v>
      </c>
      <c r="B902" s="5" t="s">
        <v>104</v>
      </c>
      <c r="C902" s="5">
        <v>1400</v>
      </c>
      <c r="D902" s="5" t="s">
        <v>72</v>
      </c>
      <c r="E902" s="5" t="s">
        <v>34</v>
      </c>
      <c r="F902" s="6">
        <v>42370</v>
      </c>
      <c r="G902">
        <v>0</v>
      </c>
    </row>
    <row r="903" spans="1:7" x14ac:dyDescent="0.25">
      <c r="A903" s="5" t="s">
        <v>103</v>
      </c>
      <c r="B903" s="5" t="s">
        <v>104</v>
      </c>
      <c r="C903" s="5">
        <v>1400</v>
      </c>
      <c r="D903" s="5" t="s">
        <v>72</v>
      </c>
      <c r="E903" s="5" t="s">
        <v>34</v>
      </c>
      <c r="F903" s="6">
        <v>42736</v>
      </c>
      <c r="G903">
        <v>0</v>
      </c>
    </row>
    <row r="904" spans="1:7" x14ac:dyDescent="0.25">
      <c r="A904" s="5" t="s">
        <v>103</v>
      </c>
      <c r="B904" s="5" t="s">
        <v>104</v>
      </c>
      <c r="C904" s="5">
        <v>1400</v>
      </c>
      <c r="D904" s="5" t="s">
        <v>72</v>
      </c>
      <c r="E904" s="5" t="s">
        <v>74</v>
      </c>
      <c r="F904" s="6">
        <v>42370</v>
      </c>
      <c r="G904">
        <v>0</v>
      </c>
    </row>
    <row r="905" spans="1:7" x14ac:dyDescent="0.25">
      <c r="A905" s="5" t="s">
        <v>103</v>
      </c>
      <c r="B905" s="5" t="s">
        <v>104</v>
      </c>
      <c r="C905" s="5">
        <v>1400</v>
      </c>
      <c r="D905" s="5" t="s">
        <v>72</v>
      </c>
      <c r="E905" s="5" t="s">
        <v>74</v>
      </c>
      <c r="F905" s="6">
        <v>42736</v>
      </c>
      <c r="G905">
        <v>0</v>
      </c>
    </row>
    <row r="906" spans="1:7" x14ac:dyDescent="0.25">
      <c r="A906" s="5" t="s">
        <v>103</v>
      </c>
      <c r="B906" s="5" t="s">
        <v>104</v>
      </c>
      <c r="C906" s="5">
        <v>1400</v>
      </c>
      <c r="D906" s="5" t="s">
        <v>72</v>
      </c>
      <c r="E906" s="5" t="s">
        <v>75</v>
      </c>
      <c r="F906" s="6">
        <v>42370</v>
      </c>
      <c r="G906">
        <v>0</v>
      </c>
    </row>
    <row r="907" spans="1:7" x14ac:dyDescent="0.25">
      <c r="A907" s="5" t="s">
        <v>103</v>
      </c>
      <c r="B907" s="5" t="s">
        <v>104</v>
      </c>
      <c r="C907" s="5">
        <v>1400</v>
      </c>
      <c r="D907" s="5" t="s">
        <v>72</v>
      </c>
      <c r="E907" s="5" t="s">
        <v>75</v>
      </c>
      <c r="F907" s="6">
        <v>42736</v>
      </c>
      <c r="G907">
        <v>0</v>
      </c>
    </row>
    <row r="908" spans="1:7" x14ac:dyDescent="0.25">
      <c r="A908" s="5" t="s">
        <v>103</v>
      </c>
      <c r="B908" s="5" t="s">
        <v>104</v>
      </c>
      <c r="C908" s="5">
        <v>1400</v>
      </c>
      <c r="D908" s="5" t="s">
        <v>76</v>
      </c>
      <c r="E908" s="5" t="s">
        <v>9</v>
      </c>
      <c r="F908" s="6">
        <v>42370</v>
      </c>
      <c r="G908">
        <v>0</v>
      </c>
    </row>
    <row r="909" spans="1:7" x14ac:dyDescent="0.25">
      <c r="A909" s="5" t="s">
        <v>103</v>
      </c>
      <c r="B909" s="5" t="s">
        <v>104</v>
      </c>
      <c r="C909" s="5">
        <v>1400</v>
      </c>
      <c r="D909" s="5" t="s">
        <v>76</v>
      </c>
      <c r="E909" s="5" t="s">
        <v>9</v>
      </c>
      <c r="F909" s="6">
        <v>42736</v>
      </c>
      <c r="G909">
        <v>0</v>
      </c>
    </row>
    <row r="910" spans="1:7" x14ac:dyDescent="0.25">
      <c r="A910" s="5" t="s">
        <v>103</v>
      </c>
      <c r="B910" s="5" t="s">
        <v>104</v>
      </c>
      <c r="C910" s="5">
        <v>1400</v>
      </c>
      <c r="D910" s="5" t="s">
        <v>76</v>
      </c>
      <c r="E910" s="5" t="s">
        <v>77</v>
      </c>
      <c r="F910" s="6">
        <v>42370</v>
      </c>
      <c r="G910">
        <v>13</v>
      </c>
    </row>
    <row r="911" spans="1:7" x14ac:dyDescent="0.25">
      <c r="A911" s="5" t="s">
        <v>103</v>
      </c>
      <c r="B911" s="5" t="s">
        <v>104</v>
      </c>
      <c r="C911" s="5">
        <v>1400</v>
      </c>
      <c r="D911" s="5" t="s">
        <v>76</v>
      </c>
      <c r="E911" s="5" t="s">
        <v>77</v>
      </c>
      <c r="F911" s="6">
        <v>42736</v>
      </c>
      <c r="G911">
        <v>0</v>
      </c>
    </row>
    <row r="912" spans="1:7" x14ac:dyDescent="0.25">
      <c r="A912" s="5" t="s">
        <v>103</v>
      </c>
      <c r="B912" s="5" t="s">
        <v>104</v>
      </c>
      <c r="C912" s="5">
        <v>1400</v>
      </c>
      <c r="D912" s="5" t="s">
        <v>78</v>
      </c>
      <c r="E912" s="5" t="s">
        <v>79</v>
      </c>
      <c r="F912" s="6">
        <v>42370</v>
      </c>
      <c r="G912">
        <v>91</v>
      </c>
    </row>
    <row r="913" spans="1:7" x14ac:dyDescent="0.25">
      <c r="A913" s="5" t="s">
        <v>103</v>
      </c>
      <c r="B913" s="5" t="s">
        <v>104</v>
      </c>
      <c r="C913" s="5">
        <v>1400</v>
      </c>
      <c r="D913" s="5" t="s">
        <v>78</v>
      </c>
      <c r="E913" s="5" t="s">
        <v>79</v>
      </c>
      <c r="F913" s="6">
        <v>42736</v>
      </c>
      <c r="G913">
        <v>116</v>
      </c>
    </row>
    <row r="914" spans="1:7" x14ac:dyDescent="0.25">
      <c r="A914" s="5" t="s">
        <v>103</v>
      </c>
      <c r="B914" s="5" t="s">
        <v>104</v>
      </c>
      <c r="C914" s="5">
        <v>1400</v>
      </c>
      <c r="D914" s="5" t="s">
        <v>78</v>
      </c>
      <c r="E914" s="5" t="s">
        <v>80</v>
      </c>
      <c r="F914" s="6">
        <v>42370</v>
      </c>
      <c r="G914">
        <v>118</v>
      </c>
    </row>
    <row r="915" spans="1:7" x14ac:dyDescent="0.25">
      <c r="A915" s="5" t="s">
        <v>103</v>
      </c>
      <c r="B915" s="5" t="s">
        <v>104</v>
      </c>
      <c r="C915" s="5">
        <v>1400</v>
      </c>
      <c r="D915" s="5" t="s">
        <v>78</v>
      </c>
      <c r="E915" s="5" t="s">
        <v>80</v>
      </c>
      <c r="F915" s="6">
        <v>42736</v>
      </c>
      <c r="G915">
        <v>217</v>
      </c>
    </row>
    <row r="916" spans="1:7" x14ac:dyDescent="0.25">
      <c r="A916" s="5" t="s">
        <v>103</v>
      </c>
      <c r="B916" s="5" t="s">
        <v>104</v>
      </c>
      <c r="C916" s="5">
        <v>1400</v>
      </c>
      <c r="D916" s="5" t="s">
        <v>78</v>
      </c>
      <c r="E916" s="5" t="s">
        <v>81</v>
      </c>
      <c r="F916" s="6">
        <v>42370</v>
      </c>
      <c r="G916">
        <v>865</v>
      </c>
    </row>
    <row r="917" spans="1:7" x14ac:dyDescent="0.25">
      <c r="A917" s="5" t="s">
        <v>103</v>
      </c>
      <c r="B917" s="5" t="s">
        <v>104</v>
      </c>
      <c r="C917" s="5">
        <v>1400</v>
      </c>
      <c r="D917" s="5" t="s">
        <v>78</v>
      </c>
      <c r="E917" s="5" t="s">
        <v>81</v>
      </c>
      <c r="F917" s="6">
        <v>42736</v>
      </c>
      <c r="G917">
        <v>1226</v>
      </c>
    </row>
    <row r="918" spans="1:7" x14ac:dyDescent="0.25">
      <c r="A918" s="5" t="s">
        <v>103</v>
      </c>
      <c r="B918" s="5" t="s">
        <v>104</v>
      </c>
      <c r="C918" s="5">
        <v>1400</v>
      </c>
      <c r="D918" s="5" t="s">
        <v>78</v>
      </c>
      <c r="E918" s="5" t="s">
        <v>82</v>
      </c>
      <c r="F918" s="6">
        <v>42370</v>
      </c>
      <c r="G918">
        <v>59</v>
      </c>
    </row>
    <row r="919" spans="1:7" x14ac:dyDescent="0.25">
      <c r="A919" s="5" t="s">
        <v>103</v>
      </c>
      <c r="B919" s="5" t="s">
        <v>104</v>
      </c>
      <c r="C919" s="5">
        <v>1400</v>
      </c>
      <c r="D919" s="5" t="s">
        <v>78</v>
      </c>
      <c r="E919" s="5" t="s">
        <v>82</v>
      </c>
      <c r="F919" s="6">
        <v>42736</v>
      </c>
      <c r="G919">
        <v>83</v>
      </c>
    </row>
    <row r="920" spans="1:7" x14ac:dyDescent="0.25">
      <c r="A920" s="5" t="s">
        <v>103</v>
      </c>
      <c r="B920" s="5" t="s">
        <v>104</v>
      </c>
      <c r="C920" s="5">
        <v>1400</v>
      </c>
      <c r="D920" s="5" t="s">
        <v>78</v>
      </c>
      <c r="E920" s="5" t="s">
        <v>83</v>
      </c>
      <c r="F920" s="6">
        <v>42370</v>
      </c>
      <c r="G920">
        <v>19</v>
      </c>
    </row>
    <row r="921" spans="1:7" x14ac:dyDescent="0.25">
      <c r="A921" s="5" t="s">
        <v>103</v>
      </c>
      <c r="B921" s="5" t="s">
        <v>104</v>
      </c>
      <c r="C921" s="5">
        <v>1400</v>
      </c>
      <c r="D921" s="5" t="s">
        <v>78</v>
      </c>
      <c r="E921" s="5" t="s">
        <v>83</v>
      </c>
      <c r="F921" s="6">
        <v>42736</v>
      </c>
      <c r="G921">
        <v>22</v>
      </c>
    </row>
    <row r="922" spans="1:7" x14ac:dyDescent="0.25">
      <c r="A922" s="5" t="s">
        <v>103</v>
      </c>
      <c r="B922" s="5" t="s">
        <v>104</v>
      </c>
      <c r="C922" s="5">
        <v>1400</v>
      </c>
      <c r="D922" s="5" t="s">
        <v>78</v>
      </c>
      <c r="E922" s="5" t="s">
        <v>84</v>
      </c>
      <c r="F922" s="6">
        <v>42370</v>
      </c>
      <c r="G922">
        <v>11</v>
      </c>
    </row>
    <row r="923" spans="1:7" x14ac:dyDescent="0.25">
      <c r="A923" s="5" t="s">
        <v>103</v>
      </c>
      <c r="B923" s="5" t="s">
        <v>104</v>
      </c>
      <c r="C923" s="5">
        <v>1400</v>
      </c>
      <c r="D923" s="5" t="s">
        <v>78</v>
      </c>
      <c r="E923" s="5" t="s">
        <v>84</v>
      </c>
      <c r="F923" s="6">
        <v>42736</v>
      </c>
      <c r="G923">
        <v>26</v>
      </c>
    </row>
    <row r="924" spans="1:7" x14ac:dyDescent="0.25">
      <c r="A924" s="5" t="s">
        <v>103</v>
      </c>
      <c r="B924" s="5" t="s">
        <v>104</v>
      </c>
      <c r="C924" s="5">
        <v>1400</v>
      </c>
      <c r="D924" s="5" t="s">
        <v>78</v>
      </c>
      <c r="E924" s="5" t="s">
        <v>85</v>
      </c>
      <c r="F924" s="6">
        <v>42370</v>
      </c>
      <c r="G924">
        <v>4</v>
      </c>
    </row>
    <row r="925" spans="1:7" x14ac:dyDescent="0.25">
      <c r="A925" s="5" t="s">
        <v>103</v>
      </c>
      <c r="B925" s="5" t="s">
        <v>104</v>
      </c>
      <c r="C925" s="5">
        <v>1400</v>
      </c>
      <c r="D925" s="5" t="s">
        <v>78</v>
      </c>
      <c r="E925" s="5" t="s">
        <v>85</v>
      </c>
      <c r="F925" s="6">
        <v>42736</v>
      </c>
      <c r="G925">
        <v>1</v>
      </c>
    </row>
    <row r="926" spans="1:7" x14ac:dyDescent="0.25">
      <c r="A926" s="5" t="s">
        <v>103</v>
      </c>
      <c r="B926" s="5" t="s">
        <v>104</v>
      </c>
      <c r="C926" s="5">
        <v>1400</v>
      </c>
      <c r="D926" s="5" t="s">
        <v>78</v>
      </c>
      <c r="E926" s="5" t="s">
        <v>86</v>
      </c>
      <c r="F926" s="6">
        <v>42370</v>
      </c>
      <c r="G926">
        <v>0</v>
      </c>
    </row>
    <row r="927" spans="1:7" x14ac:dyDescent="0.25">
      <c r="A927" s="5" t="s">
        <v>103</v>
      </c>
      <c r="B927" s="5" t="s">
        <v>104</v>
      </c>
      <c r="C927" s="5">
        <v>1400</v>
      </c>
      <c r="D927" s="5" t="s">
        <v>78</v>
      </c>
      <c r="E927" s="5" t="s">
        <v>86</v>
      </c>
      <c r="F927" s="6">
        <v>42736</v>
      </c>
      <c r="G927">
        <v>0</v>
      </c>
    </row>
    <row r="928" spans="1:7" x14ac:dyDescent="0.25">
      <c r="A928" s="5" t="s">
        <v>103</v>
      </c>
      <c r="B928" s="5" t="s">
        <v>104</v>
      </c>
      <c r="C928" s="5">
        <v>1400</v>
      </c>
      <c r="D928" s="5" t="s">
        <v>78</v>
      </c>
      <c r="E928" s="5" t="s">
        <v>87</v>
      </c>
      <c r="F928" s="6">
        <v>42370</v>
      </c>
      <c r="G928">
        <v>231</v>
      </c>
    </row>
    <row r="929" spans="1:7" x14ac:dyDescent="0.25">
      <c r="A929" s="5" t="s">
        <v>103</v>
      </c>
      <c r="B929" s="5" t="s">
        <v>104</v>
      </c>
      <c r="C929" s="5">
        <v>1400</v>
      </c>
      <c r="D929" s="5" t="s">
        <v>78</v>
      </c>
      <c r="E929" s="5" t="s">
        <v>87</v>
      </c>
      <c r="F929" s="6">
        <v>42736</v>
      </c>
      <c r="G929">
        <v>247</v>
      </c>
    </row>
    <row r="930" spans="1:7" x14ac:dyDescent="0.25">
      <c r="A930" s="5" t="s">
        <v>103</v>
      </c>
      <c r="B930" s="5" t="s">
        <v>104</v>
      </c>
      <c r="C930" s="5">
        <v>1400</v>
      </c>
      <c r="D930" s="5" t="s">
        <v>78</v>
      </c>
      <c r="E930" s="5" t="s">
        <v>88</v>
      </c>
      <c r="F930" s="6">
        <v>42370</v>
      </c>
      <c r="G930">
        <v>137</v>
      </c>
    </row>
    <row r="931" spans="1:7" x14ac:dyDescent="0.25">
      <c r="A931" s="5" t="s">
        <v>103</v>
      </c>
      <c r="B931" s="5" t="s">
        <v>104</v>
      </c>
      <c r="C931" s="5">
        <v>1400</v>
      </c>
      <c r="D931" s="5" t="s">
        <v>78</v>
      </c>
      <c r="E931" s="5" t="s">
        <v>88</v>
      </c>
      <c r="F931" s="6">
        <v>42736</v>
      </c>
      <c r="G931">
        <v>203</v>
      </c>
    </row>
    <row r="932" spans="1:7" x14ac:dyDescent="0.25">
      <c r="A932" s="5" t="s">
        <v>103</v>
      </c>
      <c r="B932" s="5" t="s">
        <v>104</v>
      </c>
      <c r="C932" s="5">
        <v>1400</v>
      </c>
      <c r="D932" s="5" t="s">
        <v>78</v>
      </c>
      <c r="E932" s="5" t="s">
        <v>89</v>
      </c>
      <c r="F932" s="6">
        <v>42370</v>
      </c>
      <c r="G932">
        <v>2682</v>
      </c>
    </row>
    <row r="933" spans="1:7" x14ac:dyDescent="0.25">
      <c r="A933" s="5" t="s">
        <v>103</v>
      </c>
      <c r="B933" s="5" t="s">
        <v>104</v>
      </c>
      <c r="C933" s="5">
        <v>1400</v>
      </c>
      <c r="D933" s="5" t="s">
        <v>78</v>
      </c>
      <c r="E933" s="5" t="s">
        <v>89</v>
      </c>
      <c r="F933" s="6">
        <v>42736</v>
      </c>
      <c r="G933">
        <v>3322</v>
      </c>
    </row>
    <row r="934" spans="1:7" x14ac:dyDescent="0.25">
      <c r="A934" s="5" t="s">
        <v>103</v>
      </c>
      <c r="B934" s="5" t="s">
        <v>104</v>
      </c>
      <c r="C934" s="5">
        <v>1400</v>
      </c>
      <c r="D934" s="5" t="s">
        <v>78</v>
      </c>
      <c r="E934" s="5" t="s">
        <v>90</v>
      </c>
      <c r="F934" s="6">
        <v>42370</v>
      </c>
      <c r="G934">
        <v>2</v>
      </c>
    </row>
    <row r="935" spans="1:7" x14ac:dyDescent="0.25">
      <c r="A935" s="5" t="s">
        <v>103</v>
      </c>
      <c r="B935" s="5" t="s">
        <v>104</v>
      </c>
      <c r="C935" s="5">
        <v>1400</v>
      </c>
      <c r="D935" s="5" t="s">
        <v>78</v>
      </c>
      <c r="E935" s="5" t="s">
        <v>90</v>
      </c>
      <c r="F935" s="6">
        <v>42736</v>
      </c>
      <c r="G935">
        <v>0</v>
      </c>
    </row>
    <row r="936" spans="1:7" x14ac:dyDescent="0.25">
      <c r="A936" s="5" t="s">
        <v>103</v>
      </c>
      <c r="B936" s="5" t="s">
        <v>104</v>
      </c>
      <c r="C936" s="5">
        <v>1400</v>
      </c>
      <c r="D936" s="5" t="s">
        <v>78</v>
      </c>
      <c r="E936" s="5" t="s">
        <v>91</v>
      </c>
      <c r="F936" s="6">
        <v>42370</v>
      </c>
      <c r="G936">
        <v>80</v>
      </c>
    </row>
    <row r="937" spans="1:7" x14ac:dyDescent="0.25">
      <c r="A937" s="5" t="s">
        <v>103</v>
      </c>
      <c r="B937" s="5" t="s">
        <v>104</v>
      </c>
      <c r="C937" s="5">
        <v>1400</v>
      </c>
      <c r="D937" s="5" t="s">
        <v>78</v>
      </c>
      <c r="E937" s="5" t="s">
        <v>91</v>
      </c>
      <c r="F937" s="6">
        <v>42736</v>
      </c>
      <c r="G937">
        <v>132</v>
      </c>
    </row>
    <row r="938" spans="1:7" x14ac:dyDescent="0.25">
      <c r="A938" s="5" t="s">
        <v>103</v>
      </c>
      <c r="B938" s="5" t="s">
        <v>104</v>
      </c>
      <c r="C938" s="5">
        <v>1400</v>
      </c>
      <c r="D938" s="5" t="s">
        <v>78</v>
      </c>
      <c r="E938" s="5" t="s">
        <v>92</v>
      </c>
      <c r="F938" s="6">
        <v>42370</v>
      </c>
      <c r="G938">
        <v>38</v>
      </c>
    </row>
    <row r="939" spans="1:7" x14ac:dyDescent="0.25">
      <c r="A939" s="5" t="s">
        <v>103</v>
      </c>
      <c r="B939" s="5" t="s">
        <v>104</v>
      </c>
      <c r="C939" s="5">
        <v>1400</v>
      </c>
      <c r="D939" s="5" t="s">
        <v>78</v>
      </c>
      <c r="E939" s="5" t="s">
        <v>92</v>
      </c>
      <c r="F939" s="6">
        <v>42736</v>
      </c>
      <c r="G939">
        <v>36</v>
      </c>
    </row>
    <row r="940" spans="1:7" x14ac:dyDescent="0.25">
      <c r="A940" s="5" t="s">
        <v>103</v>
      </c>
      <c r="B940" s="5" t="s">
        <v>104</v>
      </c>
      <c r="C940" s="5">
        <v>1400</v>
      </c>
      <c r="D940" s="5" t="s">
        <v>78</v>
      </c>
      <c r="E940" s="5" t="s">
        <v>93</v>
      </c>
      <c r="F940" s="6">
        <v>42370</v>
      </c>
      <c r="G940">
        <v>108</v>
      </c>
    </row>
    <row r="941" spans="1:7" x14ac:dyDescent="0.25">
      <c r="A941" s="5" t="s">
        <v>103</v>
      </c>
      <c r="B941" s="5" t="s">
        <v>104</v>
      </c>
      <c r="C941" s="5">
        <v>1400</v>
      </c>
      <c r="D941" s="5" t="s">
        <v>78</v>
      </c>
      <c r="E941" s="5" t="s">
        <v>93</v>
      </c>
      <c r="F941" s="6">
        <v>42736</v>
      </c>
      <c r="G941">
        <v>159</v>
      </c>
    </row>
    <row r="942" spans="1:7" x14ac:dyDescent="0.25">
      <c r="A942" s="5" t="s">
        <v>103</v>
      </c>
      <c r="B942" s="5" t="s">
        <v>104</v>
      </c>
      <c r="C942" s="5">
        <v>1400</v>
      </c>
      <c r="D942" s="5" t="s">
        <v>78</v>
      </c>
      <c r="E942" s="5" t="s">
        <v>94</v>
      </c>
      <c r="F942" s="6">
        <v>42370</v>
      </c>
      <c r="G942">
        <v>111</v>
      </c>
    </row>
    <row r="943" spans="1:7" x14ac:dyDescent="0.25">
      <c r="A943" s="5" t="s">
        <v>103</v>
      </c>
      <c r="B943" s="5" t="s">
        <v>104</v>
      </c>
      <c r="C943" s="5">
        <v>1400</v>
      </c>
      <c r="D943" s="5" t="s">
        <v>78</v>
      </c>
      <c r="E943" s="5" t="s">
        <v>94</v>
      </c>
      <c r="F943" s="6">
        <v>42736</v>
      </c>
      <c r="G943">
        <v>147</v>
      </c>
    </row>
    <row r="944" spans="1:7" x14ac:dyDescent="0.25">
      <c r="A944" s="5" t="s">
        <v>103</v>
      </c>
      <c r="B944" s="5" t="s">
        <v>104</v>
      </c>
      <c r="C944" s="5">
        <v>1400</v>
      </c>
      <c r="D944" s="5" t="s">
        <v>78</v>
      </c>
      <c r="E944" s="5" t="s">
        <v>95</v>
      </c>
      <c r="F944" s="6">
        <v>42370</v>
      </c>
      <c r="G944">
        <v>17</v>
      </c>
    </row>
    <row r="945" spans="1:7" x14ac:dyDescent="0.25">
      <c r="A945" s="5" t="s">
        <v>103</v>
      </c>
      <c r="B945" s="5" t="s">
        <v>104</v>
      </c>
      <c r="C945" s="5">
        <v>1400</v>
      </c>
      <c r="D945" s="5" t="s">
        <v>78</v>
      </c>
      <c r="E945" s="5" t="s">
        <v>95</v>
      </c>
      <c r="F945" s="6">
        <v>42736</v>
      </c>
      <c r="G945">
        <v>22</v>
      </c>
    </row>
    <row r="946" spans="1:7" x14ac:dyDescent="0.25">
      <c r="A946" s="5" t="s">
        <v>103</v>
      </c>
      <c r="B946" s="5" t="s">
        <v>104</v>
      </c>
      <c r="C946" s="5">
        <v>1400</v>
      </c>
      <c r="D946" s="5" t="s">
        <v>78</v>
      </c>
      <c r="E946" s="5" t="s">
        <v>96</v>
      </c>
      <c r="F946" s="6">
        <v>42370</v>
      </c>
      <c r="G946">
        <v>21</v>
      </c>
    </row>
    <row r="947" spans="1:7" x14ac:dyDescent="0.25">
      <c r="A947" s="5" t="s">
        <v>103</v>
      </c>
      <c r="B947" s="5" t="s">
        <v>104</v>
      </c>
      <c r="C947" s="5">
        <v>1400</v>
      </c>
      <c r="D947" s="5" t="s">
        <v>78</v>
      </c>
      <c r="E947" s="5" t="s">
        <v>96</v>
      </c>
      <c r="F947" s="6">
        <v>42736</v>
      </c>
      <c r="G947">
        <v>22</v>
      </c>
    </row>
    <row r="948" spans="1:7" x14ac:dyDescent="0.25">
      <c r="A948" s="5" t="s">
        <v>103</v>
      </c>
      <c r="B948" s="5" t="s">
        <v>104</v>
      </c>
      <c r="C948" s="5">
        <v>1400</v>
      </c>
      <c r="D948" s="5" t="s">
        <v>78</v>
      </c>
      <c r="E948" s="5" t="s">
        <v>97</v>
      </c>
      <c r="F948" s="6">
        <v>42370</v>
      </c>
      <c r="G948">
        <v>151</v>
      </c>
    </row>
    <row r="949" spans="1:7" x14ac:dyDescent="0.25">
      <c r="A949" s="5" t="s">
        <v>103</v>
      </c>
      <c r="B949" s="5" t="s">
        <v>104</v>
      </c>
      <c r="C949" s="5">
        <v>1400</v>
      </c>
      <c r="D949" s="5" t="s">
        <v>78</v>
      </c>
      <c r="E949" s="5" t="s">
        <v>97</v>
      </c>
      <c r="F949" s="6">
        <v>42736</v>
      </c>
      <c r="G949">
        <v>307</v>
      </c>
    </row>
    <row r="950" spans="1:7" x14ac:dyDescent="0.25">
      <c r="A950" s="5" t="s">
        <v>103</v>
      </c>
      <c r="B950" s="5" t="s">
        <v>104</v>
      </c>
      <c r="C950" s="5">
        <v>1400</v>
      </c>
      <c r="D950" s="5" t="s">
        <v>78</v>
      </c>
      <c r="E950" s="5" t="s">
        <v>98</v>
      </c>
      <c r="F950" s="6">
        <v>42370</v>
      </c>
      <c r="G950">
        <v>162</v>
      </c>
    </row>
    <row r="951" spans="1:7" x14ac:dyDescent="0.25">
      <c r="A951" s="5" t="s">
        <v>103</v>
      </c>
      <c r="B951" s="5" t="s">
        <v>104</v>
      </c>
      <c r="C951" s="5">
        <v>1400</v>
      </c>
      <c r="D951" s="5" t="s">
        <v>78</v>
      </c>
      <c r="E951" s="5" t="s">
        <v>98</v>
      </c>
      <c r="F951" s="6">
        <v>42736</v>
      </c>
      <c r="G951">
        <v>216</v>
      </c>
    </row>
    <row r="952" spans="1:7" x14ac:dyDescent="0.25">
      <c r="A952" s="5" t="s">
        <v>103</v>
      </c>
      <c r="B952" s="5" t="s">
        <v>105</v>
      </c>
      <c r="C952" s="5">
        <v>1480</v>
      </c>
      <c r="D952" s="5" t="s">
        <v>8</v>
      </c>
      <c r="E952" s="5" t="s">
        <v>9</v>
      </c>
      <c r="F952" s="6">
        <v>42370</v>
      </c>
      <c r="G952">
        <v>0</v>
      </c>
    </row>
    <row r="953" spans="1:7" x14ac:dyDescent="0.25">
      <c r="A953" s="5" t="s">
        <v>103</v>
      </c>
      <c r="B953" s="5" t="s">
        <v>105</v>
      </c>
      <c r="C953" s="5">
        <v>1480</v>
      </c>
      <c r="D953" s="5" t="s">
        <v>8</v>
      </c>
      <c r="E953" s="5" t="s">
        <v>9</v>
      </c>
      <c r="F953" s="6">
        <v>42736</v>
      </c>
      <c r="G953">
        <v>0</v>
      </c>
    </row>
    <row r="954" spans="1:7" x14ac:dyDescent="0.25">
      <c r="A954" s="5" t="s">
        <v>103</v>
      </c>
      <c r="B954" s="5" t="s">
        <v>105</v>
      </c>
      <c r="C954" s="5">
        <v>1480</v>
      </c>
      <c r="D954" s="5" t="s">
        <v>8</v>
      </c>
      <c r="E954" s="5" t="s">
        <v>10</v>
      </c>
      <c r="F954" s="6">
        <v>42370</v>
      </c>
      <c r="G954">
        <v>147</v>
      </c>
    </row>
    <row r="955" spans="1:7" x14ac:dyDescent="0.25">
      <c r="A955" s="5" t="s">
        <v>103</v>
      </c>
      <c r="B955" s="5" t="s">
        <v>105</v>
      </c>
      <c r="C955" s="5">
        <v>1480</v>
      </c>
      <c r="D955" s="5" t="s">
        <v>8</v>
      </c>
      <c r="E955" s="5" t="s">
        <v>10</v>
      </c>
      <c r="F955" s="6">
        <v>42736</v>
      </c>
      <c r="G955">
        <v>230</v>
      </c>
    </row>
    <row r="956" spans="1:7" x14ac:dyDescent="0.25">
      <c r="A956" s="5" t="s">
        <v>103</v>
      </c>
      <c r="B956" s="5" t="s">
        <v>105</v>
      </c>
      <c r="C956" s="5">
        <v>1480</v>
      </c>
      <c r="D956" s="5" t="s">
        <v>8</v>
      </c>
      <c r="E956" s="5" t="s">
        <v>11</v>
      </c>
      <c r="F956" s="6">
        <v>42370</v>
      </c>
      <c r="G956">
        <v>61</v>
      </c>
    </row>
    <row r="957" spans="1:7" x14ac:dyDescent="0.25">
      <c r="A957" s="5" t="s">
        <v>103</v>
      </c>
      <c r="B957" s="5" t="s">
        <v>105</v>
      </c>
      <c r="C957" s="5">
        <v>1480</v>
      </c>
      <c r="D957" s="5" t="s">
        <v>8</v>
      </c>
      <c r="E957" s="5" t="s">
        <v>11</v>
      </c>
      <c r="F957" s="6">
        <v>42736</v>
      </c>
      <c r="G957">
        <v>67</v>
      </c>
    </row>
    <row r="958" spans="1:7" x14ac:dyDescent="0.25">
      <c r="A958" s="5" t="s">
        <v>103</v>
      </c>
      <c r="B958" s="5" t="s">
        <v>105</v>
      </c>
      <c r="C958" s="5">
        <v>1480</v>
      </c>
      <c r="D958" s="5" t="s">
        <v>8</v>
      </c>
      <c r="E958" s="5" t="s">
        <v>12</v>
      </c>
      <c r="F958" s="6">
        <v>42370</v>
      </c>
      <c r="G958">
        <v>0</v>
      </c>
    </row>
    <row r="959" spans="1:7" x14ac:dyDescent="0.25">
      <c r="A959" s="5" t="s">
        <v>103</v>
      </c>
      <c r="B959" s="5" t="s">
        <v>105</v>
      </c>
      <c r="C959" s="5">
        <v>1480</v>
      </c>
      <c r="D959" s="5" t="s">
        <v>8</v>
      </c>
      <c r="E959" s="5" t="s">
        <v>12</v>
      </c>
      <c r="F959" s="6">
        <v>42736</v>
      </c>
      <c r="G959">
        <v>0</v>
      </c>
    </row>
    <row r="960" spans="1:7" x14ac:dyDescent="0.25">
      <c r="A960" s="5" t="s">
        <v>103</v>
      </c>
      <c r="B960" s="5" t="s">
        <v>105</v>
      </c>
      <c r="C960" s="5">
        <v>1480</v>
      </c>
      <c r="D960" s="5" t="s">
        <v>8</v>
      </c>
      <c r="E960" s="5" t="s">
        <v>13</v>
      </c>
      <c r="F960" s="6">
        <v>42370</v>
      </c>
      <c r="G960">
        <v>0</v>
      </c>
    </row>
    <row r="961" spans="1:7" x14ac:dyDescent="0.25">
      <c r="A961" s="5" t="s">
        <v>103</v>
      </c>
      <c r="B961" s="5" t="s">
        <v>105</v>
      </c>
      <c r="C961" s="5">
        <v>1480</v>
      </c>
      <c r="D961" s="5" t="s">
        <v>8</v>
      </c>
      <c r="E961" s="5" t="s">
        <v>13</v>
      </c>
      <c r="F961" s="6">
        <v>42736</v>
      </c>
      <c r="G961">
        <v>0</v>
      </c>
    </row>
    <row r="962" spans="1:7" x14ac:dyDescent="0.25">
      <c r="A962" s="5" t="s">
        <v>103</v>
      </c>
      <c r="B962" s="5" t="s">
        <v>105</v>
      </c>
      <c r="C962" s="5">
        <v>1480</v>
      </c>
      <c r="D962" s="5" t="s">
        <v>8</v>
      </c>
      <c r="E962" s="5" t="s">
        <v>14</v>
      </c>
      <c r="F962" s="6">
        <v>42370</v>
      </c>
      <c r="G962">
        <v>0</v>
      </c>
    </row>
    <row r="963" spans="1:7" x14ac:dyDescent="0.25">
      <c r="A963" s="5" t="s">
        <v>103</v>
      </c>
      <c r="B963" s="5" t="s">
        <v>105</v>
      </c>
      <c r="C963" s="5">
        <v>1480</v>
      </c>
      <c r="D963" s="5" t="s">
        <v>8</v>
      </c>
      <c r="E963" s="5" t="s">
        <v>14</v>
      </c>
      <c r="F963" s="6">
        <v>42736</v>
      </c>
      <c r="G963">
        <v>0</v>
      </c>
    </row>
    <row r="964" spans="1:7" x14ac:dyDescent="0.25">
      <c r="A964" s="5" t="s">
        <v>103</v>
      </c>
      <c r="B964" s="5" t="s">
        <v>105</v>
      </c>
      <c r="C964" s="5">
        <v>1480</v>
      </c>
      <c r="D964" s="5" t="s">
        <v>8</v>
      </c>
      <c r="E964" s="5" t="s">
        <v>15</v>
      </c>
      <c r="F964" s="6">
        <v>42370</v>
      </c>
      <c r="G964">
        <v>0</v>
      </c>
    </row>
    <row r="965" spans="1:7" x14ac:dyDescent="0.25">
      <c r="A965" s="5" t="s">
        <v>103</v>
      </c>
      <c r="B965" s="5" t="s">
        <v>105</v>
      </c>
      <c r="C965" s="5">
        <v>1480</v>
      </c>
      <c r="D965" s="5" t="s">
        <v>8</v>
      </c>
      <c r="E965" s="5" t="s">
        <v>15</v>
      </c>
      <c r="F965" s="6">
        <v>42736</v>
      </c>
      <c r="G965">
        <v>0</v>
      </c>
    </row>
    <row r="966" spans="1:7" x14ac:dyDescent="0.25">
      <c r="A966" s="5" t="s">
        <v>103</v>
      </c>
      <c r="B966" s="5" t="s">
        <v>105</v>
      </c>
      <c r="C966" s="5">
        <v>1480</v>
      </c>
      <c r="D966" s="5" t="s">
        <v>8</v>
      </c>
      <c r="E966" s="5" t="s">
        <v>16</v>
      </c>
      <c r="F966" s="6">
        <v>42370</v>
      </c>
      <c r="G966">
        <v>34</v>
      </c>
    </row>
    <row r="967" spans="1:7" x14ac:dyDescent="0.25">
      <c r="A967" s="5" t="s">
        <v>103</v>
      </c>
      <c r="B967" s="5" t="s">
        <v>105</v>
      </c>
      <c r="C967" s="5">
        <v>1480</v>
      </c>
      <c r="D967" s="5" t="s">
        <v>8</v>
      </c>
      <c r="E967" s="5" t="s">
        <v>16</v>
      </c>
      <c r="F967" s="6">
        <v>42736</v>
      </c>
      <c r="G967">
        <v>43</v>
      </c>
    </row>
    <row r="968" spans="1:7" x14ac:dyDescent="0.25">
      <c r="A968" s="5" t="s">
        <v>103</v>
      </c>
      <c r="B968" s="5" t="s">
        <v>105</v>
      </c>
      <c r="C968" s="5">
        <v>1480</v>
      </c>
      <c r="D968" s="5" t="s">
        <v>8</v>
      </c>
      <c r="E968" s="5" t="s">
        <v>17</v>
      </c>
      <c r="F968" s="6">
        <v>42370</v>
      </c>
      <c r="G968">
        <v>0</v>
      </c>
    </row>
    <row r="969" spans="1:7" x14ac:dyDescent="0.25">
      <c r="A969" s="5" t="s">
        <v>103</v>
      </c>
      <c r="B969" s="5" t="s">
        <v>105</v>
      </c>
      <c r="C969" s="5">
        <v>1480</v>
      </c>
      <c r="D969" s="5" t="s">
        <v>8</v>
      </c>
      <c r="E969" s="5" t="s">
        <v>17</v>
      </c>
      <c r="F969" s="6">
        <v>42736</v>
      </c>
      <c r="G969">
        <v>0</v>
      </c>
    </row>
    <row r="970" spans="1:7" x14ac:dyDescent="0.25">
      <c r="A970" s="5" t="s">
        <v>103</v>
      </c>
      <c r="B970" s="5" t="s">
        <v>105</v>
      </c>
      <c r="C970" s="5">
        <v>1480</v>
      </c>
      <c r="D970" s="5" t="s">
        <v>8</v>
      </c>
      <c r="E970" s="5" t="s">
        <v>18</v>
      </c>
      <c r="F970" s="6">
        <v>42370</v>
      </c>
      <c r="G970">
        <v>14</v>
      </c>
    </row>
    <row r="971" spans="1:7" x14ac:dyDescent="0.25">
      <c r="A971" s="5" t="s">
        <v>103</v>
      </c>
      <c r="B971" s="5" t="s">
        <v>105</v>
      </c>
      <c r="C971" s="5">
        <v>1480</v>
      </c>
      <c r="D971" s="5" t="s">
        <v>8</v>
      </c>
      <c r="E971" s="5" t="s">
        <v>18</v>
      </c>
      <c r="F971" s="6">
        <v>42736</v>
      </c>
      <c r="G971">
        <v>27</v>
      </c>
    </row>
    <row r="972" spans="1:7" x14ac:dyDescent="0.25">
      <c r="A972" s="5" t="s">
        <v>103</v>
      </c>
      <c r="B972" s="5" t="s">
        <v>105</v>
      </c>
      <c r="C972" s="5">
        <v>1480</v>
      </c>
      <c r="D972" s="5" t="s">
        <v>8</v>
      </c>
      <c r="E972" s="5" t="s">
        <v>19</v>
      </c>
      <c r="F972" s="6">
        <v>42370</v>
      </c>
      <c r="G972">
        <v>0</v>
      </c>
    </row>
    <row r="973" spans="1:7" x14ac:dyDescent="0.25">
      <c r="A973" s="5" t="s">
        <v>103</v>
      </c>
      <c r="B973" s="5" t="s">
        <v>105</v>
      </c>
      <c r="C973" s="5">
        <v>1480</v>
      </c>
      <c r="D973" s="5" t="s">
        <v>8</v>
      </c>
      <c r="E973" s="5" t="s">
        <v>19</v>
      </c>
      <c r="F973" s="6">
        <v>42736</v>
      </c>
      <c r="G973">
        <v>0</v>
      </c>
    </row>
    <row r="974" spans="1:7" x14ac:dyDescent="0.25">
      <c r="A974" s="5" t="s">
        <v>103</v>
      </c>
      <c r="B974" s="5" t="s">
        <v>105</v>
      </c>
      <c r="C974" s="5">
        <v>1480</v>
      </c>
      <c r="D974" s="5" t="s">
        <v>20</v>
      </c>
      <c r="E974" s="5" t="s">
        <v>9</v>
      </c>
      <c r="F974" s="6">
        <v>42370</v>
      </c>
      <c r="G974">
        <v>2</v>
      </c>
    </row>
    <row r="975" spans="1:7" x14ac:dyDescent="0.25">
      <c r="A975" s="5" t="s">
        <v>103</v>
      </c>
      <c r="B975" s="5" t="s">
        <v>105</v>
      </c>
      <c r="C975" s="5">
        <v>1480</v>
      </c>
      <c r="D975" s="5" t="s">
        <v>20</v>
      </c>
      <c r="E975" s="5" t="s">
        <v>9</v>
      </c>
      <c r="F975" s="6">
        <v>42736</v>
      </c>
      <c r="G975">
        <v>19</v>
      </c>
    </row>
    <row r="976" spans="1:7" x14ac:dyDescent="0.25">
      <c r="A976" s="5" t="s">
        <v>103</v>
      </c>
      <c r="B976" s="5" t="s">
        <v>105</v>
      </c>
      <c r="C976" s="5">
        <v>1480</v>
      </c>
      <c r="D976" s="5" t="s">
        <v>20</v>
      </c>
      <c r="E976" s="5" t="s">
        <v>21</v>
      </c>
      <c r="F976" s="6">
        <v>42370</v>
      </c>
      <c r="G976">
        <v>0</v>
      </c>
    </row>
    <row r="977" spans="1:7" x14ac:dyDescent="0.25">
      <c r="A977" s="5" t="s">
        <v>103</v>
      </c>
      <c r="B977" s="5" t="s">
        <v>105</v>
      </c>
      <c r="C977" s="5">
        <v>1480</v>
      </c>
      <c r="D977" s="5" t="s">
        <v>20</v>
      </c>
      <c r="E977" s="5" t="s">
        <v>21</v>
      </c>
      <c r="F977" s="6">
        <v>42736</v>
      </c>
      <c r="G977">
        <v>0</v>
      </c>
    </row>
    <row r="978" spans="1:7" x14ac:dyDescent="0.25">
      <c r="A978" s="5" t="s">
        <v>103</v>
      </c>
      <c r="B978" s="5" t="s">
        <v>105</v>
      </c>
      <c r="C978" s="5">
        <v>1480</v>
      </c>
      <c r="D978" s="5" t="s">
        <v>20</v>
      </c>
      <c r="E978" s="5" t="s">
        <v>22</v>
      </c>
      <c r="F978" s="6">
        <v>42370</v>
      </c>
      <c r="G978">
        <v>0</v>
      </c>
    </row>
    <row r="979" spans="1:7" x14ac:dyDescent="0.25">
      <c r="A979" s="5" t="s">
        <v>103</v>
      </c>
      <c r="B979" s="5" t="s">
        <v>105</v>
      </c>
      <c r="C979" s="5">
        <v>1480</v>
      </c>
      <c r="D979" s="5" t="s">
        <v>20</v>
      </c>
      <c r="E979" s="5" t="s">
        <v>22</v>
      </c>
      <c r="F979" s="6">
        <v>42736</v>
      </c>
      <c r="G979">
        <v>10</v>
      </c>
    </row>
    <row r="980" spans="1:7" x14ac:dyDescent="0.25">
      <c r="A980" s="5" t="s">
        <v>103</v>
      </c>
      <c r="B980" s="5" t="s">
        <v>105</v>
      </c>
      <c r="C980" s="5">
        <v>1480</v>
      </c>
      <c r="D980" s="5" t="s">
        <v>20</v>
      </c>
      <c r="E980" s="5" t="s">
        <v>23</v>
      </c>
      <c r="F980" s="6">
        <v>42370</v>
      </c>
      <c r="G980">
        <v>6</v>
      </c>
    </row>
    <row r="981" spans="1:7" x14ac:dyDescent="0.25">
      <c r="A981" s="5" t="s">
        <v>103</v>
      </c>
      <c r="B981" s="5" t="s">
        <v>105</v>
      </c>
      <c r="C981" s="5">
        <v>1480</v>
      </c>
      <c r="D981" s="5" t="s">
        <v>20</v>
      </c>
      <c r="E981" s="5" t="s">
        <v>23</v>
      </c>
      <c r="F981" s="6">
        <v>42736</v>
      </c>
      <c r="G981">
        <v>5</v>
      </c>
    </row>
    <row r="982" spans="1:7" x14ac:dyDescent="0.25">
      <c r="A982" s="5" t="s">
        <v>103</v>
      </c>
      <c r="B982" s="5" t="s">
        <v>105</v>
      </c>
      <c r="C982" s="5">
        <v>1480</v>
      </c>
      <c r="D982" s="5" t="s">
        <v>20</v>
      </c>
      <c r="E982" s="5" t="s">
        <v>24</v>
      </c>
      <c r="F982" s="6">
        <v>42370</v>
      </c>
      <c r="G982">
        <v>0</v>
      </c>
    </row>
    <row r="983" spans="1:7" x14ac:dyDescent="0.25">
      <c r="A983" s="5" t="s">
        <v>103</v>
      </c>
      <c r="B983" s="5" t="s">
        <v>105</v>
      </c>
      <c r="C983" s="5">
        <v>1480</v>
      </c>
      <c r="D983" s="5" t="s">
        <v>20</v>
      </c>
      <c r="E983" s="5" t="s">
        <v>24</v>
      </c>
      <c r="F983" s="6">
        <v>42736</v>
      </c>
      <c r="G983">
        <v>0</v>
      </c>
    </row>
    <row r="984" spans="1:7" x14ac:dyDescent="0.25">
      <c r="A984" s="5" t="s">
        <v>103</v>
      </c>
      <c r="B984" s="5" t="s">
        <v>105</v>
      </c>
      <c r="C984" s="5">
        <v>1480</v>
      </c>
      <c r="D984" s="5" t="s">
        <v>20</v>
      </c>
      <c r="E984" s="5" t="s">
        <v>25</v>
      </c>
      <c r="F984" s="6">
        <v>42370</v>
      </c>
      <c r="G984">
        <v>0</v>
      </c>
    </row>
    <row r="985" spans="1:7" x14ac:dyDescent="0.25">
      <c r="A985" s="5" t="s">
        <v>103</v>
      </c>
      <c r="B985" s="5" t="s">
        <v>105</v>
      </c>
      <c r="C985" s="5">
        <v>1480</v>
      </c>
      <c r="D985" s="5" t="s">
        <v>20</v>
      </c>
      <c r="E985" s="5" t="s">
        <v>25</v>
      </c>
      <c r="F985" s="6">
        <v>42736</v>
      </c>
      <c r="G985">
        <v>0</v>
      </c>
    </row>
    <row r="986" spans="1:7" x14ac:dyDescent="0.25">
      <c r="A986" s="5" t="s">
        <v>103</v>
      </c>
      <c r="B986" s="5" t="s">
        <v>105</v>
      </c>
      <c r="C986" s="5">
        <v>1480</v>
      </c>
      <c r="D986" s="5" t="s">
        <v>20</v>
      </c>
      <c r="E986" s="5" t="s">
        <v>26</v>
      </c>
      <c r="F986" s="6">
        <v>42370</v>
      </c>
      <c r="G986">
        <v>59</v>
      </c>
    </row>
    <row r="987" spans="1:7" x14ac:dyDescent="0.25">
      <c r="A987" s="5" t="s">
        <v>103</v>
      </c>
      <c r="B987" s="5" t="s">
        <v>105</v>
      </c>
      <c r="C987" s="5">
        <v>1480</v>
      </c>
      <c r="D987" s="5" t="s">
        <v>20</v>
      </c>
      <c r="E987" s="5" t="s">
        <v>26</v>
      </c>
      <c r="F987" s="6">
        <v>42736</v>
      </c>
      <c r="G987">
        <v>116</v>
      </c>
    </row>
    <row r="988" spans="1:7" x14ac:dyDescent="0.25">
      <c r="A988" s="5" t="s">
        <v>103</v>
      </c>
      <c r="B988" s="5" t="s">
        <v>105</v>
      </c>
      <c r="C988" s="5">
        <v>1480</v>
      </c>
      <c r="D988" s="5" t="s">
        <v>20</v>
      </c>
      <c r="E988" s="5" t="s">
        <v>27</v>
      </c>
      <c r="F988" s="6">
        <v>42370</v>
      </c>
      <c r="G988">
        <v>3</v>
      </c>
    </row>
    <row r="989" spans="1:7" x14ac:dyDescent="0.25">
      <c r="A989" s="5" t="s">
        <v>103</v>
      </c>
      <c r="B989" s="5" t="s">
        <v>105</v>
      </c>
      <c r="C989" s="5">
        <v>1480</v>
      </c>
      <c r="D989" s="5" t="s">
        <v>20</v>
      </c>
      <c r="E989" s="5" t="s">
        <v>27</v>
      </c>
      <c r="F989" s="6">
        <v>42736</v>
      </c>
      <c r="G989">
        <v>5</v>
      </c>
    </row>
    <row r="990" spans="1:7" x14ac:dyDescent="0.25">
      <c r="A990" s="5" t="s">
        <v>103</v>
      </c>
      <c r="B990" s="5" t="s">
        <v>105</v>
      </c>
      <c r="C990" s="5">
        <v>1480</v>
      </c>
      <c r="D990" s="5" t="s">
        <v>20</v>
      </c>
      <c r="E990" s="5" t="s">
        <v>28</v>
      </c>
      <c r="F990" s="6">
        <v>42370</v>
      </c>
      <c r="G990">
        <v>0</v>
      </c>
    </row>
    <row r="991" spans="1:7" x14ac:dyDescent="0.25">
      <c r="A991" s="5" t="s">
        <v>103</v>
      </c>
      <c r="B991" s="5" t="s">
        <v>105</v>
      </c>
      <c r="C991" s="5">
        <v>1480</v>
      </c>
      <c r="D991" s="5" t="s">
        <v>20</v>
      </c>
      <c r="E991" s="5" t="s">
        <v>28</v>
      </c>
      <c r="F991" s="6">
        <v>42736</v>
      </c>
      <c r="G991">
        <v>0</v>
      </c>
    </row>
    <row r="992" spans="1:7" x14ac:dyDescent="0.25">
      <c r="A992" s="5" t="s">
        <v>103</v>
      </c>
      <c r="B992" s="5" t="s">
        <v>105</v>
      </c>
      <c r="C992" s="5">
        <v>1480</v>
      </c>
      <c r="D992" s="5" t="s">
        <v>20</v>
      </c>
      <c r="E992" s="5" t="s">
        <v>29</v>
      </c>
      <c r="F992" s="6">
        <v>42370</v>
      </c>
      <c r="G992">
        <v>71</v>
      </c>
    </row>
    <row r="993" spans="1:7" x14ac:dyDescent="0.25">
      <c r="A993" s="5" t="s">
        <v>103</v>
      </c>
      <c r="B993" s="5" t="s">
        <v>105</v>
      </c>
      <c r="C993" s="5">
        <v>1480</v>
      </c>
      <c r="D993" s="5" t="s">
        <v>20</v>
      </c>
      <c r="E993" s="5" t="s">
        <v>29</v>
      </c>
      <c r="F993" s="6">
        <v>42736</v>
      </c>
      <c r="G993">
        <v>122</v>
      </c>
    </row>
    <row r="994" spans="1:7" x14ac:dyDescent="0.25">
      <c r="A994" s="5" t="s">
        <v>103</v>
      </c>
      <c r="B994" s="5" t="s">
        <v>105</v>
      </c>
      <c r="C994" s="5">
        <v>1480</v>
      </c>
      <c r="D994" s="5" t="s">
        <v>20</v>
      </c>
      <c r="E994" s="5" t="s">
        <v>30</v>
      </c>
      <c r="F994" s="6">
        <v>42370</v>
      </c>
      <c r="G994">
        <v>71</v>
      </c>
    </row>
    <row r="995" spans="1:7" x14ac:dyDescent="0.25">
      <c r="A995" s="5" t="s">
        <v>103</v>
      </c>
      <c r="B995" s="5" t="s">
        <v>105</v>
      </c>
      <c r="C995" s="5">
        <v>1480</v>
      </c>
      <c r="D995" s="5" t="s">
        <v>20</v>
      </c>
      <c r="E995" s="5" t="s">
        <v>30</v>
      </c>
      <c r="F995" s="6">
        <v>42736</v>
      </c>
      <c r="G995">
        <v>122</v>
      </c>
    </row>
    <row r="996" spans="1:7" x14ac:dyDescent="0.25">
      <c r="A996" s="5" t="s">
        <v>103</v>
      </c>
      <c r="B996" s="5" t="s">
        <v>105</v>
      </c>
      <c r="C996" s="5">
        <v>1480</v>
      </c>
      <c r="D996" s="5" t="s">
        <v>20</v>
      </c>
      <c r="E996" s="5" t="s">
        <v>31</v>
      </c>
      <c r="F996" s="6">
        <v>42370</v>
      </c>
      <c r="G996">
        <v>169</v>
      </c>
    </row>
    <row r="997" spans="1:7" x14ac:dyDescent="0.25">
      <c r="A997" s="5" t="s">
        <v>103</v>
      </c>
      <c r="B997" s="5" t="s">
        <v>105</v>
      </c>
      <c r="C997" s="5">
        <v>1480</v>
      </c>
      <c r="D997" s="5" t="s">
        <v>20</v>
      </c>
      <c r="E997" s="5" t="s">
        <v>31</v>
      </c>
      <c r="F997" s="6">
        <v>42736</v>
      </c>
      <c r="G997">
        <v>355</v>
      </c>
    </row>
    <row r="998" spans="1:7" x14ac:dyDescent="0.25">
      <c r="A998" s="5" t="s">
        <v>103</v>
      </c>
      <c r="B998" s="5" t="s">
        <v>105</v>
      </c>
      <c r="C998" s="5">
        <v>1480</v>
      </c>
      <c r="D998" s="5" t="s">
        <v>20</v>
      </c>
      <c r="E998" s="5" t="s">
        <v>32</v>
      </c>
      <c r="F998" s="6">
        <v>42370</v>
      </c>
      <c r="G998">
        <v>80</v>
      </c>
    </row>
    <row r="999" spans="1:7" x14ac:dyDescent="0.25">
      <c r="A999" s="5" t="s">
        <v>103</v>
      </c>
      <c r="B999" s="5" t="s">
        <v>105</v>
      </c>
      <c r="C999" s="5">
        <v>1480</v>
      </c>
      <c r="D999" s="5" t="s">
        <v>20</v>
      </c>
      <c r="E999" s="5" t="s">
        <v>32</v>
      </c>
      <c r="F999" s="6">
        <v>42736</v>
      </c>
      <c r="G999">
        <v>120</v>
      </c>
    </row>
    <row r="1000" spans="1:7" x14ac:dyDescent="0.25">
      <c r="A1000" s="5" t="s">
        <v>103</v>
      </c>
      <c r="B1000" s="5" t="s">
        <v>105</v>
      </c>
      <c r="C1000" s="5">
        <v>1480</v>
      </c>
      <c r="D1000" s="5" t="s">
        <v>33</v>
      </c>
      <c r="E1000" s="5" t="s">
        <v>9</v>
      </c>
      <c r="F1000" s="6">
        <v>42370</v>
      </c>
      <c r="G1000">
        <v>0</v>
      </c>
    </row>
    <row r="1001" spans="1:7" x14ac:dyDescent="0.25">
      <c r="A1001" s="5" t="s">
        <v>103</v>
      </c>
      <c r="B1001" s="5" t="s">
        <v>105</v>
      </c>
      <c r="C1001" s="5">
        <v>1480</v>
      </c>
      <c r="D1001" s="5" t="s">
        <v>33</v>
      </c>
      <c r="E1001" s="5" t="s">
        <v>9</v>
      </c>
      <c r="F1001" s="6">
        <v>42736</v>
      </c>
      <c r="G1001">
        <v>0</v>
      </c>
    </row>
    <row r="1002" spans="1:7" x14ac:dyDescent="0.25">
      <c r="A1002" s="5" t="s">
        <v>103</v>
      </c>
      <c r="B1002" s="5" t="s">
        <v>105</v>
      </c>
      <c r="C1002" s="5">
        <v>1480</v>
      </c>
      <c r="D1002" s="5" t="s">
        <v>33</v>
      </c>
      <c r="E1002" s="5" t="s">
        <v>34</v>
      </c>
      <c r="F1002" s="6">
        <v>42370</v>
      </c>
      <c r="G1002">
        <v>0</v>
      </c>
    </row>
    <row r="1003" spans="1:7" x14ac:dyDescent="0.25">
      <c r="A1003" s="5" t="s">
        <v>103</v>
      </c>
      <c r="B1003" s="5" t="s">
        <v>105</v>
      </c>
      <c r="C1003" s="5">
        <v>1480</v>
      </c>
      <c r="D1003" s="5" t="s">
        <v>33</v>
      </c>
      <c r="E1003" s="5" t="s">
        <v>34</v>
      </c>
      <c r="F1003" s="6">
        <v>42736</v>
      </c>
      <c r="G1003">
        <v>0</v>
      </c>
    </row>
    <row r="1004" spans="1:7" x14ac:dyDescent="0.25">
      <c r="A1004" s="5" t="s">
        <v>103</v>
      </c>
      <c r="B1004" s="5" t="s">
        <v>105</v>
      </c>
      <c r="C1004" s="5">
        <v>1480</v>
      </c>
      <c r="D1004" s="5" t="s">
        <v>35</v>
      </c>
      <c r="E1004" s="5" t="s">
        <v>36</v>
      </c>
      <c r="F1004" s="6">
        <v>42370</v>
      </c>
      <c r="G1004">
        <v>0</v>
      </c>
    </row>
    <row r="1005" spans="1:7" x14ac:dyDescent="0.25">
      <c r="A1005" s="5" t="s">
        <v>103</v>
      </c>
      <c r="B1005" s="5" t="s">
        <v>105</v>
      </c>
      <c r="C1005" s="5">
        <v>1480</v>
      </c>
      <c r="D1005" s="5" t="s">
        <v>35</v>
      </c>
      <c r="E1005" s="5" t="s">
        <v>36</v>
      </c>
      <c r="F1005" s="6">
        <v>42736</v>
      </c>
      <c r="G1005">
        <v>0</v>
      </c>
    </row>
    <row r="1006" spans="1:7" x14ac:dyDescent="0.25">
      <c r="A1006" s="5" t="s">
        <v>103</v>
      </c>
      <c r="B1006" s="5" t="s">
        <v>105</v>
      </c>
      <c r="C1006" s="5">
        <v>1480</v>
      </c>
      <c r="D1006" s="5" t="s">
        <v>35</v>
      </c>
      <c r="E1006" s="5" t="s">
        <v>37</v>
      </c>
      <c r="F1006" s="6">
        <v>42370</v>
      </c>
      <c r="G1006">
        <v>0</v>
      </c>
    </row>
    <row r="1007" spans="1:7" x14ac:dyDescent="0.25">
      <c r="A1007" s="5" t="s">
        <v>103</v>
      </c>
      <c r="B1007" s="5" t="s">
        <v>105</v>
      </c>
      <c r="C1007" s="5">
        <v>1480</v>
      </c>
      <c r="D1007" s="5" t="s">
        <v>35</v>
      </c>
      <c r="E1007" s="5" t="s">
        <v>37</v>
      </c>
      <c r="F1007" s="6">
        <v>42736</v>
      </c>
      <c r="G1007">
        <v>0</v>
      </c>
    </row>
    <row r="1008" spans="1:7" x14ac:dyDescent="0.25">
      <c r="A1008" s="5" t="s">
        <v>103</v>
      </c>
      <c r="B1008" s="5" t="s">
        <v>105</v>
      </c>
      <c r="C1008" s="5">
        <v>1480</v>
      </c>
      <c r="D1008" s="5" t="s">
        <v>35</v>
      </c>
      <c r="E1008" s="5" t="s">
        <v>38</v>
      </c>
      <c r="F1008" s="6">
        <v>42370</v>
      </c>
      <c r="G1008">
        <v>0</v>
      </c>
    </row>
    <row r="1009" spans="1:7" x14ac:dyDescent="0.25">
      <c r="A1009" s="5" t="s">
        <v>103</v>
      </c>
      <c r="B1009" s="5" t="s">
        <v>105</v>
      </c>
      <c r="C1009" s="5">
        <v>1480</v>
      </c>
      <c r="D1009" s="5" t="s">
        <v>35</v>
      </c>
      <c r="E1009" s="5" t="s">
        <v>38</v>
      </c>
      <c r="F1009" s="6">
        <v>42736</v>
      </c>
      <c r="G1009">
        <v>0</v>
      </c>
    </row>
    <row r="1010" spans="1:7" x14ac:dyDescent="0.25">
      <c r="A1010" s="5" t="s">
        <v>103</v>
      </c>
      <c r="B1010" s="5" t="s">
        <v>105</v>
      </c>
      <c r="C1010" s="5">
        <v>1480</v>
      </c>
      <c r="D1010" s="5" t="s">
        <v>35</v>
      </c>
      <c r="E1010" s="5" t="s">
        <v>39</v>
      </c>
      <c r="F1010" s="6">
        <v>42370</v>
      </c>
      <c r="G1010">
        <v>0</v>
      </c>
    </row>
    <row r="1011" spans="1:7" x14ac:dyDescent="0.25">
      <c r="A1011" s="5" t="s">
        <v>103</v>
      </c>
      <c r="B1011" s="5" t="s">
        <v>105</v>
      </c>
      <c r="C1011" s="5">
        <v>1480</v>
      </c>
      <c r="D1011" s="5" t="s">
        <v>35</v>
      </c>
      <c r="E1011" s="5" t="s">
        <v>39</v>
      </c>
      <c r="F1011" s="6">
        <v>42736</v>
      </c>
      <c r="G1011">
        <v>0</v>
      </c>
    </row>
    <row r="1012" spans="1:7" x14ac:dyDescent="0.25">
      <c r="A1012" s="5" t="s">
        <v>103</v>
      </c>
      <c r="B1012" s="5" t="s">
        <v>105</v>
      </c>
      <c r="C1012" s="5">
        <v>1480</v>
      </c>
      <c r="D1012" s="5" t="s">
        <v>35</v>
      </c>
      <c r="E1012" s="5" t="s">
        <v>40</v>
      </c>
      <c r="F1012" s="6">
        <v>42370</v>
      </c>
      <c r="G1012">
        <v>0</v>
      </c>
    </row>
    <row r="1013" spans="1:7" x14ac:dyDescent="0.25">
      <c r="A1013" s="5" t="s">
        <v>103</v>
      </c>
      <c r="B1013" s="5" t="s">
        <v>105</v>
      </c>
      <c r="C1013" s="5">
        <v>1480</v>
      </c>
      <c r="D1013" s="5" t="s">
        <v>35</v>
      </c>
      <c r="E1013" s="5" t="s">
        <v>40</v>
      </c>
      <c r="F1013" s="6">
        <v>42736</v>
      </c>
      <c r="G1013">
        <v>0</v>
      </c>
    </row>
    <row r="1014" spans="1:7" x14ac:dyDescent="0.25">
      <c r="A1014" s="5" t="s">
        <v>103</v>
      </c>
      <c r="B1014" s="5" t="s">
        <v>105</v>
      </c>
      <c r="C1014" s="5">
        <v>1480</v>
      </c>
      <c r="D1014" s="5" t="s">
        <v>35</v>
      </c>
      <c r="E1014" s="5" t="s">
        <v>41</v>
      </c>
      <c r="F1014" s="6">
        <v>42370</v>
      </c>
      <c r="G1014">
        <v>0</v>
      </c>
    </row>
    <row r="1015" spans="1:7" x14ac:dyDescent="0.25">
      <c r="A1015" s="5" t="s">
        <v>103</v>
      </c>
      <c r="B1015" s="5" t="s">
        <v>105</v>
      </c>
      <c r="C1015" s="5">
        <v>1480</v>
      </c>
      <c r="D1015" s="5" t="s">
        <v>35</v>
      </c>
      <c r="E1015" s="5" t="s">
        <v>41</v>
      </c>
      <c r="F1015" s="6">
        <v>42736</v>
      </c>
      <c r="G1015">
        <v>0</v>
      </c>
    </row>
    <row r="1016" spans="1:7" x14ac:dyDescent="0.25">
      <c r="A1016" s="5" t="s">
        <v>103</v>
      </c>
      <c r="B1016" s="5" t="s">
        <v>105</v>
      </c>
      <c r="C1016" s="5">
        <v>1480</v>
      </c>
      <c r="D1016" s="5" t="s">
        <v>35</v>
      </c>
      <c r="E1016" s="5" t="s">
        <v>42</v>
      </c>
      <c r="F1016" s="6">
        <v>42370</v>
      </c>
      <c r="G1016">
        <v>0</v>
      </c>
    </row>
    <row r="1017" spans="1:7" x14ac:dyDescent="0.25">
      <c r="A1017" s="5" t="s">
        <v>103</v>
      </c>
      <c r="B1017" s="5" t="s">
        <v>105</v>
      </c>
      <c r="C1017" s="5">
        <v>1480</v>
      </c>
      <c r="D1017" s="5" t="s">
        <v>35</v>
      </c>
      <c r="E1017" s="5" t="s">
        <v>42</v>
      </c>
      <c r="F1017" s="6">
        <v>42736</v>
      </c>
      <c r="G1017">
        <v>0</v>
      </c>
    </row>
    <row r="1018" spans="1:7" x14ac:dyDescent="0.25">
      <c r="A1018" s="5" t="s">
        <v>103</v>
      </c>
      <c r="B1018" s="5" t="s">
        <v>105</v>
      </c>
      <c r="C1018" s="5">
        <v>1480</v>
      </c>
      <c r="D1018" s="5" t="s">
        <v>35</v>
      </c>
      <c r="E1018" s="5" t="s">
        <v>43</v>
      </c>
      <c r="F1018" s="6">
        <v>42370</v>
      </c>
      <c r="G1018">
        <v>0</v>
      </c>
    </row>
    <row r="1019" spans="1:7" x14ac:dyDescent="0.25">
      <c r="A1019" s="5" t="s">
        <v>103</v>
      </c>
      <c r="B1019" s="5" t="s">
        <v>105</v>
      </c>
      <c r="C1019" s="5">
        <v>1480</v>
      </c>
      <c r="D1019" s="5" t="s">
        <v>35</v>
      </c>
      <c r="E1019" s="5" t="s">
        <v>43</v>
      </c>
      <c r="F1019" s="6">
        <v>42736</v>
      </c>
      <c r="G1019">
        <v>0</v>
      </c>
    </row>
    <row r="1020" spans="1:7" x14ac:dyDescent="0.25">
      <c r="A1020" s="5" t="s">
        <v>103</v>
      </c>
      <c r="B1020" s="5" t="s">
        <v>105</v>
      </c>
      <c r="C1020" s="5">
        <v>1480</v>
      </c>
      <c r="D1020" s="5" t="s">
        <v>44</v>
      </c>
      <c r="E1020" s="5" t="s">
        <v>36</v>
      </c>
      <c r="F1020" s="6">
        <v>42370</v>
      </c>
      <c r="G1020">
        <v>0</v>
      </c>
    </row>
    <row r="1021" spans="1:7" x14ac:dyDescent="0.25">
      <c r="A1021" s="5" t="s">
        <v>103</v>
      </c>
      <c r="B1021" s="5" t="s">
        <v>105</v>
      </c>
      <c r="C1021" s="5">
        <v>1480</v>
      </c>
      <c r="D1021" s="5" t="s">
        <v>44</v>
      </c>
      <c r="E1021" s="5" t="s">
        <v>36</v>
      </c>
      <c r="F1021" s="6">
        <v>42736</v>
      </c>
      <c r="G1021">
        <v>0</v>
      </c>
    </row>
    <row r="1022" spans="1:7" x14ac:dyDescent="0.25">
      <c r="A1022" s="5" t="s">
        <v>103</v>
      </c>
      <c r="B1022" s="5" t="s">
        <v>105</v>
      </c>
      <c r="C1022" s="5">
        <v>1480</v>
      </c>
      <c r="D1022" s="5" t="s">
        <v>44</v>
      </c>
      <c r="E1022" s="5" t="s">
        <v>37</v>
      </c>
      <c r="F1022" s="6">
        <v>42370</v>
      </c>
      <c r="G1022">
        <v>0</v>
      </c>
    </row>
    <row r="1023" spans="1:7" x14ac:dyDescent="0.25">
      <c r="A1023" s="5" t="s">
        <v>103</v>
      </c>
      <c r="B1023" s="5" t="s">
        <v>105</v>
      </c>
      <c r="C1023" s="5">
        <v>1480</v>
      </c>
      <c r="D1023" s="5" t="s">
        <v>44</v>
      </c>
      <c r="E1023" s="5" t="s">
        <v>37</v>
      </c>
      <c r="F1023" s="6">
        <v>42736</v>
      </c>
      <c r="G1023">
        <v>0</v>
      </c>
    </row>
    <row r="1024" spans="1:7" x14ac:dyDescent="0.25">
      <c r="A1024" s="5" t="s">
        <v>103</v>
      </c>
      <c r="B1024" s="5" t="s">
        <v>105</v>
      </c>
      <c r="C1024" s="5">
        <v>1480</v>
      </c>
      <c r="D1024" s="5" t="s">
        <v>44</v>
      </c>
      <c r="E1024" s="5" t="s">
        <v>38</v>
      </c>
      <c r="F1024" s="6">
        <v>42370</v>
      </c>
      <c r="G1024">
        <v>0</v>
      </c>
    </row>
    <row r="1025" spans="1:7" x14ac:dyDescent="0.25">
      <c r="A1025" s="5" t="s">
        <v>103</v>
      </c>
      <c r="B1025" s="5" t="s">
        <v>105</v>
      </c>
      <c r="C1025" s="5">
        <v>1480</v>
      </c>
      <c r="D1025" s="5" t="s">
        <v>44</v>
      </c>
      <c r="E1025" s="5" t="s">
        <v>38</v>
      </c>
      <c r="F1025" s="6">
        <v>42736</v>
      </c>
      <c r="G1025">
        <v>0</v>
      </c>
    </row>
    <row r="1026" spans="1:7" x14ac:dyDescent="0.25">
      <c r="A1026" s="5" t="s">
        <v>103</v>
      </c>
      <c r="B1026" s="5" t="s">
        <v>105</v>
      </c>
      <c r="C1026" s="5">
        <v>1480</v>
      </c>
      <c r="D1026" s="5" t="s">
        <v>44</v>
      </c>
      <c r="E1026" s="5" t="s">
        <v>39</v>
      </c>
      <c r="F1026" s="6">
        <v>42370</v>
      </c>
      <c r="G1026">
        <v>0</v>
      </c>
    </row>
    <row r="1027" spans="1:7" x14ac:dyDescent="0.25">
      <c r="A1027" s="5" t="s">
        <v>103</v>
      </c>
      <c r="B1027" s="5" t="s">
        <v>105</v>
      </c>
      <c r="C1027" s="5">
        <v>1480</v>
      </c>
      <c r="D1027" s="5" t="s">
        <v>44</v>
      </c>
      <c r="E1027" s="5" t="s">
        <v>39</v>
      </c>
      <c r="F1027" s="6">
        <v>42736</v>
      </c>
      <c r="G1027">
        <v>0</v>
      </c>
    </row>
    <row r="1028" spans="1:7" x14ac:dyDescent="0.25">
      <c r="A1028" s="5" t="s">
        <v>103</v>
      </c>
      <c r="B1028" s="5" t="s">
        <v>105</v>
      </c>
      <c r="C1028" s="5">
        <v>1480</v>
      </c>
      <c r="D1028" s="5" t="s">
        <v>44</v>
      </c>
      <c r="E1028" s="5" t="s">
        <v>40</v>
      </c>
      <c r="F1028" s="6">
        <v>42370</v>
      </c>
      <c r="G1028">
        <v>0</v>
      </c>
    </row>
    <row r="1029" spans="1:7" x14ac:dyDescent="0.25">
      <c r="A1029" s="5" t="s">
        <v>103</v>
      </c>
      <c r="B1029" s="5" t="s">
        <v>105</v>
      </c>
      <c r="C1029" s="5">
        <v>1480</v>
      </c>
      <c r="D1029" s="5" t="s">
        <v>44</v>
      </c>
      <c r="E1029" s="5" t="s">
        <v>40</v>
      </c>
      <c r="F1029" s="6">
        <v>42736</v>
      </c>
      <c r="G1029">
        <v>0</v>
      </c>
    </row>
    <row r="1030" spans="1:7" x14ac:dyDescent="0.25">
      <c r="A1030" s="5" t="s">
        <v>103</v>
      </c>
      <c r="B1030" s="5" t="s">
        <v>105</v>
      </c>
      <c r="C1030" s="5">
        <v>1480</v>
      </c>
      <c r="D1030" s="5" t="s">
        <v>44</v>
      </c>
      <c r="E1030" s="5" t="s">
        <v>41</v>
      </c>
      <c r="F1030" s="6">
        <v>42370</v>
      </c>
      <c r="G1030">
        <v>0</v>
      </c>
    </row>
    <row r="1031" spans="1:7" x14ac:dyDescent="0.25">
      <c r="A1031" s="5" t="s">
        <v>103</v>
      </c>
      <c r="B1031" s="5" t="s">
        <v>105</v>
      </c>
      <c r="C1031" s="5">
        <v>1480</v>
      </c>
      <c r="D1031" s="5" t="s">
        <v>44</v>
      </c>
      <c r="E1031" s="5" t="s">
        <v>41</v>
      </c>
      <c r="F1031" s="6">
        <v>42736</v>
      </c>
      <c r="G1031">
        <v>0</v>
      </c>
    </row>
    <row r="1032" spans="1:7" x14ac:dyDescent="0.25">
      <c r="A1032" s="5" t="s">
        <v>103</v>
      </c>
      <c r="B1032" s="5" t="s">
        <v>105</v>
      </c>
      <c r="C1032" s="5">
        <v>1480</v>
      </c>
      <c r="D1032" s="5" t="s">
        <v>44</v>
      </c>
      <c r="E1032" s="5" t="s">
        <v>42</v>
      </c>
      <c r="F1032" s="6">
        <v>42370</v>
      </c>
      <c r="G1032">
        <v>0</v>
      </c>
    </row>
    <row r="1033" spans="1:7" x14ac:dyDescent="0.25">
      <c r="A1033" s="5" t="s">
        <v>103</v>
      </c>
      <c r="B1033" s="5" t="s">
        <v>105</v>
      </c>
      <c r="C1033" s="5">
        <v>1480</v>
      </c>
      <c r="D1033" s="5" t="s">
        <v>44</v>
      </c>
      <c r="E1033" s="5" t="s">
        <v>42</v>
      </c>
      <c r="F1033" s="6">
        <v>42736</v>
      </c>
      <c r="G1033">
        <v>0</v>
      </c>
    </row>
    <row r="1034" spans="1:7" x14ac:dyDescent="0.25">
      <c r="A1034" s="5" t="s">
        <v>103</v>
      </c>
      <c r="B1034" s="5" t="s">
        <v>105</v>
      </c>
      <c r="C1034" s="5">
        <v>1480</v>
      </c>
      <c r="D1034" s="5" t="s">
        <v>44</v>
      </c>
      <c r="E1034" s="5" t="s">
        <v>43</v>
      </c>
      <c r="F1034" s="6">
        <v>42370</v>
      </c>
      <c r="G1034">
        <v>0</v>
      </c>
    </row>
    <row r="1035" spans="1:7" x14ac:dyDescent="0.25">
      <c r="A1035" s="5" t="s">
        <v>103</v>
      </c>
      <c r="B1035" s="5" t="s">
        <v>105</v>
      </c>
      <c r="C1035" s="5">
        <v>1480</v>
      </c>
      <c r="D1035" s="5" t="s">
        <v>44</v>
      </c>
      <c r="E1035" s="5" t="s">
        <v>43</v>
      </c>
      <c r="F1035" s="6">
        <v>42736</v>
      </c>
      <c r="G1035">
        <v>0</v>
      </c>
    </row>
    <row r="1036" spans="1:7" x14ac:dyDescent="0.25">
      <c r="A1036" s="5" t="s">
        <v>103</v>
      </c>
      <c r="B1036" s="5" t="s">
        <v>105</v>
      </c>
      <c r="C1036" s="5">
        <v>1480</v>
      </c>
      <c r="D1036" s="5" t="s">
        <v>45</v>
      </c>
      <c r="E1036" s="5" t="s">
        <v>46</v>
      </c>
      <c r="F1036" s="6">
        <v>42370</v>
      </c>
      <c r="G1036">
        <v>0</v>
      </c>
    </row>
    <row r="1037" spans="1:7" x14ac:dyDescent="0.25">
      <c r="A1037" s="5" t="s">
        <v>103</v>
      </c>
      <c r="B1037" s="5" t="s">
        <v>105</v>
      </c>
      <c r="C1037" s="5">
        <v>1480</v>
      </c>
      <c r="D1037" s="5" t="s">
        <v>45</v>
      </c>
      <c r="E1037" s="5" t="s">
        <v>46</v>
      </c>
      <c r="F1037" s="6">
        <v>42736</v>
      </c>
      <c r="G1037">
        <v>0</v>
      </c>
    </row>
    <row r="1038" spans="1:7" x14ac:dyDescent="0.25">
      <c r="A1038" s="5" t="s">
        <v>103</v>
      </c>
      <c r="B1038" s="5" t="s">
        <v>105</v>
      </c>
      <c r="C1038" s="5">
        <v>1480</v>
      </c>
      <c r="D1038" s="5" t="s">
        <v>45</v>
      </c>
      <c r="E1038" s="5" t="s">
        <v>47</v>
      </c>
      <c r="F1038" s="6">
        <v>42370</v>
      </c>
      <c r="G1038">
        <v>3</v>
      </c>
    </row>
    <row r="1039" spans="1:7" x14ac:dyDescent="0.25">
      <c r="A1039" s="5" t="s">
        <v>103</v>
      </c>
      <c r="B1039" s="5" t="s">
        <v>105</v>
      </c>
      <c r="C1039" s="5">
        <v>1480</v>
      </c>
      <c r="D1039" s="5" t="s">
        <v>45</v>
      </c>
      <c r="E1039" s="5" t="s">
        <v>47</v>
      </c>
      <c r="F1039" s="6">
        <v>42736</v>
      </c>
      <c r="G1039">
        <v>6</v>
      </c>
    </row>
    <row r="1040" spans="1:7" x14ac:dyDescent="0.25">
      <c r="A1040" s="5" t="s">
        <v>103</v>
      </c>
      <c r="B1040" s="5" t="s">
        <v>105</v>
      </c>
      <c r="C1040" s="5">
        <v>1480</v>
      </c>
      <c r="D1040" s="5" t="s">
        <v>45</v>
      </c>
      <c r="E1040" s="5" t="s">
        <v>48</v>
      </c>
      <c r="F1040" s="6">
        <v>42370</v>
      </c>
      <c r="G1040">
        <v>20</v>
      </c>
    </row>
    <row r="1041" spans="1:7" x14ac:dyDescent="0.25">
      <c r="A1041" s="5" t="s">
        <v>103</v>
      </c>
      <c r="B1041" s="5" t="s">
        <v>105</v>
      </c>
      <c r="C1041" s="5">
        <v>1480</v>
      </c>
      <c r="D1041" s="5" t="s">
        <v>45</v>
      </c>
      <c r="E1041" s="5" t="s">
        <v>48</v>
      </c>
      <c r="F1041" s="6">
        <v>42736</v>
      </c>
      <c r="G1041">
        <v>20</v>
      </c>
    </row>
    <row r="1042" spans="1:7" x14ac:dyDescent="0.25">
      <c r="A1042" s="5" t="s">
        <v>103</v>
      </c>
      <c r="B1042" s="5" t="s">
        <v>105</v>
      </c>
      <c r="C1042" s="5">
        <v>1480</v>
      </c>
      <c r="D1042" s="5" t="s">
        <v>45</v>
      </c>
      <c r="E1042" s="5" t="s">
        <v>49</v>
      </c>
      <c r="F1042" s="6">
        <v>42370</v>
      </c>
      <c r="G1042">
        <v>58</v>
      </c>
    </row>
    <row r="1043" spans="1:7" x14ac:dyDescent="0.25">
      <c r="A1043" s="5" t="s">
        <v>103</v>
      </c>
      <c r="B1043" s="5" t="s">
        <v>105</v>
      </c>
      <c r="C1043" s="5">
        <v>1480</v>
      </c>
      <c r="D1043" s="5" t="s">
        <v>45</v>
      </c>
      <c r="E1043" s="5" t="s">
        <v>49</v>
      </c>
      <c r="F1043" s="6">
        <v>42736</v>
      </c>
      <c r="G1043">
        <v>37</v>
      </c>
    </row>
    <row r="1044" spans="1:7" x14ac:dyDescent="0.25">
      <c r="A1044" s="5" t="s">
        <v>103</v>
      </c>
      <c r="B1044" s="5" t="s">
        <v>105</v>
      </c>
      <c r="C1044" s="5">
        <v>1480</v>
      </c>
      <c r="D1044" s="5" t="s">
        <v>45</v>
      </c>
      <c r="E1044" s="5" t="s">
        <v>50</v>
      </c>
      <c r="F1044" s="6">
        <v>42370</v>
      </c>
      <c r="G1044">
        <v>1</v>
      </c>
    </row>
    <row r="1045" spans="1:7" x14ac:dyDescent="0.25">
      <c r="A1045" s="5" t="s">
        <v>103</v>
      </c>
      <c r="B1045" s="5" t="s">
        <v>105</v>
      </c>
      <c r="C1045" s="5">
        <v>1480</v>
      </c>
      <c r="D1045" s="5" t="s">
        <v>45</v>
      </c>
      <c r="E1045" s="5" t="s">
        <v>50</v>
      </c>
      <c r="F1045" s="6">
        <v>42736</v>
      </c>
      <c r="G1045">
        <v>3</v>
      </c>
    </row>
    <row r="1046" spans="1:7" x14ac:dyDescent="0.25">
      <c r="A1046" s="5" t="s">
        <v>103</v>
      </c>
      <c r="B1046" s="5" t="s">
        <v>105</v>
      </c>
      <c r="C1046" s="5">
        <v>1480</v>
      </c>
      <c r="D1046" s="5" t="s">
        <v>45</v>
      </c>
      <c r="E1046" s="5" t="s">
        <v>51</v>
      </c>
      <c r="F1046" s="6">
        <v>42370</v>
      </c>
      <c r="G1046">
        <v>0</v>
      </c>
    </row>
    <row r="1047" spans="1:7" x14ac:dyDescent="0.25">
      <c r="A1047" s="5" t="s">
        <v>103</v>
      </c>
      <c r="B1047" s="5" t="s">
        <v>105</v>
      </c>
      <c r="C1047" s="5">
        <v>1480</v>
      </c>
      <c r="D1047" s="5" t="s">
        <v>45</v>
      </c>
      <c r="E1047" s="5" t="s">
        <v>51</v>
      </c>
      <c r="F1047" s="6">
        <v>42736</v>
      </c>
      <c r="G1047">
        <v>0</v>
      </c>
    </row>
    <row r="1048" spans="1:7" x14ac:dyDescent="0.25">
      <c r="A1048" s="5" t="s">
        <v>103</v>
      </c>
      <c r="B1048" s="5" t="s">
        <v>105</v>
      </c>
      <c r="C1048" s="5">
        <v>1480</v>
      </c>
      <c r="D1048" s="5" t="s">
        <v>45</v>
      </c>
      <c r="E1048" s="5" t="s">
        <v>52</v>
      </c>
      <c r="F1048" s="6">
        <v>42370</v>
      </c>
      <c r="G1048">
        <v>0</v>
      </c>
    </row>
    <row r="1049" spans="1:7" x14ac:dyDescent="0.25">
      <c r="A1049" s="5" t="s">
        <v>103</v>
      </c>
      <c r="B1049" s="5" t="s">
        <v>105</v>
      </c>
      <c r="C1049" s="5">
        <v>1480</v>
      </c>
      <c r="D1049" s="5" t="s">
        <v>45</v>
      </c>
      <c r="E1049" s="5" t="s">
        <v>52</v>
      </c>
      <c r="F1049" s="6">
        <v>42736</v>
      </c>
      <c r="G1049">
        <v>0</v>
      </c>
    </row>
    <row r="1050" spans="1:7" x14ac:dyDescent="0.25">
      <c r="A1050" s="5" t="s">
        <v>103</v>
      </c>
      <c r="B1050" s="5" t="s">
        <v>105</v>
      </c>
      <c r="C1050" s="5">
        <v>1480</v>
      </c>
      <c r="D1050" s="5" t="s">
        <v>45</v>
      </c>
      <c r="E1050" s="5" t="s">
        <v>53</v>
      </c>
      <c r="F1050" s="6">
        <v>42370</v>
      </c>
      <c r="G1050">
        <v>34</v>
      </c>
    </row>
    <row r="1051" spans="1:7" x14ac:dyDescent="0.25">
      <c r="A1051" s="5" t="s">
        <v>103</v>
      </c>
      <c r="B1051" s="5" t="s">
        <v>105</v>
      </c>
      <c r="C1051" s="5">
        <v>1480</v>
      </c>
      <c r="D1051" s="5" t="s">
        <v>45</v>
      </c>
      <c r="E1051" s="5" t="s">
        <v>53</v>
      </c>
      <c r="F1051" s="6">
        <v>42736</v>
      </c>
      <c r="G1051">
        <v>19</v>
      </c>
    </row>
    <row r="1052" spans="1:7" x14ac:dyDescent="0.25">
      <c r="A1052" s="5" t="s">
        <v>103</v>
      </c>
      <c r="B1052" s="5" t="s">
        <v>105</v>
      </c>
      <c r="C1052" s="5">
        <v>1480</v>
      </c>
      <c r="D1052" s="5" t="s">
        <v>45</v>
      </c>
      <c r="E1052" s="5" t="s">
        <v>54</v>
      </c>
      <c r="F1052" s="6">
        <v>42370</v>
      </c>
      <c r="G1052">
        <v>0</v>
      </c>
    </row>
    <row r="1053" spans="1:7" x14ac:dyDescent="0.25">
      <c r="A1053" s="5" t="s">
        <v>103</v>
      </c>
      <c r="B1053" s="5" t="s">
        <v>105</v>
      </c>
      <c r="C1053" s="5">
        <v>1480</v>
      </c>
      <c r="D1053" s="5" t="s">
        <v>45</v>
      </c>
      <c r="E1053" s="5" t="s">
        <v>54</v>
      </c>
      <c r="F1053" s="6">
        <v>42736</v>
      </c>
      <c r="G1053">
        <v>5</v>
      </c>
    </row>
    <row r="1054" spans="1:7" x14ac:dyDescent="0.25">
      <c r="A1054" s="5" t="s">
        <v>103</v>
      </c>
      <c r="B1054" s="5" t="s">
        <v>105</v>
      </c>
      <c r="C1054" s="5">
        <v>1480</v>
      </c>
      <c r="D1054" s="5" t="s">
        <v>45</v>
      </c>
      <c r="E1054" s="5" t="s">
        <v>55</v>
      </c>
      <c r="F1054" s="6">
        <v>42370</v>
      </c>
      <c r="G1054">
        <v>0</v>
      </c>
    </row>
    <row r="1055" spans="1:7" x14ac:dyDescent="0.25">
      <c r="A1055" s="5" t="s">
        <v>103</v>
      </c>
      <c r="B1055" s="5" t="s">
        <v>105</v>
      </c>
      <c r="C1055" s="5">
        <v>1480</v>
      </c>
      <c r="D1055" s="5" t="s">
        <v>45</v>
      </c>
      <c r="E1055" s="5" t="s">
        <v>55</v>
      </c>
      <c r="F1055" s="6">
        <v>42736</v>
      </c>
      <c r="G1055">
        <v>0</v>
      </c>
    </row>
    <row r="1056" spans="1:7" x14ac:dyDescent="0.25">
      <c r="A1056" s="5" t="s">
        <v>103</v>
      </c>
      <c r="B1056" s="5" t="s">
        <v>105</v>
      </c>
      <c r="C1056" s="5">
        <v>1480</v>
      </c>
      <c r="D1056" s="5" t="s">
        <v>45</v>
      </c>
      <c r="E1056" s="5" t="s">
        <v>56</v>
      </c>
      <c r="F1056" s="6">
        <v>42370</v>
      </c>
      <c r="G1056">
        <v>4</v>
      </c>
    </row>
    <row r="1057" spans="1:7" x14ac:dyDescent="0.25">
      <c r="A1057" s="5" t="s">
        <v>103</v>
      </c>
      <c r="B1057" s="5" t="s">
        <v>105</v>
      </c>
      <c r="C1057" s="5">
        <v>1480</v>
      </c>
      <c r="D1057" s="5" t="s">
        <v>45</v>
      </c>
      <c r="E1057" s="5" t="s">
        <v>56</v>
      </c>
      <c r="F1057" s="6">
        <v>42736</v>
      </c>
      <c r="G1057">
        <v>2</v>
      </c>
    </row>
    <row r="1058" spans="1:7" x14ac:dyDescent="0.25">
      <c r="A1058" s="5" t="s">
        <v>103</v>
      </c>
      <c r="B1058" s="5" t="s">
        <v>105</v>
      </c>
      <c r="C1058" s="5">
        <v>1480</v>
      </c>
      <c r="D1058" s="5" t="s">
        <v>45</v>
      </c>
      <c r="E1058" s="5" t="s">
        <v>57</v>
      </c>
      <c r="F1058" s="6">
        <v>42370</v>
      </c>
      <c r="G1058">
        <v>0</v>
      </c>
    </row>
    <row r="1059" spans="1:7" x14ac:dyDescent="0.25">
      <c r="A1059" s="5" t="s">
        <v>103</v>
      </c>
      <c r="B1059" s="5" t="s">
        <v>105</v>
      </c>
      <c r="C1059" s="5">
        <v>1480</v>
      </c>
      <c r="D1059" s="5" t="s">
        <v>45</v>
      </c>
      <c r="E1059" s="5" t="s">
        <v>57</v>
      </c>
      <c r="F1059" s="6">
        <v>42736</v>
      </c>
      <c r="G1059">
        <v>1</v>
      </c>
    </row>
    <row r="1060" spans="1:7" x14ac:dyDescent="0.25">
      <c r="A1060" s="5" t="s">
        <v>103</v>
      </c>
      <c r="B1060" s="5" t="s">
        <v>105</v>
      </c>
      <c r="C1060" s="5">
        <v>1480</v>
      </c>
      <c r="D1060" s="5" t="s">
        <v>45</v>
      </c>
      <c r="E1060" s="5" t="s">
        <v>58</v>
      </c>
      <c r="F1060" s="6">
        <v>42370</v>
      </c>
      <c r="G1060">
        <v>4</v>
      </c>
    </row>
    <row r="1061" spans="1:7" x14ac:dyDescent="0.25">
      <c r="A1061" s="5" t="s">
        <v>103</v>
      </c>
      <c r="B1061" s="5" t="s">
        <v>105</v>
      </c>
      <c r="C1061" s="5">
        <v>1480</v>
      </c>
      <c r="D1061" s="5" t="s">
        <v>45</v>
      </c>
      <c r="E1061" s="5" t="s">
        <v>58</v>
      </c>
      <c r="F1061" s="6">
        <v>42736</v>
      </c>
      <c r="G1061">
        <v>1</v>
      </c>
    </row>
    <row r="1062" spans="1:7" x14ac:dyDescent="0.25">
      <c r="A1062" s="5" t="s">
        <v>103</v>
      </c>
      <c r="B1062" s="5" t="s">
        <v>105</v>
      </c>
      <c r="C1062" s="5">
        <v>1480</v>
      </c>
      <c r="D1062" s="5" t="s">
        <v>45</v>
      </c>
      <c r="E1062" s="5" t="s">
        <v>59</v>
      </c>
      <c r="F1062" s="6">
        <v>42370</v>
      </c>
      <c r="G1062">
        <v>3</v>
      </c>
    </row>
    <row r="1063" spans="1:7" x14ac:dyDescent="0.25">
      <c r="A1063" s="5" t="s">
        <v>103</v>
      </c>
      <c r="B1063" s="5" t="s">
        <v>105</v>
      </c>
      <c r="C1063" s="5">
        <v>1480</v>
      </c>
      <c r="D1063" s="5" t="s">
        <v>45</v>
      </c>
      <c r="E1063" s="5" t="s">
        <v>59</v>
      </c>
      <c r="F1063" s="6">
        <v>42736</v>
      </c>
      <c r="G1063">
        <v>1</v>
      </c>
    </row>
    <row r="1064" spans="1:7" x14ac:dyDescent="0.25">
      <c r="A1064" s="5" t="s">
        <v>103</v>
      </c>
      <c r="B1064" s="5" t="s">
        <v>105</v>
      </c>
      <c r="C1064" s="5">
        <v>1480</v>
      </c>
      <c r="D1064" s="5" t="s">
        <v>45</v>
      </c>
      <c r="E1064" s="5" t="s">
        <v>60</v>
      </c>
      <c r="F1064" s="6">
        <v>42370</v>
      </c>
      <c r="G1064">
        <v>17</v>
      </c>
    </row>
    <row r="1065" spans="1:7" x14ac:dyDescent="0.25">
      <c r="A1065" s="5" t="s">
        <v>103</v>
      </c>
      <c r="B1065" s="5" t="s">
        <v>105</v>
      </c>
      <c r="C1065" s="5">
        <v>1480</v>
      </c>
      <c r="D1065" s="5" t="s">
        <v>45</v>
      </c>
      <c r="E1065" s="5" t="s">
        <v>60</v>
      </c>
      <c r="F1065" s="6">
        <v>42736</v>
      </c>
      <c r="G1065">
        <v>10</v>
      </c>
    </row>
    <row r="1066" spans="1:7" x14ac:dyDescent="0.25">
      <c r="A1066" s="5" t="s">
        <v>103</v>
      </c>
      <c r="B1066" s="5" t="s">
        <v>105</v>
      </c>
      <c r="C1066" s="5">
        <v>1480</v>
      </c>
      <c r="D1066" s="5" t="s">
        <v>45</v>
      </c>
      <c r="E1066" s="5" t="s">
        <v>61</v>
      </c>
      <c r="F1066" s="6">
        <v>42370</v>
      </c>
      <c r="G1066">
        <v>0</v>
      </c>
    </row>
    <row r="1067" spans="1:7" x14ac:dyDescent="0.25">
      <c r="A1067" s="5" t="s">
        <v>103</v>
      </c>
      <c r="B1067" s="5" t="s">
        <v>105</v>
      </c>
      <c r="C1067" s="5">
        <v>1480</v>
      </c>
      <c r="D1067" s="5" t="s">
        <v>45</v>
      </c>
      <c r="E1067" s="5" t="s">
        <v>61</v>
      </c>
      <c r="F1067" s="6">
        <v>42736</v>
      </c>
      <c r="G1067">
        <v>0</v>
      </c>
    </row>
    <row r="1068" spans="1:7" x14ac:dyDescent="0.25">
      <c r="A1068" s="5" t="s">
        <v>103</v>
      </c>
      <c r="B1068" s="5" t="s">
        <v>105</v>
      </c>
      <c r="C1068" s="5">
        <v>1480</v>
      </c>
      <c r="D1068" s="5" t="s">
        <v>62</v>
      </c>
      <c r="E1068" s="5" t="s">
        <v>63</v>
      </c>
      <c r="F1068" s="6">
        <v>42370</v>
      </c>
      <c r="G1068">
        <v>0</v>
      </c>
    </row>
    <row r="1069" spans="1:7" x14ac:dyDescent="0.25">
      <c r="A1069" s="5" t="s">
        <v>103</v>
      </c>
      <c r="B1069" s="5" t="s">
        <v>105</v>
      </c>
      <c r="C1069" s="5">
        <v>1480</v>
      </c>
      <c r="D1069" s="5" t="s">
        <v>62</v>
      </c>
      <c r="E1069" s="5" t="s">
        <v>63</v>
      </c>
      <c r="F1069" s="6">
        <v>42736</v>
      </c>
      <c r="G1069">
        <v>0</v>
      </c>
    </row>
    <row r="1070" spans="1:7" x14ac:dyDescent="0.25">
      <c r="A1070" s="5" t="s">
        <v>103</v>
      </c>
      <c r="B1070" s="5" t="s">
        <v>105</v>
      </c>
      <c r="C1070" s="5">
        <v>1480</v>
      </c>
      <c r="D1070" s="5" t="s">
        <v>62</v>
      </c>
      <c r="E1070" s="5" t="s">
        <v>64</v>
      </c>
      <c r="F1070" s="6">
        <v>42370</v>
      </c>
      <c r="G1070">
        <v>0</v>
      </c>
    </row>
    <row r="1071" spans="1:7" x14ac:dyDescent="0.25">
      <c r="A1071" s="5" t="s">
        <v>103</v>
      </c>
      <c r="B1071" s="5" t="s">
        <v>105</v>
      </c>
      <c r="C1071" s="5">
        <v>1480</v>
      </c>
      <c r="D1071" s="5" t="s">
        <v>62</v>
      </c>
      <c r="E1071" s="5" t="s">
        <v>64</v>
      </c>
      <c r="F1071" s="6">
        <v>42736</v>
      </c>
      <c r="G1071">
        <v>0</v>
      </c>
    </row>
    <row r="1072" spans="1:7" x14ac:dyDescent="0.25">
      <c r="A1072" s="5" t="s">
        <v>103</v>
      </c>
      <c r="B1072" s="5" t="s">
        <v>105</v>
      </c>
      <c r="C1072" s="5">
        <v>1480</v>
      </c>
      <c r="D1072" s="5" t="s">
        <v>62</v>
      </c>
      <c r="E1072" s="5" t="s">
        <v>9</v>
      </c>
      <c r="F1072" s="6">
        <v>42370</v>
      </c>
      <c r="G1072">
        <v>0</v>
      </c>
    </row>
    <row r="1073" spans="1:7" x14ac:dyDescent="0.25">
      <c r="A1073" s="5" t="s">
        <v>103</v>
      </c>
      <c r="B1073" s="5" t="s">
        <v>105</v>
      </c>
      <c r="C1073" s="5">
        <v>1480</v>
      </c>
      <c r="D1073" s="5" t="s">
        <v>62</v>
      </c>
      <c r="E1073" s="5" t="s">
        <v>9</v>
      </c>
      <c r="F1073" s="6">
        <v>42736</v>
      </c>
      <c r="G1073">
        <v>0</v>
      </c>
    </row>
    <row r="1074" spans="1:7" x14ac:dyDescent="0.25">
      <c r="A1074" s="5" t="s">
        <v>103</v>
      </c>
      <c r="B1074" s="5" t="s">
        <v>105</v>
      </c>
      <c r="C1074" s="5">
        <v>1480</v>
      </c>
      <c r="D1074" s="5" t="s">
        <v>62</v>
      </c>
      <c r="E1074" s="5" t="s">
        <v>65</v>
      </c>
      <c r="F1074" s="6">
        <v>42370</v>
      </c>
      <c r="G1074">
        <v>0</v>
      </c>
    </row>
    <row r="1075" spans="1:7" x14ac:dyDescent="0.25">
      <c r="A1075" s="5" t="s">
        <v>103</v>
      </c>
      <c r="B1075" s="5" t="s">
        <v>105</v>
      </c>
      <c r="C1075" s="5">
        <v>1480</v>
      </c>
      <c r="D1075" s="5" t="s">
        <v>62</v>
      </c>
      <c r="E1075" s="5" t="s">
        <v>65</v>
      </c>
      <c r="F1075" s="6">
        <v>42736</v>
      </c>
      <c r="G1075">
        <v>0</v>
      </c>
    </row>
    <row r="1076" spans="1:7" x14ac:dyDescent="0.25">
      <c r="A1076" s="5" t="s">
        <v>103</v>
      </c>
      <c r="B1076" s="5" t="s">
        <v>105</v>
      </c>
      <c r="C1076" s="5">
        <v>1480</v>
      </c>
      <c r="D1076" s="5" t="s">
        <v>62</v>
      </c>
      <c r="E1076" s="5" t="s">
        <v>66</v>
      </c>
      <c r="F1076" s="6">
        <v>42370</v>
      </c>
      <c r="G1076">
        <v>0</v>
      </c>
    </row>
    <row r="1077" spans="1:7" x14ac:dyDescent="0.25">
      <c r="A1077" s="5" t="s">
        <v>103</v>
      </c>
      <c r="B1077" s="5" t="s">
        <v>105</v>
      </c>
      <c r="C1077" s="5">
        <v>1480</v>
      </c>
      <c r="D1077" s="5" t="s">
        <v>62</v>
      </c>
      <c r="E1077" s="5" t="s">
        <v>66</v>
      </c>
      <c r="F1077" s="6">
        <v>42736</v>
      </c>
      <c r="G1077">
        <v>0</v>
      </c>
    </row>
    <row r="1078" spans="1:7" x14ac:dyDescent="0.25">
      <c r="A1078" s="5" t="s">
        <v>103</v>
      </c>
      <c r="B1078" s="5" t="s">
        <v>105</v>
      </c>
      <c r="C1078" s="5">
        <v>1480</v>
      </c>
      <c r="D1078" s="5" t="s">
        <v>62</v>
      </c>
      <c r="E1078" s="5" t="s">
        <v>67</v>
      </c>
      <c r="F1078" s="6">
        <v>42370</v>
      </c>
      <c r="G1078">
        <v>0</v>
      </c>
    </row>
    <row r="1079" spans="1:7" x14ac:dyDescent="0.25">
      <c r="A1079" s="5" t="s">
        <v>103</v>
      </c>
      <c r="B1079" s="5" t="s">
        <v>105</v>
      </c>
      <c r="C1079" s="5">
        <v>1480</v>
      </c>
      <c r="D1079" s="5" t="s">
        <v>62</v>
      </c>
      <c r="E1079" s="5" t="s">
        <v>67</v>
      </c>
      <c r="F1079" s="6">
        <v>42736</v>
      </c>
      <c r="G1079">
        <v>0</v>
      </c>
    </row>
    <row r="1080" spans="1:7" x14ac:dyDescent="0.25">
      <c r="A1080" s="5" t="s">
        <v>103</v>
      </c>
      <c r="B1080" s="5" t="s">
        <v>105</v>
      </c>
      <c r="C1080" s="5">
        <v>1480</v>
      </c>
      <c r="D1080" s="5" t="s">
        <v>62</v>
      </c>
      <c r="E1080" s="5" t="s">
        <v>68</v>
      </c>
      <c r="F1080" s="6">
        <v>42370</v>
      </c>
      <c r="G1080">
        <v>0</v>
      </c>
    </row>
    <row r="1081" spans="1:7" x14ac:dyDescent="0.25">
      <c r="A1081" s="5" t="s">
        <v>103</v>
      </c>
      <c r="B1081" s="5" t="s">
        <v>105</v>
      </c>
      <c r="C1081" s="5">
        <v>1480</v>
      </c>
      <c r="D1081" s="5" t="s">
        <v>62</v>
      </c>
      <c r="E1081" s="5" t="s">
        <v>68</v>
      </c>
      <c r="F1081" s="6">
        <v>42736</v>
      </c>
      <c r="G1081">
        <v>0</v>
      </c>
    </row>
    <row r="1082" spans="1:7" x14ac:dyDescent="0.25">
      <c r="A1082" s="5" t="s">
        <v>103</v>
      </c>
      <c r="B1082" s="5" t="s">
        <v>105</v>
      </c>
      <c r="C1082" s="5">
        <v>1480</v>
      </c>
      <c r="D1082" s="5" t="s">
        <v>62</v>
      </c>
      <c r="E1082" s="5" t="s">
        <v>69</v>
      </c>
      <c r="F1082" s="6">
        <v>42370</v>
      </c>
      <c r="G1082">
        <v>0</v>
      </c>
    </row>
    <row r="1083" spans="1:7" x14ac:dyDescent="0.25">
      <c r="A1083" s="5" t="s">
        <v>103</v>
      </c>
      <c r="B1083" s="5" t="s">
        <v>105</v>
      </c>
      <c r="C1083" s="5">
        <v>1480</v>
      </c>
      <c r="D1083" s="5" t="s">
        <v>62</v>
      </c>
      <c r="E1083" s="5" t="s">
        <v>69</v>
      </c>
      <c r="F1083" s="6">
        <v>42736</v>
      </c>
      <c r="G1083">
        <v>0</v>
      </c>
    </row>
    <row r="1084" spans="1:7" x14ac:dyDescent="0.25">
      <c r="A1084" s="5" t="s">
        <v>103</v>
      </c>
      <c r="B1084" s="5" t="s">
        <v>105</v>
      </c>
      <c r="C1084" s="5">
        <v>1480</v>
      </c>
      <c r="D1084" s="5" t="s">
        <v>62</v>
      </c>
      <c r="E1084" s="5" t="s">
        <v>70</v>
      </c>
      <c r="F1084" s="6">
        <v>42370</v>
      </c>
      <c r="G1084">
        <v>0</v>
      </c>
    </row>
    <row r="1085" spans="1:7" x14ac:dyDescent="0.25">
      <c r="A1085" s="5" t="s">
        <v>103</v>
      </c>
      <c r="B1085" s="5" t="s">
        <v>105</v>
      </c>
      <c r="C1085" s="5">
        <v>1480</v>
      </c>
      <c r="D1085" s="5" t="s">
        <v>62</v>
      </c>
      <c r="E1085" s="5" t="s">
        <v>70</v>
      </c>
      <c r="F1085" s="6">
        <v>42736</v>
      </c>
      <c r="G1085">
        <v>0</v>
      </c>
    </row>
    <row r="1086" spans="1:7" x14ac:dyDescent="0.25">
      <c r="A1086" s="5" t="s">
        <v>103</v>
      </c>
      <c r="B1086" s="5" t="s">
        <v>105</v>
      </c>
      <c r="C1086" s="5">
        <v>1480</v>
      </c>
      <c r="D1086" s="5" t="s">
        <v>62</v>
      </c>
      <c r="E1086" s="5" t="s">
        <v>71</v>
      </c>
      <c r="F1086" s="6">
        <v>42370</v>
      </c>
      <c r="G1086">
        <v>0</v>
      </c>
    </row>
    <row r="1087" spans="1:7" x14ac:dyDescent="0.25">
      <c r="A1087" s="5" t="s">
        <v>103</v>
      </c>
      <c r="B1087" s="5" t="s">
        <v>105</v>
      </c>
      <c r="C1087" s="5">
        <v>1480</v>
      </c>
      <c r="D1087" s="5" t="s">
        <v>62</v>
      </c>
      <c r="E1087" s="5" t="s">
        <v>71</v>
      </c>
      <c r="F1087" s="6">
        <v>42736</v>
      </c>
      <c r="G1087">
        <v>0</v>
      </c>
    </row>
    <row r="1088" spans="1:7" x14ac:dyDescent="0.25">
      <c r="A1088" s="5" t="s">
        <v>103</v>
      </c>
      <c r="B1088" s="5" t="s">
        <v>105</v>
      </c>
      <c r="C1088" s="5">
        <v>1480</v>
      </c>
      <c r="D1088" s="5" t="s">
        <v>72</v>
      </c>
      <c r="E1088" s="5" t="s">
        <v>73</v>
      </c>
      <c r="F1088" s="6">
        <v>42370</v>
      </c>
      <c r="G1088">
        <v>0</v>
      </c>
    </row>
    <row r="1089" spans="1:7" x14ac:dyDescent="0.25">
      <c r="A1089" s="5" t="s">
        <v>103</v>
      </c>
      <c r="B1089" s="5" t="s">
        <v>105</v>
      </c>
      <c r="C1089" s="5">
        <v>1480</v>
      </c>
      <c r="D1089" s="5" t="s">
        <v>72</v>
      </c>
      <c r="E1089" s="5" t="s">
        <v>73</v>
      </c>
      <c r="F1089" s="6">
        <v>42736</v>
      </c>
      <c r="G1089">
        <v>0</v>
      </c>
    </row>
    <row r="1090" spans="1:7" x14ac:dyDescent="0.25">
      <c r="A1090" s="5" t="s">
        <v>103</v>
      </c>
      <c r="B1090" s="5" t="s">
        <v>105</v>
      </c>
      <c r="C1090" s="5">
        <v>1480</v>
      </c>
      <c r="D1090" s="5" t="s">
        <v>72</v>
      </c>
      <c r="E1090" s="5" t="s">
        <v>9</v>
      </c>
      <c r="F1090" s="6">
        <v>42370</v>
      </c>
      <c r="G1090">
        <v>0</v>
      </c>
    </row>
    <row r="1091" spans="1:7" x14ac:dyDescent="0.25">
      <c r="A1091" s="5" t="s">
        <v>103</v>
      </c>
      <c r="B1091" s="5" t="s">
        <v>105</v>
      </c>
      <c r="C1091" s="5">
        <v>1480</v>
      </c>
      <c r="D1091" s="5" t="s">
        <v>72</v>
      </c>
      <c r="E1091" s="5" t="s">
        <v>9</v>
      </c>
      <c r="F1091" s="6">
        <v>42736</v>
      </c>
      <c r="G1091">
        <v>0</v>
      </c>
    </row>
    <row r="1092" spans="1:7" x14ac:dyDescent="0.25">
      <c r="A1092" s="5" t="s">
        <v>103</v>
      </c>
      <c r="B1092" s="5" t="s">
        <v>105</v>
      </c>
      <c r="C1092" s="5">
        <v>1480</v>
      </c>
      <c r="D1092" s="5" t="s">
        <v>72</v>
      </c>
      <c r="E1092" s="5" t="s">
        <v>34</v>
      </c>
      <c r="F1092" s="6">
        <v>42370</v>
      </c>
      <c r="G1092">
        <v>0</v>
      </c>
    </row>
    <row r="1093" spans="1:7" x14ac:dyDescent="0.25">
      <c r="A1093" s="5" t="s">
        <v>103</v>
      </c>
      <c r="B1093" s="5" t="s">
        <v>105</v>
      </c>
      <c r="C1093" s="5">
        <v>1480</v>
      </c>
      <c r="D1093" s="5" t="s">
        <v>72</v>
      </c>
      <c r="E1093" s="5" t="s">
        <v>34</v>
      </c>
      <c r="F1093" s="6">
        <v>42736</v>
      </c>
      <c r="G1093">
        <v>0</v>
      </c>
    </row>
    <row r="1094" spans="1:7" x14ac:dyDescent="0.25">
      <c r="A1094" s="5" t="s">
        <v>103</v>
      </c>
      <c r="B1094" s="5" t="s">
        <v>105</v>
      </c>
      <c r="C1094" s="5">
        <v>1480</v>
      </c>
      <c r="D1094" s="5" t="s">
        <v>72</v>
      </c>
      <c r="E1094" s="5" t="s">
        <v>74</v>
      </c>
      <c r="F1094" s="6">
        <v>42370</v>
      </c>
      <c r="G1094">
        <v>0</v>
      </c>
    </row>
    <row r="1095" spans="1:7" x14ac:dyDescent="0.25">
      <c r="A1095" s="5" t="s">
        <v>103</v>
      </c>
      <c r="B1095" s="5" t="s">
        <v>105</v>
      </c>
      <c r="C1095" s="5">
        <v>1480</v>
      </c>
      <c r="D1095" s="5" t="s">
        <v>72</v>
      </c>
      <c r="E1095" s="5" t="s">
        <v>74</v>
      </c>
      <c r="F1095" s="6">
        <v>42736</v>
      </c>
      <c r="G1095">
        <v>0</v>
      </c>
    </row>
    <row r="1096" spans="1:7" x14ac:dyDescent="0.25">
      <c r="A1096" s="5" t="s">
        <v>103</v>
      </c>
      <c r="B1096" s="5" t="s">
        <v>105</v>
      </c>
      <c r="C1096" s="5">
        <v>1480</v>
      </c>
      <c r="D1096" s="5" t="s">
        <v>72</v>
      </c>
      <c r="E1096" s="5" t="s">
        <v>75</v>
      </c>
      <c r="F1096" s="6">
        <v>42370</v>
      </c>
      <c r="G1096">
        <v>0</v>
      </c>
    </row>
    <row r="1097" spans="1:7" x14ac:dyDescent="0.25">
      <c r="A1097" s="5" t="s">
        <v>103</v>
      </c>
      <c r="B1097" s="5" t="s">
        <v>105</v>
      </c>
      <c r="C1097" s="5">
        <v>1480</v>
      </c>
      <c r="D1097" s="5" t="s">
        <v>72</v>
      </c>
      <c r="E1097" s="5" t="s">
        <v>75</v>
      </c>
      <c r="F1097" s="6">
        <v>42736</v>
      </c>
      <c r="G1097">
        <v>0</v>
      </c>
    </row>
    <row r="1098" spans="1:7" x14ac:dyDescent="0.25">
      <c r="A1098" s="5" t="s">
        <v>103</v>
      </c>
      <c r="B1098" s="5" t="s">
        <v>105</v>
      </c>
      <c r="C1098" s="5">
        <v>1480</v>
      </c>
      <c r="D1098" s="5" t="s">
        <v>76</v>
      </c>
      <c r="E1098" s="5" t="s">
        <v>9</v>
      </c>
      <c r="F1098" s="6">
        <v>42370</v>
      </c>
      <c r="G1098">
        <v>0</v>
      </c>
    </row>
    <row r="1099" spans="1:7" x14ac:dyDescent="0.25">
      <c r="A1099" s="5" t="s">
        <v>103</v>
      </c>
      <c r="B1099" s="5" t="s">
        <v>105</v>
      </c>
      <c r="C1099" s="5">
        <v>1480</v>
      </c>
      <c r="D1099" s="5" t="s">
        <v>76</v>
      </c>
      <c r="E1099" s="5" t="s">
        <v>9</v>
      </c>
      <c r="F1099" s="6">
        <v>42736</v>
      </c>
      <c r="G1099">
        <v>0</v>
      </c>
    </row>
    <row r="1100" spans="1:7" x14ac:dyDescent="0.25">
      <c r="A1100" s="5" t="s">
        <v>103</v>
      </c>
      <c r="B1100" s="5" t="s">
        <v>105</v>
      </c>
      <c r="C1100" s="5">
        <v>1480</v>
      </c>
      <c r="D1100" s="5" t="s">
        <v>76</v>
      </c>
      <c r="E1100" s="5" t="s">
        <v>77</v>
      </c>
      <c r="F1100" s="6">
        <v>42370</v>
      </c>
      <c r="G1100">
        <v>0</v>
      </c>
    </row>
    <row r="1101" spans="1:7" x14ac:dyDescent="0.25">
      <c r="A1101" s="5" t="s">
        <v>103</v>
      </c>
      <c r="B1101" s="5" t="s">
        <v>105</v>
      </c>
      <c r="C1101" s="5">
        <v>1480</v>
      </c>
      <c r="D1101" s="5" t="s">
        <v>76</v>
      </c>
      <c r="E1101" s="5" t="s">
        <v>77</v>
      </c>
      <c r="F1101" s="6">
        <v>42736</v>
      </c>
      <c r="G1101">
        <v>0</v>
      </c>
    </row>
    <row r="1102" spans="1:7" x14ac:dyDescent="0.25">
      <c r="A1102" s="5" t="s">
        <v>103</v>
      </c>
      <c r="B1102" s="5" t="s">
        <v>105</v>
      </c>
      <c r="C1102" s="5">
        <v>1480</v>
      </c>
      <c r="D1102" s="5" t="s">
        <v>78</v>
      </c>
      <c r="E1102" s="5" t="s">
        <v>79</v>
      </c>
      <c r="F1102" s="6">
        <v>42370</v>
      </c>
      <c r="G1102">
        <v>21</v>
      </c>
    </row>
    <row r="1103" spans="1:7" x14ac:dyDescent="0.25">
      <c r="A1103" s="5" t="s">
        <v>103</v>
      </c>
      <c r="B1103" s="5" t="s">
        <v>105</v>
      </c>
      <c r="C1103" s="5">
        <v>1480</v>
      </c>
      <c r="D1103" s="5" t="s">
        <v>78</v>
      </c>
      <c r="E1103" s="5" t="s">
        <v>79</v>
      </c>
      <c r="F1103" s="6">
        <v>42736</v>
      </c>
      <c r="G1103">
        <v>24</v>
      </c>
    </row>
    <row r="1104" spans="1:7" x14ac:dyDescent="0.25">
      <c r="A1104" s="5" t="s">
        <v>103</v>
      </c>
      <c r="B1104" s="5" t="s">
        <v>105</v>
      </c>
      <c r="C1104" s="5">
        <v>1480</v>
      </c>
      <c r="D1104" s="5" t="s">
        <v>78</v>
      </c>
      <c r="E1104" s="5" t="s">
        <v>80</v>
      </c>
      <c r="F1104" s="6">
        <v>42370</v>
      </c>
      <c r="G1104">
        <v>0</v>
      </c>
    </row>
    <row r="1105" spans="1:7" x14ac:dyDescent="0.25">
      <c r="A1105" s="5" t="s">
        <v>103</v>
      </c>
      <c r="B1105" s="5" t="s">
        <v>105</v>
      </c>
      <c r="C1105" s="5">
        <v>1480</v>
      </c>
      <c r="D1105" s="5" t="s">
        <v>78</v>
      </c>
      <c r="E1105" s="5" t="s">
        <v>80</v>
      </c>
      <c r="F1105" s="6">
        <v>42736</v>
      </c>
      <c r="G1105">
        <v>0</v>
      </c>
    </row>
    <row r="1106" spans="1:7" x14ac:dyDescent="0.25">
      <c r="A1106" s="5" t="s">
        <v>103</v>
      </c>
      <c r="B1106" s="5" t="s">
        <v>105</v>
      </c>
      <c r="C1106" s="5">
        <v>1480</v>
      </c>
      <c r="D1106" s="5" t="s">
        <v>78</v>
      </c>
      <c r="E1106" s="5" t="s">
        <v>81</v>
      </c>
      <c r="F1106" s="6">
        <v>42370</v>
      </c>
      <c r="G1106">
        <v>861</v>
      </c>
    </row>
    <row r="1107" spans="1:7" x14ac:dyDescent="0.25">
      <c r="A1107" s="5" t="s">
        <v>103</v>
      </c>
      <c r="B1107" s="5" t="s">
        <v>105</v>
      </c>
      <c r="C1107" s="5">
        <v>1480</v>
      </c>
      <c r="D1107" s="5" t="s">
        <v>78</v>
      </c>
      <c r="E1107" s="5" t="s">
        <v>81</v>
      </c>
      <c r="F1107" s="6">
        <v>42736</v>
      </c>
      <c r="G1107">
        <v>1286</v>
      </c>
    </row>
    <row r="1108" spans="1:7" x14ac:dyDescent="0.25">
      <c r="A1108" s="5" t="s">
        <v>103</v>
      </c>
      <c r="B1108" s="5" t="s">
        <v>105</v>
      </c>
      <c r="C1108" s="5">
        <v>1480</v>
      </c>
      <c r="D1108" s="5" t="s">
        <v>78</v>
      </c>
      <c r="E1108" s="5" t="s">
        <v>82</v>
      </c>
      <c r="F1108" s="6">
        <v>42370</v>
      </c>
      <c r="G1108">
        <v>30</v>
      </c>
    </row>
    <row r="1109" spans="1:7" x14ac:dyDescent="0.25">
      <c r="A1109" s="5" t="s">
        <v>103</v>
      </c>
      <c r="B1109" s="5" t="s">
        <v>105</v>
      </c>
      <c r="C1109" s="5">
        <v>1480</v>
      </c>
      <c r="D1109" s="5" t="s">
        <v>78</v>
      </c>
      <c r="E1109" s="5" t="s">
        <v>82</v>
      </c>
      <c r="F1109" s="6">
        <v>42736</v>
      </c>
      <c r="G1109">
        <v>21</v>
      </c>
    </row>
    <row r="1110" spans="1:7" x14ac:dyDescent="0.25">
      <c r="A1110" s="5" t="s">
        <v>103</v>
      </c>
      <c r="B1110" s="5" t="s">
        <v>105</v>
      </c>
      <c r="C1110" s="5">
        <v>1480</v>
      </c>
      <c r="D1110" s="5" t="s">
        <v>78</v>
      </c>
      <c r="E1110" s="5" t="s">
        <v>83</v>
      </c>
      <c r="F1110" s="6">
        <v>42370</v>
      </c>
      <c r="G1110">
        <v>0</v>
      </c>
    </row>
    <row r="1111" spans="1:7" x14ac:dyDescent="0.25">
      <c r="A1111" s="5" t="s">
        <v>103</v>
      </c>
      <c r="B1111" s="5" t="s">
        <v>105</v>
      </c>
      <c r="C1111" s="5">
        <v>1480</v>
      </c>
      <c r="D1111" s="5" t="s">
        <v>78</v>
      </c>
      <c r="E1111" s="5" t="s">
        <v>83</v>
      </c>
      <c r="F1111" s="6">
        <v>42736</v>
      </c>
      <c r="G1111">
        <v>25</v>
      </c>
    </row>
    <row r="1112" spans="1:7" x14ac:dyDescent="0.25">
      <c r="A1112" s="5" t="s">
        <v>103</v>
      </c>
      <c r="B1112" s="5" t="s">
        <v>105</v>
      </c>
      <c r="C1112" s="5">
        <v>1480</v>
      </c>
      <c r="D1112" s="5" t="s">
        <v>78</v>
      </c>
      <c r="E1112" s="5" t="s">
        <v>84</v>
      </c>
      <c r="F1112" s="6">
        <v>42370</v>
      </c>
      <c r="G1112">
        <v>0</v>
      </c>
    </row>
    <row r="1113" spans="1:7" x14ac:dyDescent="0.25">
      <c r="A1113" s="5" t="s">
        <v>103</v>
      </c>
      <c r="B1113" s="5" t="s">
        <v>105</v>
      </c>
      <c r="C1113" s="5">
        <v>1480</v>
      </c>
      <c r="D1113" s="5" t="s">
        <v>78</v>
      </c>
      <c r="E1113" s="5" t="s">
        <v>84</v>
      </c>
      <c r="F1113" s="6">
        <v>42736</v>
      </c>
      <c r="G1113">
        <v>2</v>
      </c>
    </row>
    <row r="1114" spans="1:7" x14ac:dyDescent="0.25">
      <c r="A1114" s="5" t="s">
        <v>103</v>
      </c>
      <c r="B1114" s="5" t="s">
        <v>105</v>
      </c>
      <c r="C1114" s="5">
        <v>1480</v>
      </c>
      <c r="D1114" s="5" t="s">
        <v>78</v>
      </c>
      <c r="E1114" s="5" t="s">
        <v>85</v>
      </c>
      <c r="F1114" s="6">
        <v>42370</v>
      </c>
      <c r="G1114">
        <v>0</v>
      </c>
    </row>
    <row r="1115" spans="1:7" x14ac:dyDescent="0.25">
      <c r="A1115" s="5" t="s">
        <v>103</v>
      </c>
      <c r="B1115" s="5" t="s">
        <v>105</v>
      </c>
      <c r="C1115" s="5">
        <v>1480</v>
      </c>
      <c r="D1115" s="5" t="s">
        <v>78</v>
      </c>
      <c r="E1115" s="5" t="s">
        <v>85</v>
      </c>
      <c r="F1115" s="6">
        <v>42736</v>
      </c>
      <c r="G1115">
        <v>1</v>
      </c>
    </row>
    <row r="1116" spans="1:7" x14ac:dyDescent="0.25">
      <c r="A1116" s="5" t="s">
        <v>103</v>
      </c>
      <c r="B1116" s="5" t="s">
        <v>105</v>
      </c>
      <c r="C1116" s="5">
        <v>1480</v>
      </c>
      <c r="D1116" s="5" t="s">
        <v>78</v>
      </c>
      <c r="E1116" s="5" t="s">
        <v>86</v>
      </c>
      <c r="F1116" s="6">
        <v>42370</v>
      </c>
      <c r="G1116">
        <v>34</v>
      </c>
    </row>
    <row r="1117" spans="1:7" x14ac:dyDescent="0.25">
      <c r="A1117" s="5" t="s">
        <v>103</v>
      </c>
      <c r="B1117" s="5" t="s">
        <v>105</v>
      </c>
      <c r="C1117" s="5">
        <v>1480</v>
      </c>
      <c r="D1117" s="5" t="s">
        <v>78</v>
      </c>
      <c r="E1117" s="5" t="s">
        <v>86</v>
      </c>
      <c r="F1117" s="6">
        <v>42736</v>
      </c>
      <c r="G1117">
        <v>33</v>
      </c>
    </row>
    <row r="1118" spans="1:7" x14ac:dyDescent="0.25">
      <c r="A1118" s="5" t="s">
        <v>103</v>
      </c>
      <c r="B1118" s="5" t="s">
        <v>105</v>
      </c>
      <c r="C1118" s="5">
        <v>1480</v>
      </c>
      <c r="D1118" s="5" t="s">
        <v>78</v>
      </c>
      <c r="E1118" s="5" t="s">
        <v>87</v>
      </c>
      <c r="F1118" s="6">
        <v>42370</v>
      </c>
      <c r="G1118">
        <v>30</v>
      </c>
    </row>
    <row r="1119" spans="1:7" x14ac:dyDescent="0.25">
      <c r="A1119" s="5" t="s">
        <v>103</v>
      </c>
      <c r="B1119" s="5" t="s">
        <v>105</v>
      </c>
      <c r="C1119" s="5">
        <v>1480</v>
      </c>
      <c r="D1119" s="5" t="s">
        <v>78</v>
      </c>
      <c r="E1119" s="5" t="s">
        <v>87</v>
      </c>
      <c r="F1119" s="6">
        <v>42736</v>
      </c>
      <c r="G1119">
        <v>15</v>
      </c>
    </row>
    <row r="1120" spans="1:7" x14ac:dyDescent="0.25">
      <c r="A1120" s="5" t="s">
        <v>103</v>
      </c>
      <c r="B1120" s="5" t="s">
        <v>105</v>
      </c>
      <c r="C1120" s="5">
        <v>1480</v>
      </c>
      <c r="D1120" s="5" t="s">
        <v>78</v>
      </c>
      <c r="E1120" s="5" t="s">
        <v>88</v>
      </c>
      <c r="F1120" s="6">
        <v>42370</v>
      </c>
      <c r="G1120">
        <v>129</v>
      </c>
    </row>
    <row r="1121" spans="1:7" x14ac:dyDescent="0.25">
      <c r="A1121" s="5" t="s">
        <v>103</v>
      </c>
      <c r="B1121" s="5" t="s">
        <v>105</v>
      </c>
      <c r="C1121" s="5">
        <v>1480</v>
      </c>
      <c r="D1121" s="5" t="s">
        <v>78</v>
      </c>
      <c r="E1121" s="5" t="s">
        <v>88</v>
      </c>
      <c r="F1121" s="6">
        <v>42736</v>
      </c>
      <c r="G1121">
        <v>169</v>
      </c>
    </row>
    <row r="1122" spans="1:7" x14ac:dyDescent="0.25">
      <c r="A1122" s="5" t="s">
        <v>103</v>
      </c>
      <c r="B1122" s="5" t="s">
        <v>105</v>
      </c>
      <c r="C1122" s="5">
        <v>1480</v>
      </c>
      <c r="D1122" s="5" t="s">
        <v>78</v>
      </c>
      <c r="E1122" s="5" t="s">
        <v>89</v>
      </c>
      <c r="F1122" s="6">
        <v>42370</v>
      </c>
      <c r="G1122">
        <v>2377</v>
      </c>
    </row>
    <row r="1123" spans="1:7" x14ac:dyDescent="0.25">
      <c r="A1123" s="5" t="s">
        <v>103</v>
      </c>
      <c r="B1123" s="5" t="s">
        <v>105</v>
      </c>
      <c r="C1123" s="5">
        <v>1480</v>
      </c>
      <c r="D1123" s="5" t="s">
        <v>78</v>
      </c>
      <c r="E1123" s="5" t="s">
        <v>89</v>
      </c>
      <c r="F1123" s="6">
        <v>42736</v>
      </c>
      <c r="G1123">
        <v>3221</v>
      </c>
    </row>
    <row r="1124" spans="1:7" x14ac:dyDescent="0.25">
      <c r="A1124" s="5" t="s">
        <v>103</v>
      </c>
      <c r="B1124" s="5" t="s">
        <v>105</v>
      </c>
      <c r="C1124" s="5">
        <v>1480</v>
      </c>
      <c r="D1124" s="5" t="s">
        <v>78</v>
      </c>
      <c r="E1124" s="5" t="s">
        <v>90</v>
      </c>
      <c r="F1124" s="6">
        <v>42370</v>
      </c>
      <c r="G1124">
        <v>0</v>
      </c>
    </row>
    <row r="1125" spans="1:7" x14ac:dyDescent="0.25">
      <c r="A1125" s="5" t="s">
        <v>103</v>
      </c>
      <c r="B1125" s="5" t="s">
        <v>105</v>
      </c>
      <c r="C1125" s="5">
        <v>1480</v>
      </c>
      <c r="D1125" s="5" t="s">
        <v>78</v>
      </c>
      <c r="E1125" s="5" t="s">
        <v>90</v>
      </c>
      <c r="F1125" s="6">
        <v>42736</v>
      </c>
      <c r="G1125">
        <v>0</v>
      </c>
    </row>
    <row r="1126" spans="1:7" x14ac:dyDescent="0.25">
      <c r="A1126" s="5" t="s">
        <v>103</v>
      </c>
      <c r="B1126" s="5" t="s">
        <v>105</v>
      </c>
      <c r="C1126" s="5">
        <v>1480</v>
      </c>
      <c r="D1126" s="5" t="s">
        <v>78</v>
      </c>
      <c r="E1126" s="5" t="s">
        <v>91</v>
      </c>
      <c r="F1126" s="6">
        <v>42370</v>
      </c>
      <c r="G1126">
        <v>0</v>
      </c>
    </row>
    <row r="1127" spans="1:7" x14ac:dyDescent="0.25">
      <c r="A1127" s="5" t="s">
        <v>103</v>
      </c>
      <c r="B1127" s="5" t="s">
        <v>105</v>
      </c>
      <c r="C1127" s="5">
        <v>1480</v>
      </c>
      <c r="D1127" s="5" t="s">
        <v>78</v>
      </c>
      <c r="E1127" s="5" t="s">
        <v>91</v>
      </c>
      <c r="F1127" s="6">
        <v>42736</v>
      </c>
      <c r="G1127">
        <v>22</v>
      </c>
    </row>
    <row r="1128" spans="1:7" x14ac:dyDescent="0.25">
      <c r="A1128" s="5" t="s">
        <v>103</v>
      </c>
      <c r="B1128" s="5" t="s">
        <v>105</v>
      </c>
      <c r="C1128" s="5">
        <v>1480</v>
      </c>
      <c r="D1128" s="5" t="s">
        <v>78</v>
      </c>
      <c r="E1128" s="5" t="s">
        <v>92</v>
      </c>
      <c r="F1128" s="6">
        <v>42370</v>
      </c>
      <c r="G1128">
        <v>0</v>
      </c>
    </row>
    <row r="1129" spans="1:7" x14ac:dyDescent="0.25">
      <c r="A1129" s="5" t="s">
        <v>103</v>
      </c>
      <c r="B1129" s="5" t="s">
        <v>105</v>
      </c>
      <c r="C1129" s="5">
        <v>1480</v>
      </c>
      <c r="D1129" s="5" t="s">
        <v>78</v>
      </c>
      <c r="E1129" s="5" t="s">
        <v>92</v>
      </c>
      <c r="F1129" s="6">
        <v>42736</v>
      </c>
      <c r="G1129">
        <v>2</v>
      </c>
    </row>
    <row r="1130" spans="1:7" x14ac:dyDescent="0.25">
      <c r="A1130" s="5" t="s">
        <v>103</v>
      </c>
      <c r="B1130" s="5" t="s">
        <v>105</v>
      </c>
      <c r="C1130" s="5">
        <v>1480</v>
      </c>
      <c r="D1130" s="5" t="s">
        <v>78</v>
      </c>
      <c r="E1130" s="5" t="s">
        <v>93</v>
      </c>
      <c r="F1130" s="6">
        <v>42370</v>
      </c>
      <c r="G1130">
        <v>0</v>
      </c>
    </row>
    <row r="1131" spans="1:7" x14ac:dyDescent="0.25">
      <c r="A1131" s="5" t="s">
        <v>103</v>
      </c>
      <c r="B1131" s="5" t="s">
        <v>105</v>
      </c>
      <c r="C1131" s="5">
        <v>1480</v>
      </c>
      <c r="D1131" s="5" t="s">
        <v>78</v>
      </c>
      <c r="E1131" s="5" t="s">
        <v>93</v>
      </c>
      <c r="F1131" s="6">
        <v>42736</v>
      </c>
      <c r="G1131">
        <v>71</v>
      </c>
    </row>
    <row r="1132" spans="1:7" x14ac:dyDescent="0.25">
      <c r="A1132" s="5" t="s">
        <v>103</v>
      </c>
      <c r="B1132" s="5" t="s">
        <v>105</v>
      </c>
      <c r="C1132" s="5">
        <v>1480</v>
      </c>
      <c r="D1132" s="5" t="s">
        <v>78</v>
      </c>
      <c r="E1132" s="5" t="s">
        <v>94</v>
      </c>
      <c r="F1132" s="6">
        <v>42370</v>
      </c>
      <c r="G1132">
        <v>0</v>
      </c>
    </row>
    <row r="1133" spans="1:7" x14ac:dyDescent="0.25">
      <c r="A1133" s="5" t="s">
        <v>103</v>
      </c>
      <c r="B1133" s="5" t="s">
        <v>105</v>
      </c>
      <c r="C1133" s="5">
        <v>1480</v>
      </c>
      <c r="D1133" s="5" t="s">
        <v>78</v>
      </c>
      <c r="E1133" s="5" t="s">
        <v>94</v>
      </c>
      <c r="F1133" s="6">
        <v>42736</v>
      </c>
      <c r="G1133">
        <v>94</v>
      </c>
    </row>
    <row r="1134" spans="1:7" x14ac:dyDescent="0.25">
      <c r="A1134" s="5" t="s">
        <v>103</v>
      </c>
      <c r="B1134" s="5" t="s">
        <v>105</v>
      </c>
      <c r="C1134" s="5">
        <v>1480</v>
      </c>
      <c r="D1134" s="5" t="s">
        <v>78</v>
      </c>
      <c r="E1134" s="5" t="s">
        <v>95</v>
      </c>
      <c r="F1134" s="6">
        <v>42370</v>
      </c>
      <c r="G1134">
        <v>0</v>
      </c>
    </row>
    <row r="1135" spans="1:7" x14ac:dyDescent="0.25">
      <c r="A1135" s="5" t="s">
        <v>103</v>
      </c>
      <c r="B1135" s="5" t="s">
        <v>105</v>
      </c>
      <c r="C1135" s="5">
        <v>1480</v>
      </c>
      <c r="D1135" s="5" t="s">
        <v>78</v>
      </c>
      <c r="E1135" s="5" t="s">
        <v>95</v>
      </c>
      <c r="F1135" s="6">
        <v>42736</v>
      </c>
      <c r="G1135">
        <v>13</v>
      </c>
    </row>
    <row r="1136" spans="1:7" x14ac:dyDescent="0.25">
      <c r="A1136" s="5" t="s">
        <v>103</v>
      </c>
      <c r="B1136" s="5" t="s">
        <v>105</v>
      </c>
      <c r="C1136" s="5">
        <v>1480</v>
      </c>
      <c r="D1136" s="5" t="s">
        <v>78</v>
      </c>
      <c r="E1136" s="5" t="s">
        <v>96</v>
      </c>
      <c r="F1136" s="6">
        <v>42370</v>
      </c>
      <c r="G1136">
        <v>0</v>
      </c>
    </row>
    <row r="1137" spans="1:7" x14ac:dyDescent="0.25">
      <c r="A1137" s="5" t="s">
        <v>103</v>
      </c>
      <c r="B1137" s="5" t="s">
        <v>105</v>
      </c>
      <c r="C1137" s="5">
        <v>1480</v>
      </c>
      <c r="D1137" s="5" t="s">
        <v>78</v>
      </c>
      <c r="E1137" s="5" t="s">
        <v>96</v>
      </c>
      <c r="F1137" s="6">
        <v>42736</v>
      </c>
      <c r="G1137">
        <v>25</v>
      </c>
    </row>
    <row r="1138" spans="1:7" x14ac:dyDescent="0.25">
      <c r="A1138" s="5" t="s">
        <v>103</v>
      </c>
      <c r="B1138" s="5" t="s">
        <v>105</v>
      </c>
      <c r="C1138" s="5">
        <v>1480</v>
      </c>
      <c r="D1138" s="5" t="s">
        <v>78</v>
      </c>
      <c r="E1138" s="5" t="s">
        <v>97</v>
      </c>
      <c r="F1138" s="6">
        <v>42370</v>
      </c>
      <c r="G1138">
        <v>0</v>
      </c>
    </row>
    <row r="1139" spans="1:7" x14ac:dyDescent="0.25">
      <c r="A1139" s="5" t="s">
        <v>103</v>
      </c>
      <c r="B1139" s="5" t="s">
        <v>105</v>
      </c>
      <c r="C1139" s="5">
        <v>1480</v>
      </c>
      <c r="D1139" s="5" t="s">
        <v>78</v>
      </c>
      <c r="E1139" s="5" t="s">
        <v>97</v>
      </c>
      <c r="F1139" s="6">
        <v>42736</v>
      </c>
      <c r="G1139">
        <v>0</v>
      </c>
    </row>
    <row r="1140" spans="1:7" x14ac:dyDescent="0.25">
      <c r="A1140" s="5" t="s">
        <v>103</v>
      </c>
      <c r="B1140" s="5" t="s">
        <v>105</v>
      </c>
      <c r="C1140" s="5">
        <v>1480</v>
      </c>
      <c r="D1140" s="5" t="s">
        <v>78</v>
      </c>
      <c r="E1140" s="5" t="s">
        <v>98</v>
      </c>
      <c r="F1140" s="6">
        <v>42370</v>
      </c>
      <c r="G1140">
        <v>10</v>
      </c>
    </row>
    <row r="1141" spans="1:7" x14ac:dyDescent="0.25">
      <c r="A1141" s="5" t="s">
        <v>103</v>
      </c>
      <c r="B1141" s="5" t="s">
        <v>105</v>
      </c>
      <c r="C1141" s="5">
        <v>1480</v>
      </c>
      <c r="D1141" s="5" t="s">
        <v>78</v>
      </c>
      <c r="E1141" s="5" t="s">
        <v>98</v>
      </c>
      <c r="F1141" s="6">
        <v>42736</v>
      </c>
      <c r="G1141">
        <v>21</v>
      </c>
    </row>
    <row r="1142" spans="1:7" x14ac:dyDescent="0.25">
      <c r="A1142" s="5" t="s">
        <v>103</v>
      </c>
      <c r="B1142" s="5" t="s">
        <v>106</v>
      </c>
      <c r="C1142" s="5">
        <v>1421</v>
      </c>
      <c r="D1142" s="5" t="s">
        <v>8</v>
      </c>
      <c r="E1142" s="5" t="s">
        <v>9</v>
      </c>
      <c r="F1142" s="6">
        <v>42370</v>
      </c>
      <c r="G1142">
        <v>0</v>
      </c>
    </row>
    <row r="1143" spans="1:7" x14ac:dyDescent="0.25">
      <c r="A1143" s="5" t="s">
        <v>103</v>
      </c>
      <c r="B1143" s="5" t="s">
        <v>106</v>
      </c>
      <c r="C1143" s="5">
        <v>1421</v>
      </c>
      <c r="D1143" s="5" t="s">
        <v>8</v>
      </c>
      <c r="E1143" s="5" t="s">
        <v>9</v>
      </c>
      <c r="F1143" s="6">
        <v>42736</v>
      </c>
      <c r="G1143">
        <v>0</v>
      </c>
    </row>
    <row r="1144" spans="1:7" x14ac:dyDescent="0.25">
      <c r="A1144" s="5" t="s">
        <v>103</v>
      </c>
      <c r="B1144" s="5" t="s">
        <v>106</v>
      </c>
      <c r="C1144" s="5">
        <v>1421</v>
      </c>
      <c r="D1144" s="5" t="s">
        <v>8</v>
      </c>
      <c r="E1144" s="5" t="s">
        <v>10</v>
      </c>
      <c r="F1144" s="6">
        <v>42370</v>
      </c>
      <c r="G1144">
        <v>146</v>
      </c>
    </row>
    <row r="1145" spans="1:7" x14ac:dyDescent="0.25">
      <c r="A1145" s="5" t="s">
        <v>103</v>
      </c>
      <c r="B1145" s="5" t="s">
        <v>106</v>
      </c>
      <c r="C1145" s="5">
        <v>1421</v>
      </c>
      <c r="D1145" s="5" t="s">
        <v>8</v>
      </c>
      <c r="E1145" s="5" t="s">
        <v>10</v>
      </c>
      <c r="F1145" s="6">
        <v>42736</v>
      </c>
      <c r="G1145">
        <v>239</v>
      </c>
    </row>
    <row r="1146" spans="1:7" x14ac:dyDescent="0.25">
      <c r="A1146" s="5" t="s">
        <v>103</v>
      </c>
      <c r="B1146" s="5" t="s">
        <v>106</v>
      </c>
      <c r="C1146" s="5">
        <v>1421</v>
      </c>
      <c r="D1146" s="5" t="s">
        <v>8</v>
      </c>
      <c r="E1146" s="5" t="s">
        <v>11</v>
      </c>
      <c r="F1146" s="6">
        <v>42370</v>
      </c>
      <c r="G1146">
        <v>69</v>
      </c>
    </row>
    <row r="1147" spans="1:7" x14ac:dyDescent="0.25">
      <c r="A1147" s="5" t="s">
        <v>103</v>
      </c>
      <c r="B1147" s="5" t="s">
        <v>106</v>
      </c>
      <c r="C1147" s="5">
        <v>1421</v>
      </c>
      <c r="D1147" s="5" t="s">
        <v>8</v>
      </c>
      <c r="E1147" s="5" t="s">
        <v>11</v>
      </c>
      <c r="F1147" s="6">
        <v>42736</v>
      </c>
      <c r="G1147">
        <v>156</v>
      </c>
    </row>
    <row r="1148" spans="1:7" x14ac:dyDescent="0.25">
      <c r="A1148" s="5" t="s">
        <v>103</v>
      </c>
      <c r="B1148" s="5" t="s">
        <v>106</v>
      </c>
      <c r="C1148" s="5">
        <v>1421</v>
      </c>
      <c r="D1148" s="5" t="s">
        <v>8</v>
      </c>
      <c r="E1148" s="5" t="s">
        <v>12</v>
      </c>
      <c r="F1148" s="6">
        <v>42370</v>
      </c>
      <c r="G1148">
        <v>0</v>
      </c>
    </row>
    <row r="1149" spans="1:7" x14ac:dyDescent="0.25">
      <c r="A1149" s="5" t="s">
        <v>103</v>
      </c>
      <c r="B1149" s="5" t="s">
        <v>106</v>
      </c>
      <c r="C1149" s="5">
        <v>1421</v>
      </c>
      <c r="D1149" s="5" t="s">
        <v>8</v>
      </c>
      <c r="E1149" s="5" t="s">
        <v>12</v>
      </c>
      <c r="F1149" s="6">
        <v>42736</v>
      </c>
      <c r="G1149">
        <v>0</v>
      </c>
    </row>
    <row r="1150" spans="1:7" x14ac:dyDescent="0.25">
      <c r="A1150" s="5" t="s">
        <v>103</v>
      </c>
      <c r="B1150" s="5" t="s">
        <v>106</v>
      </c>
      <c r="C1150" s="5">
        <v>1421</v>
      </c>
      <c r="D1150" s="5" t="s">
        <v>8</v>
      </c>
      <c r="E1150" s="5" t="s">
        <v>13</v>
      </c>
      <c r="F1150" s="6">
        <v>42370</v>
      </c>
      <c r="G1150">
        <v>0</v>
      </c>
    </row>
    <row r="1151" spans="1:7" x14ac:dyDescent="0.25">
      <c r="A1151" s="5" t="s">
        <v>103</v>
      </c>
      <c r="B1151" s="5" t="s">
        <v>106</v>
      </c>
      <c r="C1151" s="5">
        <v>1421</v>
      </c>
      <c r="D1151" s="5" t="s">
        <v>8</v>
      </c>
      <c r="E1151" s="5" t="s">
        <v>13</v>
      </c>
      <c r="F1151" s="6">
        <v>42736</v>
      </c>
      <c r="G1151">
        <v>0</v>
      </c>
    </row>
    <row r="1152" spans="1:7" x14ac:dyDescent="0.25">
      <c r="A1152" s="5" t="s">
        <v>103</v>
      </c>
      <c r="B1152" s="5" t="s">
        <v>106</v>
      </c>
      <c r="C1152" s="5">
        <v>1421</v>
      </c>
      <c r="D1152" s="5" t="s">
        <v>8</v>
      </c>
      <c r="E1152" s="5" t="s">
        <v>14</v>
      </c>
      <c r="F1152" s="6">
        <v>42370</v>
      </c>
      <c r="G1152">
        <v>0</v>
      </c>
    </row>
    <row r="1153" spans="1:7" x14ac:dyDescent="0.25">
      <c r="A1153" s="5" t="s">
        <v>103</v>
      </c>
      <c r="B1153" s="5" t="s">
        <v>106</v>
      </c>
      <c r="C1153" s="5">
        <v>1421</v>
      </c>
      <c r="D1153" s="5" t="s">
        <v>8</v>
      </c>
      <c r="E1153" s="5" t="s">
        <v>14</v>
      </c>
      <c r="F1153" s="6">
        <v>42736</v>
      </c>
      <c r="G1153">
        <v>0</v>
      </c>
    </row>
    <row r="1154" spans="1:7" x14ac:dyDescent="0.25">
      <c r="A1154" s="5" t="s">
        <v>103</v>
      </c>
      <c r="B1154" s="5" t="s">
        <v>106</v>
      </c>
      <c r="C1154" s="5">
        <v>1421</v>
      </c>
      <c r="D1154" s="5" t="s">
        <v>8</v>
      </c>
      <c r="E1154" s="5" t="s">
        <v>15</v>
      </c>
      <c r="F1154" s="6">
        <v>42370</v>
      </c>
      <c r="G1154">
        <v>0</v>
      </c>
    </row>
    <row r="1155" spans="1:7" x14ac:dyDescent="0.25">
      <c r="A1155" s="5" t="s">
        <v>103</v>
      </c>
      <c r="B1155" s="5" t="s">
        <v>106</v>
      </c>
      <c r="C1155" s="5">
        <v>1421</v>
      </c>
      <c r="D1155" s="5" t="s">
        <v>8</v>
      </c>
      <c r="E1155" s="5" t="s">
        <v>15</v>
      </c>
      <c r="F1155" s="6">
        <v>42736</v>
      </c>
      <c r="G1155">
        <v>0</v>
      </c>
    </row>
    <row r="1156" spans="1:7" x14ac:dyDescent="0.25">
      <c r="A1156" s="5" t="s">
        <v>103</v>
      </c>
      <c r="B1156" s="5" t="s">
        <v>106</v>
      </c>
      <c r="C1156" s="5">
        <v>1421</v>
      </c>
      <c r="D1156" s="5" t="s">
        <v>8</v>
      </c>
      <c r="E1156" s="5" t="s">
        <v>16</v>
      </c>
      <c r="F1156" s="6">
        <v>42370</v>
      </c>
      <c r="G1156">
        <v>62</v>
      </c>
    </row>
    <row r="1157" spans="1:7" x14ac:dyDescent="0.25">
      <c r="A1157" s="5" t="s">
        <v>103</v>
      </c>
      <c r="B1157" s="5" t="s">
        <v>106</v>
      </c>
      <c r="C1157" s="5">
        <v>1421</v>
      </c>
      <c r="D1157" s="5" t="s">
        <v>8</v>
      </c>
      <c r="E1157" s="5" t="s">
        <v>16</v>
      </c>
      <c r="F1157" s="6">
        <v>42736</v>
      </c>
      <c r="G1157">
        <v>82</v>
      </c>
    </row>
    <row r="1158" spans="1:7" x14ac:dyDescent="0.25">
      <c r="A1158" s="5" t="s">
        <v>103</v>
      </c>
      <c r="B1158" s="5" t="s">
        <v>106</v>
      </c>
      <c r="C1158" s="5">
        <v>1421</v>
      </c>
      <c r="D1158" s="5" t="s">
        <v>8</v>
      </c>
      <c r="E1158" s="5" t="s">
        <v>17</v>
      </c>
      <c r="F1158" s="6">
        <v>42370</v>
      </c>
      <c r="G1158">
        <v>0</v>
      </c>
    </row>
    <row r="1159" spans="1:7" x14ac:dyDescent="0.25">
      <c r="A1159" s="5" t="s">
        <v>103</v>
      </c>
      <c r="B1159" s="5" t="s">
        <v>106</v>
      </c>
      <c r="C1159" s="5">
        <v>1421</v>
      </c>
      <c r="D1159" s="5" t="s">
        <v>8</v>
      </c>
      <c r="E1159" s="5" t="s">
        <v>17</v>
      </c>
      <c r="F1159" s="6">
        <v>42736</v>
      </c>
      <c r="G1159">
        <v>0</v>
      </c>
    </row>
    <row r="1160" spans="1:7" x14ac:dyDescent="0.25">
      <c r="A1160" s="5" t="s">
        <v>103</v>
      </c>
      <c r="B1160" s="5" t="s">
        <v>106</v>
      </c>
      <c r="C1160" s="5">
        <v>1421</v>
      </c>
      <c r="D1160" s="5" t="s">
        <v>8</v>
      </c>
      <c r="E1160" s="5" t="s">
        <v>18</v>
      </c>
      <c r="F1160" s="6">
        <v>42370</v>
      </c>
      <c r="G1160">
        <v>30</v>
      </c>
    </row>
    <row r="1161" spans="1:7" x14ac:dyDescent="0.25">
      <c r="A1161" s="5" t="s">
        <v>103</v>
      </c>
      <c r="B1161" s="5" t="s">
        <v>106</v>
      </c>
      <c r="C1161" s="5">
        <v>1421</v>
      </c>
      <c r="D1161" s="5" t="s">
        <v>8</v>
      </c>
      <c r="E1161" s="5" t="s">
        <v>18</v>
      </c>
      <c r="F1161" s="6">
        <v>42736</v>
      </c>
      <c r="G1161">
        <v>22</v>
      </c>
    </row>
    <row r="1162" spans="1:7" x14ac:dyDescent="0.25">
      <c r="A1162" s="5" t="s">
        <v>103</v>
      </c>
      <c r="B1162" s="5" t="s">
        <v>106</v>
      </c>
      <c r="C1162" s="5">
        <v>1421</v>
      </c>
      <c r="D1162" s="5" t="s">
        <v>8</v>
      </c>
      <c r="E1162" s="5" t="s">
        <v>19</v>
      </c>
      <c r="F1162" s="6">
        <v>42370</v>
      </c>
      <c r="G1162">
        <v>0</v>
      </c>
    </row>
    <row r="1163" spans="1:7" x14ac:dyDescent="0.25">
      <c r="A1163" s="5" t="s">
        <v>103</v>
      </c>
      <c r="B1163" s="5" t="s">
        <v>106</v>
      </c>
      <c r="C1163" s="5">
        <v>1421</v>
      </c>
      <c r="D1163" s="5" t="s">
        <v>8</v>
      </c>
      <c r="E1163" s="5" t="s">
        <v>19</v>
      </c>
      <c r="F1163" s="6">
        <v>42736</v>
      </c>
      <c r="G1163">
        <v>0</v>
      </c>
    </row>
    <row r="1164" spans="1:7" x14ac:dyDescent="0.25">
      <c r="A1164" s="5" t="s">
        <v>103</v>
      </c>
      <c r="B1164" s="5" t="s">
        <v>106</v>
      </c>
      <c r="C1164" s="5">
        <v>1421</v>
      </c>
      <c r="D1164" s="5" t="s">
        <v>20</v>
      </c>
      <c r="E1164" s="5" t="s">
        <v>9</v>
      </c>
      <c r="F1164" s="6">
        <v>42370</v>
      </c>
      <c r="G1164">
        <v>1</v>
      </c>
    </row>
    <row r="1165" spans="1:7" x14ac:dyDescent="0.25">
      <c r="A1165" s="5" t="s">
        <v>103</v>
      </c>
      <c r="B1165" s="5" t="s">
        <v>106</v>
      </c>
      <c r="C1165" s="5">
        <v>1421</v>
      </c>
      <c r="D1165" s="5" t="s">
        <v>20</v>
      </c>
      <c r="E1165" s="5" t="s">
        <v>9</v>
      </c>
      <c r="F1165" s="6">
        <v>42736</v>
      </c>
      <c r="G1165">
        <v>36</v>
      </c>
    </row>
    <row r="1166" spans="1:7" x14ac:dyDescent="0.25">
      <c r="A1166" s="5" t="s">
        <v>103</v>
      </c>
      <c r="B1166" s="5" t="s">
        <v>106</v>
      </c>
      <c r="C1166" s="5">
        <v>1421</v>
      </c>
      <c r="D1166" s="5" t="s">
        <v>20</v>
      </c>
      <c r="E1166" s="5" t="s">
        <v>21</v>
      </c>
      <c r="F1166" s="6">
        <v>42370</v>
      </c>
      <c r="G1166">
        <v>0</v>
      </c>
    </row>
    <row r="1167" spans="1:7" x14ac:dyDescent="0.25">
      <c r="A1167" s="5" t="s">
        <v>103</v>
      </c>
      <c r="B1167" s="5" t="s">
        <v>106</v>
      </c>
      <c r="C1167" s="5">
        <v>1421</v>
      </c>
      <c r="D1167" s="5" t="s">
        <v>20</v>
      </c>
      <c r="E1167" s="5" t="s">
        <v>21</v>
      </c>
      <c r="F1167" s="6">
        <v>42736</v>
      </c>
      <c r="G1167">
        <v>0</v>
      </c>
    </row>
    <row r="1168" spans="1:7" x14ac:dyDescent="0.25">
      <c r="A1168" s="5" t="s">
        <v>103</v>
      </c>
      <c r="B1168" s="5" t="s">
        <v>106</v>
      </c>
      <c r="C1168" s="5">
        <v>1421</v>
      </c>
      <c r="D1168" s="5" t="s">
        <v>20</v>
      </c>
      <c r="E1168" s="5" t="s">
        <v>22</v>
      </c>
      <c r="F1168" s="6">
        <v>42370</v>
      </c>
      <c r="G1168">
        <v>0</v>
      </c>
    </row>
    <row r="1169" spans="1:7" x14ac:dyDescent="0.25">
      <c r="A1169" s="5" t="s">
        <v>103</v>
      </c>
      <c r="B1169" s="5" t="s">
        <v>106</v>
      </c>
      <c r="C1169" s="5">
        <v>1421</v>
      </c>
      <c r="D1169" s="5" t="s">
        <v>20</v>
      </c>
      <c r="E1169" s="5" t="s">
        <v>22</v>
      </c>
      <c r="F1169" s="6">
        <v>42736</v>
      </c>
      <c r="G1169">
        <v>0</v>
      </c>
    </row>
    <row r="1170" spans="1:7" x14ac:dyDescent="0.25">
      <c r="A1170" s="5" t="s">
        <v>103</v>
      </c>
      <c r="B1170" s="5" t="s">
        <v>106</v>
      </c>
      <c r="C1170" s="5">
        <v>1421</v>
      </c>
      <c r="D1170" s="5" t="s">
        <v>20</v>
      </c>
      <c r="E1170" s="5" t="s">
        <v>23</v>
      </c>
      <c r="F1170" s="6">
        <v>42370</v>
      </c>
      <c r="G1170">
        <v>0</v>
      </c>
    </row>
    <row r="1171" spans="1:7" x14ac:dyDescent="0.25">
      <c r="A1171" s="5" t="s">
        <v>103</v>
      </c>
      <c r="B1171" s="5" t="s">
        <v>106</v>
      </c>
      <c r="C1171" s="5">
        <v>1421</v>
      </c>
      <c r="D1171" s="5" t="s">
        <v>20</v>
      </c>
      <c r="E1171" s="5" t="s">
        <v>23</v>
      </c>
      <c r="F1171" s="6">
        <v>42736</v>
      </c>
      <c r="G1171">
        <v>0</v>
      </c>
    </row>
    <row r="1172" spans="1:7" x14ac:dyDescent="0.25">
      <c r="A1172" s="5" t="s">
        <v>103</v>
      </c>
      <c r="B1172" s="5" t="s">
        <v>106</v>
      </c>
      <c r="C1172" s="5">
        <v>1421</v>
      </c>
      <c r="D1172" s="5" t="s">
        <v>20</v>
      </c>
      <c r="E1172" s="5" t="s">
        <v>24</v>
      </c>
      <c r="F1172" s="6">
        <v>42370</v>
      </c>
      <c r="G1172">
        <v>0</v>
      </c>
    </row>
    <row r="1173" spans="1:7" x14ac:dyDescent="0.25">
      <c r="A1173" s="5" t="s">
        <v>103</v>
      </c>
      <c r="B1173" s="5" t="s">
        <v>106</v>
      </c>
      <c r="C1173" s="5">
        <v>1421</v>
      </c>
      <c r="D1173" s="5" t="s">
        <v>20</v>
      </c>
      <c r="E1173" s="5" t="s">
        <v>24</v>
      </c>
      <c r="F1173" s="6">
        <v>42736</v>
      </c>
      <c r="G1173">
        <v>0</v>
      </c>
    </row>
    <row r="1174" spans="1:7" x14ac:dyDescent="0.25">
      <c r="A1174" s="5" t="s">
        <v>103</v>
      </c>
      <c r="B1174" s="5" t="s">
        <v>106</v>
      </c>
      <c r="C1174" s="5">
        <v>1421</v>
      </c>
      <c r="D1174" s="5" t="s">
        <v>20</v>
      </c>
      <c r="E1174" s="5" t="s">
        <v>25</v>
      </c>
      <c r="F1174" s="6">
        <v>42370</v>
      </c>
      <c r="G1174">
        <v>0</v>
      </c>
    </row>
    <row r="1175" spans="1:7" x14ac:dyDescent="0.25">
      <c r="A1175" s="5" t="s">
        <v>103</v>
      </c>
      <c r="B1175" s="5" t="s">
        <v>106</v>
      </c>
      <c r="C1175" s="5">
        <v>1421</v>
      </c>
      <c r="D1175" s="5" t="s">
        <v>20</v>
      </c>
      <c r="E1175" s="5" t="s">
        <v>25</v>
      </c>
      <c r="F1175" s="6">
        <v>42736</v>
      </c>
      <c r="G1175">
        <v>0</v>
      </c>
    </row>
    <row r="1176" spans="1:7" x14ac:dyDescent="0.25">
      <c r="A1176" s="5" t="s">
        <v>103</v>
      </c>
      <c r="B1176" s="5" t="s">
        <v>106</v>
      </c>
      <c r="C1176" s="5">
        <v>1421</v>
      </c>
      <c r="D1176" s="5" t="s">
        <v>20</v>
      </c>
      <c r="E1176" s="5" t="s">
        <v>26</v>
      </c>
      <c r="F1176" s="6">
        <v>42370</v>
      </c>
      <c r="G1176">
        <v>103</v>
      </c>
    </row>
    <row r="1177" spans="1:7" x14ac:dyDescent="0.25">
      <c r="A1177" s="5" t="s">
        <v>103</v>
      </c>
      <c r="B1177" s="5" t="s">
        <v>106</v>
      </c>
      <c r="C1177" s="5">
        <v>1421</v>
      </c>
      <c r="D1177" s="5" t="s">
        <v>20</v>
      </c>
      <c r="E1177" s="5" t="s">
        <v>26</v>
      </c>
      <c r="F1177" s="6">
        <v>42736</v>
      </c>
      <c r="G1177">
        <v>153</v>
      </c>
    </row>
    <row r="1178" spans="1:7" x14ac:dyDescent="0.25">
      <c r="A1178" s="5" t="s">
        <v>103</v>
      </c>
      <c r="B1178" s="5" t="s">
        <v>106</v>
      </c>
      <c r="C1178" s="5">
        <v>1421</v>
      </c>
      <c r="D1178" s="5" t="s">
        <v>20</v>
      </c>
      <c r="E1178" s="5" t="s">
        <v>27</v>
      </c>
      <c r="F1178" s="6">
        <v>42370</v>
      </c>
      <c r="G1178">
        <v>0</v>
      </c>
    </row>
    <row r="1179" spans="1:7" x14ac:dyDescent="0.25">
      <c r="A1179" s="5" t="s">
        <v>103</v>
      </c>
      <c r="B1179" s="5" t="s">
        <v>106</v>
      </c>
      <c r="C1179" s="5">
        <v>1421</v>
      </c>
      <c r="D1179" s="5" t="s">
        <v>20</v>
      </c>
      <c r="E1179" s="5" t="s">
        <v>27</v>
      </c>
      <c r="F1179" s="6">
        <v>42736</v>
      </c>
      <c r="G1179">
        <v>0</v>
      </c>
    </row>
    <row r="1180" spans="1:7" x14ac:dyDescent="0.25">
      <c r="A1180" s="5" t="s">
        <v>103</v>
      </c>
      <c r="B1180" s="5" t="s">
        <v>106</v>
      </c>
      <c r="C1180" s="5">
        <v>1421</v>
      </c>
      <c r="D1180" s="5" t="s">
        <v>20</v>
      </c>
      <c r="E1180" s="5" t="s">
        <v>28</v>
      </c>
      <c r="F1180" s="6">
        <v>42370</v>
      </c>
      <c r="G1180">
        <v>0</v>
      </c>
    </row>
    <row r="1181" spans="1:7" x14ac:dyDescent="0.25">
      <c r="A1181" s="5" t="s">
        <v>103</v>
      </c>
      <c r="B1181" s="5" t="s">
        <v>106</v>
      </c>
      <c r="C1181" s="5">
        <v>1421</v>
      </c>
      <c r="D1181" s="5" t="s">
        <v>20</v>
      </c>
      <c r="E1181" s="5" t="s">
        <v>28</v>
      </c>
      <c r="F1181" s="6">
        <v>42736</v>
      </c>
      <c r="G1181">
        <v>0</v>
      </c>
    </row>
    <row r="1182" spans="1:7" x14ac:dyDescent="0.25">
      <c r="A1182" s="5" t="s">
        <v>103</v>
      </c>
      <c r="B1182" s="5" t="s">
        <v>106</v>
      </c>
      <c r="C1182" s="5">
        <v>1421</v>
      </c>
      <c r="D1182" s="5" t="s">
        <v>20</v>
      </c>
      <c r="E1182" s="5" t="s">
        <v>29</v>
      </c>
      <c r="F1182" s="6">
        <v>42370</v>
      </c>
      <c r="G1182">
        <v>103</v>
      </c>
    </row>
    <row r="1183" spans="1:7" x14ac:dyDescent="0.25">
      <c r="A1183" s="5" t="s">
        <v>103</v>
      </c>
      <c r="B1183" s="5" t="s">
        <v>106</v>
      </c>
      <c r="C1183" s="5">
        <v>1421</v>
      </c>
      <c r="D1183" s="5" t="s">
        <v>20</v>
      </c>
      <c r="E1183" s="5" t="s">
        <v>29</v>
      </c>
      <c r="F1183" s="6">
        <v>42736</v>
      </c>
      <c r="G1183">
        <v>158</v>
      </c>
    </row>
    <row r="1184" spans="1:7" x14ac:dyDescent="0.25">
      <c r="A1184" s="5" t="s">
        <v>103</v>
      </c>
      <c r="B1184" s="5" t="s">
        <v>106</v>
      </c>
      <c r="C1184" s="5">
        <v>1421</v>
      </c>
      <c r="D1184" s="5" t="s">
        <v>20</v>
      </c>
      <c r="E1184" s="5" t="s">
        <v>30</v>
      </c>
      <c r="F1184" s="6">
        <v>42370</v>
      </c>
      <c r="G1184">
        <v>104</v>
      </c>
    </row>
    <row r="1185" spans="1:7" x14ac:dyDescent="0.25">
      <c r="A1185" s="5" t="s">
        <v>103</v>
      </c>
      <c r="B1185" s="5" t="s">
        <v>106</v>
      </c>
      <c r="C1185" s="5">
        <v>1421</v>
      </c>
      <c r="D1185" s="5" t="s">
        <v>20</v>
      </c>
      <c r="E1185" s="5" t="s">
        <v>30</v>
      </c>
      <c r="F1185" s="6">
        <v>42736</v>
      </c>
      <c r="G1185">
        <v>157</v>
      </c>
    </row>
    <row r="1186" spans="1:7" x14ac:dyDescent="0.25">
      <c r="A1186" s="5" t="s">
        <v>103</v>
      </c>
      <c r="B1186" s="5" t="s">
        <v>106</v>
      </c>
      <c r="C1186" s="5">
        <v>1421</v>
      </c>
      <c r="D1186" s="5" t="s">
        <v>20</v>
      </c>
      <c r="E1186" s="5" t="s">
        <v>31</v>
      </c>
      <c r="F1186" s="6">
        <v>42370</v>
      </c>
      <c r="G1186">
        <v>172</v>
      </c>
    </row>
    <row r="1187" spans="1:7" x14ac:dyDescent="0.25">
      <c r="A1187" s="5" t="s">
        <v>103</v>
      </c>
      <c r="B1187" s="5" t="s">
        <v>106</v>
      </c>
      <c r="C1187" s="5">
        <v>1421</v>
      </c>
      <c r="D1187" s="5" t="s">
        <v>20</v>
      </c>
      <c r="E1187" s="5" t="s">
        <v>31</v>
      </c>
      <c r="F1187" s="6">
        <v>42736</v>
      </c>
      <c r="G1187">
        <v>364</v>
      </c>
    </row>
    <row r="1188" spans="1:7" x14ac:dyDescent="0.25">
      <c r="A1188" s="5" t="s">
        <v>103</v>
      </c>
      <c r="B1188" s="5" t="s">
        <v>106</v>
      </c>
      <c r="C1188" s="5">
        <v>1421</v>
      </c>
      <c r="D1188" s="5" t="s">
        <v>20</v>
      </c>
      <c r="E1188" s="5" t="s">
        <v>32</v>
      </c>
      <c r="F1188" s="6">
        <v>42370</v>
      </c>
      <c r="G1188">
        <v>102</v>
      </c>
    </row>
    <row r="1189" spans="1:7" x14ac:dyDescent="0.25">
      <c r="A1189" s="5" t="s">
        <v>103</v>
      </c>
      <c r="B1189" s="5" t="s">
        <v>106</v>
      </c>
      <c r="C1189" s="5">
        <v>1421</v>
      </c>
      <c r="D1189" s="5" t="s">
        <v>20</v>
      </c>
      <c r="E1189" s="5" t="s">
        <v>32</v>
      </c>
      <c r="F1189" s="6">
        <v>42736</v>
      </c>
      <c r="G1189">
        <v>158</v>
      </c>
    </row>
    <row r="1190" spans="1:7" x14ac:dyDescent="0.25">
      <c r="A1190" s="5" t="s">
        <v>103</v>
      </c>
      <c r="B1190" s="5" t="s">
        <v>106</v>
      </c>
      <c r="C1190" s="5">
        <v>1421</v>
      </c>
      <c r="D1190" s="5" t="s">
        <v>33</v>
      </c>
      <c r="E1190" s="5" t="s">
        <v>9</v>
      </c>
      <c r="F1190" s="6">
        <v>42370</v>
      </c>
      <c r="G1190">
        <v>0</v>
      </c>
    </row>
    <row r="1191" spans="1:7" x14ac:dyDescent="0.25">
      <c r="A1191" s="5" t="s">
        <v>103</v>
      </c>
      <c r="B1191" s="5" t="s">
        <v>106</v>
      </c>
      <c r="C1191" s="5">
        <v>1421</v>
      </c>
      <c r="D1191" s="5" t="s">
        <v>33</v>
      </c>
      <c r="E1191" s="5" t="s">
        <v>9</v>
      </c>
      <c r="F1191" s="6">
        <v>42736</v>
      </c>
      <c r="G1191">
        <v>0</v>
      </c>
    </row>
    <row r="1192" spans="1:7" x14ac:dyDescent="0.25">
      <c r="A1192" s="5" t="s">
        <v>103</v>
      </c>
      <c r="B1192" s="5" t="s">
        <v>106</v>
      </c>
      <c r="C1192" s="5">
        <v>1421</v>
      </c>
      <c r="D1192" s="5" t="s">
        <v>33</v>
      </c>
      <c r="E1192" s="5" t="s">
        <v>34</v>
      </c>
      <c r="F1192" s="6">
        <v>42370</v>
      </c>
      <c r="G1192">
        <v>0</v>
      </c>
    </row>
    <row r="1193" spans="1:7" x14ac:dyDescent="0.25">
      <c r="A1193" s="5" t="s">
        <v>103</v>
      </c>
      <c r="B1193" s="5" t="s">
        <v>106</v>
      </c>
      <c r="C1193" s="5">
        <v>1421</v>
      </c>
      <c r="D1193" s="5" t="s">
        <v>33</v>
      </c>
      <c r="E1193" s="5" t="s">
        <v>34</v>
      </c>
      <c r="F1193" s="6">
        <v>42736</v>
      </c>
      <c r="G1193">
        <v>0</v>
      </c>
    </row>
    <row r="1194" spans="1:7" x14ac:dyDescent="0.25">
      <c r="A1194" s="5" t="s">
        <v>103</v>
      </c>
      <c r="B1194" s="5" t="s">
        <v>106</v>
      </c>
      <c r="C1194" s="5">
        <v>1421</v>
      </c>
      <c r="D1194" s="5" t="s">
        <v>35</v>
      </c>
      <c r="E1194" s="5" t="s">
        <v>36</v>
      </c>
      <c r="F1194" s="6">
        <v>42370</v>
      </c>
      <c r="G1194">
        <v>0</v>
      </c>
    </row>
    <row r="1195" spans="1:7" x14ac:dyDescent="0.25">
      <c r="A1195" s="5" t="s">
        <v>103</v>
      </c>
      <c r="B1195" s="5" t="s">
        <v>106</v>
      </c>
      <c r="C1195" s="5">
        <v>1421</v>
      </c>
      <c r="D1195" s="5" t="s">
        <v>35</v>
      </c>
      <c r="E1195" s="5" t="s">
        <v>36</v>
      </c>
      <c r="F1195" s="6">
        <v>42736</v>
      </c>
      <c r="G1195">
        <v>0</v>
      </c>
    </row>
    <row r="1196" spans="1:7" x14ac:dyDescent="0.25">
      <c r="A1196" s="5" t="s">
        <v>103</v>
      </c>
      <c r="B1196" s="5" t="s">
        <v>106</v>
      </c>
      <c r="C1196" s="5">
        <v>1421</v>
      </c>
      <c r="D1196" s="5" t="s">
        <v>35</v>
      </c>
      <c r="E1196" s="5" t="s">
        <v>37</v>
      </c>
      <c r="F1196" s="6">
        <v>42370</v>
      </c>
      <c r="G1196">
        <v>0</v>
      </c>
    </row>
    <row r="1197" spans="1:7" x14ac:dyDescent="0.25">
      <c r="A1197" s="5" t="s">
        <v>103</v>
      </c>
      <c r="B1197" s="5" t="s">
        <v>106</v>
      </c>
      <c r="C1197" s="5">
        <v>1421</v>
      </c>
      <c r="D1197" s="5" t="s">
        <v>35</v>
      </c>
      <c r="E1197" s="5" t="s">
        <v>37</v>
      </c>
      <c r="F1197" s="6">
        <v>42736</v>
      </c>
      <c r="G1197">
        <v>0</v>
      </c>
    </row>
    <row r="1198" spans="1:7" x14ac:dyDescent="0.25">
      <c r="A1198" s="5" t="s">
        <v>103</v>
      </c>
      <c r="B1198" s="5" t="s">
        <v>106</v>
      </c>
      <c r="C1198" s="5">
        <v>1421</v>
      </c>
      <c r="D1198" s="5" t="s">
        <v>35</v>
      </c>
      <c r="E1198" s="5" t="s">
        <v>38</v>
      </c>
      <c r="F1198" s="6">
        <v>42370</v>
      </c>
      <c r="G1198">
        <v>0</v>
      </c>
    </row>
    <row r="1199" spans="1:7" x14ac:dyDescent="0.25">
      <c r="A1199" s="5" t="s">
        <v>103</v>
      </c>
      <c r="B1199" s="5" t="s">
        <v>106</v>
      </c>
      <c r="C1199" s="5">
        <v>1421</v>
      </c>
      <c r="D1199" s="5" t="s">
        <v>35</v>
      </c>
      <c r="E1199" s="5" t="s">
        <v>38</v>
      </c>
      <c r="F1199" s="6">
        <v>42736</v>
      </c>
      <c r="G1199">
        <v>0</v>
      </c>
    </row>
    <row r="1200" spans="1:7" x14ac:dyDescent="0.25">
      <c r="A1200" s="5" t="s">
        <v>103</v>
      </c>
      <c r="B1200" s="5" t="s">
        <v>106</v>
      </c>
      <c r="C1200" s="5">
        <v>1421</v>
      </c>
      <c r="D1200" s="5" t="s">
        <v>35</v>
      </c>
      <c r="E1200" s="5" t="s">
        <v>39</v>
      </c>
      <c r="F1200" s="6">
        <v>42370</v>
      </c>
      <c r="G1200">
        <v>0</v>
      </c>
    </row>
    <row r="1201" spans="1:7" x14ac:dyDescent="0.25">
      <c r="A1201" s="5" t="s">
        <v>103</v>
      </c>
      <c r="B1201" s="5" t="s">
        <v>106</v>
      </c>
      <c r="C1201" s="5">
        <v>1421</v>
      </c>
      <c r="D1201" s="5" t="s">
        <v>35</v>
      </c>
      <c r="E1201" s="5" t="s">
        <v>39</v>
      </c>
      <c r="F1201" s="6">
        <v>42736</v>
      </c>
      <c r="G1201">
        <v>0</v>
      </c>
    </row>
    <row r="1202" spans="1:7" x14ac:dyDescent="0.25">
      <c r="A1202" s="5" t="s">
        <v>103</v>
      </c>
      <c r="B1202" s="5" t="s">
        <v>106</v>
      </c>
      <c r="C1202" s="5">
        <v>1421</v>
      </c>
      <c r="D1202" s="5" t="s">
        <v>35</v>
      </c>
      <c r="E1202" s="5" t="s">
        <v>40</v>
      </c>
      <c r="F1202" s="6">
        <v>42370</v>
      </c>
      <c r="G1202">
        <v>0</v>
      </c>
    </row>
    <row r="1203" spans="1:7" x14ac:dyDescent="0.25">
      <c r="A1203" s="5" t="s">
        <v>103</v>
      </c>
      <c r="B1203" s="5" t="s">
        <v>106</v>
      </c>
      <c r="C1203" s="5">
        <v>1421</v>
      </c>
      <c r="D1203" s="5" t="s">
        <v>35</v>
      </c>
      <c r="E1203" s="5" t="s">
        <v>40</v>
      </c>
      <c r="F1203" s="6">
        <v>42736</v>
      </c>
      <c r="G1203">
        <v>0</v>
      </c>
    </row>
    <row r="1204" spans="1:7" x14ac:dyDescent="0.25">
      <c r="A1204" s="5" t="s">
        <v>103</v>
      </c>
      <c r="B1204" s="5" t="s">
        <v>106</v>
      </c>
      <c r="C1204" s="5">
        <v>1421</v>
      </c>
      <c r="D1204" s="5" t="s">
        <v>35</v>
      </c>
      <c r="E1204" s="5" t="s">
        <v>41</v>
      </c>
      <c r="F1204" s="6">
        <v>42370</v>
      </c>
      <c r="G1204">
        <v>0</v>
      </c>
    </row>
    <row r="1205" spans="1:7" x14ac:dyDescent="0.25">
      <c r="A1205" s="5" t="s">
        <v>103</v>
      </c>
      <c r="B1205" s="5" t="s">
        <v>106</v>
      </c>
      <c r="C1205" s="5">
        <v>1421</v>
      </c>
      <c r="D1205" s="5" t="s">
        <v>35</v>
      </c>
      <c r="E1205" s="5" t="s">
        <v>41</v>
      </c>
      <c r="F1205" s="6">
        <v>42736</v>
      </c>
      <c r="G1205">
        <v>0</v>
      </c>
    </row>
    <row r="1206" spans="1:7" x14ac:dyDescent="0.25">
      <c r="A1206" s="5" t="s">
        <v>103</v>
      </c>
      <c r="B1206" s="5" t="s">
        <v>106</v>
      </c>
      <c r="C1206" s="5">
        <v>1421</v>
      </c>
      <c r="D1206" s="5" t="s">
        <v>35</v>
      </c>
      <c r="E1206" s="5" t="s">
        <v>42</v>
      </c>
      <c r="F1206" s="6">
        <v>42370</v>
      </c>
      <c r="G1206">
        <v>0</v>
      </c>
    </row>
    <row r="1207" spans="1:7" x14ac:dyDescent="0.25">
      <c r="A1207" s="5" t="s">
        <v>103</v>
      </c>
      <c r="B1207" s="5" t="s">
        <v>106</v>
      </c>
      <c r="C1207" s="5">
        <v>1421</v>
      </c>
      <c r="D1207" s="5" t="s">
        <v>35</v>
      </c>
      <c r="E1207" s="5" t="s">
        <v>42</v>
      </c>
      <c r="F1207" s="6">
        <v>42736</v>
      </c>
      <c r="G1207">
        <v>0</v>
      </c>
    </row>
    <row r="1208" spans="1:7" x14ac:dyDescent="0.25">
      <c r="A1208" s="5" t="s">
        <v>103</v>
      </c>
      <c r="B1208" s="5" t="s">
        <v>106</v>
      </c>
      <c r="C1208" s="5">
        <v>1421</v>
      </c>
      <c r="D1208" s="5" t="s">
        <v>35</v>
      </c>
      <c r="E1208" s="5" t="s">
        <v>43</v>
      </c>
      <c r="F1208" s="6">
        <v>42370</v>
      </c>
      <c r="G1208">
        <v>0</v>
      </c>
    </row>
    <row r="1209" spans="1:7" x14ac:dyDescent="0.25">
      <c r="A1209" s="5" t="s">
        <v>103</v>
      </c>
      <c r="B1209" s="5" t="s">
        <v>106</v>
      </c>
      <c r="C1209" s="5">
        <v>1421</v>
      </c>
      <c r="D1209" s="5" t="s">
        <v>35</v>
      </c>
      <c r="E1209" s="5" t="s">
        <v>43</v>
      </c>
      <c r="F1209" s="6">
        <v>42736</v>
      </c>
      <c r="G1209">
        <v>0</v>
      </c>
    </row>
    <row r="1210" spans="1:7" x14ac:dyDescent="0.25">
      <c r="A1210" s="5" t="s">
        <v>103</v>
      </c>
      <c r="B1210" s="5" t="s">
        <v>106</v>
      </c>
      <c r="C1210" s="5">
        <v>1421</v>
      </c>
      <c r="D1210" s="5" t="s">
        <v>44</v>
      </c>
      <c r="E1210" s="5" t="s">
        <v>36</v>
      </c>
      <c r="F1210" s="6">
        <v>42370</v>
      </c>
      <c r="G1210">
        <v>0</v>
      </c>
    </row>
    <row r="1211" spans="1:7" x14ac:dyDescent="0.25">
      <c r="A1211" s="5" t="s">
        <v>103</v>
      </c>
      <c r="B1211" s="5" t="s">
        <v>106</v>
      </c>
      <c r="C1211" s="5">
        <v>1421</v>
      </c>
      <c r="D1211" s="5" t="s">
        <v>44</v>
      </c>
      <c r="E1211" s="5" t="s">
        <v>36</v>
      </c>
      <c r="F1211" s="6">
        <v>42736</v>
      </c>
      <c r="G1211">
        <v>0</v>
      </c>
    </row>
    <row r="1212" spans="1:7" x14ac:dyDescent="0.25">
      <c r="A1212" s="5" t="s">
        <v>103</v>
      </c>
      <c r="B1212" s="5" t="s">
        <v>106</v>
      </c>
      <c r="C1212" s="5">
        <v>1421</v>
      </c>
      <c r="D1212" s="5" t="s">
        <v>44</v>
      </c>
      <c r="E1212" s="5" t="s">
        <v>37</v>
      </c>
      <c r="F1212" s="6">
        <v>42370</v>
      </c>
      <c r="G1212">
        <v>0</v>
      </c>
    </row>
    <row r="1213" spans="1:7" x14ac:dyDescent="0.25">
      <c r="A1213" s="5" t="s">
        <v>103</v>
      </c>
      <c r="B1213" s="5" t="s">
        <v>106</v>
      </c>
      <c r="C1213" s="5">
        <v>1421</v>
      </c>
      <c r="D1213" s="5" t="s">
        <v>44</v>
      </c>
      <c r="E1213" s="5" t="s">
        <v>37</v>
      </c>
      <c r="F1213" s="6">
        <v>42736</v>
      </c>
      <c r="G1213">
        <v>0</v>
      </c>
    </row>
    <row r="1214" spans="1:7" x14ac:dyDescent="0.25">
      <c r="A1214" s="5" t="s">
        <v>103</v>
      </c>
      <c r="B1214" s="5" t="s">
        <v>106</v>
      </c>
      <c r="C1214" s="5">
        <v>1421</v>
      </c>
      <c r="D1214" s="5" t="s">
        <v>44</v>
      </c>
      <c r="E1214" s="5" t="s">
        <v>38</v>
      </c>
      <c r="F1214" s="6">
        <v>42370</v>
      </c>
      <c r="G1214">
        <v>0</v>
      </c>
    </row>
    <row r="1215" spans="1:7" x14ac:dyDescent="0.25">
      <c r="A1215" s="5" t="s">
        <v>103</v>
      </c>
      <c r="B1215" s="5" t="s">
        <v>106</v>
      </c>
      <c r="C1215" s="5">
        <v>1421</v>
      </c>
      <c r="D1215" s="5" t="s">
        <v>44</v>
      </c>
      <c r="E1215" s="5" t="s">
        <v>38</v>
      </c>
      <c r="F1215" s="6">
        <v>42736</v>
      </c>
      <c r="G1215">
        <v>0</v>
      </c>
    </row>
    <row r="1216" spans="1:7" x14ac:dyDescent="0.25">
      <c r="A1216" s="5" t="s">
        <v>103</v>
      </c>
      <c r="B1216" s="5" t="s">
        <v>106</v>
      </c>
      <c r="C1216" s="5">
        <v>1421</v>
      </c>
      <c r="D1216" s="5" t="s">
        <v>44</v>
      </c>
      <c r="E1216" s="5" t="s">
        <v>39</v>
      </c>
      <c r="F1216" s="6">
        <v>42370</v>
      </c>
      <c r="G1216">
        <v>0</v>
      </c>
    </row>
    <row r="1217" spans="1:7" x14ac:dyDescent="0.25">
      <c r="A1217" s="5" t="s">
        <v>103</v>
      </c>
      <c r="B1217" s="5" t="s">
        <v>106</v>
      </c>
      <c r="C1217" s="5">
        <v>1421</v>
      </c>
      <c r="D1217" s="5" t="s">
        <v>44</v>
      </c>
      <c r="E1217" s="5" t="s">
        <v>39</v>
      </c>
      <c r="F1217" s="6">
        <v>42736</v>
      </c>
      <c r="G1217">
        <v>5</v>
      </c>
    </row>
    <row r="1218" spans="1:7" x14ac:dyDescent="0.25">
      <c r="A1218" s="5" t="s">
        <v>103</v>
      </c>
      <c r="B1218" s="5" t="s">
        <v>106</v>
      </c>
      <c r="C1218" s="5">
        <v>1421</v>
      </c>
      <c r="D1218" s="5" t="s">
        <v>44</v>
      </c>
      <c r="E1218" s="5" t="s">
        <v>40</v>
      </c>
      <c r="F1218" s="6">
        <v>42370</v>
      </c>
      <c r="G1218">
        <v>0</v>
      </c>
    </row>
    <row r="1219" spans="1:7" x14ac:dyDescent="0.25">
      <c r="A1219" s="5" t="s">
        <v>103</v>
      </c>
      <c r="B1219" s="5" t="s">
        <v>106</v>
      </c>
      <c r="C1219" s="5">
        <v>1421</v>
      </c>
      <c r="D1219" s="5" t="s">
        <v>44</v>
      </c>
      <c r="E1219" s="5" t="s">
        <v>40</v>
      </c>
      <c r="F1219" s="6">
        <v>42736</v>
      </c>
      <c r="G1219">
        <v>0</v>
      </c>
    </row>
    <row r="1220" spans="1:7" x14ac:dyDescent="0.25">
      <c r="A1220" s="5" t="s">
        <v>103</v>
      </c>
      <c r="B1220" s="5" t="s">
        <v>106</v>
      </c>
      <c r="C1220" s="5">
        <v>1421</v>
      </c>
      <c r="D1220" s="5" t="s">
        <v>44</v>
      </c>
      <c r="E1220" s="5" t="s">
        <v>41</v>
      </c>
      <c r="F1220" s="6">
        <v>42370</v>
      </c>
      <c r="G1220">
        <v>0</v>
      </c>
    </row>
    <row r="1221" spans="1:7" x14ac:dyDescent="0.25">
      <c r="A1221" s="5" t="s">
        <v>103</v>
      </c>
      <c r="B1221" s="5" t="s">
        <v>106</v>
      </c>
      <c r="C1221" s="5">
        <v>1421</v>
      </c>
      <c r="D1221" s="5" t="s">
        <v>44</v>
      </c>
      <c r="E1221" s="5" t="s">
        <v>41</v>
      </c>
      <c r="F1221" s="6">
        <v>42736</v>
      </c>
      <c r="G1221">
        <v>0</v>
      </c>
    </row>
    <row r="1222" spans="1:7" x14ac:dyDescent="0.25">
      <c r="A1222" s="5" t="s">
        <v>103</v>
      </c>
      <c r="B1222" s="5" t="s">
        <v>106</v>
      </c>
      <c r="C1222" s="5">
        <v>1421</v>
      </c>
      <c r="D1222" s="5" t="s">
        <v>44</v>
      </c>
      <c r="E1222" s="5" t="s">
        <v>42</v>
      </c>
      <c r="F1222" s="6">
        <v>42370</v>
      </c>
      <c r="G1222">
        <v>0</v>
      </c>
    </row>
    <row r="1223" spans="1:7" x14ac:dyDescent="0.25">
      <c r="A1223" s="5" t="s">
        <v>103</v>
      </c>
      <c r="B1223" s="5" t="s">
        <v>106</v>
      </c>
      <c r="C1223" s="5">
        <v>1421</v>
      </c>
      <c r="D1223" s="5" t="s">
        <v>44</v>
      </c>
      <c r="E1223" s="5" t="s">
        <v>42</v>
      </c>
      <c r="F1223" s="6">
        <v>42736</v>
      </c>
      <c r="G1223">
        <v>0</v>
      </c>
    </row>
    <row r="1224" spans="1:7" x14ac:dyDescent="0.25">
      <c r="A1224" s="5" t="s">
        <v>103</v>
      </c>
      <c r="B1224" s="5" t="s">
        <v>106</v>
      </c>
      <c r="C1224" s="5">
        <v>1421</v>
      </c>
      <c r="D1224" s="5" t="s">
        <v>44</v>
      </c>
      <c r="E1224" s="5" t="s">
        <v>43</v>
      </c>
      <c r="F1224" s="6">
        <v>42370</v>
      </c>
      <c r="G1224">
        <v>0</v>
      </c>
    </row>
    <row r="1225" spans="1:7" x14ac:dyDescent="0.25">
      <c r="A1225" s="5" t="s">
        <v>103</v>
      </c>
      <c r="B1225" s="5" t="s">
        <v>106</v>
      </c>
      <c r="C1225" s="5">
        <v>1421</v>
      </c>
      <c r="D1225" s="5" t="s">
        <v>44</v>
      </c>
      <c r="E1225" s="5" t="s">
        <v>43</v>
      </c>
      <c r="F1225" s="6">
        <v>42736</v>
      </c>
      <c r="G1225">
        <v>0</v>
      </c>
    </row>
    <row r="1226" spans="1:7" x14ac:dyDescent="0.25">
      <c r="A1226" s="5" t="s">
        <v>103</v>
      </c>
      <c r="B1226" s="5" t="s">
        <v>106</v>
      </c>
      <c r="C1226" s="5">
        <v>1421</v>
      </c>
      <c r="D1226" s="5" t="s">
        <v>45</v>
      </c>
      <c r="E1226" s="5" t="s">
        <v>46</v>
      </c>
      <c r="F1226" s="6">
        <v>42370</v>
      </c>
      <c r="G1226">
        <v>1</v>
      </c>
    </row>
    <row r="1227" spans="1:7" x14ac:dyDescent="0.25">
      <c r="A1227" s="5" t="s">
        <v>103</v>
      </c>
      <c r="B1227" s="5" t="s">
        <v>106</v>
      </c>
      <c r="C1227" s="5">
        <v>1421</v>
      </c>
      <c r="D1227" s="5" t="s">
        <v>45</v>
      </c>
      <c r="E1227" s="5" t="s">
        <v>46</v>
      </c>
      <c r="F1227" s="6">
        <v>42736</v>
      </c>
      <c r="G1227">
        <v>0</v>
      </c>
    </row>
    <row r="1228" spans="1:7" x14ac:dyDescent="0.25">
      <c r="A1228" s="5" t="s">
        <v>103</v>
      </c>
      <c r="B1228" s="5" t="s">
        <v>106</v>
      </c>
      <c r="C1228" s="5">
        <v>1421</v>
      </c>
      <c r="D1228" s="5" t="s">
        <v>45</v>
      </c>
      <c r="E1228" s="5" t="s">
        <v>47</v>
      </c>
      <c r="F1228" s="6">
        <v>42370</v>
      </c>
      <c r="G1228">
        <v>0</v>
      </c>
    </row>
    <row r="1229" spans="1:7" x14ac:dyDescent="0.25">
      <c r="A1229" s="5" t="s">
        <v>103</v>
      </c>
      <c r="B1229" s="5" t="s">
        <v>106</v>
      </c>
      <c r="C1229" s="5">
        <v>1421</v>
      </c>
      <c r="D1229" s="5" t="s">
        <v>45</v>
      </c>
      <c r="E1229" s="5" t="s">
        <v>47</v>
      </c>
      <c r="F1229" s="6">
        <v>42736</v>
      </c>
      <c r="G1229">
        <v>14</v>
      </c>
    </row>
    <row r="1230" spans="1:7" x14ac:dyDescent="0.25">
      <c r="A1230" s="5" t="s">
        <v>103</v>
      </c>
      <c r="B1230" s="5" t="s">
        <v>106</v>
      </c>
      <c r="C1230" s="5">
        <v>1421</v>
      </c>
      <c r="D1230" s="5" t="s">
        <v>45</v>
      </c>
      <c r="E1230" s="5" t="s">
        <v>48</v>
      </c>
      <c r="F1230" s="6">
        <v>42370</v>
      </c>
      <c r="G1230">
        <v>41</v>
      </c>
    </row>
    <row r="1231" spans="1:7" x14ac:dyDescent="0.25">
      <c r="A1231" s="5" t="s">
        <v>103</v>
      </c>
      <c r="B1231" s="5" t="s">
        <v>106</v>
      </c>
      <c r="C1231" s="5">
        <v>1421</v>
      </c>
      <c r="D1231" s="5" t="s">
        <v>45</v>
      </c>
      <c r="E1231" s="5" t="s">
        <v>48</v>
      </c>
      <c r="F1231" s="6">
        <v>42736</v>
      </c>
      <c r="G1231">
        <v>45</v>
      </c>
    </row>
    <row r="1232" spans="1:7" x14ac:dyDescent="0.25">
      <c r="A1232" s="5" t="s">
        <v>103</v>
      </c>
      <c r="B1232" s="5" t="s">
        <v>106</v>
      </c>
      <c r="C1232" s="5">
        <v>1421</v>
      </c>
      <c r="D1232" s="5" t="s">
        <v>45</v>
      </c>
      <c r="E1232" s="5" t="s">
        <v>49</v>
      </c>
      <c r="F1232" s="6">
        <v>42370</v>
      </c>
      <c r="G1232">
        <v>81</v>
      </c>
    </row>
    <row r="1233" spans="1:7" x14ac:dyDescent="0.25">
      <c r="A1233" s="5" t="s">
        <v>103</v>
      </c>
      <c r="B1233" s="5" t="s">
        <v>106</v>
      </c>
      <c r="C1233" s="5">
        <v>1421</v>
      </c>
      <c r="D1233" s="5" t="s">
        <v>45</v>
      </c>
      <c r="E1233" s="5" t="s">
        <v>49</v>
      </c>
      <c r="F1233" s="6">
        <v>42736</v>
      </c>
      <c r="G1233">
        <v>62</v>
      </c>
    </row>
    <row r="1234" spans="1:7" x14ac:dyDescent="0.25">
      <c r="A1234" s="5" t="s">
        <v>103</v>
      </c>
      <c r="B1234" s="5" t="s">
        <v>106</v>
      </c>
      <c r="C1234" s="5">
        <v>1421</v>
      </c>
      <c r="D1234" s="5" t="s">
        <v>45</v>
      </c>
      <c r="E1234" s="5" t="s">
        <v>50</v>
      </c>
      <c r="F1234" s="6">
        <v>42370</v>
      </c>
      <c r="G1234">
        <v>1</v>
      </c>
    </row>
    <row r="1235" spans="1:7" x14ac:dyDescent="0.25">
      <c r="A1235" s="5" t="s">
        <v>103</v>
      </c>
      <c r="B1235" s="5" t="s">
        <v>106</v>
      </c>
      <c r="C1235" s="5">
        <v>1421</v>
      </c>
      <c r="D1235" s="5" t="s">
        <v>45</v>
      </c>
      <c r="E1235" s="5" t="s">
        <v>50</v>
      </c>
      <c r="F1235" s="6">
        <v>42736</v>
      </c>
      <c r="G1235">
        <v>4</v>
      </c>
    </row>
    <row r="1236" spans="1:7" x14ac:dyDescent="0.25">
      <c r="A1236" s="5" t="s">
        <v>103</v>
      </c>
      <c r="B1236" s="5" t="s">
        <v>106</v>
      </c>
      <c r="C1236" s="5">
        <v>1421</v>
      </c>
      <c r="D1236" s="5" t="s">
        <v>45</v>
      </c>
      <c r="E1236" s="5" t="s">
        <v>51</v>
      </c>
      <c r="F1236" s="6">
        <v>42370</v>
      </c>
      <c r="G1236">
        <v>0</v>
      </c>
    </row>
    <row r="1237" spans="1:7" x14ac:dyDescent="0.25">
      <c r="A1237" s="5" t="s">
        <v>103</v>
      </c>
      <c r="B1237" s="5" t="s">
        <v>106</v>
      </c>
      <c r="C1237" s="5">
        <v>1421</v>
      </c>
      <c r="D1237" s="5" t="s">
        <v>45</v>
      </c>
      <c r="E1237" s="5" t="s">
        <v>51</v>
      </c>
      <c r="F1237" s="6">
        <v>42736</v>
      </c>
      <c r="G1237">
        <v>0</v>
      </c>
    </row>
    <row r="1238" spans="1:7" x14ac:dyDescent="0.25">
      <c r="A1238" s="5" t="s">
        <v>103</v>
      </c>
      <c r="B1238" s="5" t="s">
        <v>106</v>
      </c>
      <c r="C1238" s="5">
        <v>1421</v>
      </c>
      <c r="D1238" s="5" t="s">
        <v>45</v>
      </c>
      <c r="E1238" s="5" t="s">
        <v>52</v>
      </c>
      <c r="F1238" s="6">
        <v>42370</v>
      </c>
      <c r="G1238">
        <v>0</v>
      </c>
    </row>
    <row r="1239" spans="1:7" x14ac:dyDescent="0.25">
      <c r="A1239" s="5" t="s">
        <v>103</v>
      </c>
      <c r="B1239" s="5" t="s">
        <v>106</v>
      </c>
      <c r="C1239" s="5">
        <v>1421</v>
      </c>
      <c r="D1239" s="5" t="s">
        <v>45</v>
      </c>
      <c r="E1239" s="5" t="s">
        <v>52</v>
      </c>
      <c r="F1239" s="6">
        <v>42736</v>
      </c>
      <c r="G1239">
        <v>0</v>
      </c>
    </row>
    <row r="1240" spans="1:7" x14ac:dyDescent="0.25">
      <c r="A1240" s="5" t="s">
        <v>103</v>
      </c>
      <c r="B1240" s="5" t="s">
        <v>106</v>
      </c>
      <c r="C1240" s="5">
        <v>1421</v>
      </c>
      <c r="D1240" s="5" t="s">
        <v>45</v>
      </c>
      <c r="E1240" s="5" t="s">
        <v>53</v>
      </c>
      <c r="F1240" s="6">
        <v>42370</v>
      </c>
      <c r="G1240">
        <v>27</v>
      </c>
    </row>
    <row r="1241" spans="1:7" x14ac:dyDescent="0.25">
      <c r="A1241" s="5" t="s">
        <v>103</v>
      </c>
      <c r="B1241" s="5" t="s">
        <v>106</v>
      </c>
      <c r="C1241" s="5">
        <v>1421</v>
      </c>
      <c r="D1241" s="5" t="s">
        <v>45</v>
      </c>
      <c r="E1241" s="5" t="s">
        <v>53</v>
      </c>
      <c r="F1241" s="6">
        <v>42736</v>
      </c>
      <c r="G1241">
        <v>101</v>
      </c>
    </row>
    <row r="1242" spans="1:7" x14ac:dyDescent="0.25">
      <c r="A1242" s="5" t="s">
        <v>103</v>
      </c>
      <c r="B1242" s="5" t="s">
        <v>106</v>
      </c>
      <c r="C1242" s="5">
        <v>1421</v>
      </c>
      <c r="D1242" s="5" t="s">
        <v>45</v>
      </c>
      <c r="E1242" s="5" t="s">
        <v>54</v>
      </c>
      <c r="F1242" s="6">
        <v>42370</v>
      </c>
      <c r="G1242">
        <v>0</v>
      </c>
    </row>
    <row r="1243" spans="1:7" x14ac:dyDescent="0.25">
      <c r="A1243" s="5" t="s">
        <v>103</v>
      </c>
      <c r="B1243" s="5" t="s">
        <v>106</v>
      </c>
      <c r="C1243" s="5">
        <v>1421</v>
      </c>
      <c r="D1243" s="5" t="s">
        <v>45</v>
      </c>
      <c r="E1243" s="5" t="s">
        <v>54</v>
      </c>
      <c r="F1243" s="6">
        <v>42736</v>
      </c>
      <c r="G1243">
        <v>0</v>
      </c>
    </row>
    <row r="1244" spans="1:7" x14ac:dyDescent="0.25">
      <c r="A1244" s="5" t="s">
        <v>103</v>
      </c>
      <c r="B1244" s="5" t="s">
        <v>106</v>
      </c>
      <c r="C1244" s="5">
        <v>1421</v>
      </c>
      <c r="D1244" s="5" t="s">
        <v>45</v>
      </c>
      <c r="E1244" s="5" t="s">
        <v>55</v>
      </c>
      <c r="F1244" s="6">
        <v>42370</v>
      </c>
      <c r="G1244">
        <v>0</v>
      </c>
    </row>
    <row r="1245" spans="1:7" x14ac:dyDescent="0.25">
      <c r="A1245" s="5" t="s">
        <v>103</v>
      </c>
      <c r="B1245" s="5" t="s">
        <v>106</v>
      </c>
      <c r="C1245" s="5">
        <v>1421</v>
      </c>
      <c r="D1245" s="5" t="s">
        <v>45</v>
      </c>
      <c r="E1245" s="5" t="s">
        <v>55</v>
      </c>
      <c r="F1245" s="6">
        <v>42736</v>
      </c>
      <c r="G1245">
        <v>0</v>
      </c>
    </row>
    <row r="1246" spans="1:7" x14ac:dyDescent="0.25">
      <c r="A1246" s="5" t="s">
        <v>103</v>
      </c>
      <c r="B1246" s="5" t="s">
        <v>106</v>
      </c>
      <c r="C1246" s="5">
        <v>1421</v>
      </c>
      <c r="D1246" s="5" t="s">
        <v>45</v>
      </c>
      <c r="E1246" s="5" t="s">
        <v>56</v>
      </c>
      <c r="F1246" s="6">
        <v>42370</v>
      </c>
      <c r="G1246">
        <v>1</v>
      </c>
    </row>
    <row r="1247" spans="1:7" x14ac:dyDescent="0.25">
      <c r="A1247" s="5" t="s">
        <v>103</v>
      </c>
      <c r="B1247" s="5" t="s">
        <v>106</v>
      </c>
      <c r="C1247" s="5">
        <v>1421</v>
      </c>
      <c r="D1247" s="5" t="s">
        <v>45</v>
      </c>
      <c r="E1247" s="5" t="s">
        <v>56</v>
      </c>
      <c r="F1247" s="6">
        <v>42736</v>
      </c>
      <c r="G1247">
        <v>2</v>
      </c>
    </row>
    <row r="1248" spans="1:7" x14ac:dyDescent="0.25">
      <c r="A1248" s="5" t="s">
        <v>103</v>
      </c>
      <c r="B1248" s="5" t="s">
        <v>106</v>
      </c>
      <c r="C1248" s="5">
        <v>1421</v>
      </c>
      <c r="D1248" s="5" t="s">
        <v>45</v>
      </c>
      <c r="E1248" s="5" t="s">
        <v>57</v>
      </c>
      <c r="F1248" s="6">
        <v>42370</v>
      </c>
      <c r="G1248">
        <v>0</v>
      </c>
    </row>
    <row r="1249" spans="1:7" x14ac:dyDescent="0.25">
      <c r="A1249" s="5" t="s">
        <v>103</v>
      </c>
      <c r="B1249" s="5" t="s">
        <v>106</v>
      </c>
      <c r="C1249" s="5">
        <v>1421</v>
      </c>
      <c r="D1249" s="5" t="s">
        <v>45</v>
      </c>
      <c r="E1249" s="5" t="s">
        <v>57</v>
      </c>
      <c r="F1249" s="6">
        <v>42736</v>
      </c>
      <c r="G1249">
        <v>0</v>
      </c>
    </row>
    <row r="1250" spans="1:7" x14ac:dyDescent="0.25">
      <c r="A1250" s="5" t="s">
        <v>103</v>
      </c>
      <c r="B1250" s="5" t="s">
        <v>106</v>
      </c>
      <c r="C1250" s="5">
        <v>1421</v>
      </c>
      <c r="D1250" s="5" t="s">
        <v>45</v>
      </c>
      <c r="E1250" s="5" t="s">
        <v>58</v>
      </c>
      <c r="F1250" s="6">
        <v>42370</v>
      </c>
      <c r="G1250">
        <v>2</v>
      </c>
    </row>
    <row r="1251" spans="1:7" x14ac:dyDescent="0.25">
      <c r="A1251" s="5" t="s">
        <v>103</v>
      </c>
      <c r="B1251" s="5" t="s">
        <v>106</v>
      </c>
      <c r="C1251" s="5">
        <v>1421</v>
      </c>
      <c r="D1251" s="5" t="s">
        <v>45</v>
      </c>
      <c r="E1251" s="5" t="s">
        <v>58</v>
      </c>
      <c r="F1251" s="6">
        <v>42736</v>
      </c>
      <c r="G1251">
        <v>11</v>
      </c>
    </row>
    <row r="1252" spans="1:7" x14ac:dyDescent="0.25">
      <c r="A1252" s="5" t="s">
        <v>103</v>
      </c>
      <c r="B1252" s="5" t="s">
        <v>106</v>
      </c>
      <c r="C1252" s="5">
        <v>1421</v>
      </c>
      <c r="D1252" s="5" t="s">
        <v>45</v>
      </c>
      <c r="E1252" s="5" t="s">
        <v>59</v>
      </c>
      <c r="F1252" s="6">
        <v>42370</v>
      </c>
      <c r="G1252">
        <v>0</v>
      </c>
    </row>
    <row r="1253" spans="1:7" x14ac:dyDescent="0.25">
      <c r="A1253" s="5" t="s">
        <v>103</v>
      </c>
      <c r="B1253" s="5" t="s">
        <v>106</v>
      </c>
      <c r="C1253" s="5">
        <v>1421</v>
      </c>
      <c r="D1253" s="5" t="s">
        <v>45</v>
      </c>
      <c r="E1253" s="5" t="s">
        <v>59</v>
      </c>
      <c r="F1253" s="6">
        <v>42736</v>
      </c>
      <c r="G1253">
        <v>0</v>
      </c>
    </row>
    <row r="1254" spans="1:7" x14ac:dyDescent="0.25">
      <c r="A1254" s="5" t="s">
        <v>103</v>
      </c>
      <c r="B1254" s="5" t="s">
        <v>106</v>
      </c>
      <c r="C1254" s="5">
        <v>1421</v>
      </c>
      <c r="D1254" s="5" t="s">
        <v>45</v>
      </c>
      <c r="E1254" s="5" t="s">
        <v>60</v>
      </c>
      <c r="F1254" s="6">
        <v>42370</v>
      </c>
      <c r="G1254">
        <v>6</v>
      </c>
    </row>
    <row r="1255" spans="1:7" x14ac:dyDescent="0.25">
      <c r="A1255" s="5" t="s">
        <v>103</v>
      </c>
      <c r="B1255" s="5" t="s">
        <v>106</v>
      </c>
      <c r="C1255" s="5">
        <v>1421</v>
      </c>
      <c r="D1255" s="5" t="s">
        <v>45</v>
      </c>
      <c r="E1255" s="5" t="s">
        <v>60</v>
      </c>
      <c r="F1255" s="6">
        <v>42736</v>
      </c>
      <c r="G1255">
        <v>2</v>
      </c>
    </row>
    <row r="1256" spans="1:7" x14ac:dyDescent="0.25">
      <c r="A1256" s="5" t="s">
        <v>103</v>
      </c>
      <c r="B1256" s="5" t="s">
        <v>106</v>
      </c>
      <c r="C1256" s="5">
        <v>1421</v>
      </c>
      <c r="D1256" s="5" t="s">
        <v>45</v>
      </c>
      <c r="E1256" s="5" t="s">
        <v>61</v>
      </c>
      <c r="F1256" s="6">
        <v>42370</v>
      </c>
      <c r="G1256">
        <v>2</v>
      </c>
    </row>
    <row r="1257" spans="1:7" x14ac:dyDescent="0.25">
      <c r="A1257" s="5" t="s">
        <v>103</v>
      </c>
      <c r="B1257" s="5" t="s">
        <v>106</v>
      </c>
      <c r="C1257" s="5">
        <v>1421</v>
      </c>
      <c r="D1257" s="5" t="s">
        <v>45</v>
      </c>
      <c r="E1257" s="5" t="s">
        <v>61</v>
      </c>
      <c r="F1257" s="6">
        <v>42736</v>
      </c>
      <c r="G1257">
        <v>3</v>
      </c>
    </row>
    <row r="1258" spans="1:7" x14ac:dyDescent="0.25">
      <c r="A1258" s="5" t="s">
        <v>103</v>
      </c>
      <c r="B1258" s="5" t="s">
        <v>106</v>
      </c>
      <c r="C1258" s="5">
        <v>1421</v>
      </c>
      <c r="D1258" s="5" t="s">
        <v>62</v>
      </c>
      <c r="E1258" s="5" t="s">
        <v>63</v>
      </c>
      <c r="F1258" s="6">
        <v>42370</v>
      </c>
      <c r="G1258">
        <v>0</v>
      </c>
    </row>
    <row r="1259" spans="1:7" x14ac:dyDescent="0.25">
      <c r="A1259" s="5" t="s">
        <v>103</v>
      </c>
      <c r="B1259" s="5" t="s">
        <v>106</v>
      </c>
      <c r="C1259" s="5">
        <v>1421</v>
      </c>
      <c r="D1259" s="5" t="s">
        <v>62</v>
      </c>
      <c r="E1259" s="5" t="s">
        <v>63</v>
      </c>
      <c r="F1259" s="6">
        <v>42736</v>
      </c>
      <c r="G1259">
        <v>0</v>
      </c>
    </row>
    <row r="1260" spans="1:7" x14ac:dyDescent="0.25">
      <c r="A1260" s="5" t="s">
        <v>103</v>
      </c>
      <c r="B1260" s="5" t="s">
        <v>106</v>
      </c>
      <c r="C1260" s="5">
        <v>1421</v>
      </c>
      <c r="D1260" s="5" t="s">
        <v>62</v>
      </c>
      <c r="E1260" s="5" t="s">
        <v>64</v>
      </c>
      <c r="F1260" s="6">
        <v>42370</v>
      </c>
      <c r="G1260">
        <v>0</v>
      </c>
    </row>
    <row r="1261" spans="1:7" x14ac:dyDescent="0.25">
      <c r="A1261" s="5" t="s">
        <v>103</v>
      </c>
      <c r="B1261" s="5" t="s">
        <v>106</v>
      </c>
      <c r="C1261" s="5">
        <v>1421</v>
      </c>
      <c r="D1261" s="5" t="s">
        <v>62</v>
      </c>
      <c r="E1261" s="5" t="s">
        <v>64</v>
      </c>
      <c r="F1261" s="6">
        <v>42736</v>
      </c>
      <c r="G1261">
        <v>0</v>
      </c>
    </row>
    <row r="1262" spans="1:7" x14ac:dyDescent="0.25">
      <c r="A1262" s="5" t="s">
        <v>103</v>
      </c>
      <c r="B1262" s="5" t="s">
        <v>106</v>
      </c>
      <c r="C1262" s="5">
        <v>1421</v>
      </c>
      <c r="D1262" s="5" t="s">
        <v>62</v>
      </c>
      <c r="E1262" s="5" t="s">
        <v>9</v>
      </c>
      <c r="F1262" s="6">
        <v>42370</v>
      </c>
      <c r="G1262">
        <v>0</v>
      </c>
    </row>
    <row r="1263" spans="1:7" x14ac:dyDescent="0.25">
      <c r="A1263" s="5" t="s">
        <v>103</v>
      </c>
      <c r="B1263" s="5" t="s">
        <v>106</v>
      </c>
      <c r="C1263" s="5">
        <v>1421</v>
      </c>
      <c r="D1263" s="5" t="s">
        <v>62</v>
      </c>
      <c r="E1263" s="5" t="s">
        <v>9</v>
      </c>
      <c r="F1263" s="6">
        <v>42736</v>
      </c>
      <c r="G1263">
        <v>0</v>
      </c>
    </row>
    <row r="1264" spans="1:7" x14ac:dyDescent="0.25">
      <c r="A1264" s="5" t="s">
        <v>103</v>
      </c>
      <c r="B1264" s="5" t="s">
        <v>106</v>
      </c>
      <c r="C1264" s="5">
        <v>1421</v>
      </c>
      <c r="D1264" s="5" t="s">
        <v>62</v>
      </c>
      <c r="E1264" s="5" t="s">
        <v>65</v>
      </c>
      <c r="F1264" s="6">
        <v>42370</v>
      </c>
      <c r="G1264">
        <v>0</v>
      </c>
    </row>
    <row r="1265" spans="1:7" x14ac:dyDescent="0.25">
      <c r="A1265" s="5" t="s">
        <v>103</v>
      </c>
      <c r="B1265" s="5" t="s">
        <v>106</v>
      </c>
      <c r="C1265" s="5">
        <v>1421</v>
      </c>
      <c r="D1265" s="5" t="s">
        <v>62</v>
      </c>
      <c r="E1265" s="5" t="s">
        <v>65</v>
      </c>
      <c r="F1265" s="6">
        <v>42736</v>
      </c>
      <c r="G1265">
        <v>0</v>
      </c>
    </row>
    <row r="1266" spans="1:7" x14ac:dyDescent="0.25">
      <c r="A1266" s="5" t="s">
        <v>103</v>
      </c>
      <c r="B1266" s="5" t="s">
        <v>106</v>
      </c>
      <c r="C1266" s="5">
        <v>1421</v>
      </c>
      <c r="D1266" s="5" t="s">
        <v>62</v>
      </c>
      <c r="E1266" s="5" t="s">
        <v>66</v>
      </c>
      <c r="F1266" s="6">
        <v>42370</v>
      </c>
      <c r="G1266">
        <v>0</v>
      </c>
    </row>
    <row r="1267" spans="1:7" x14ac:dyDescent="0.25">
      <c r="A1267" s="5" t="s">
        <v>103</v>
      </c>
      <c r="B1267" s="5" t="s">
        <v>106</v>
      </c>
      <c r="C1267" s="5">
        <v>1421</v>
      </c>
      <c r="D1267" s="5" t="s">
        <v>62</v>
      </c>
      <c r="E1267" s="5" t="s">
        <v>66</v>
      </c>
      <c r="F1267" s="6">
        <v>42736</v>
      </c>
      <c r="G1267">
        <v>0</v>
      </c>
    </row>
    <row r="1268" spans="1:7" x14ac:dyDescent="0.25">
      <c r="A1268" s="5" t="s">
        <v>103</v>
      </c>
      <c r="B1268" s="5" t="s">
        <v>106</v>
      </c>
      <c r="C1268" s="5">
        <v>1421</v>
      </c>
      <c r="D1268" s="5" t="s">
        <v>62</v>
      </c>
      <c r="E1268" s="5" t="s">
        <v>67</v>
      </c>
      <c r="F1268" s="6">
        <v>42370</v>
      </c>
      <c r="G1268">
        <v>0</v>
      </c>
    </row>
    <row r="1269" spans="1:7" x14ac:dyDescent="0.25">
      <c r="A1269" s="5" t="s">
        <v>103</v>
      </c>
      <c r="B1269" s="5" t="s">
        <v>106</v>
      </c>
      <c r="C1269" s="5">
        <v>1421</v>
      </c>
      <c r="D1269" s="5" t="s">
        <v>62</v>
      </c>
      <c r="E1269" s="5" t="s">
        <v>67</v>
      </c>
      <c r="F1269" s="6">
        <v>42736</v>
      </c>
      <c r="G1269">
        <v>0</v>
      </c>
    </row>
    <row r="1270" spans="1:7" x14ac:dyDescent="0.25">
      <c r="A1270" s="5" t="s">
        <v>103</v>
      </c>
      <c r="B1270" s="5" t="s">
        <v>106</v>
      </c>
      <c r="C1270" s="5">
        <v>1421</v>
      </c>
      <c r="D1270" s="5" t="s">
        <v>62</v>
      </c>
      <c r="E1270" s="5" t="s">
        <v>68</v>
      </c>
      <c r="F1270" s="6">
        <v>42370</v>
      </c>
      <c r="G1270">
        <v>0</v>
      </c>
    </row>
    <row r="1271" spans="1:7" x14ac:dyDescent="0.25">
      <c r="A1271" s="5" t="s">
        <v>103</v>
      </c>
      <c r="B1271" s="5" t="s">
        <v>106</v>
      </c>
      <c r="C1271" s="5">
        <v>1421</v>
      </c>
      <c r="D1271" s="5" t="s">
        <v>62</v>
      </c>
      <c r="E1271" s="5" t="s">
        <v>68</v>
      </c>
      <c r="F1271" s="6">
        <v>42736</v>
      </c>
      <c r="G1271">
        <v>0</v>
      </c>
    </row>
    <row r="1272" spans="1:7" x14ac:dyDescent="0.25">
      <c r="A1272" s="5" t="s">
        <v>103</v>
      </c>
      <c r="B1272" s="5" t="s">
        <v>106</v>
      </c>
      <c r="C1272" s="5">
        <v>1421</v>
      </c>
      <c r="D1272" s="5" t="s">
        <v>62</v>
      </c>
      <c r="E1272" s="5" t="s">
        <v>69</v>
      </c>
      <c r="F1272" s="6">
        <v>42370</v>
      </c>
      <c r="G1272">
        <v>0</v>
      </c>
    </row>
    <row r="1273" spans="1:7" x14ac:dyDescent="0.25">
      <c r="A1273" s="5" t="s">
        <v>103</v>
      </c>
      <c r="B1273" s="5" t="s">
        <v>106</v>
      </c>
      <c r="C1273" s="5">
        <v>1421</v>
      </c>
      <c r="D1273" s="5" t="s">
        <v>62</v>
      </c>
      <c r="E1273" s="5" t="s">
        <v>69</v>
      </c>
      <c r="F1273" s="6">
        <v>42736</v>
      </c>
      <c r="G1273">
        <v>0</v>
      </c>
    </row>
    <row r="1274" spans="1:7" x14ac:dyDescent="0.25">
      <c r="A1274" s="5" t="s">
        <v>103</v>
      </c>
      <c r="B1274" s="5" t="s">
        <v>106</v>
      </c>
      <c r="C1274" s="5">
        <v>1421</v>
      </c>
      <c r="D1274" s="5" t="s">
        <v>62</v>
      </c>
      <c r="E1274" s="5" t="s">
        <v>70</v>
      </c>
      <c r="F1274" s="6">
        <v>42370</v>
      </c>
      <c r="G1274">
        <v>0</v>
      </c>
    </row>
    <row r="1275" spans="1:7" x14ac:dyDescent="0.25">
      <c r="A1275" s="5" t="s">
        <v>103</v>
      </c>
      <c r="B1275" s="5" t="s">
        <v>106</v>
      </c>
      <c r="C1275" s="5">
        <v>1421</v>
      </c>
      <c r="D1275" s="5" t="s">
        <v>62</v>
      </c>
      <c r="E1275" s="5" t="s">
        <v>70</v>
      </c>
      <c r="F1275" s="6">
        <v>42736</v>
      </c>
      <c r="G1275">
        <v>0</v>
      </c>
    </row>
    <row r="1276" spans="1:7" x14ac:dyDescent="0.25">
      <c r="A1276" s="5" t="s">
        <v>103</v>
      </c>
      <c r="B1276" s="5" t="s">
        <v>106</v>
      </c>
      <c r="C1276" s="5">
        <v>1421</v>
      </c>
      <c r="D1276" s="5" t="s">
        <v>62</v>
      </c>
      <c r="E1276" s="5" t="s">
        <v>71</v>
      </c>
      <c r="F1276" s="6">
        <v>42370</v>
      </c>
      <c r="G1276">
        <v>0</v>
      </c>
    </row>
    <row r="1277" spans="1:7" x14ac:dyDescent="0.25">
      <c r="A1277" s="5" t="s">
        <v>103</v>
      </c>
      <c r="B1277" s="5" t="s">
        <v>106</v>
      </c>
      <c r="C1277" s="5">
        <v>1421</v>
      </c>
      <c r="D1277" s="5" t="s">
        <v>62</v>
      </c>
      <c r="E1277" s="5" t="s">
        <v>71</v>
      </c>
      <c r="F1277" s="6">
        <v>42736</v>
      </c>
      <c r="G1277">
        <v>0</v>
      </c>
    </row>
    <row r="1278" spans="1:7" x14ac:dyDescent="0.25">
      <c r="A1278" s="5" t="s">
        <v>103</v>
      </c>
      <c r="B1278" s="5" t="s">
        <v>106</v>
      </c>
      <c r="C1278" s="5">
        <v>1421</v>
      </c>
      <c r="D1278" s="5" t="s">
        <v>72</v>
      </c>
      <c r="E1278" s="5" t="s">
        <v>73</v>
      </c>
      <c r="F1278" s="6">
        <v>42370</v>
      </c>
      <c r="G1278">
        <v>0</v>
      </c>
    </row>
    <row r="1279" spans="1:7" x14ac:dyDescent="0.25">
      <c r="A1279" s="5" t="s">
        <v>103</v>
      </c>
      <c r="B1279" s="5" t="s">
        <v>106</v>
      </c>
      <c r="C1279" s="5">
        <v>1421</v>
      </c>
      <c r="D1279" s="5" t="s">
        <v>72</v>
      </c>
      <c r="E1279" s="5" t="s">
        <v>73</v>
      </c>
      <c r="F1279" s="6">
        <v>42736</v>
      </c>
      <c r="G1279">
        <v>0</v>
      </c>
    </row>
    <row r="1280" spans="1:7" x14ac:dyDescent="0.25">
      <c r="A1280" s="5" t="s">
        <v>103</v>
      </c>
      <c r="B1280" s="5" t="s">
        <v>106</v>
      </c>
      <c r="C1280" s="5">
        <v>1421</v>
      </c>
      <c r="D1280" s="5" t="s">
        <v>72</v>
      </c>
      <c r="E1280" s="5" t="s">
        <v>9</v>
      </c>
      <c r="F1280" s="6">
        <v>42370</v>
      </c>
      <c r="G1280">
        <v>0</v>
      </c>
    </row>
    <row r="1281" spans="1:7" x14ac:dyDescent="0.25">
      <c r="A1281" s="5" t="s">
        <v>103</v>
      </c>
      <c r="B1281" s="5" t="s">
        <v>106</v>
      </c>
      <c r="C1281" s="5">
        <v>1421</v>
      </c>
      <c r="D1281" s="5" t="s">
        <v>72</v>
      </c>
      <c r="E1281" s="5" t="s">
        <v>9</v>
      </c>
      <c r="F1281" s="6">
        <v>42736</v>
      </c>
      <c r="G1281">
        <v>0</v>
      </c>
    </row>
    <row r="1282" spans="1:7" x14ac:dyDescent="0.25">
      <c r="A1282" s="5" t="s">
        <v>103</v>
      </c>
      <c r="B1282" s="5" t="s">
        <v>106</v>
      </c>
      <c r="C1282" s="5">
        <v>1421</v>
      </c>
      <c r="D1282" s="5" t="s">
        <v>72</v>
      </c>
      <c r="E1282" s="5" t="s">
        <v>34</v>
      </c>
      <c r="F1282" s="6">
        <v>42370</v>
      </c>
      <c r="G1282">
        <v>0</v>
      </c>
    </row>
    <row r="1283" spans="1:7" x14ac:dyDescent="0.25">
      <c r="A1283" s="5" t="s">
        <v>103</v>
      </c>
      <c r="B1283" s="5" t="s">
        <v>106</v>
      </c>
      <c r="C1283" s="5">
        <v>1421</v>
      </c>
      <c r="D1283" s="5" t="s">
        <v>72</v>
      </c>
      <c r="E1283" s="5" t="s">
        <v>34</v>
      </c>
      <c r="F1283" s="6">
        <v>42736</v>
      </c>
      <c r="G1283">
        <v>0</v>
      </c>
    </row>
    <row r="1284" spans="1:7" x14ac:dyDescent="0.25">
      <c r="A1284" s="5" t="s">
        <v>103</v>
      </c>
      <c r="B1284" s="5" t="s">
        <v>106</v>
      </c>
      <c r="C1284" s="5">
        <v>1421</v>
      </c>
      <c r="D1284" s="5" t="s">
        <v>72</v>
      </c>
      <c r="E1284" s="5" t="s">
        <v>74</v>
      </c>
      <c r="F1284" s="6">
        <v>42370</v>
      </c>
      <c r="G1284">
        <v>0</v>
      </c>
    </row>
    <row r="1285" spans="1:7" x14ac:dyDescent="0.25">
      <c r="A1285" s="5" t="s">
        <v>103</v>
      </c>
      <c r="B1285" s="5" t="s">
        <v>106</v>
      </c>
      <c r="C1285" s="5">
        <v>1421</v>
      </c>
      <c r="D1285" s="5" t="s">
        <v>72</v>
      </c>
      <c r="E1285" s="5" t="s">
        <v>74</v>
      </c>
      <c r="F1285" s="6">
        <v>42736</v>
      </c>
      <c r="G1285">
        <v>0</v>
      </c>
    </row>
    <row r="1286" spans="1:7" x14ac:dyDescent="0.25">
      <c r="A1286" s="5" t="s">
        <v>103</v>
      </c>
      <c r="B1286" s="5" t="s">
        <v>106</v>
      </c>
      <c r="C1286" s="5">
        <v>1421</v>
      </c>
      <c r="D1286" s="5" t="s">
        <v>72</v>
      </c>
      <c r="E1286" s="5" t="s">
        <v>75</v>
      </c>
      <c r="F1286" s="6">
        <v>42370</v>
      </c>
      <c r="G1286">
        <v>0</v>
      </c>
    </row>
    <row r="1287" spans="1:7" x14ac:dyDescent="0.25">
      <c r="A1287" s="5" t="s">
        <v>103</v>
      </c>
      <c r="B1287" s="5" t="s">
        <v>106</v>
      </c>
      <c r="C1287" s="5">
        <v>1421</v>
      </c>
      <c r="D1287" s="5" t="s">
        <v>72</v>
      </c>
      <c r="E1287" s="5" t="s">
        <v>75</v>
      </c>
      <c r="F1287" s="6">
        <v>42736</v>
      </c>
      <c r="G1287">
        <v>0</v>
      </c>
    </row>
    <row r="1288" spans="1:7" x14ac:dyDescent="0.25">
      <c r="A1288" s="5" t="s">
        <v>103</v>
      </c>
      <c r="B1288" s="5" t="s">
        <v>106</v>
      </c>
      <c r="C1288" s="5">
        <v>1421</v>
      </c>
      <c r="D1288" s="5" t="s">
        <v>76</v>
      </c>
      <c r="E1288" s="5" t="s">
        <v>9</v>
      </c>
      <c r="F1288" s="6">
        <v>42370</v>
      </c>
      <c r="G1288">
        <v>0</v>
      </c>
    </row>
    <row r="1289" spans="1:7" x14ac:dyDescent="0.25">
      <c r="A1289" s="5" t="s">
        <v>103</v>
      </c>
      <c r="B1289" s="5" t="s">
        <v>106</v>
      </c>
      <c r="C1289" s="5">
        <v>1421</v>
      </c>
      <c r="D1289" s="5" t="s">
        <v>76</v>
      </c>
      <c r="E1289" s="5" t="s">
        <v>9</v>
      </c>
      <c r="F1289" s="6">
        <v>42736</v>
      </c>
      <c r="G1289">
        <v>0</v>
      </c>
    </row>
    <row r="1290" spans="1:7" x14ac:dyDescent="0.25">
      <c r="A1290" s="5" t="s">
        <v>103</v>
      </c>
      <c r="B1290" s="5" t="s">
        <v>106</v>
      </c>
      <c r="C1290" s="5">
        <v>1421</v>
      </c>
      <c r="D1290" s="5" t="s">
        <v>76</v>
      </c>
      <c r="E1290" s="5" t="s">
        <v>77</v>
      </c>
      <c r="F1290" s="6">
        <v>42370</v>
      </c>
      <c r="G1290">
        <v>0</v>
      </c>
    </row>
    <row r="1291" spans="1:7" x14ac:dyDescent="0.25">
      <c r="A1291" s="5" t="s">
        <v>103</v>
      </c>
      <c r="B1291" s="5" t="s">
        <v>106</v>
      </c>
      <c r="C1291" s="5">
        <v>1421</v>
      </c>
      <c r="D1291" s="5" t="s">
        <v>76</v>
      </c>
      <c r="E1291" s="5" t="s">
        <v>77</v>
      </c>
      <c r="F1291" s="6">
        <v>42736</v>
      </c>
      <c r="G1291">
        <v>1</v>
      </c>
    </row>
    <row r="1292" spans="1:7" x14ac:dyDescent="0.25">
      <c r="A1292" s="5" t="s">
        <v>103</v>
      </c>
      <c r="B1292" s="5" t="s">
        <v>106</v>
      </c>
      <c r="C1292" s="5">
        <v>1421</v>
      </c>
      <c r="D1292" s="5" t="s">
        <v>78</v>
      </c>
      <c r="E1292" s="5" t="s">
        <v>79</v>
      </c>
      <c r="F1292" s="6">
        <v>42370</v>
      </c>
      <c r="G1292">
        <v>0</v>
      </c>
    </row>
    <row r="1293" spans="1:7" x14ac:dyDescent="0.25">
      <c r="A1293" s="5" t="s">
        <v>103</v>
      </c>
      <c r="B1293" s="5" t="s">
        <v>106</v>
      </c>
      <c r="C1293" s="5">
        <v>1421</v>
      </c>
      <c r="D1293" s="5" t="s">
        <v>78</v>
      </c>
      <c r="E1293" s="5" t="s">
        <v>79</v>
      </c>
      <c r="F1293" s="6">
        <v>42736</v>
      </c>
      <c r="G1293">
        <v>0</v>
      </c>
    </row>
    <row r="1294" spans="1:7" x14ac:dyDescent="0.25">
      <c r="A1294" s="5" t="s">
        <v>103</v>
      </c>
      <c r="B1294" s="5" t="s">
        <v>106</v>
      </c>
      <c r="C1294" s="5">
        <v>1421</v>
      </c>
      <c r="D1294" s="5" t="s">
        <v>78</v>
      </c>
      <c r="E1294" s="5" t="s">
        <v>80</v>
      </c>
      <c r="F1294" s="6">
        <v>42370</v>
      </c>
      <c r="G1294">
        <v>0</v>
      </c>
    </row>
    <row r="1295" spans="1:7" x14ac:dyDescent="0.25">
      <c r="A1295" s="5" t="s">
        <v>103</v>
      </c>
      <c r="B1295" s="5" t="s">
        <v>106</v>
      </c>
      <c r="C1295" s="5">
        <v>1421</v>
      </c>
      <c r="D1295" s="5" t="s">
        <v>78</v>
      </c>
      <c r="E1295" s="5" t="s">
        <v>80</v>
      </c>
      <c r="F1295" s="6">
        <v>42736</v>
      </c>
      <c r="G1295">
        <v>0</v>
      </c>
    </row>
    <row r="1296" spans="1:7" x14ac:dyDescent="0.25">
      <c r="A1296" s="5" t="s">
        <v>103</v>
      </c>
      <c r="B1296" s="5" t="s">
        <v>106</v>
      </c>
      <c r="C1296" s="5">
        <v>1421</v>
      </c>
      <c r="D1296" s="5" t="s">
        <v>78</v>
      </c>
      <c r="E1296" s="5" t="s">
        <v>81</v>
      </c>
      <c r="F1296" s="6">
        <v>42370</v>
      </c>
      <c r="G1296">
        <v>962</v>
      </c>
    </row>
    <row r="1297" spans="1:7" x14ac:dyDescent="0.25">
      <c r="A1297" s="5" t="s">
        <v>103</v>
      </c>
      <c r="B1297" s="5" t="s">
        <v>106</v>
      </c>
      <c r="C1297" s="5">
        <v>1421</v>
      </c>
      <c r="D1297" s="5" t="s">
        <v>78</v>
      </c>
      <c r="E1297" s="5" t="s">
        <v>81</v>
      </c>
      <c r="F1297" s="6">
        <v>42736</v>
      </c>
      <c r="G1297">
        <v>1309</v>
      </c>
    </row>
    <row r="1298" spans="1:7" x14ac:dyDescent="0.25">
      <c r="A1298" s="5" t="s">
        <v>103</v>
      </c>
      <c r="B1298" s="5" t="s">
        <v>106</v>
      </c>
      <c r="C1298" s="5">
        <v>1421</v>
      </c>
      <c r="D1298" s="5" t="s">
        <v>78</v>
      </c>
      <c r="E1298" s="5" t="s">
        <v>82</v>
      </c>
      <c r="F1298" s="6">
        <v>42370</v>
      </c>
      <c r="G1298">
        <v>0</v>
      </c>
    </row>
    <row r="1299" spans="1:7" x14ac:dyDescent="0.25">
      <c r="A1299" s="5" t="s">
        <v>103</v>
      </c>
      <c r="B1299" s="5" t="s">
        <v>106</v>
      </c>
      <c r="C1299" s="5">
        <v>1421</v>
      </c>
      <c r="D1299" s="5" t="s">
        <v>78</v>
      </c>
      <c r="E1299" s="5" t="s">
        <v>82</v>
      </c>
      <c r="F1299" s="6">
        <v>42736</v>
      </c>
      <c r="G1299">
        <v>0</v>
      </c>
    </row>
    <row r="1300" spans="1:7" x14ac:dyDescent="0.25">
      <c r="A1300" s="5" t="s">
        <v>103</v>
      </c>
      <c r="B1300" s="5" t="s">
        <v>106</v>
      </c>
      <c r="C1300" s="5">
        <v>1421</v>
      </c>
      <c r="D1300" s="5" t="s">
        <v>78</v>
      </c>
      <c r="E1300" s="5" t="s">
        <v>83</v>
      </c>
      <c r="F1300" s="6">
        <v>42370</v>
      </c>
      <c r="G1300">
        <v>0</v>
      </c>
    </row>
    <row r="1301" spans="1:7" x14ac:dyDescent="0.25">
      <c r="A1301" s="5" t="s">
        <v>103</v>
      </c>
      <c r="B1301" s="5" t="s">
        <v>106</v>
      </c>
      <c r="C1301" s="5">
        <v>1421</v>
      </c>
      <c r="D1301" s="5" t="s">
        <v>78</v>
      </c>
      <c r="E1301" s="5" t="s">
        <v>83</v>
      </c>
      <c r="F1301" s="6">
        <v>42736</v>
      </c>
      <c r="G1301">
        <v>0</v>
      </c>
    </row>
    <row r="1302" spans="1:7" x14ac:dyDescent="0.25">
      <c r="A1302" s="5" t="s">
        <v>103</v>
      </c>
      <c r="B1302" s="5" t="s">
        <v>106</v>
      </c>
      <c r="C1302" s="5">
        <v>1421</v>
      </c>
      <c r="D1302" s="5" t="s">
        <v>78</v>
      </c>
      <c r="E1302" s="5" t="s">
        <v>84</v>
      </c>
      <c r="F1302" s="6">
        <v>42370</v>
      </c>
      <c r="G1302">
        <v>0</v>
      </c>
    </row>
    <row r="1303" spans="1:7" x14ac:dyDescent="0.25">
      <c r="A1303" s="5" t="s">
        <v>103</v>
      </c>
      <c r="B1303" s="5" t="s">
        <v>106</v>
      </c>
      <c r="C1303" s="5">
        <v>1421</v>
      </c>
      <c r="D1303" s="5" t="s">
        <v>78</v>
      </c>
      <c r="E1303" s="5" t="s">
        <v>84</v>
      </c>
      <c r="F1303" s="6">
        <v>42736</v>
      </c>
      <c r="G1303">
        <v>0</v>
      </c>
    </row>
    <row r="1304" spans="1:7" x14ac:dyDescent="0.25">
      <c r="A1304" s="5" t="s">
        <v>103</v>
      </c>
      <c r="B1304" s="5" t="s">
        <v>106</v>
      </c>
      <c r="C1304" s="5">
        <v>1421</v>
      </c>
      <c r="D1304" s="5" t="s">
        <v>78</v>
      </c>
      <c r="E1304" s="5" t="s">
        <v>85</v>
      </c>
      <c r="F1304" s="6">
        <v>42370</v>
      </c>
      <c r="G1304">
        <v>0</v>
      </c>
    </row>
    <row r="1305" spans="1:7" x14ac:dyDescent="0.25">
      <c r="A1305" s="5" t="s">
        <v>103</v>
      </c>
      <c r="B1305" s="5" t="s">
        <v>106</v>
      </c>
      <c r="C1305" s="5">
        <v>1421</v>
      </c>
      <c r="D1305" s="5" t="s">
        <v>78</v>
      </c>
      <c r="E1305" s="5" t="s">
        <v>85</v>
      </c>
      <c r="F1305" s="6">
        <v>42736</v>
      </c>
      <c r="G1305">
        <v>0</v>
      </c>
    </row>
    <row r="1306" spans="1:7" x14ac:dyDescent="0.25">
      <c r="A1306" s="5" t="s">
        <v>103</v>
      </c>
      <c r="B1306" s="5" t="s">
        <v>106</v>
      </c>
      <c r="C1306" s="5">
        <v>1421</v>
      </c>
      <c r="D1306" s="5" t="s">
        <v>78</v>
      </c>
      <c r="E1306" s="5" t="s">
        <v>86</v>
      </c>
      <c r="F1306" s="6">
        <v>42370</v>
      </c>
      <c r="G1306">
        <v>0</v>
      </c>
    </row>
    <row r="1307" spans="1:7" x14ac:dyDescent="0.25">
      <c r="A1307" s="5" t="s">
        <v>103</v>
      </c>
      <c r="B1307" s="5" t="s">
        <v>106</v>
      </c>
      <c r="C1307" s="5">
        <v>1421</v>
      </c>
      <c r="D1307" s="5" t="s">
        <v>78</v>
      </c>
      <c r="E1307" s="5" t="s">
        <v>86</v>
      </c>
      <c r="F1307" s="6">
        <v>42736</v>
      </c>
      <c r="G1307">
        <v>0</v>
      </c>
    </row>
    <row r="1308" spans="1:7" x14ac:dyDescent="0.25">
      <c r="A1308" s="5" t="s">
        <v>103</v>
      </c>
      <c r="B1308" s="5" t="s">
        <v>106</v>
      </c>
      <c r="C1308" s="5">
        <v>1421</v>
      </c>
      <c r="D1308" s="5" t="s">
        <v>78</v>
      </c>
      <c r="E1308" s="5" t="s">
        <v>87</v>
      </c>
      <c r="F1308" s="6">
        <v>42370</v>
      </c>
      <c r="G1308">
        <v>0</v>
      </c>
    </row>
    <row r="1309" spans="1:7" x14ac:dyDescent="0.25">
      <c r="A1309" s="5" t="s">
        <v>103</v>
      </c>
      <c r="B1309" s="5" t="s">
        <v>106</v>
      </c>
      <c r="C1309" s="5">
        <v>1421</v>
      </c>
      <c r="D1309" s="5" t="s">
        <v>78</v>
      </c>
      <c r="E1309" s="5" t="s">
        <v>87</v>
      </c>
      <c r="F1309" s="6">
        <v>42736</v>
      </c>
      <c r="G1309">
        <v>0</v>
      </c>
    </row>
    <row r="1310" spans="1:7" x14ac:dyDescent="0.25">
      <c r="A1310" s="5" t="s">
        <v>103</v>
      </c>
      <c r="B1310" s="5" t="s">
        <v>106</v>
      </c>
      <c r="C1310" s="5">
        <v>1421</v>
      </c>
      <c r="D1310" s="5" t="s">
        <v>78</v>
      </c>
      <c r="E1310" s="5" t="s">
        <v>88</v>
      </c>
      <c r="F1310" s="6">
        <v>42370</v>
      </c>
      <c r="G1310">
        <v>127</v>
      </c>
    </row>
    <row r="1311" spans="1:7" x14ac:dyDescent="0.25">
      <c r="A1311" s="5" t="s">
        <v>103</v>
      </c>
      <c r="B1311" s="5" t="s">
        <v>106</v>
      </c>
      <c r="C1311" s="5">
        <v>1421</v>
      </c>
      <c r="D1311" s="5" t="s">
        <v>78</v>
      </c>
      <c r="E1311" s="5" t="s">
        <v>88</v>
      </c>
      <c r="F1311" s="6">
        <v>42736</v>
      </c>
      <c r="G1311">
        <v>199</v>
      </c>
    </row>
    <row r="1312" spans="1:7" x14ac:dyDescent="0.25">
      <c r="A1312" s="5" t="s">
        <v>103</v>
      </c>
      <c r="B1312" s="5" t="s">
        <v>106</v>
      </c>
      <c r="C1312" s="5">
        <v>1421</v>
      </c>
      <c r="D1312" s="5" t="s">
        <v>78</v>
      </c>
      <c r="E1312" s="5" t="s">
        <v>89</v>
      </c>
      <c r="F1312" s="6">
        <v>42370</v>
      </c>
      <c r="G1312">
        <v>2266</v>
      </c>
    </row>
    <row r="1313" spans="1:7" x14ac:dyDescent="0.25">
      <c r="A1313" s="5" t="s">
        <v>103</v>
      </c>
      <c r="B1313" s="5" t="s">
        <v>106</v>
      </c>
      <c r="C1313" s="5">
        <v>1421</v>
      </c>
      <c r="D1313" s="5" t="s">
        <v>78</v>
      </c>
      <c r="E1313" s="5" t="s">
        <v>89</v>
      </c>
      <c r="F1313" s="6">
        <v>42736</v>
      </c>
      <c r="G1313">
        <v>3300</v>
      </c>
    </row>
    <row r="1314" spans="1:7" x14ac:dyDescent="0.25">
      <c r="A1314" s="5" t="s">
        <v>103</v>
      </c>
      <c r="B1314" s="5" t="s">
        <v>106</v>
      </c>
      <c r="C1314" s="5">
        <v>1421</v>
      </c>
      <c r="D1314" s="5" t="s">
        <v>78</v>
      </c>
      <c r="E1314" s="5" t="s">
        <v>90</v>
      </c>
      <c r="F1314" s="6">
        <v>42370</v>
      </c>
      <c r="G1314">
        <v>0</v>
      </c>
    </row>
    <row r="1315" spans="1:7" x14ac:dyDescent="0.25">
      <c r="A1315" s="5" t="s">
        <v>103</v>
      </c>
      <c r="B1315" s="5" t="s">
        <v>106</v>
      </c>
      <c r="C1315" s="5">
        <v>1421</v>
      </c>
      <c r="D1315" s="5" t="s">
        <v>78</v>
      </c>
      <c r="E1315" s="5" t="s">
        <v>90</v>
      </c>
      <c r="F1315" s="6">
        <v>42736</v>
      </c>
      <c r="G1315">
        <v>0</v>
      </c>
    </row>
    <row r="1316" spans="1:7" x14ac:dyDescent="0.25">
      <c r="A1316" s="5" t="s">
        <v>103</v>
      </c>
      <c r="B1316" s="5" t="s">
        <v>106</v>
      </c>
      <c r="C1316" s="5">
        <v>1421</v>
      </c>
      <c r="D1316" s="5" t="s">
        <v>78</v>
      </c>
      <c r="E1316" s="5" t="s">
        <v>91</v>
      </c>
      <c r="F1316" s="6">
        <v>42370</v>
      </c>
      <c r="G1316">
        <v>0</v>
      </c>
    </row>
    <row r="1317" spans="1:7" x14ac:dyDescent="0.25">
      <c r="A1317" s="5" t="s">
        <v>103</v>
      </c>
      <c r="B1317" s="5" t="s">
        <v>106</v>
      </c>
      <c r="C1317" s="5">
        <v>1421</v>
      </c>
      <c r="D1317" s="5" t="s">
        <v>78</v>
      </c>
      <c r="E1317" s="5" t="s">
        <v>91</v>
      </c>
      <c r="F1317" s="6">
        <v>42736</v>
      </c>
      <c r="G1317">
        <v>0</v>
      </c>
    </row>
    <row r="1318" spans="1:7" x14ac:dyDescent="0.25">
      <c r="A1318" s="5" t="s">
        <v>103</v>
      </c>
      <c r="B1318" s="5" t="s">
        <v>106</v>
      </c>
      <c r="C1318" s="5">
        <v>1421</v>
      </c>
      <c r="D1318" s="5" t="s">
        <v>78</v>
      </c>
      <c r="E1318" s="5" t="s">
        <v>92</v>
      </c>
      <c r="F1318" s="6">
        <v>42370</v>
      </c>
      <c r="G1318">
        <v>0</v>
      </c>
    </row>
    <row r="1319" spans="1:7" x14ac:dyDescent="0.25">
      <c r="A1319" s="5" t="s">
        <v>103</v>
      </c>
      <c r="B1319" s="5" t="s">
        <v>106</v>
      </c>
      <c r="C1319" s="5">
        <v>1421</v>
      </c>
      <c r="D1319" s="5" t="s">
        <v>78</v>
      </c>
      <c r="E1319" s="5" t="s">
        <v>92</v>
      </c>
      <c r="F1319" s="6">
        <v>42736</v>
      </c>
      <c r="G1319">
        <v>0</v>
      </c>
    </row>
    <row r="1320" spans="1:7" x14ac:dyDescent="0.25">
      <c r="A1320" s="5" t="s">
        <v>103</v>
      </c>
      <c r="B1320" s="5" t="s">
        <v>106</v>
      </c>
      <c r="C1320" s="5">
        <v>1421</v>
      </c>
      <c r="D1320" s="5" t="s">
        <v>78</v>
      </c>
      <c r="E1320" s="5" t="s">
        <v>93</v>
      </c>
      <c r="F1320" s="6">
        <v>42370</v>
      </c>
      <c r="G1320">
        <v>0</v>
      </c>
    </row>
    <row r="1321" spans="1:7" x14ac:dyDescent="0.25">
      <c r="A1321" s="5" t="s">
        <v>103</v>
      </c>
      <c r="B1321" s="5" t="s">
        <v>106</v>
      </c>
      <c r="C1321" s="5">
        <v>1421</v>
      </c>
      <c r="D1321" s="5" t="s">
        <v>78</v>
      </c>
      <c r="E1321" s="5" t="s">
        <v>93</v>
      </c>
      <c r="F1321" s="6">
        <v>42736</v>
      </c>
      <c r="G1321">
        <v>0</v>
      </c>
    </row>
    <row r="1322" spans="1:7" x14ac:dyDescent="0.25">
      <c r="A1322" s="5" t="s">
        <v>103</v>
      </c>
      <c r="B1322" s="5" t="s">
        <v>106</v>
      </c>
      <c r="C1322" s="5">
        <v>1421</v>
      </c>
      <c r="D1322" s="5" t="s">
        <v>78</v>
      </c>
      <c r="E1322" s="5" t="s">
        <v>94</v>
      </c>
      <c r="F1322" s="6">
        <v>42370</v>
      </c>
      <c r="G1322">
        <v>0</v>
      </c>
    </row>
    <row r="1323" spans="1:7" x14ac:dyDescent="0.25">
      <c r="A1323" s="5" t="s">
        <v>103</v>
      </c>
      <c r="B1323" s="5" t="s">
        <v>106</v>
      </c>
      <c r="C1323" s="5">
        <v>1421</v>
      </c>
      <c r="D1323" s="5" t="s">
        <v>78</v>
      </c>
      <c r="E1323" s="5" t="s">
        <v>94</v>
      </c>
      <c r="F1323" s="6">
        <v>42736</v>
      </c>
      <c r="G1323">
        <v>0</v>
      </c>
    </row>
    <row r="1324" spans="1:7" x14ac:dyDescent="0.25">
      <c r="A1324" s="5" t="s">
        <v>103</v>
      </c>
      <c r="B1324" s="5" t="s">
        <v>106</v>
      </c>
      <c r="C1324" s="5">
        <v>1421</v>
      </c>
      <c r="D1324" s="5" t="s">
        <v>78</v>
      </c>
      <c r="E1324" s="5" t="s">
        <v>95</v>
      </c>
      <c r="F1324" s="6">
        <v>42370</v>
      </c>
      <c r="G1324">
        <v>0</v>
      </c>
    </row>
    <row r="1325" spans="1:7" x14ac:dyDescent="0.25">
      <c r="A1325" s="5" t="s">
        <v>103</v>
      </c>
      <c r="B1325" s="5" t="s">
        <v>106</v>
      </c>
      <c r="C1325" s="5">
        <v>1421</v>
      </c>
      <c r="D1325" s="5" t="s">
        <v>78</v>
      </c>
      <c r="E1325" s="5" t="s">
        <v>95</v>
      </c>
      <c r="F1325" s="6">
        <v>42736</v>
      </c>
      <c r="G1325">
        <v>0</v>
      </c>
    </row>
    <row r="1326" spans="1:7" x14ac:dyDescent="0.25">
      <c r="A1326" s="5" t="s">
        <v>103</v>
      </c>
      <c r="B1326" s="5" t="s">
        <v>106</v>
      </c>
      <c r="C1326" s="5">
        <v>1421</v>
      </c>
      <c r="D1326" s="5" t="s">
        <v>78</v>
      </c>
      <c r="E1326" s="5" t="s">
        <v>96</v>
      </c>
      <c r="F1326" s="6">
        <v>42370</v>
      </c>
      <c r="G1326">
        <v>0</v>
      </c>
    </row>
    <row r="1327" spans="1:7" x14ac:dyDescent="0.25">
      <c r="A1327" s="5" t="s">
        <v>103</v>
      </c>
      <c r="B1327" s="5" t="s">
        <v>106</v>
      </c>
      <c r="C1327" s="5">
        <v>1421</v>
      </c>
      <c r="D1327" s="5" t="s">
        <v>78</v>
      </c>
      <c r="E1327" s="5" t="s">
        <v>96</v>
      </c>
      <c r="F1327" s="6">
        <v>42736</v>
      </c>
      <c r="G1327">
        <v>0</v>
      </c>
    </row>
    <row r="1328" spans="1:7" x14ac:dyDescent="0.25">
      <c r="A1328" s="5" t="s">
        <v>103</v>
      </c>
      <c r="B1328" s="5" t="s">
        <v>106</v>
      </c>
      <c r="C1328" s="5">
        <v>1421</v>
      </c>
      <c r="D1328" s="5" t="s">
        <v>78</v>
      </c>
      <c r="E1328" s="5" t="s">
        <v>97</v>
      </c>
      <c r="F1328" s="6">
        <v>42370</v>
      </c>
      <c r="G1328">
        <v>0</v>
      </c>
    </row>
    <row r="1329" spans="1:7" x14ac:dyDescent="0.25">
      <c r="A1329" s="5" t="s">
        <v>103</v>
      </c>
      <c r="B1329" s="5" t="s">
        <v>106</v>
      </c>
      <c r="C1329" s="5">
        <v>1421</v>
      </c>
      <c r="D1329" s="5" t="s">
        <v>78</v>
      </c>
      <c r="E1329" s="5" t="s">
        <v>97</v>
      </c>
      <c r="F1329" s="6">
        <v>42736</v>
      </c>
      <c r="G1329">
        <v>0</v>
      </c>
    </row>
    <row r="1330" spans="1:7" x14ac:dyDescent="0.25">
      <c r="A1330" s="5" t="s">
        <v>103</v>
      </c>
      <c r="B1330" s="5" t="s">
        <v>106</v>
      </c>
      <c r="C1330" s="5">
        <v>1421</v>
      </c>
      <c r="D1330" s="5" t="s">
        <v>78</v>
      </c>
      <c r="E1330" s="5" t="s">
        <v>98</v>
      </c>
      <c r="F1330" s="6">
        <v>42370</v>
      </c>
      <c r="G1330">
        <v>0</v>
      </c>
    </row>
    <row r="1331" spans="1:7" x14ac:dyDescent="0.25">
      <c r="A1331" s="5" t="s">
        <v>103</v>
      </c>
      <c r="B1331" s="5" t="s">
        <v>106</v>
      </c>
      <c r="C1331" s="5">
        <v>1421</v>
      </c>
      <c r="D1331" s="5" t="s">
        <v>78</v>
      </c>
      <c r="E1331" s="5" t="s">
        <v>98</v>
      </c>
      <c r="F1331" s="6">
        <v>42736</v>
      </c>
      <c r="G1331">
        <v>0</v>
      </c>
    </row>
    <row r="1332" spans="1:7" x14ac:dyDescent="0.25">
      <c r="A1332" s="5" t="s">
        <v>103</v>
      </c>
      <c r="B1332" s="5" t="s">
        <v>107</v>
      </c>
      <c r="C1332" s="5">
        <v>1440</v>
      </c>
      <c r="D1332" s="5" t="s">
        <v>8</v>
      </c>
      <c r="E1332" s="5" t="s">
        <v>9</v>
      </c>
      <c r="F1332" s="6">
        <v>42370</v>
      </c>
      <c r="G1332">
        <v>0</v>
      </c>
    </row>
    <row r="1333" spans="1:7" x14ac:dyDescent="0.25">
      <c r="A1333" s="5" t="s">
        <v>103</v>
      </c>
      <c r="B1333" s="5" t="s">
        <v>107</v>
      </c>
      <c r="C1333" s="5">
        <v>1440</v>
      </c>
      <c r="D1333" s="5" t="s">
        <v>8</v>
      </c>
      <c r="E1333" s="5" t="s">
        <v>9</v>
      </c>
      <c r="F1333" s="6">
        <v>42736</v>
      </c>
      <c r="G1333">
        <v>0</v>
      </c>
    </row>
    <row r="1334" spans="1:7" x14ac:dyDescent="0.25">
      <c r="A1334" s="5" t="s">
        <v>103</v>
      </c>
      <c r="B1334" s="5" t="s">
        <v>107</v>
      </c>
      <c r="C1334" s="5">
        <v>1440</v>
      </c>
      <c r="D1334" s="5" t="s">
        <v>8</v>
      </c>
      <c r="E1334" s="5" t="s">
        <v>10</v>
      </c>
      <c r="F1334" s="6">
        <v>42370</v>
      </c>
      <c r="G1334">
        <v>0</v>
      </c>
    </row>
    <row r="1335" spans="1:7" x14ac:dyDescent="0.25">
      <c r="A1335" s="5" t="s">
        <v>103</v>
      </c>
      <c r="B1335" s="5" t="s">
        <v>107</v>
      </c>
      <c r="C1335" s="5">
        <v>1440</v>
      </c>
      <c r="D1335" s="5" t="s">
        <v>8</v>
      </c>
      <c r="E1335" s="5" t="s">
        <v>10</v>
      </c>
      <c r="F1335" s="6">
        <v>42736</v>
      </c>
      <c r="G1335">
        <v>0</v>
      </c>
    </row>
    <row r="1336" spans="1:7" x14ac:dyDescent="0.25">
      <c r="A1336" s="5" t="s">
        <v>103</v>
      </c>
      <c r="B1336" s="5" t="s">
        <v>107</v>
      </c>
      <c r="C1336" s="5">
        <v>1440</v>
      </c>
      <c r="D1336" s="5" t="s">
        <v>8</v>
      </c>
      <c r="E1336" s="5" t="s">
        <v>11</v>
      </c>
      <c r="F1336" s="6">
        <v>42370</v>
      </c>
      <c r="G1336">
        <v>0</v>
      </c>
    </row>
    <row r="1337" spans="1:7" x14ac:dyDescent="0.25">
      <c r="A1337" s="5" t="s">
        <v>103</v>
      </c>
      <c r="B1337" s="5" t="s">
        <v>107</v>
      </c>
      <c r="C1337" s="5">
        <v>1440</v>
      </c>
      <c r="D1337" s="5" t="s">
        <v>8</v>
      </c>
      <c r="E1337" s="5" t="s">
        <v>11</v>
      </c>
      <c r="F1337" s="6">
        <v>42736</v>
      </c>
      <c r="G1337">
        <v>0</v>
      </c>
    </row>
    <row r="1338" spans="1:7" x14ac:dyDescent="0.25">
      <c r="A1338" s="5" t="s">
        <v>103</v>
      </c>
      <c r="B1338" s="5" t="s">
        <v>107</v>
      </c>
      <c r="C1338" s="5">
        <v>1440</v>
      </c>
      <c r="D1338" s="5" t="s">
        <v>8</v>
      </c>
      <c r="E1338" s="5" t="s">
        <v>12</v>
      </c>
      <c r="F1338" s="6">
        <v>42370</v>
      </c>
      <c r="G1338">
        <v>0</v>
      </c>
    </row>
    <row r="1339" spans="1:7" x14ac:dyDescent="0.25">
      <c r="A1339" s="5" t="s">
        <v>103</v>
      </c>
      <c r="B1339" s="5" t="s">
        <v>107</v>
      </c>
      <c r="C1339" s="5">
        <v>1440</v>
      </c>
      <c r="D1339" s="5" t="s">
        <v>8</v>
      </c>
      <c r="E1339" s="5" t="s">
        <v>12</v>
      </c>
      <c r="F1339" s="6">
        <v>42736</v>
      </c>
      <c r="G1339">
        <v>0</v>
      </c>
    </row>
    <row r="1340" spans="1:7" x14ac:dyDescent="0.25">
      <c r="A1340" s="5" t="s">
        <v>103</v>
      </c>
      <c r="B1340" s="5" t="s">
        <v>107</v>
      </c>
      <c r="C1340" s="5">
        <v>1440</v>
      </c>
      <c r="D1340" s="5" t="s">
        <v>8</v>
      </c>
      <c r="E1340" s="5" t="s">
        <v>13</v>
      </c>
      <c r="F1340" s="6">
        <v>42370</v>
      </c>
      <c r="G1340">
        <v>0</v>
      </c>
    </row>
    <row r="1341" spans="1:7" x14ac:dyDescent="0.25">
      <c r="A1341" s="5" t="s">
        <v>103</v>
      </c>
      <c r="B1341" s="5" t="s">
        <v>107</v>
      </c>
      <c r="C1341" s="5">
        <v>1440</v>
      </c>
      <c r="D1341" s="5" t="s">
        <v>8</v>
      </c>
      <c r="E1341" s="5" t="s">
        <v>13</v>
      </c>
      <c r="F1341" s="6">
        <v>42736</v>
      </c>
      <c r="G1341">
        <v>0</v>
      </c>
    </row>
    <row r="1342" spans="1:7" x14ac:dyDescent="0.25">
      <c r="A1342" s="5" t="s">
        <v>103</v>
      </c>
      <c r="B1342" s="5" t="s">
        <v>107</v>
      </c>
      <c r="C1342" s="5">
        <v>1440</v>
      </c>
      <c r="D1342" s="5" t="s">
        <v>8</v>
      </c>
      <c r="E1342" s="5" t="s">
        <v>14</v>
      </c>
      <c r="F1342" s="6">
        <v>42370</v>
      </c>
      <c r="G1342">
        <v>0</v>
      </c>
    </row>
    <row r="1343" spans="1:7" x14ac:dyDescent="0.25">
      <c r="A1343" s="5" t="s">
        <v>103</v>
      </c>
      <c r="B1343" s="5" t="s">
        <v>107</v>
      </c>
      <c r="C1343" s="5">
        <v>1440</v>
      </c>
      <c r="D1343" s="5" t="s">
        <v>8</v>
      </c>
      <c r="E1343" s="5" t="s">
        <v>14</v>
      </c>
      <c r="F1343" s="6">
        <v>42736</v>
      </c>
      <c r="G1343">
        <v>0</v>
      </c>
    </row>
    <row r="1344" spans="1:7" x14ac:dyDescent="0.25">
      <c r="A1344" s="5" t="s">
        <v>103</v>
      </c>
      <c r="B1344" s="5" t="s">
        <v>107</v>
      </c>
      <c r="C1344" s="5">
        <v>1440</v>
      </c>
      <c r="D1344" s="5" t="s">
        <v>8</v>
      </c>
      <c r="E1344" s="5" t="s">
        <v>15</v>
      </c>
      <c r="F1344" s="6">
        <v>42370</v>
      </c>
      <c r="G1344">
        <v>0</v>
      </c>
    </row>
    <row r="1345" spans="1:7" x14ac:dyDescent="0.25">
      <c r="A1345" s="5" t="s">
        <v>103</v>
      </c>
      <c r="B1345" s="5" t="s">
        <v>107</v>
      </c>
      <c r="C1345" s="5">
        <v>1440</v>
      </c>
      <c r="D1345" s="5" t="s">
        <v>8</v>
      </c>
      <c r="E1345" s="5" t="s">
        <v>15</v>
      </c>
      <c r="F1345" s="6">
        <v>42736</v>
      </c>
      <c r="G1345">
        <v>0</v>
      </c>
    </row>
    <row r="1346" spans="1:7" x14ac:dyDescent="0.25">
      <c r="A1346" s="5" t="s">
        <v>103</v>
      </c>
      <c r="B1346" s="5" t="s">
        <v>107</v>
      </c>
      <c r="C1346" s="5">
        <v>1440</v>
      </c>
      <c r="D1346" s="5" t="s">
        <v>8</v>
      </c>
      <c r="E1346" s="5" t="s">
        <v>16</v>
      </c>
      <c r="F1346" s="6">
        <v>42370</v>
      </c>
      <c r="G1346">
        <v>0</v>
      </c>
    </row>
    <row r="1347" spans="1:7" x14ac:dyDescent="0.25">
      <c r="A1347" s="5" t="s">
        <v>103</v>
      </c>
      <c r="B1347" s="5" t="s">
        <v>107</v>
      </c>
      <c r="C1347" s="5">
        <v>1440</v>
      </c>
      <c r="D1347" s="5" t="s">
        <v>8</v>
      </c>
      <c r="E1347" s="5" t="s">
        <v>16</v>
      </c>
      <c r="F1347" s="6">
        <v>42736</v>
      </c>
      <c r="G1347">
        <v>0</v>
      </c>
    </row>
    <row r="1348" spans="1:7" x14ac:dyDescent="0.25">
      <c r="A1348" s="5" t="s">
        <v>103</v>
      </c>
      <c r="B1348" s="5" t="s">
        <v>107</v>
      </c>
      <c r="C1348" s="5">
        <v>1440</v>
      </c>
      <c r="D1348" s="5" t="s">
        <v>8</v>
      </c>
      <c r="E1348" s="5" t="s">
        <v>17</v>
      </c>
      <c r="F1348" s="6">
        <v>42370</v>
      </c>
      <c r="G1348">
        <v>0</v>
      </c>
    </row>
    <row r="1349" spans="1:7" x14ac:dyDescent="0.25">
      <c r="A1349" s="5" t="s">
        <v>103</v>
      </c>
      <c r="B1349" s="5" t="s">
        <v>107</v>
      </c>
      <c r="C1349" s="5">
        <v>1440</v>
      </c>
      <c r="D1349" s="5" t="s">
        <v>8</v>
      </c>
      <c r="E1349" s="5" t="s">
        <v>17</v>
      </c>
      <c r="F1349" s="6">
        <v>42736</v>
      </c>
      <c r="G1349">
        <v>0</v>
      </c>
    </row>
    <row r="1350" spans="1:7" x14ac:dyDescent="0.25">
      <c r="A1350" s="5" t="s">
        <v>103</v>
      </c>
      <c r="B1350" s="5" t="s">
        <v>107</v>
      </c>
      <c r="C1350" s="5">
        <v>1440</v>
      </c>
      <c r="D1350" s="5" t="s">
        <v>8</v>
      </c>
      <c r="E1350" s="5" t="s">
        <v>18</v>
      </c>
      <c r="F1350" s="6">
        <v>42370</v>
      </c>
      <c r="G1350">
        <v>0</v>
      </c>
    </row>
    <row r="1351" spans="1:7" x14ac:dyDescent="0.25">
      <c r="A1351" s="5" t="s">
        <v>103</v>
      </c>
      <c r="B1351" s="5" t="s">
        <v>107</v>
      </c>
      <c r="C1351" s="5">
        <v>1440</v>
      </c>
      <c r="D1351" s="5" t="s">
        <v>8</v>
      </c>
      <c r="E1351" s="5" t="s">
        <v>18</v>
      </c>
      <c r="F1351" s="6">
        <v>42736</v>
      </c>
      <c r="G1351">
        <v>0</v>
      </c>
    </row>
    <row r="1352" spans="1:7" x14ac:dyDescent="0.25">
      <c r="A1352" s="5" t="s">
        <v>103</v>
      </c>
      <c r="B1352" s="5" t="s">
        <v>107</v>
      </c>
      <c r="C1352" s="5">
        <v>1440</v>
      </c>
      <c r="D1352" s="5" t="s">
        <v>8</v>
      </c>
      <c r="E1352" s="5" t="s">
        <v>19</v>
      </c>
      <c r="F1352" s="6">
        <v>42370</v>
      </c>
      <c r="G1352">
        <v>0</v>
      </c>
    </row>
    <row r="1353" spans="1:7" x14ac:dyDescent="0.25">
      <c r="A1353" s="5" t="s">
        <v>103</v>
      </c>
      <c r="B1353" s="5" t="s">
        <v>107</v>
      </c>
      <c r="C1353" s="5">
        <v>1440</v>
      </c>
      <c r="D1353" s="5" t="s">
        <v>8</v>
      </c>
      <c r="E1353" s="5" t="s">
        <v>19</v>
      </c>
      <c r="F1353" s="6">
        <v>42736</v>
      </c>
      <c r="G1353">
        <v>0</v>
      </c>
    </row>
    <row r="1354" spans="1:7" x14ac:dyDescent="0.25">
      <c r="A1354" s="5" t="s">
        <v>103</v>
      </c>
      <c r="B1354" s="5" t="s">
        <v>107</v>
      </c>
      <c r="C1354" s="5">
        <v>1440</v>
      </c>
      <c r="D1354" s="5" t="s">
        <v>20</v>
      </c>
      <c r="E1354" s="5" t="s">
        <v>9</v>
      </c>
      <c r="F1354" s="6">
        <v>42370</v>
      </c>
      <c r="G1354">
        <v>0</v>
      </c>
    </row>
    <row r="1355" spans="1:7" x14ac:dyDescent="0.25">
      <c r="A1355" s="5" t="s">
        <v>103</v>
      </c>
      <c r="B1355" s="5" t="s">
        <v>107</v>
      </c>
      <c r="C1355" s="5">
        <v>1440</v>
      </c>
      <c r="D1355" s="5" t="s">
        <v>20</v>
      </c>
      <c r="E1355" s="5" t="s">
        <v>9</v>
      </c>
      <c r="F1355" s="6">
        <v>42736</v>
      </c>
      <c r="G1355">
        <v>2</v>
      </c>
    </row>
    <row r="1356" spans="1:7" x14ac:dyDescent="0.25">
      <c r="A1356" s="5" t="s">
        <v>103</v>
      </c>
      <c r="B1356" s="5" t="s">
        <v>107</v>
      </c>
      <c r="C1356" s="5">
        <v>1440</v>
      </c>
      <c r="D1356" s="5" t="s">
        <v>20</v>
      </c>
      <c r="E1356" s="5" t="s">
        <v>21</v>
      </c>
      <c r="F1356" s="6">
        <v>42370</v>
      </c>
      <c r="G1356">
        <v>0</v>
      </c>
    </row>
    <row r="1357" spans="1:7" x14ac:dyDescent="0.25">
      <c r="A1357" s="5" t="s">
        <v>103</v>
      </c>
      <c r="B1357" s="5" t="s">
        <v>107</v>
      </c>
      <c r="C1357" s="5">
        <v>1440</v>
      </c>
      <c r="D1357" s="5" t="s">
        <v>20</v>
      </c>
      <c r="E1357" s="5" t="s">
        <v>21</v>
      </c>
      <c r="F1357" s="6">
        <v>42736</v>
      </c>
      <c r="G1357">
        <v>0</v>
      </c>
    </row>
    <row r="1358" spans="1:7" x14ac:dyDescent="0.25">
      <c r="A1358" s="5" t="s">
        <v>103</v>
      </c>
      <c r="B1358" s="5" t="s">
        <v>107</v>
      </c>
      <c r="C1358" s="5">
        <v>1440</v>
      </c>
      <c r="D1358" s="5" t="s">
        <v>20</v>
      </c>
      <c r="E1358" s="5" t="s">
        <v>22</v>
      </c>
      <c r="F1358" s="6">
        <v>42370</v>
      </c>
      <c r="G1358">
        <v>0</v>
      </c>
    </row>
    <row r="1359" spans="1:7" x14ac:dyDescent="0.25">
      <c r="A1359" s="5" t="s">
        <v>103</v>
      </c>
      <c r="B1359" s="5" t="s">
        <v>107</v>
      </c>
      <c r="C1359" s="5">
        <v>1440</v>
      </c>
      <c r="D1359" s="5" t="s">
        <v>20</v>
      </c>
      <c r="E1359" s="5" t="s">
        <v>22</v>
      </c>
      <c r="F1359" s="6">
        <v>42736</v>
      </c>
      <c r="G1359">
        <v>0</v>
      </c>
    </row>
    <row r="1360" spans="1:7" x14ac:dyDescent="0.25">
      <c r="A1360" s="5" t="s">
        <v>103</v>
      </c>
      <c r="B1360" s="5" t="s">
        <v>107</v>
      </c>
      <c r="C1360" s="5">
        <v>1440</v>
      </c>
      <c r="D1360" s="5" t="s">
        <v>20</v>
      </c>
      <c r="E1360" s="5" t="s">
        <v>23</v>
      </c>
      <c r="F1360" s="6">
        <v>42370</v>
      </c>
      <c r="G1360">
        <v>0</v>
      </c>
    </row>
    <row r="1361" spans="1:7" x14ac:dyDescent="0.25">
      <c r="A1361" s="5" t="s">
        <v>103</v>
      </c>
      <c r="B1361" s="5" t="s">
        <v>107</v>
      </c>
      <c r="C1361" s="5">
        <v>1440</v>
      </c>
      <c r="D1361" s="5" t="s">
        <v>20</v>
      </c>
      <c r="E1361" s="5" t="s">
        <v>23</v>
      </c>
      <c r="F1361" s="6">
        <v>42736</v>
      </c>
      <c r="G1361">
        <v>0</v>
      </c>
    </row>
    <row r="1362" spans="1:7" x14ac:dyDescent="0.25">
      <c r="A1362" s="5" t="s">
        <v>103</v>
      </c>
      <c r="B1362" s="5" t="s">
        <v>107</v>
      </c>
      <c r="C1362" s="5">
        <v>1440</v>
      </c>
      <c r="D1362" s="5" t="s">
        <v>20</v>
      </c>
      <c r="E1362" s="5" t="s">
        <v>24</v>
      </c>
      <c r="F1362" s="6">
        <v>42370</v>
      </c>
      <c r="G1362">
        <v>0</v>
      </c>
    </row>
    <row r="1363" spans="1:7" x14ac:dyDescent="0.25">
      <c r="A1363" s="5" t="s">
        <v>103</v>
      </c>
      <c r="B1363" s="5" t="s">
        <v>107</v>
      </c>
      <c r="C1363" s="5">
        <v>1440</v>
      </c>
      <c r="D1363" s="5" t="s">
        <v>20</v>
      </c>
      <c r="E1363" s="5" t="s">
        <v>24</v>
      </c>
      <c r="F1363" s="6">
        <v>42736</v>
      </c>
      <c r="G1363">
        <v>0</v>
      </c>
    </row>
    <row r="1364" spans="1:7" x14ac:dyDescent="0.25">
      <c r="A1364" s="5" t="s">
        <v>103</v>
      </c>
      <c r="B1364" s="5" t="s">
        <v>107</v>
      </c>
      <c r="C1364" s="5">
        <v>1440</v>
      </c>
      <c r="D1364" s="5" t="s">
        <v>20</v>
      </c>
      <c r="E1364" s="5" t="s">
        <v>25</v>
      </c>
      <c r="F1364" s="6">
        <v>42370</v>
      </c>
      <c r="G1364">
        <v>0</v>
      </c>
    </row>
    <row r="1365" spans="1:7" x14ac:dyDescent="0.25">
      <c r="A1365" s="5" t="s">
        <v>103</v>
      </c>
      <c r="B1365" s="5" t="s">
        <v>107</v>
      </c>
      <c r="C1365" s="5">
        <v>1440</v>
      </c>
      <c r="D1365" s="5" t="s">
        <v>20</v>
      </c>
      <c r="E1365" s="5" t="s">
        <v>25</v>
      </c>
      <c r="F1365" s="6">
        <v>42736</v>
      </c>
      <c r="G1365">
        <v>0</v>
      </c>
    </row>
    <row r="1366" spans="1:7" x14ac:dyDescent="0.25">
      <c r="A1366" s="5" t="s">
        <v>103</v>
      </c>
      <c r="B1366" s="5" t="s">
        <v>107</v>
      </c>
      <c r="C1366" s="5">
        <v>1440</v>
      </c>
      <c r="D1366" s="5" t="s">
        <v>20</v>
      </c>
      <c r="E1366" s="5" t="s">
        <v>26</v>
      </c>
      <c r="F1366" s="6">
        <v>42370</v>
      </c>
      <c r="G1366">
        <v>43</v>
      </c>
    </row>
    <row r="1367" spans="1:7" x14ac:dyDescent="0.25">
      <c r="A1367" s="5" t="s">
        <v>103</v>
      </c>
      <c r="B1367" s="5" t="s">
        <v>107</v>
      </c>
      <c r="C1367" s="5">
        <v>1440</v>
      </c>
      <c r="D1367" s="5" t="s">
        <v>20</v>
      </c>
      <c r="E1367" s="5" t="s">
        <v>26</v>
      </c>
      <c r="F1367" s="6">
        <v>42736</v>
      </c>
      <c r="G1367">
        <v>73</v>
      </c>
    </row>
    <row r="1368" spans="1:7" x14ac:dyDescent="0.25">
      <c r="A1368" s="5" t="s">
        <v>103</v>
      </c>
      <c r="B1368" s="5" t="s">
        <v>107</v>
      </c>
      <c r="C1368" s="5">
        <v>1440</v>
      </c>
      <c r="D1368" s="5" t="s">
        <v>20</v>
      </c>
      <c r="E1368" s="5" t="s">
        <v>27</v>
      </c>
      <c r="F1368" s="6">
        <v>42370</v>
      </c>
      <c r="G1368">
        <v>0</v>
      </c>
    </row>
    <row r="1369" spans="1:7" x14ac:dyDescent="0.25">
      <c r="A1369" s="5" t="s">
        <v>103</v>
      </c>
      <c r="B1369" s="5" t="s">
        <v>107</v>
      </c>
      <c r="C1369" s="5">
        <v>1440</v>
      </c>
      <c r="D1369" s="5" t="s">
        <v>20</v>
      </c>
      <c r="E1369" s="5" t="s">
        <v>27</v>
      </c>
      <c r="F1369" s="6">
        <v>42736</v>
      </c>
      <c r="G1369">
        <v>0</v>
      </c>
    </row>
    <row r="1370" spans="1:7" x14ac:dyDescent="0.25">
      <c r="A1370" s="5" t="s">
        <v>103</v>
      </c>
      <c r="B1370" s="5" t="s">
        <v>107</v>
      </c>
      <c r="C1370" s="5">
        <v>1440</v>
      </c>
      <c r="D1370" s="5" t="s">
        <v>20</v>
      </c>
      <c r="E1370" s="5" t="s">
        <v>28</v>
      </c>
      <c r="F1370" s="6">
        <v>42370</v>
      </c>
      <c r="G1370">
        <v>0</v>
      </c>
    </row>
    <row r="1371" spans="1:7" x14ac:dyDescent="0.25">
      <c r="A1371" s="5" t="s">
        <v>103</v>
      </c>
      <c r="B1371" s="5" t="s">
        <v>107</v>
      </c>
      <c r="C1371" s="5">
        <v>1440</v>
      </c>
      <c r="D1371" s="5" t="s">
        <v>20</v>
      </c>
      <c r="E1371" s="5" t="s">
        <v>28</v>
      </c>
      <c r="F1371" s="6">
        <v>42736</v>
      </c>
      <c r="G1371">
        <v>0</v>
      </c>
    </row>
    <row r="1372" spans="1:7" x14ac:dyDescent="0.25">
      <c r="A1372" s="5" t="s">
        <v>103</v>
      </c>
      <c r="B1372" s="5" t="s">
        <v>107</v>
      </c>
      <c r="C1372" s="5">
        <v>1440</v>
      </c>
      <c r="D1372" s="5" t="s">
        <v>20</v>
      </c>
      <c r="E1372" s="5" t="s">
        <v>29</v>
      </c>
      <c r="F1372" s="6">
        <v>42370</v>
      </c>
      <c r="G1372">
        <v>43</v>
      </c>
    </row>
    <row r="1373" spans="1:7" x14ac:dyDescent="0.25">
      <c r="A1373" s="5" t="s">
        <v>103</v>
      </c>
      <c r="B1373" s="5" t="s">
        <v>107</v>
      </c>
      <c r="C1373" s="5">
        <v>1440</v>
      </c>
      <c r="D1373" s="5" t="s">
        <v>20</v>
      </c>
      <c r="E1373" s="5" t="s">
        <v>29</v>
      </c>
      <c r="F1373" s="6">
        <v>42736</v>
      </c>
      <c r="G1373">
        <v>73</v>
      </c>
    </row>
    <row r="1374" spans="1:7" x14ac:dyDescent="0.25">
      <c r="A1374" s="5" t="s">
        <v>103</v>
      </c>
      <c r="B1374" s="5" t="s">
        <v>107</v>
      </c>
      <c r="C1374" s="5">
        <v>1440</v>
      </c>
      <c r="D1374" s="5" t="s">
        <v>20</v>
      </c>
      <c r="E1374" s="5" t="s">
        <v>30</v>
      </c>
      <c r="F1374" s="6">
        <v>42370</v>
      </c>
      <c r="G1374">
        <v>43</v>
      </c>
    </row>
    <row r="1375" spans="1:7" x14ac:dyDescent="0.25">
      <c r="A1375" s="5" t="s">
        <v>103</v>
      </c>
      <c r="B1375" s="5" t="s">
        <v>107</v>
      </c>
      <c r="C1375" s="5">
        <v>1440</v>
      </c>
      <c r="D1375" s="5" t="s">
        <v>20</v>
      </c>
      <c r="E1375" s="5" t="s">
        <v>30</v>
      </c>
      <c r="F1375" s="6">
        <v>42736</v>
      </c>
      <c r="G1375">
        <v>73</v>
      </c>
    </row>
    <row r="1376" spans="1:7" x14ac:dyDescent="0.25">
      <c r="A1376" s="5" t="s">
        <v>103</v>
      </c>
      <c r="B1376" s="5" t="s">
        <v>107</v>
      </c>
      <c r="C1376" s="5">
        <v>1440</v>
      </c>
      <c r="D1376" s="5" t="s">
        <v>20</v>
      </c>
      <c r="E1376" s="5" t="s">
        <v>31</v>
      </c>
      <c r="F1376" s="6">
        <v>42370</v>
      </c>
      <c r="G1376">
        <v>73</v>
      </c>
    </row>
    <row r="1377" spans="1:7" x14ac:dyDescent="0.25">
      <c r="A1377" s="5" t="s">
        <v>103</v>
      </c>
      <c r="B1377" s="5" t="s">
        <v>107</v>
      </c>
      <c r="C1377" s="5">
        <v>1440</v>
      </c>
      <c r="D1377" s="5" t="s">
        <v>20</v>
      </c>
      <c r="E1377" s="5" t="s">
        <v>31</v>
      </c>
      <c r="F1377" s="6">
        <v>42736</v>
      </c>
      <c r="G1377">
        <v>126</v>
      </c>
    </row>
    <row r="1378" spans="1:7" x14ac:dyDescent="0.25">
      <c r="A1378" s="5" t="s">
        <v>103</v>
      </c>
      <c r="B1378" s="5" t="s">
        <v>107</v>
      </c>
      <c r="C1378" s="5">
        <v>1440</v>
      </c>
      <c r="D1378" s="5" t="s">
        <v>20</v>
      </c>
      <c r="E1378" s="5" t="s">
        <v>32</v>
      </c>
      <c r="F1378" s="6">
        <v>42370</v>
      </c>
      <c r="G1378">
        <v>43</v>
      </c>
    </row>
    <row r="1379" spans="1:7" x14ac:dyDescent="0.25">
      <c r="A1379" s="5" t="s">
        <v>103</v>
      </c>
      <c r="B1379" s="5" t="s">
        <v>107</v>
      </c>
      <c r="C1379" s="5">
        <v>1440</v>
      </c>
      <c r="D1379" s="5" t="s">
        <v>20</v>
      </c>
      <c r="E1379" s="5" t="s">
        <v>32</v>
      </c>
      <c r="F1379" s="6">
        <v>42736</v>
      </c>
      <c r="G1379">
        <v>78</v>
      </c>
    </row>
    <row r="1380" spans="1:7" x14ac:dyDescent="0.25">
      <c r="A1380" s="5" t="s">
        <v>103</v>
      </c>
      <c r="B1380" s="5" t="s">
        <v>107</v>
      </c>
      <c r="C1380" s="5">
        <v>1440</v>
      </c>
      <c r="D1380" s="5" t="s">
        <v>33</v>
      </c>
      <c r="E1380" s="5" t="s">
        <v>9</v>
      </c>
      <c r="F1380" s="6">
        <v>42370</v>
      </c>
      <c r="G1380">
        <v>0</v>
      </c>
    </row>
    <row r="1381" spans="1:7" x14ac:dyDescent="0.25">
      <c r="A1381" s="5" t="s">
        <v>103</v>
      </c>
      <c r="B1381" s="5" t="s">
        <v>107</v>
      </c>
      <c r="C1381" s="5">
        <v>1440</v>
      </c>
      <c r="D1381" s="5" t="s">
        <v>33</v>
      </c>
      <c r="E1381" s="5" t="s">
        <v>9</v>
      </c>
      <c r="F1381" s="6">
        <v>42736</v>
      </c>
      <c r="G1381">
        <v>0</v>
      </c>
    </row>
    <row r="1382" spans="1:7" x14ac:dyDescent="0.25">
      <c r="A1382" s="5" t="s">
        <v>103</v>
      </c>
      <c r="B1382" s="5" t="s">
        <v>107</v>
      </c>
      <c r="C1382" s="5">
        <v>1440</v>
      </c>
      <c r="D1382" s="5" t="s">
        <v>33</v>
      </c>
      <c r="E1382" s="5" t="s">
        <v>34</v>
      </c>
      <c r="F1382" s="6">
        <v>42370</v>
      </c>
      <c r="G1382">
        <v>0</v>
      </c>
    </row>
    <row r="1383" spans="1:7" x14ac:dyDescent="0.25">
      <c r="A1383" s="5" t="s">
        <v>103</v>
      </c>
      <c r="B1383" s="5" t="s">
        <v>107</v>
      </c>
      <c r="C1383" s="5">
        <v>1440</v>
      </c>
      <c r="D1383" s="5" t="s">
        <v>33</v>
      </c>
      <c r="E1383" s="5" t="s">
        <v>34</v>
      </c>
      <c r="F1383" s="6">
        <v>42736</v>
      </c>
      <c r="G1383">
        <v>0</v>
      </c>
    </row>
    <row r="1384" spans="1:7" x14ac:dyDescent="0.25">
      <c r="A1384" s="5" t="s">
        <v>103</v>
      </c>
      <c r="B1384" s="5" t="s">
        <v>107</v>
      </c>
      <c r="C1384" s="5">
        <v>1440</v>
      </c>
      <c r="D1384" s="5" t="s">
        <v>35</v>
      </c>
      <c r="E1384" s="5" t="s">
        <v>36</v>
      </c>
      <c r="F1384" s="6">
        <v>42370</v>
      </c>
      <c r="G1384">
        <v>0</v>
      </c>
    </row>
    <row r="1385" spans="1:7" x14ac:dyDescent="0.25">
      <c r="A1385" s="5" t="s">
        <v>103</v>
      </c>
      <c r="B1385" s="5" t="s">
        <v>107</v>
      </c>
      <c r="C1385" s="5">
        <v>1440</v>
      </c>
      <c r="D1385" s="5" t="s">
        <v>35</v>
      </c>
      <c r="E1385" s="5" t="s">
        <v>36</v>
      </c>
      <c r="F1385" s="6">
        <v>42736</v>
      </c>
      <c r="G1385">
        <v>0</v>
      </c>
    </row>
    <row r="1386" spans="1:7" x14ac:dyDescent="0.25">
      <c r="A1386" s="5" t="s">
        <v>103</v>
      </c>
      <c r="B1386" s="5" t="s">
        <v>107</v>
      </c>
      <c r="C1386" s="5">
        <v>1440</v>
      </c>
      <c r="D1386" s="5" t="s">
        <v>35</v>
      </c>
      <c r="E1386" s="5" t="s">
        <v>37</v>
      </c>
      <c r="F1386" s="6">
        <v>42370</v>
      </c>
      <c r="G1386">
        <v>0</v>
      </c>
    </row>
    <row r="1387" spans="1:7" x14ac:dyDescent="0.25">
      <c r="A1387" s="5" t="s">
        <v>103</v>
      </c>
      <c r="B1387" s="5" t="s">
        <v>107</v>
      </c>
      <c r="C1387" s="5">
        <v>1440</v>
      </c>
      <c r="D1387" s="5" t="s">
        <v>35</v>
      </c>
      <c r="E1387" s="5" t="s">
        <v>37</v>
      </c>
      <c r="F1387" s="6">
        <v>42736</v>
      </c>
      <c r="G1387">
        <v>0</v>
      </c>
    </row>
    <row r="1388" spans="1:7" x14ac:dyDescent="0.25">
      <c r="A1388" s="5" t="s">
        <v>103</v>
      </c>
      <c r="B1388" s="5" t="s">
        <v>107</v>
      </c>
      <c r="C1388" s="5">
        <v>1440</v>
      </c>
      <c r="D1388" s="5" t="s">
        <v>35</v>
      </c>
      <c r="E1388" s="5" t="s">
        <v>38</v>
      </c>
      <c r="F1388" s="6">
        <v>42370</v>
      </c>
      <c r="G1388">
        <v>0</v>
      </c>
    </row>
    <row r="1389" spans="1:7" x14ac:dyDescent="0.25">
      <c r="A1389" s="5" t="s">
        <v>103</v>
      </c>
      <c r="B1389" s="5" t="s">
        <v>107</v>
      </c>
      <c r="C1389" s="5">
        <v>1440</v>
      </c>
      <c r="D1389" s="5" t="s">
        <v>35</v>
      </c>
      <c r="E1389" s="5" t="s">
        <v>38</v>
      </c>
      <c r="F1389" s="6">
        <v>42736</v>
      </c>
      <c r="G1389">
        <v>0</v>
      </c>
    </row>
    <row r="1390" spans="1:7" x14ac:dyDescent="0.25">
      <c r="A1390" s="5" t="s">
        <v>103</v>
      </c>
      <c r="B1390" s="5" t="s">
        <v>107</v>
      </c>
      <c r="C1390" s="5">
        <v>1440</v>
      </c>
      <c r="D1390" s="5" t="s">
        <v>35</v>
      </c>
      <c r="E1390" s="5" t="s">
        <v>39</v>
      </c>
      <c r="F1390" s="6">
        <v>42370</v>
      </c>
      <c r="G1390">
        <v>0</v>
      </c>
    </row>
    <row r="1391" spans="1:7" x14ac:dyDescent="0.25">
      <c r="A1391" s="5" t="s">
        <v>103</v>
      </c>
      <c r="B1391" s="5" t="s">
        <v>107</v>
      </c>
      <c r="C1391" s="5">
        <v>1440</v>
      </c>
      <c r="D1391" s="5" t="s">
        <v>35</v>
      </c>
      <c r="E1391" s="5" t="s">
        <v>39</v>
      </c>
      <c r="F1391" s="6">
        <v>42736</v>
      </c>
      <c r="G1391">
        <v>0</v>
      </c>
    </row>
    <row r="1392" spans="1:7" x14ac:dyDescent="0.25">
      <c r="A1392" s="5" t="s">
        <v>103</v>
      </c>
      <c r="B1392" s="5" t="s">
        <v>107</v>
      </c>
      <c r="C1392" s="5">
        <v>1440</v>
      </c>
      <c r="D1392" s="5" t="s">
        <v>35</v>
      </c>
      <c r="E1392" s="5" t="s">
        <v>40</v>
      </c>
      <c r="F1392" s="6">
        <v>42370</v>
      </c>
      <c r="G1392">
        <v>0</v>
      </c>
    </row>
    <row r="1393" spans="1:7" x14ac:dyDescent="0.25">
      <c r="A1393" s="5" t="s">
        <v>103</v>
      </c>
      <c r="B1393" s="5" t="s">
        <v>107</v>
      </c>
      <c r="C1393" s="5">
        <v>1440</v>
      </c>
      <c r="D1393" s="5" t="s">
        <v>35</v>
      </c>
      <c r="E1393" s="5" t="s">
        <v>40</v>
      </c>
      <c r="F1393" s="6">
        <v>42736</v>
      </c>
      <c r="G1393">
        <v>0</v>
      </c>
    </row>
    <row r="1394" spans="1:7" x14ac:dyDescent="0.25">
      <c r="A1394" s="5" t="s">
        <v>103</v>
      </c>
      <c r="B1394" s="5" t="s">
        <v>107</v>
      </c>
      <c r="C1394" s="5">
        <v>1440</v>
      </c>
      <c r="D1394" s="5" t="s">
        <v>35</v>
      </c>
      <c r="E1394" s="5" t="s">
        <v>41</v>
      </c>
      <c r="F1394" s="6">
        <v>42370</v>
      </c>
      <c r="G1394">
        <v>0</v>
      </c>
    </row>
    <row r="1395" spans="1:7" x14ac:dyDescent="0.25">
      <c r="A1395" s="5" t="s">
        <v>103</v>
      </c>
      <c r="B1395" s="5" t="s">
        <v>107</v>
      </c>
      <c r="C1395" s="5">
        <v>1440</v>
      </c>
      <c r="D1395" s="5" t="s">
        <v>35</v>
      </c>
      <c r="E1395" s="5" t="s">
        <v>41</v>
      </c>
      <c r="F1395" s="6">
        <v>42736</v>
      </c>
      <c r="G1395">
        <v>0</v>
      </c>
    </row>
    <row r="1396" spans="1:7" x14ac:dyDescent="0.25">
      <c r="A1396" s="5" t="s">
        <v>103</v>
      </c>
      <c r="B1396" s="5" t="s">
        <v>107</v>
      </c>
      <c r="C1396" s="5">
        <v>1440</v>
      </c>
      <c r="D1396" s="5" t="s">
        <v>35</v>
      </c>
      <c r="E1396" s="5" t="s">
        <v>42</v>
      </c>
      <c r="F1396" s="6">
        <v>42370</v>
      </c>
      <c r="G1396">
        <v>0</v>
      </c>
    </row>
    <row r="1397" spans="1:7" x14ac:dyDescent="0.25">
      <c r="A1397" s="5" t="s">
        <v>103</v>
      </c>
      <c r="B1397" s="5" t="s">
        <v>107</v>
      </c>
      <c r="C1397" s="5">
        <v>1440</v>
      </c>
      <c r="D1397" s="5" t="s">
        <v>35</v>
      </c>
      <c r="E1397" s="5" t="s">
        <v>42</v>
      </c>
      <c r="F1397" s="6">
        <v>42736</v>
      </c>
      <c r="G1397">
        <v>0</v>
      </c>
    </row>
    <row r="1398" spans="1:7" x14ac:dyDescent="0.25">
      <c r="A1398" s="5" t="s">
        <v>103</v>
      </c>
      <c r="B1398" s="5" t="s">
        <v>107</v>
      </c>
      <c r="C1398" s="5">
        <v>1440</v>
      </c>
      <c r="D1398" s="5" t="s">
        <v>35</v>
      </c>
      <c r="E1398" s="5" t="s">
        <v>43</v>
      </c>
      <c r="F1398" s="6">
        <v>42370</v>
      </c>
      <c r="G1398">
        <v>0</v>
      </c>
    </row>
    <row r="1399" spans="1:7" x14ac:dyDescent="0.25">
      <c r="A1399" s="5" t="s">
        <v>103</v>
      </c>
      <c r="B1399" s="5" t="s">
        <v>107</v>
      </c>
      <c r="C1399" s="5">
        <v>1440</v>
      </c>
      <c r="D1399" s="5" t="s">
        <v>35</v>
      </c>
      <c r="E1399" s="5" t="s">
        <v>43</v>
      </c>
      <c r="F1399" s="6">
        <v>42736</v>
      </c>
      <c r="G1399">
        <v>0</v>
      </c>
    </row>
    <row r="1400" spans="1:7" x14ac:dyDescent="0.25">
      <c r="A1400" s="5" t="s">
        <v>103</v>
      </c>
      <c r="B1400" s="5" t="s">
        <v>107</v>
      </c>
      <c r="C1400" s="5">
        <v>1440</v>
      </c>
      <c r="D1400" s="5" t="s">
        <v>44</v>
      </c>
      <c r="E1400" s="5" t="s">
        <v>36</v>
      </c>
      <c r="F1400" s="6">
        <v>42370</v>
      </c>
      <c r="G1400">
        <v>0</v>
      </c>
    </row>
    <row r="1401" spans="1:7" x14ac:dyDescent="0.25">
      <c r="A1401" s="5" t="s">
        <v>103</v>
      </c>
      <c r="B1401" s="5" t="s">
        <v>107</v>
      </c>
      <c r="C1401" s="5">
        <v>1440</v>
      </c>
      <c r="D1401" s="5" t="s">
        <v>44</v>
      </c>
      <c r="E1401" s="5" t="s">
        <v>36</v>
      </c>
      <c r="F1401" s="6">
        <v>42736</v>
      </c>
      <c r="G1401">
        <v>0</v>
      </c>
    </row>
    <row r="1402" spans="1:7" x14ac:dyDescent="0.25">
      <c r="A1402" s="5" t="s">
        <v>103</v>
      </c>
      <c r="B1402" s="5" t="s">
        <v>107</v>
      </c>
      <c r="C1402" s="5">
        <v>1440</v>
      </c>
      <c r="D1402" s="5" t="s">
        <v>44</v>
      </c>
      <c r="E1402" s="5" t="s">
        <v>37</v>
      </c>
      <c r="F1402" s="6">
        <v>42370</v>
      </c>
      <c r="G1402">
        <v>0</v>
      </c>
    </row>
    <row r="1403" spans="1:7" x14ac:dyDescent="0.25">
      <c r="A1403" s="5" t="s">
        <v>103</v>
      </c>
      <c r="B1403" s="5" t="s">
        <v>107</v>
      </c>
      <c r="C1403" s="5">
        <v>1440</v>
      </c>
      <c r="D1403" s="5" t="s">
        <v>44</v>
      </c>
      <c r="E1403" s="5" t="s">
        <v>37</v>
      </c>
      <c r="F1403" s="6">
        <v>42736</v>
      </c>
      <c r="G1403">
        <v>0</v>
      </c>
    </row>
    <row r="1404" spans="1:7" x14ac:dyDescent="0.25">
      <c r="A1404" s="5" t="s">
        <v>103</v>
      </c>
      <c r="B1404" s="5" t="s">
        <v>107</v>
      </c>
      <c r="C1404" s="5">
        <v>1440</v>
      </c>
      <c r="D1404" s="5" t="s">
        <v>44</v>
      </c>
      <c r="E1404" s="5" t="s">
        <v>38</v>
      </c>
      <c r="F1404" s="6">
        <v>42370</v>
      </c>
      <c r="G1404">
        <v>0</v>
      </c>
    </row>
    <row r="1405" spans="1:7" x14ac:dyDescent="0.25">
      <c r="A1405" s="5" t="s">
        <v>103</v>
      </c>
      <c r="B1405" s="5" t="s">
        <v>107</v>
      </c>
      <c r="C1405" s="5">
        <v>1440</v>
      </c>
      <c r="D1405" s="5" t="s">
        <v>44</v>
      </c>
      <c r="E1405" s="5" t="s">
        <v>38</v>
      </c>
      <c r="F1405" s="6">
        <v>42736</v>
      </c>
      <c r="G1405">
        <v>0</v>
      </c>
    </row>
    <row r="1406" spans="1:7" x14ac:dyDescent="0.25">
      <c r="A1406" s="5" t="s">
        <v>103</v>
      </c>
      <c r="B1406" s="5" t="s">
        <v>107</v>
      </c>
      <c r="C1406" s="5">
        <v>1440</v>
      </c>
      <c r="D1406" s="5" t="s">
        <v>44</v>
      </c>
      <c r="E1406" s="5" t="s">
        <v>39</v>
      </c>
      <c r="F1406" s="6">
        <v>42370</v>
      </c>
      <c r="G1406">
        <v>0</v>
      </c>
    </row>
    <row r="1407" spans="1:7" x14ac:dyDescent="0.25">
      <c r="A1407" s="5" t="s">
        <v>103</v>
      </c>
      <c r="B1407" s="5" t="s">
        <v>107</v>
      </c>
      <c r="C1407" s="5">
        <v>1440</v>
      </c>
      <c r="D1407" s="5" t="s">
        <v>44</v>
      </c>
      <c r="E1407" s="5" t="s">
        <v>39</v>
      </c>
      <c r="F1407" s="6">
        <v>42736</v>
      </c>
      <c r="G1407">
        <v>0</v>
      </c>
    </row>
    <row r="1408" spans="1:7" x14ac:dyDescent="0.25">
      <c r="A1408" s="5" t="s">
        <v>103</v>
      </c>
      <c r="B1408" s="5" t="s">
        <v>107</v>
      </c>
      <c r="C1408" s="5">
        <v>1440</v>
      </c>
      <c r="D1408" s="5" t="s">
        <v>44</v>
      </c>
      <c r="E1408" s="5" t="s">
        <v>40</v>
      </c>
      <c r="F1408" s="6">
        <v>42370</v>
      </c>
      <c r="G1408">
        <v>0</v>
      </c>
    </row>
    <row r="1409" spans="1:7" x14ac:dyDescent="0.25">
      <c r="A1409" s="5" t="s">
        <v>103</v>
      </c>
      <c r="B1409" s="5" t="s">
        <v>107</v>
      </c>
      <c r="C1409" s="5">
        <v>1440</v>
      </c>
      <c r="D1409" s="5" t="s">
        <v>44</v>
      </c>
      <c r="E1409" s="5" t="s">
        <v>40</v>
      </c>
      <c r="F1409" s="6">
        <v>42736</v>
      </c>
      <c r="G1409">
        <v>0</v>
      </c>
    </row>
    <row r="1410" spans="1:7" x14ac:dyDescent="0.25">
      <c r="A1410" s="5" t="s">
        <v>103</v>
      </c>
      <c r="B1410" s="5" t="s">
        <v>107</v>
      </c>
      <c r="C1410" s="5">
        <v>1440</v>
      </c>
      <c r="D1410" s="5" t="s">
        <v>44</v>
      </c>
      <c r="E1410" s="5" t="s">
        <v>41</v>
      </c>
      <c r="F1410" s="6">
        <v>42370</v>
      </c>
      <c r="G1410">
        <v>0</v>
      </c>
    </row>
    <row r="1411" spans="1:7" x14ac:dyDescent="0.25">
      <c r="A1411" s="5" t="s">
        <v>103</v>
      </c>
      <c r="B1411" s="5" t="s">
        <v>107</v>
      </c>
      <c r="C1411" s="5">
        <v>1440</v>
      </c>
      <c r="D1411" s="5" t="s">
        <v>44</v>
      </c>
      <c r="E1411" s="5" t="s">
        <v>41</v>
      </c>
      <c r="F1411" s="6">
        <v>42736</v>
      </c>
      <c r="G1411">
        <v>0</v>
      </c>
    </row>
    <row r="1412" spans="1:7" x14ac:dyDescent="0.25">
      <c r="A1412" s="5" t="s">
        <v>103</v>
      </c>
      <c r="B1412" s="5" t="s">
        <v>107</v>
      </c>
      <c r="C1412" s="5">
        <v>1440</v>
      </c>
      <c r="D1412" s="5" t="s">
        <v>44</v>
      </c>
      <c r="E1412" s="5" t="s">
        <v>42</v>
      </c>
      <c r="F1412" s="6">
        <v>42370</v>
      </c>
      <c r="G1412">
        <v>0</v>
      </c>
    </row>
    <row r="1413" spans="1:7" x14ac:dyDescent="0.25">
      <c r="A1413" s="5" t="s">
        <v>103</v>
      </c>
      <c r="B1413" s="5" t="s">
        <v>107</v>
      </c>
      <c r="C1413" s="5">
        <v>1440</v>
      </c>
      <c r="D1413" s="5" t="s">
        <v>44</v>
      </c>
      <c r="E1413" s="5" t="s">
        <v>42</v>
      </c>
      <c r="F1413" s="6">
        <v>42736</v>
      </c>
      <c r="G1413">
        <v>0</v>
      </c>
    </row>
    <row r="1414" spans="1:7" x14ac:dyDescent="0.25">
      <c r="A1414" s="5" t="s">
        <v>103</v>
      </c>
      <c r="B1414" s="5" t="s">
        <v>107</v>
      </c>
      <c r="C1414" s="5">
        <v>1440</v>
      </c>
      <c r="D1414" s="5" t="s">
        <v>44</v>
      </c>
      <c r="E1414" s="5" t="s">
        <v>43</v>
      </c>
      <c r="F1414" s="6">
        <v>42370</v>
      </c>
      <c r="G1414">
        <v>0</v>
      </c>
    </row>
    <row r="1415" spans="1:7" x14ac:dyDescent="0.25">
      <c r="A1415" s="5" t="s">
        <v>103</v>
      </c>
      <c r="B1415" s="5" t="s">
        <v>107</v>
      </c>
      <c r="C1415" s="5">
        <v>1440</v>
      </c>
      <c r="D1415" s="5" t="s">
        <v>44</v>
      </c>
      <c r="E1415" s="5" t="s">
        <v>43</v>
      </c>
      <c r="F1415" s="6">
        <v>42736</v>
      </c>
      <c r="G1415">
        <v>0</v>
      </c>
    </row>
    <row r="1416" spans="1:7" x14ac:dyDescent="0.25">
      <c r="A1416" s="5" t="s">
        <v>103</v>
      </c>
      <c r="B1416" s="5" t="s">
        <v>107</v>
      </c>
      <c r="C1416" s="5">
        <v>1440</v>
      </c>
      <c r="D1416" s="5" t="s">
        <v>45</v>
      </c>
      <c r="E1416" s="5" t="s">
        <v>46</v>
      </c>
      <c r="F1416" s="6">
        <v>42370</v>
      </c>
      <c r="G1416">
        <v>0</v>
      </c>
    </row>
    <row r="1417" spans="1:7" x14ac:dyDescent="0.25">
      <c r="A1417" s="5" t="s">
        <v>103</v>
      </c>
      <c r="B1417" s="5" t="s">
        <v>107</v>
      </c>
      <c r="C1417" s="5">
        <v>1440</v>
      </c>
      <c r="D1417" s="5" t="s">
        <v>45</v>
      </c>
      <c r="E1417" s="5" t="s">
        <v>46</v>
      </c>
      <c r="F1417" s="6">
        <v>42736</v>
      </c>
      <c r="G1417">
        <v>0</v>
      </c>
    </row>
    <row r="1418" spans="1:7" x14ac:dyDescent="0.25">
      <c r="A1418" s="5" t="s">
        <v>103</v>
      </c>
      <c r="B1418" s="5" t="s">
        <v>107</v>
      </c>
      <c r="C1418" s="5">
        <v>1440</v>
      </c>
      <c r="D1418" s="5" t="s">
        <v>45</v>
      </c>
      <c r="E1418" s="5" t="s">
        <v>47</v>
      </c>
      <c r="F1418" s="6">
        <v>42370</v>
      </c>
      <c r="G1418">
        <v>0</v>
      </c>
    </row>
    <row r="1419" spans="1:7" x14ac:dyDescent="0.25">
      <c r="A1419" s="5" t="s">
        <v>103</v>
      </c>
      <c r="B1419" s="5" t="s">
        <v>107</v>
      </c>
      <c r="C1419" s="5">
        <v>1440</v>
      </c>
      <c r="D1419" s="5" t="s">
        <v>45</v>
      </c>
      <c r="E1419" s="5" t="s">
        <v>47</v>
      </c>
      <c r="F1419" s="6">
        <v>42736</v>
      </c>
      <c r="G1419">
        <v>0</v>
      </c>
    </row>
    <row r="1420" spans="1:7" x14ac:dyDescent="0.25">
      <c r="A1420" s="5" t="s">
        <v>103</v>
      </c>
      <c r="B1420" s="5" t="s">
        <v>107</v>
      </c>
      <c r="C1420" s="5">
        <v>1440</v>
      </c>
      <c r="D1420" s="5" t="s">
        <v>45</v>
      </c>
      <c r="E1420" s="5" t="s">
        <v>48</v>
      </c>
      <c r="F1420" s="6">
        <v>42370</v>
      </c>
      <c r="G1420">
        <v>17</v>
      </c>
    </row>
    <row r="1421" spans="1:7" x14ac:dyDescent="0.25">
      <c r="A1421" s="5" t="s">
        <v>103</v>
      </c>
      <c r="B1421" s="5" t="s">
        <v>107</v>
      </c>
      <c r="C1421" s="5">
        <v>1440</v>
      </c>
      <c r="D1421" s="5" t="s">
        <v>45</v>
      </c>
      <c r="E1421" s="5" t="s">
        <v>48</v>
      </c>
      <c r="F1421" s="6">
        <v>42736</v>
      </c>
      <c r="G1421">
        <v>16</v>
      </c>
    </row>
    <row r="1422" spans="1:7" x14ac:dyDescent="0.25">
      <c r="A1422" s="5" t="s">
        <v>103</v>
      </c>
      <c r="B1422" s="5" t="s">
        <v>107</v>
      </c>
      <c r="C1422" s="5">
        <v>1440</v>
      </c>
      <c r="D1422" s="5" t="s">
        <v>45</v>
      </c>
      <c r="E1422" s="5" t="s">
        <v>49</v>
      </c>
      <c r="F1422" s="6">
        <v>42370</v>
      </c>
      <c r="G1422">
        <v>0</v>
      </c>
    </row>
    <row r="1423" spans="1:7" x14ac:dyDescent="0.25">
      <c r="A1423" s="5" t="s">
        <v>103</v>
      </c>
      <c r="B1423" s="5" t="s">
        <v>107</v>
      </c>
      <c r="C1423" s="5">
        <v>1440</v>
      </c>
      <c r="D1423" s="5" t="s">
        <v>45</v>
      </c>
      <c r="E1423" s="5" t="s">
        <v>49</v>
      </c>
      <c r="F1423" s="6">
        <v>42736</v>
      </c>
      <c r="G1423">
        <v>0</v>
      </c>
    </row>
    <row r="1424" spans="1:7" x14ac:dyDescent="0.25">
      <c r="A1424" s="5" t="s">
        <v>103</v>
      </c>
      <c r="B1424" s="5" t="s">
        <v>107</v>
      </c>
      <c r="C1424" s="5">
        <v>1440</v>
      </c>
      <c r="D1424" s="5" t="s">
        <v>45</v>
      </c>
      <c r="E1424" s="5" t="s">
        <v>50</v>
      </c>
      <c r="F1424" s="6">
        <v>42370</v>
      </c>
      <c r="G1424">
        <v>0</v>
      </c>
    </row>
    <row r="1425" spans="1:7" x14ac:dyDescent="0.25">
      <c r="A1425" s="5" t="s">
        <v>103</v>
      </c>
      <c r="B1425" s="5" t="s">
        <v>107</v>
      </c>
      <c r="C1425" s="5">
        <v>1440</v>
      </c>
      <c r="D1425" s="5" t="s">
        <v>45</v>
      </c>
      <c r="E1425" s="5" t="s">
        <v>50</v>
      </c>
      <c r="F1425" s="6">
        <v>42736</v>
      </c>
      <c r="G1425">
        <v>0</v>
      </c>
    </row>
    <row r="1426" spans="1:7" x14ac:dyDescent="0.25">
      <c r="A1426" s="5" t="s">
        <v>103</v>
      </c>
      <c r="B1426" s="5" t="s">
        <v>107</v>
      </c>
      <c r="C1426" s="5">
        <v>1440</v>
      </c>
      <c r="D1426" s="5" t="s">
        <v>45</v>
      </c>
      <c r="E1426" s="5" t="s">
        <v>51</v>
      </c>
      <c r="F1426" s="6">
        <v>42370</v>
      </c>
      <c r="G1426">
        <v>0</v>
      </c>
    </row>
    <row r="1427" spans="1:7" x14ac:dyDescent="0.25">
      <c r="A1427" s="5" t="s">
        <v>103</v>
      </c>
      <c r="B1427" s="5" t="s">
        <v>107</v>
      </c>
      <c r="C1427" s="5">
        <v>1440</v>
      </c>
      <c r="D1427" s="5" t="s">
        <v>45</v>
      </c>
      <c r="E1427" s="5" t="s">
        <v>51</v>
      </c>
      <c r="F1427" s="6">
        <v>42736</v>
      </c>
      <c r="G1427">
        <v>0</v>
      </c>
    </row>
    <row r="1428" spans="1:7" x14ac:dyDescent="0.25">
      <c r="A1428" s="5" t="s">
        <v>103</v>
      </c>
      <c r="B1428" s="5" t="s">
        <v>107</v>
      </c>
      <c r="C1428" s="5">
        <v>1440</v>
      </c>
      <c r="D1428" s="5" t="s">
        <v>45</v>
      </c>
      <c r="E1428" s="5" t="s">
        <v>52</v>
      </c>
      <c r="F1428" s="6">
        <v>42370</v>
      </c>
      <c r="G1428">
        <v>0</v>
      </c>
    </row>
    <row r="1429" spans="1:7" x14ac:dyDescent="0.25">
      <c r="A1429" s="5" t="s">
        <v>103</v>
      </c>
      <c r="B1429" s="5" t="s">
        <v>107</v>
      </c>
      <c r="C1429" s="5">
        <v>1440</v>
      </c>
      <c r="D1429" s="5" t="s">
        <v>45</v>
      </c>
      <c r="E1429" s="5" t="s">
        <v>52</v>
      </c>
      <c r="F1429" s="6">
        <v>42736</v>
      </c>
      <c r="G1429">
        <v>0</v>
      </c>
    </row>
    <row r="1430" spans="1:7" x14ac:dyDescent="0.25">
      <c r="A1430" s="5" t="s">
        <v>103</v>
      </c>
      <c r="B1430" s="5" t="s">
        <v>107</v>
      </c>
      <c r="C1430" s="5">
        <v>1440</v>
      </c>
      <c r="D1430" s="5" t="s">
        <v>45</v>
      </c>
      <c r="E1430" s="5" t="s">
        <v>53</v>
      </c>
      <c r="F1430" s="6">
        <v>42370</v>
      </c>
      <c r="G1430">
        <v>6</v>
      </c>
    </row>
    <row r="1431" spans="1:7" x14ac:dyDescent="0.25">
      <c r="A1431" s="5" t="s">
        <v>103</v>
      </c>
      <c r="B1431" s="5" t="s">
        <v>107</v>
      </c>
      <c r="C1431" s="5">
        <v>1440</v>
      </c>
      <c r="D1431" s="5" t="s">
        <v>45</v>
      </c>
      <c r="E1431" s="5" t="s">
        <v>53</v>
      </c>
      <c r="F1431" s="6">
        <v>42736</v>
      </c>
      <c r="G1431">
        <v>16</v>
      </c>
    </row>
    <row r="1432" spans="1:7" x14ac:dyDescent="0.25">
      <c r="A1432" s="5" t="s">
        <v>103</v>
      </c>
      <c r="B1432" s="5" t="s">
        <v>107</v>
      </c>
      <c r="C1432" s="5">
        <v>1440</v>
      </c>
      <c r="D1432" s="5" t="s">
        <v>45</v>
      </c>
      <c r="E1432" s="5" t="s">
        <v>54</v>
      </c>
      <c r="F1432" s="6">
        <v>42370</v>
      </c>
      <c r="G1432">
        <v>0</v>
      </c>
    </row>
    <row r="1433" spans="1:7" x14ac:dyDescent="0.25">
      <c r="A1433" s="5" t="s">
        <v>103</v>
      </c>
      <c r="B1433" s="5" t="s">
        <v>107</v>
      </c>
      <c r="C1433" s="5">
        <v>1440</v>
      </c>
      <c r="D1433" s="5" t="s">
        <v>45</v>
      </c>
      <c r="E1433" s="5" t="s">
        <v>54</v>
      </c>
      <c r="F1433" s="6">
        <v>42736</v>
      </c>
      <c r="G1433">
        <v>0</v>
      </c>
    </row>
    <row r="1434" spans="1:7" x14ac:dyDescent="0.25">
      <c r="A1434" s="5" t="s">
        <v>103</v>
      </c>
      <c r="B1434" s="5" t="s">
        <v>107</v>
      </c>
      <c r="C1434" s="5">
        <v>1440</v>
      </c>
      <c r="D1434" s="5" t="s">
        <v>45</v>
      </c>
      <c r="E1434" s="5" t="s">
        <v>55</v>
      </c>
      <c r="F1434" s="6">
        <v>42370</v>
      </c>
      <c r="G1434">
        <v>0</v>
      </c>
    </row>
    <row r="1435" spans="1:7" x14ac:dyDescent="0.25">
      <c r="A1435" s="5" t="s">
        <v>103</v>
      </c>
      <c r="B1435" s="5" t="s">
        <v>107</v>
      </c>
      <c r="C1435" s="5">
        <v>1440</v>
      </c>
      <c r="D1435" s="5" t="s">
        <v>45</v>
      </c>
      <c r="E1435" s="5" t="s">
        <v>55</v>
      </c>
      <c r="F1435" s="6">
        <v>42736</v>
      </c>
      <c r="G1435">
        <v>0</v>
      </c>
    </row>
    <row r="1436" spans="1:7" x14ac:dyDescent="0.25">
      <c r="A1436" s="5" t="s">
        <v>103</v>
      </c>
      <c r="B1436" s="5" t="s">
        <v>107</v>
      </c>
      <c r="C1436" s="5">
        <v>1440</v>
      </c>
      <c r="D1436" s="5" t="s">
        <v>45</v>
      </c>
      <c r="E1436" s="5" t="s">
        <v>56</v>
      </c>
      <c r="F1436" s="6">
        <v>42370</v>
      </c>
      <c r="G1436">
        <v>0</v>
      </c>
    </row>
    <row r="1437" spans="1:7" x14ac:dyDescent="0.25">
      <c r="A1437" s="5" t="s">
        <v>103</v>
      </c>
      <c r="B1437" s="5" t="s">
        <v>107</v>
      </c>
      <c r="C1437" s="5">
        <v>1440</v>
      </c>
      <c r="D1437" s="5" t="s">
        <v>45</v>
      </c>
      <c r="E1437" s="5" t="s">
        <v>56</v>
      </c>
      <c r="F1437" s="6">
        <v>42736</v>
      </c>
      <c r="G1437">
        <v>0</v>
      </c>
    </row>
    <row r="1438" spans="1:7" x14ac:dyDescent="0.25">
      <c r="A1438" s="5" t="s">
        <v>103</v>
      </c>
      <c r="B1438" s="5" t="s">
        <v>107</v>
      </c>
      <c r="C1438" s="5">
        <v>1440</v>
      </c>
      <c r="D1438" s="5" t="s">
        <v>45</v>
      </c>
      <c r="E1438" s="5" t="s">
        <v>57</v>
      </c>
      <c r="F1438" s="6">
        <v>42370</v>
      </c>
      <c r="G1438">
        <v>0</v>
      </c>
    </row>
    <row r="1439" spans="1:7" x14ac:dyDescent="0.25">
      <c r="A1439" s="5" t="s">
        <v>103</v>
      </c>
      <c r="B1439" s="5" t="s">
        <v>107</v>
      </c>
      <c r="C1439" s="5">
        <v>1440</v>
      </c>
      <c r="D1439" s="5" t="s">
        <v>45</v>
      </c>
      <c r="E1439" s="5" t="s">
        <v>57</v>
      </c>
      <c r="F1439" s="6">
        <v>42736</v>
      </c>
      <c r="G1439">
        <v>0</v>
      </c>
    </row>
    <row r="1440" spans="1:7" x14ac:dyDescent="0.25">
      <c r="A1440" s="5" t="s">
        <v>103</v>
      </c>
      <c r="B1440" s="5" t="s">
        <v>107</v>
      </c>
      <c r="C1440" s="5">
        <v>1440</v>
      </c>
      <c r="D1440" s="5" t="s">
        <v>45</v>
      </c>
      <c r="E1440" s="5" t="s">
        <v>58</v>
      </c>
      <c r="F1440" s="6">
        <v>42370</v>
      </c>
      <c r="G1440">
        <v>0</v>
      </c>
    </row>
    <row r="1441" spans="1:7" x14ac:dyDescent="0.25">
      <c r="A1441" s="5" t="s">
        <v>103</v>
      </c>
      <c r="B1441" s="5" t="s">
        <v>107</v>
      </c>
      <c r="C1441" s="5">
        <v>1440</v>
      </c>
      <c r="D1441" s="5" t="s">
        <v>45</v>
      </c>
      <c r="E1441" s="5" t="s">
        <v>58</v>
      </c>
      <c r="F1441" s="6">
        <v>42736</v>
      </c>
      <c r="G1441">
        <v>0</v>
      </c>
    </row>
    <row r="1442" spans="1:7" x14ac:dyDescent="0.25">
      <c r="A1442" s="5" t="s">
        <v>103</v>
      </c>
      <c r="B1442" s="5" t="s">
        <v>107</v>
      </c>
      <c r="C1442" s="5">
        <v>1440</v>
      </c>
      <c r="D1442" s="5" t="s">
        <v>45</v>
      </c>
      <c r="E1442" s="5" t="s">
        <v>59</v>
      </c>
      <c r="F1442" s="6">
        <v>42370</v>
      </c>
      <c r="G1442">
        <v>0</v>
      </c>
    </row>
    <row r="1443" spans="1:7" x14ac:dyDescent="0.25">
      <c r="A1443" s="5" t="s">
        <v>103</v>
      </c>
      <c r="B1443" s="5" t="s">
        <v>107</v>
      </c>
      <c r="C1443" s="5">
        <v>1440</v>
      </c>
      <c r="D1443" s="5" t="s">
        <v>45</v>
      </c>
      <c r="E1443" s="5" t="s">
        <v>59</v>
      </c>
      <c r="F1443" s="6">
        <v>42736</v>
      </c>
      <c r="G1443">
        <v>0</v>
      </c>
    </row>
    <row r="1444" spans="1:7" x14ac:dyDescent="0.25">
      <c r="A1444" s="5" t="s">
        <v>103</v>
      </c>
      <c r="B1444" s="5" t="s">
        <v>107</v>
      </c>
      <c r="C1444" s="5">
        <v>1440</v>
      </c>
      <c r="D1444" s="5" t="s">
        <v>45</v>
      </c>
      <c r="E1444" s="5" t="s">
        <v>60</v>
      </c>
      <c r="F1444" s="6">
        <v>42370</v>
      </c>
      <c r="G1444">
        <v>0</v>
      </c>
    </row>
    <row r="1445" spans="1:7" x14ac:dyDescent="0.25">
      <c r="A1445" s="5" t="s">
        <v>103</v>
      </c>
      <c r="B1445" s="5" t="s">
        <v>107</v>
      </c>
      <c r="C1445" s="5">
        <v>1440</v>
      </c>
      <c r="D1445" s="5" t="s">
        <v>45</v>
      </c>
      <c r="E1445" s="5" t="s">
        <v>60</v>
      </c>
      <c r="F1445" s="6">
        <v>42736</v>
      </c>
      <c r="G1445">
        <v>0</v>
      </c>
    </row>
    <row r="1446" spans="1:7" x14ac:dyDescent="0.25">
      <c r="A1446" s="5" t="s">
        <v>103</v>
      </c>
      <c r="B1446" s="5" t="s">
        <v>107</v>
      </c>
      <c r="C1446" s="5">
        <v>1440</v>
      </c>
      <c r="D1446" s="5" t="s">
        <v>45</v>
      </c>
      <c r="E1446" s="5" t="s">
        <v>61</v>
      </c>
      <c r="F1446" s="6">
        <v>42370</v>
      </c>
      <c r="G1446">
        <v>0</v>
      </c>
    </row>
    <row r="1447" spans="1:7" x14ac:dyDescent="0.25">
      <c r="A1447" s="5" t="s">
        <v>103</v>
      </c>
      <c r="B1447" s="5" t="s">
        <v>107</v>
      </c>
      <c r="C1447" s="5">
        <v>1440</v>
      </c>
      <c r="D1447" s="5" t="s">
        <v>45</v>
      </c>
      <c r="E1447" s="5" t="s">
        <v>61</v>
      </c>
      <c r="F1447" s="6">
        <v>42736</v>
      </c>
      <c r="G1447">
        <v>1</v>
      </c>
    </row>
    <row r="1448" spans="1:7" x14ac:dyDescent="0.25">
      <c r="A1448" s="5" t="s">
        <v>103</v>
      </c>
      <c r="B1448" s="5" t="s">
        <v>107</v>
      </c>
      <c r="C1448" s="5">
        <v>1440</v>
      </c>
      <c r="D1448" s="5" t="s">
        <v>62</v>
      </c>
      <c r="E1448" s="5" t="s">
        <v>63</v>
      </c>
      <c r="F1448" s="6">
        <v>42370</v>
      </c>
      <c r="G1448">
        <v>0</v>
      </c>
    </row>
    <row r="1449" spans="1:7" x14ac:dyDescent="0.25">
      <c r="A1449" s="5" t="s">
        <v>103</v>
      </c>
      <c r="B1449" s="5" t="s">
        <v>107</v>
      </c>
      <c r="C1449" s="5">
        <v>1440</v>
      </c>
      <c r="D1449" s="5" t="s">
        <v>62</v>
      </c>
      <c r="E1449" s="5" t="s">
        <v>63</v>
      </c>
      <c r="F1449" s="6">
        <v>42736</v>
      </c>
      <c r="G1449">
        <v>0</v>
      </c>
    </row>
    <row r="1450" spans="1:7" x14ac:dyDescent="0.25">
      <c r="A1450" s="5" t="s">
        <v>103</v>
      </c>
      <c r="B1450" s="5" t="s">
        <v>107</v>
      </c>
      <c r="C1450" s="5">
        <v>1440</v>
      </c>
      <c r="D1450" s="5" t="s">
        <v>62</v>
      </c>
      <c r="E1450" s="5" t="s">
        <v>64</v>
      </c>
      <c r="F1450" s="6">
        <v>42370</v>
      </c>
      <c r="G1450">
        <v>0</v>
      </c>
    </row>
    <row r="1451" spans="1:7" x14ac:dyDescent="0.25">
      <c r="A1451" s="5" t="s">
        <v>103</v>
      </c>
      <c r="B1451" s="5" t="s">
        <v>107</v>
      </c>
      <c r="C1451" s="5">
        <v>1440</v>
      </c>
      <c r="D1451" s="5" t="s">
        <v>62</v>
      </c>
      <c r="E1451" s="5" t="s">
        <v>64</v>
      </c>
      <c r="F1451" s="6">
        <v>42736</v>
      </c>
      <c r="G1451">
        <v>0</v>
      </c>
    </row>
    <row r="1452" spans="1:7" x14ac:dyDescent="0.25">
      <c r="A1452" s="5" t="s">
        <v>103</v>
      </c>
      <c r="B1452" s="5" t="s">
        <v>107</v>
      </c>
      <c r="C1452" s="5">
        <v>1440</v>
      </c>
      <c r="D1452" s="5" t="s">
        <v>62</v>
      </c>
      <c r="E1452" s="5" t="s">
        <v>9</v>
      </c>
      <c r="F1452" s="6">
        <v>42370</v>
      </c>
      <c r="G1452">
        <v>0</v>
      </c>
    </row>
    <row r="1453" spans="1:7" x14ac:dyDescent="0.25">
      <c r="A1453" s="5" t="s">
        <v>103</v>
      </c>
      <c r="B1453" s="5" t="s">
        <v>107</v>
      </c>
      <c r="C1453" s="5">
        <v>1440</v>
      </c>
      <c r="D1453" s="5" t="s">
        <v>62</v>
      </c>
      <c r="E1453" s="5" t="s">
        <v>9</v>
      </c>
      <c r="F1453" s="6">
        <v>42736</v>
      </c>
      <c r="G1453">
        <v>0</v>
      </c>
    </row>
    <row r="1454" spans="1:7" x14ac:dyDescent="0.25">
      <c r="A1454" s="5" t="s">
        <v>103</v>
      </c>
      <c r="B1454" s="5" t="s">
        <v>107</v>
      </c>
      <c r="C1454" s="5">
        <v>1440</v>
      </c>
      <c r="D1454" s="5" t="s">
        <v>62</v>
      </c>
      <c r="E1454" s="5" t="s">
        <v>65</v>
      </c>
      <c r="F1454" s="6">
        <v>42370</v>
      </c>
      <c r="G1454">
        <v>0</v>
      </c>
    </row>
    <row r="1455" spans="1:7" x14ac:dyDescent="0.25">
      <c r="A1455" s="5" t="s">
        <v>103</v>
      </c>
      <c r="B1455" s="5" t="s">
        <v>107</v>
      </c>
      <c r="C1455" s="5">
        <v>1440</v>
      </c>
      <c r="D1455" s="5" t="s">
        <v>62</v>
      </c>
      <c r="E1455" s="5" t="s">
        <v>65</v>
      </c>
      <c r="F1455" s="6">
        <v>42736</v>
      </c>
      <c r="G1455">
        <v>0</v>
      </c>
    </row>
    <row r="1456" spans="1:7" x14ac:dyDescent="0.25">
      <c r="A1456" s="5" t="s">
        <v>103</v>
      </c>
      <c r="B1456" s="5" t="s">
        <v>107</v>
      </c>
      <c r="C1456" s="5">
        <v>1440</v>
      </c>
      <c r="D1456" s="5" t="s">
        <v>62</v>
      </c>
      <c r="E1456" s="5" t="s">
        <v>66</v>
      </c>
      <c r="F1456" s="6">
        <v>42370</v>
      </c>
      <c r="G1456">
        <v>0</v>
      </c>
    </row>
    <row r="1457" spans="1:7" x14ac:dyDescent="0.25">
      <c r="A1457" s="5" t="s">
        <v>103</v>
      </c>
      <c r="B1457" s="5" t="s">
        <v>107</v>
      </c>
      <c r="C1457" s="5">
        <v>1440</v>
      </c>
      <c r="D1457" s="5" t="s">
        <v>62</v>
      </c>
      <c r="E1457" s="5" t="s">
        <v>66</v>
      </c>
      <c r="F1457" s="6">
        <v>42736</v>
      </c>
      <c r="G1457">
        <v>0</v>
      </c>
    </row>
    <row r="1458" spans="1:7" x14ac:dyDescent="0.25">
      <c r="A1458" s="5" t="s">
        <v>103</v>
      </c>
      <c r="B1458" s="5" t="s">
        <v>107</v>
      </c>
      <c r="C1458" s="5">
        <v>1440</v>
      </c>
      <c r="D1458" s="5" t="s">
        <v>62</v>
      </c>
      <c r="E1458" s="5" t="s">
        <v>67</v>
      </c>
      <c r="F1458" s="6">
        <v>42370</v>
      </c>
      <c r="G1458">
        <v>0</v>
      </c>
    </row>
    <row r="1459" spans="1:7" x14ac:dyDescent="0.25">
      <c r="A1459" s="5" t="s">
        <v>103</v>
      </c>
      <c r="B1459" s="5" t="s">
        <v>107</v>
      </c>
      <c r="C1459" s="5">
        <v>1440</v>
      </c>
      <c r="D1459" s="5" t="s">
        <v>62</v>
      </c>
      <c r="E1459" s="5" t="s">
        <v>67</v>
      </c>
      <c r="F1459" s="6">
        <v>42736</v>
      </c>
      <c r="G1459">
        <v>0</v>
      </c>
    </row>
    <row r="1460" spans="1:7" x14ac:dyDescent="0.25">
      <c r="A1460" s="5" t="s">
        <v>103</v>
      </c>
      <c r="B1460" s="5" t="s">
        <v>107</v>
      </c>
      <c r="C1460" s="5">
        <v>1440</v>
      </c>
      <c r="D1460" s="5" t="s">
        <v>62</v>
      </c>
      <c r="E1460" s="5" t="s">
        <v>68</v>
      </c>
      <c r="F1460" s="6">
        <v>42370</v>
      </c>
      <c r="G1460">
        <v>0</v>
      </c>
    </row>
    <row r="1461" spans="1:7" x14ac:dyDescent="0.25">
      <c r="A1461" s="5" t="s">
        <v>103</v>
      </c>
      <c r="B1461" s="5" t="s">
        <v>107</v>
      </c>
      <c r="C1461" s="5">
        <v>1440</v>
      </c>
      <c r="D1461" s="5" t="s">
        <v>62</v>
      </c>
      <c r="E1461" s="5" t="s">
        <v>68</v>
      </c>
      <c r="F1461" s="6">
        <v>42736</v>
      </c>
      <c r="G1461">
        <v>0</v>
      </c>
    </row>
    <row r="1462" spans="1:7" x14ac:dyDescent="0.25">
      <c r="A1462" s="5" t="s">
        <v>103</v>
      </c>
      <c r="B1462" s="5" t="s">
        <v>107</v>
      </c>
      <c r="C1462" s="5">
        <v>1440</v>
      </c>
      <c r="D1462" s="5" t="s">
        <v>62</v>
      </c>
      <c r="E1462" s="5" t="s">
        <v>69</v>
      </c>
      <c r="F1462" s="6">
        <v>42370</v>
      </c>
      <c r="G1462">
        <v>0</v>
      </c>
    </row>
    <row r="1463" spans="1:7" x14ac:dyDescent="0.25">
      <c r="A1463" s="5" t="s">
        <v>103</v>
      </c>
      <c r="B1463" s="5" t="s">
        <v>107</v>
      </c>
      <c r="C1463" s="5">
        <v>1440</v>
      </c>
      <c r="D1463" s="5" t="s">
        <v>62</v>
      </c>
      <c r="E1463" s="5" t="s">
        <v>69</v>
      </c>
      <c r="F1463" s="6">
        <v>42736</v>
      </c>
      <c r="G1463">
        <v>0</v>
      </c>
    </row>
    <row r="1464" spans="1:7" x14ac:dyDescent="0.25">
      <c r="A1464" s="5" t="s">
        <v>103</v>
      </c>
      <c r="B1464" s="5" t="s">
        <v>107</v>
      </c>
      <c r="C1464" s="5">
        <v>1440</v>
      </c>
      <c r="D1464" s="5" t="s">
        <v>62</v>
      </c>
      <c r="E1464" s="5" t="s">
        <v>70</v>
      </c>
      <c r="F1464" s="6">
        <v>42370</v>
      </c>
      <c r="G1464">
        <v>0</v>
      </c>
    </row>
    <row r="1465" spans="1:7" x14ac:dyDescent="0.25">
      <c r="A1465" s="5" t="s">
        <v>103</v>
      </c>
      <c r="B1465" s="5" t="s">
        <v>107</v>
      </c>
      <c r="C1465" s="5">
        <v>1440</v>
      </c>
      <c r="D1465" s="5" t="s">
        <v>62</v>
      </c>
      <c r="E1465" s="5" t="s">
        <v>70</v>
      </c>
      <c r="F1465" s="6">
        <v>42736</v>
      </c>
      <c r="G1465">
        <v>0</v>
      </c>
    </row>
    <row r="1466" spans="1:7" x14ac:dyDescent="0.25">
      <c r="A1466" s="5" t="s">
        <v>103</v>
      </c>
      <c r="B1466" s="5" t="s">
        <v>107</v>
      </c>
      <c r="C1466" s="5">
        <v>1440</v>
      </c>
      <c r="D1466" s="5" t="s">
        <v>62</v>
      </c>
      <c r="E1466" s="5" t="s">
        <v>71</v>
      </c>
      <c r="F1466" s="6">
        <v>42370</v>
      </c>
      <c r="G1466">
        <v>0</v>
      </c>
    </row>
    <row r="1467" spans="1:7" x14ac:dyDescent="0.25">
      <c r="A1467" s="5" t="s">
        <v>103</v>
      </c>
      <c r="B1467" s="5" t="s">
        <v>107</v>
      </c>
      <c r="C1467" s="5">
        <v>1440</v>
      </c>
      <c r="D1467" s="5" t="s">
        <v>62</v>
      </c>
      <c r="E1467" s="5" t="s">
        <v>71</v>
      </c>
      <c r="F1467" s="6">
        <v>42736</v>
      </c>
      <c r="G1467">
        <v>0</v>
      </c>
    </row>
    <row r="1468" spans="1:7" x14ac:dyDescent="0.25">
      <c r="A1468" s="5" t="s">
        <v>103</v>
      </c>
      <c r="B1468" s="5" t="s">
        <v>107</v>
      </c>
      <c r="C1468" s="5">
        <v>1440</v>
      </c>
      <c r="D1468" s="5" t="s">
        <v>72</v>
      </c>
      <c r="E1468" s="5" t="s">
        <v>73</v>
      </c>
      <c r="F1468" s="6">
        <v>42370</v>
      </c>
      <c r="G1468">
        <v>0</v>
      </c>
    </row>
    <row r="1469" spans="1:7" x14ac:dyDescent="0.25">
      <c r="A1469" s="5" t="s">
        <v>103</v>
      </c>
      <c r="B1469" s="5" t="s">
        <v>107</v>
      </c>
      <c r="C1469" s="5">
        <v>1440</v>
      </c>
      <c r="D1469" s="5" t="s">
        <v>72</v>
      </c>
      <c r="E1469" s="5" t="s">
        <v>73</v>
      </c>
      <c r="F1469" s="6">
        <v>42736</v>
      </c>
      <c r="G1469">
        <v>0</v>
      </c>
    </row>
    <row r="1470" spans="1:7" x14ac:dyDescent="0.25">
      <c r="A1470" s="5" t="s">
        <v>103</v>
      </c>
      <c r="B1470" s="5" t="s">
        <v>107</v>
      </c>
      <c r="C1470" s="5">
        <v>1440</v>
      </c>
      <c r="D1470" s="5" t="s">
        <v>72</v>
      </c>
      <c r="E1470" s="5" t="s">
        <v>9</v>
      </c>
      <c r="F1470" s="6">
        <v>42370</v>
      </c>
      <c r="G1470">
        <v>0</v>
      </c>
    </row>
    <row r="1471" spans="1:7" x14ac:dyDescent="0.25">
      <c r="A1471" s="5" t="s">
        <v>103</v>
      </c>
      <c r="B1471" s="5" t="s">
        <v>107</v>
      </c>
      <c r="C1471" s="5">
        <v>1440</v>
      </c>
      <c r="D1471" s="5" t="s">
        <v>72</v>
      </c>
      <c r="E1471" s="5" t="s">
        <v>9</v>
      </c>
      <c r="F1471" s="6">
        <v>42736</v>
      </c>
      <c r="G1471">
        <v>0</v>
      </c>
    </row>
    <row r="1472" spans="1:7" x14ac:dyDescent="0.25">
      <c r="A1472" s="5" t="s">
        <v>103</v>
      </c>
      <c r="B1472" s="5" t="s">
        <v>107</v>
      </c>
      <c r="C1472" s="5">
        <v>1440</v>
      </c>
      <c r="D1472" s="5" t="s">
        <v>72</v>
      </c>
      <c r="E1472" s="5" t="s">
        <v>34</v>
      </c>
      <c r="F1472" s="6">
        <v>42370</v>
      </c>
      <c r="G1472">
        <v>0</v>
      </c>
    </row>
    <row r="1473" spans="1:7" x14ac:dyDescent="0.25">
      <c r="A1473" s="5" t="s">
        <v>103</v>
      </c>
      <c r="B1473" s="5" t="s">
        <v>107</v>
      </c>
      <c r="C1473" s="5">
        <v>1440</v>
      </c>
      <c r="D1473" s="5" t="s">
        <v>72</v>
      </c>
      <c r="E1473" s="5" t="s">
        <v>34</v>
      </c>
      <c r="F1473" s="6">
        <v>42736</v>
      </c>
      <c r="G1473">
        <v>0</v>
      </c>
    </row>
    <row r="1474" spans="1:7" x14ac:dyDescent="0.25">
      <c r="A1474" s="5" t="s">
        <v>103</v>
      </c>
      <c r="B1474" s="5" t="s">
        <v>107</v>
      </c>
      <c r="C1474" s="5">
        <v>1440</v>
      </c>
      <c r="D1474" s="5" t="s">
        <v>72</v>
      </c>
      <c r="E1474" s="5" t="s">
        <v>74</v>
      </c>
      <c r="F1474" s="6">
        <v>42370</v>
      </c>
      <c r="G1474">
        <v>0</v>
      </c>
    </row>
    <row r="1475" spans="1:7" x14ac:dyDescent="0.25">
      <c r="A1475" s="5" t="s">
        <v>103</v>
      </c>
      <c r="B1475" s="5" t="s">
        <v>107</v>
      </c>
      <c r="C1475" s="5">
        <v>1440</v>
      </c>
      <c r="D1475" s="5" t="s">
        <v>72</v>
      </c>
      <c r="E1475" s="5" t="s">
        <v>74</v>
      </c>
      <c r="F1475" s="6">
        <v>42736</v>
      </c>
      <c r="G1475">
        <v>0</v>
      </c>
    </row>
    <row r="1476" spans="1:7" x14ac:dyDescent="0.25">
      <c r="A1476" s="5" t="s">
        <v>103</v>
      </c>
      <c r="B1476" s="5" t="s">
        <v>107</v>
      </c>
      <c r="C1476" s="5">
        <v>1440</v>
      </c>
      <c r="D1476" s="5" t="s">
        <v>72</v>
      </c>
      <c r="E1476" s="5" t="s">
        <v>75</v>
      </c>
      <c r="F1476" s="6">
        <v>42370</v>
      </c>
      <c r="G1476">
        <v>0</v>
      </c>
    </row>
    <row r="1477" spans="1:7" x14ac:dyDescent="0.25">
      <c r="A1477" s="5" t="s">
        <v>103</v>
      </c>
      <c r="B1477" s="5" t="s">
        <v>107</v>
      </c>
      <c r="C1477" s="5">
        <v>1440</v>
      </c>
      <c r="D1477" s="5" t="s">
        <v>72</v>
      </c>
      <c r="E1477" s="5" t="s">
        <v>75</v>
      </c>
      <c r="F1477" s="6">
        <v>42736</v>
      </c>
      <c r="G1477">
        <v>0</v>
      </c>
    </row>
    <row r="1478" spans="1:7" x14ac:dyDescent="0.25">
      <c r="A1478" s="5" t="s">
        <v>103</v>
      </c>
      <c r="B1478" s="5" t="s">
        <v>107</v>
      </c>
      <c r="C1478" s="5">
        <v>1440</v>
      </c>
      <c r="D1478" s="5" t="s">
        <v>76</v>
      </c>
      <c r="E1478" s="5" t="s">
        <v>9</v>
      </c>
      <c r="F1478" s="6">
        <v>42370</v>
      </c>
      <c r="G1478">
        <v>0</v>
      </c>
    </row>
    <row r="1479" spans="1:7" x14ac:dyDescent="0.25">
      <c r="A1479" s="5" t="s">
        <v>103</v>
      </c>
      <c r="B1479" s="5" t="s">
        <v>107</v>
      </c>
      <c r="C1479" s="5">
        <v>1440</v>
      </c>
      <c r="D1479" s="5" t="s">
        <v>76</v>
      </c>
      <c r="E1479" s="5" t="s">
        <v>9</v>
      </c>
      <c r="F1479" s="6">
        <v>42736</v>
      </c>
      <c r="G1479">
        <v>0</v>
      </c>
    </row>
    <row r="1480" spans="1:7" x14ac:dyDescent="0.25">
      <c r="A1480" s="5" t="s">
        <v>103</v>
      </c>
      <c r="B1480" s="5" t="s">
        <v>107</v>
      </c>
      <c r="C1480" s="5">
        <v>1440</v>
      </c>
      <c r="D1480" s="5" t="s">
        <v>76</v>
      </c>
      <c r="E1480" s="5" t="s">
        <v>77</v>
      </c>
      <c r="F1480" s="6">
        <v>42370</v>
      </c>
      <c r="G1480">
        <v>0</v>
      </c>
    </row>
    <row r="1481" spans="1:7" x14ac:dyDescent="0.25">
      <c r="A1481" s="5" t="s">
        <v>103</v>
      </c>
      <c r="B1481" s="5" t="s">
        <v>107</v>
      </c>
      <c r="C1481" s="5">
        <v>1440</v>
      </c>
      <c r="D1481" s="5" t="s">
        <v>76</v>
      </c>
      <c r="E1481" s="5" t="s">
        <v>77</v>
      </c>
      <c r="F1481" s="6">
        <v>42736</v>
      </c>
      <c r="G1481">
        <v>0</v>
      </c>
    </row>
    <row r="1482" spans="1:7" x14ac:dyDescent="0.25">
      <c r="A1482" s="5" t="s">
        <v>103</v>
      </c>
      <c r="B1482" s="5" t="s">
        <v>107</v>
      </c>
      <c r="C1482" s="5">
        <v>1440</v>
      </c>
      <c r="D1482" s="5" t="s">
        <v>78</v>
      </c>
      <c r="E1482" s="5" t="s">
        <v>79</v>
      </c>
      <c r="F1482" s="6">
        <v>42370</v>
      </c>
      <c r="G1482">
        <v>0</v>
      </c>
    </row>
    <row r="1483" spans="1:7" x14ac:dyDescent="0.25">
      <c r="A1483" s="5" t="s">
        <v>103</v>
      </c>
      <c r="B1483" s="5" t="s">
        <v>107</v>
      </c>
      <c r="C1483" s="5">
        <v>1440</v>
      </c>
      <c r="D1483" s="5" t="s">
        <v>78</v>
      </c>
      <c r="E1483" s="5" t="s">
        <v>79</v>
      </c>
      <c r="F1483" s="6">
        <v>42736</v>
      </c>
      <c r="G1483">
        <v>0</v>
      </c>
    </row>
    <row r="1484" spans="1:7" x14ac:dyDescent="0.25">
      <c r="A1484" s="5" t="s">
        <v>103</v>
      </c>
      <c r="B1484" s="5" t="s">
        <v>107</v>
      </c>
      <c r="C1484" s="5">
        <v>1440</v>
      </c>
      <c r="D1484" s="5" t="s">
        <v>78</v>
      </c>
      <c r="E1484" s="5" t="s">
        <v>80</v>
      </c>
      <c r="F1484" s="6">
        <v>42370</v>
      </c>
      <c r="G1484">
        <v>0</v>
      </c>
    </row>
    <row r="1485" spans="1:7" x14ac:dyDescent="0.25">
      <c r="A1485" s="5" t="s">
        <v>103</v>
      </c>
      <c r="B1485" s="5" t="s">
        <v>107</v>
      </c>
      <c r="C1485" s="5">
        <v>1440</v>
      </c>
      <c r="D1485" s="5" t="s">
        <v>78</v>
      </c>
      <c r="E1485" s="5" t="s">
        <v>80</v>
      </c>
      <c r="F1485" s="6">
        <v>42736</v>
      </c>
      <c r="G1485">
        <v>0</v>
      </c>
    </row>
    <row r="1486" spans="1:7" x14ac:dyDescent="0.25">
      <c r="A1486" s="5" t="s">
        <v>103</v>
      </c>
      <c r="B1486" s="5" t="s">
        <v>107</v>
      </c>
      <c r="C1486" s="5">
        <v>1440</v>
      </c>
      <c r="D1486" s="5" t="s">
        <v>78</v>
      </c>
      <c r="E1486" s="5" t="s">
        <v>81</v>
      </c>
      <c r="F1486" s="6">
        <v>42370</v>
      </c>
      <c r="G1486">
        <v>368</v>
      </c>
    </row>
    <row r="1487" spans="1:7" x14ac:dyDescent="0.25">
      <c r="A1487" s="5" t="s">
        <v>103</v>
      </c>
      <c r="B1487" s="5" t="s">
        <v>107</v>
      </c>
      <c r="C1487" s="5">
        <v>1440</v>
      </c>
      <c r="D1487" s="5" t="s">
        <v>78</v>
      </c>
      <c r="E1487" s="5" t="s">
        <v>81</v>
      </c>
      <c r="F1487" s="6">
        <v>42736</v>
      </c>
      <c r="G1487">
        <v>540</v>
      </c>
    </row>
    <row r="1488" spans="1:7" x14ac:dyDescent="0.25">
      <c r="A1488" s="5" t="s">
        <v>103</v>
      </c>
      <c r="B1488" s="5" t="s">
        <v>107</v>
      </c>
      <c r="C1488" s="5">
        <v>1440</v>
      </c>
      <c r="D1488" s="5" t="s">
        <v>78</v>
      </c>
      <c r="E1488" s="5" t="s">
        <v>82</v>
      </c>
      <c r="F1488" s="6">
        <v>42370</v>
      </c>
      <c r="G1488">
        <v>0</v>
      </c>
    </row>
    <row r="1489" spans="1:7" x14ac:dyDescent="0.25">
      <c r="A1489" s="5" t="s">
        <v>103</v>
      </c>
      <c r="B1489" s="5" t="s">
        <v>107</v>
      </c>
      <c r="C1489" s="5">
        <v>1440</v>
      </c>
      <c r="D1489" s="5" t="s">
        <v>78</v>
      </c>
      <c r="E1489" s="5" t="s">
        <v>82</v>
      </c>
      <c r="F1489" s="6">
        <v>42736</v>
      </c>
      <c r="G1489">
        <v>0</v>
      </c>
    </row>
    <row r="1490" spans="1:7" x14ac:dyDescent="0.25">
      <c r="A1490" s="5" t="s">
        <v>103</v>
      </c>
      <c r="B1490" s="5" t="s">
        <v>107</v>
      </c>
      <c r="C1490" s="5">
        <v>1440</v>
      </c>
      <c r="D1490" s="5" t="s">
        <v>78</v>
      </c>
      <c r="E1490" s="5" t="s">
        <v>83</v>
      </c>
      <c r="F1490" s="6">
        <v>42370</v>
      </c>
      <c r="G1490">
        <v>0</v>
      </c>
    </row>
    <row r="1491" spans="1:7" x14ac:dyDescent="0.25">
      <c r="A1491" s="5" t="s">
        <v>103</v>
      </c>
      <c r="B1491" s="5" t="s">
        <v>107</v>
      </c>
      <c r="C1491" s="5">
        <v>1440</v>
      </c>
      <c r="D1491" s="5" t="s">
        <v>78</v>
      </c>
      <c r="E1491" s="5" t="s">
        <v>83</v>
      </c>
      <c r="F1491" s="6">
        <v>42736</v>
      </c>
      <c r="G1491">
        <v>0</v>
      </c>
    </row>
    <row r="1492" spans="1:7" x14ac:dyDescent="0.25">
      <c r="A1492" s="5" t="s">
        <v>103</v>
      </c>
      <c r="B1492" s="5" t="s">
        <v>107</v>
      </c>
      <c r="C1492" s="5">
        <v>1440</v>
      </c>
      <c r="D1492" s="5" t="s">
        <v>78</v>
      </c>
      <c r="E1492" s="5" t="s">
        <v>84</v>
      </c>
      <c r="F1492" s="6">
        <v>42370</v>
      </c>
      <c r="G1492">
        <v>0</v>
      </c>
    </row>
    <row r="1493" spans="1:7" x14ac:dyDescent="0.25">
      <c r="A1493" s="5" t="s">
        <v>103</v>
      </c>
      <c r="B1493" s="5" t="s">
        <v>107</v>
      </c>
      <c r="C1493" s="5">
        <v>1440</v>
      </c>
      <c r="D1493" s="5" t="s">
        <v>78</v>
      </c>
      <c r="E1493" s="5" t="s">
        <v>84</v>
      </c>
      <c r="F1493" s="6">
        <v>42736</v>
      </c>
      <c r="G1493">
        <v>0</v>
      </c>
    </row>
    <row r="1494" spans="1:7" x14ac:dyDescent="0.25">
      <c r="A1494" s="5" t="s">
        <v>103</v>
      </c>
      <c r="B1494" s="5" t="s">
        <v>107</v>
      </c>
      <c r="C1494" s="5">
        <v>1440</v>
      </c>
      <c r="D1494" s="5" t="s">
        <v>78</v>
      </c>
      <c r="E1494" s="5" t="s">
        <v>85</v>
      </c>
      <c r="F1494" s="6">
        <v>42370</v>
      </c>
      <c r="G1494">
        <v>0</v>
      </c>
    </row>
    <row r="1495" spans="1:7" x14ac:dyDescent="0.25">
      <c r="A1495" s="5" t="s">
        <v>103</v>
      </c>
      <c r="B1495" s="5" t="s">
        <v>107</v>
      </c>
      <c r="C1495" s="5">
        <v>1440</v>
      </c>
      <c r="D1495" s="5" t="s">
        <v>78</v>
      </c>
      <c r="E1495" s="5" t="s">
        <v>85</v>
      </c>
      <c r="F1495" s="6">
        <v>42736</v>
      </c>
      <c r="G1495">
        <v>0</v>
      </c>
    </row>
    <row r="1496" spans="1:7" x14ac:dyDescent="0.25">
      <c r="A1496" s="5" t="s">
        <v>103</v>
      </c>
      <c r="B1496" s="5" t="s">
        <v>107</v>
      </c>
      <c r="C1496" s="5">
        <v>1440</v>
      </c>
      <c r="D1496" s="5" t="s">
        <v>78</v>
      </c>
      <c r="E1496" s="5" t="s">
        <v>86</v>
      </c>
      <c r="F1496" s="6">
        <v>42370</v>
      </c>
      <c r="G1496">
        <v>0</v>
      </c>
    </row>
    <row r="1497" spans="1:7" x14ac:dyDescent="0.25">
      <c r="A1497" s="5" t="s">
        <v>103</v>
      </c>
      <c r="B1497" s="5" t="s">
        <v>107</v>
      </c>
      <c r="C1497" s="5">
        <v>1440</v>
      </c>
      <c r="D1497" s="5" t="s">
        <v>78</v>
      </c>
      <c r="E1497" s="5" t="s">
        <v>86</v>
      </c>
      <c r="F1497" s="6">
        <v>42736</v>
      </c>
      <c r="G1497">
        <v>0</v>
      </c>
    </row>
    <row r="1498" spans="1:7" x14ac:dyDescent="0.25">
      <c r="A1498" s="5" t="s">
        <v>103</v>
      </c>
      <c r="B1498" s="5" t="s">
        <v>107</v>
      </c>
      <c r="C1498" s="5">
        <v>1440</v>
      </c>
      <c r="D1498" s="5" t="s">
        <v>78</v>
      </c>
      <c r="E1498" s="5" t="s">
        <v>87</v>
      </c>
      <c r="F1498" s="6">
        <v>42370</v>
      </c>
      <c r="G1498">
        <v>0</v>
      </c>
    </row>
    <row r="1499" spans="1:7" x14ac:dyDescent="0.25">
      <c r="A1499" s="5" t="s">
        <v>103</v>
      </c>
      <c r="B1499" s="5" t="s">
        <v>107</v>
      </c>
      <c r="C1499" s="5">
        <v>1440</v>
      </c>
      <c r="D1499" s="5" t="s">
        <v>78</v>
      </c>
      <c r="E1499" s="5" t="s">
        <v>87</v>
      </c>
      <c r="F1499" s="6">
        <v>42736</v>
      </c>
      <c r="G1499">
        <v>0</v>
      </c>
    </row>
    <row r="1500" spans="1:7" x14ac:dyDescent="0.25">
      <c r="A1500" s="5" t="s">
        <v>103</v>
      </c>
      <c r="B1500" s="5" t="s">
        <v>107</v>
      </c>
      <c r="C1500" s="5">
        <v>1440</v>
      </c>
      <c r="D1500" s="5" t="s">
        <v>78</v>
      </c>
      <c r="E1500" s="5" t="s">
        <v>88</v>
      </c>
      <c r="F1500" s="6">
        <v>42370</v>
      </c>
      <c r="G1500">
        <v>60</v>
      </c>
    </row>
    <row r="1501" spans="1:7" x14ac:dyDescent="0.25">
      <c r="A1501" s="5" t="s">
        <v>103</v>
      </c>
      <c r="B1501" s="5" t="s">
        <v>107</v>
      </c>
      <c r="C1501" s="5">
        <v>1440</v>
      </c>
      <c r="D1501" s="5" t="s">
        <v>78</v>
      </c>
      <c r="E1501" s="5" t="s">
        <v>88</v>
      </c>
      <c r="F1501" s="6">
        <v>42736</v>
      </c>
      <c r="G1501">
        <v>97</v>
      </c>
    </row>
    <row r="1502" spans="1:7" x14ac:dyDescent="0.25">
      <c r="A1502" s="5" t="s">
        <v>103</v>
      </c>
      <c r="B1502" s="5" t="s">
        <v>107</v>
      </c>
      <c r="C1502" s="5">
        <v>1440</v>
      </c>
      <c r="D1502" s="5" t="s">
        <v>78</v>
      </c>
      <c r="E1502" s="5" t="s">
        <v>89</v>
      </c>
      <c r="F1502" s="6">
        <v>42370</v>
      </c>
      <c r="G1502">
        <v>835</v>
      </c>
    </row>
    <row r="1503" spans="1:7" x14ac:dyDescent="0.25">
      <c r="A1503" s="5" t="s">
        <v>103</v>
      </c>
      <c r="B1503" s="5" t="s">
        <v>107</v>
      </c>
      <c r="C1503" s="5">
        <v>1440</v>
      </c>
      <c r="D1503" s="5" t="s">
        <v>78</v>
      </c>
      <c r="E1503" s="5" t="s">
        <v>89</v>
      </c>
      <c r="F1503" s="6">
        <v>42736</v>
      </c>
      <c r="G1503">
        <v>1417</v>
      </c>
    </row>
    <row r="1504" spans="1:7" x14ac:dyDescent="0.25">
      <c r="A1504" s="5" t="s">
        <v>103</v>
      </c>
      <c r="B1504" s="5" t="s">
        <v>107</v>
      </c>
      <c r="C1504" s="5">
        <v>1440</v>
      </c>
      <c r="D1504" s="5" t="s">
        <v>78</v>
      </c>
      <c r="E1504" s="5" t="s">
        <v>90</v>
      </c>
      <c r="F1504" s="6">
        <v>42370</v>
      </c>
      <c r="G1504">
        <v>0</v>
      </c>
    </row>
    <row r="1505" spans="1:7" x14ac:dyDescent="0.25">
      <c r="A1505" s="5" t="s">
        <v>103</v>
      </c>
      <c r="B1505" s="5" t="s">
        <v>107</v>
      </c>
      <c r="C1505" s="5">
        <v>1440</v>
      </c>
      <c r="D1505" s="5" t="s">
        <v>78</v>
      </c>
      <c r="E1505" s="5" t="s">
        <v>90</v>
      </c>
      <c r="F1505" s="6">
        <v>42736</v>
      </c>
      <c r="G1505">
        <v>0</v>
      </c>
    </row>
    <row r="1506" spans="1:7" x14ac:dyDescent="0.25">
      <c r="A1506" s="5" t="s">
        <v>103</v>
      </c>
      <c r="B1506" s="5" t="s">
        <v>107</v>
      </c>
      <c r="C1506" s="5">
        <v>1440</v>
      </c>
      <c r="D1506" s="5" t="s">
        <v>78</v>
      </c>
      <c r="E1506" s="5" t="s">
        <v>91</v>
      </c>
      <c r="F1506" s="6">
        <v>42370</v>
      </c>
      <c r="G1506">
        <v>0</v>
      </c>
    </row>
    <row r="1507" spans="1:7" x14ac:dyDescent="0.25">
      <c r="A1507" s="5" t="s">
        <v>103</v>
      </c>
      <c r="B1507" s="5" t="s">
        <v>107</v>
      </c>
      <c r="C1507" s="5">
        <v>1440</v>
      </c>
      <c r="D1507" s="5" t="s">
        <v>78</v>
      </c>
      <c r="E1507" s="5" t="s">
        <v>91</v>
      </c>
      <c r="F1507" s="6">
        <v>42736</v>
      </c>
      <c r="G1507">
        <v>0</v>
      </c>
    </row>
    <row r="1508" spans="1:7" x14ac:dyDescent="0.25">
      <c r="A1508" s="5" t="s">
        <v>103</v>
      </c>
      <c r="B1508" s="5" t="s">
        <v>107</v>
      </c>
      <c r="C1508" s="5">
        <v>1440</v>
      </c>
      <c r="D1508" s="5" t="s">
        <v>78</v>
      </c>
      <c r="E1508" s="5" t="s">
        <v>92</v>
      </c>
      <c r="F1508" s="6">
        <v>42370</v>
      </c>
      <c r="G1508">
        <v>0</v>
      </c>
    </row>
    <row r="1509" spans="1:7" x14ac:dyDescent="0.25">
      <c r="A1509" s="5" t="s">
        <v>103</v>
      </c>
      <c r="B1509" s="5" t="s">
        <v>107</v>
      </c>
      <c r="C1509" s="5">
        <v>1440</v>
      </c>
      <c r="D1509" s="5" t="s">
        <v>78</v>
      </c>
      <c r="E1509" s="5" t="s">
        <v>92</v>
      </c>
      <c r="F1509" s="6">
        <v>42736</v>
      </c>
      <c r="G1509">
        <v>0</v>
      </c>
    </row>
    <row r="1510" spans="1:7" x14ac:dyDescent="0.25">
      <c r="A1510" s="5" t="s">
        <v>103</v>
      </c>
      <c r="B1510" s="5" t="s">
        <v>107</v>
      </c>
      <c r="C1510" s="5">
        <v>1440</v>
      </c>
      <c r="D1510" s="5" t="s">
        <v>78</v>
      </c>
      <c r="E1510" s="5" t="s">
        <v>93</v>
      </c>
      <c r="F1510" s="6">
        <v>42370</v>
      </c>
      <c r="G1510">
        <v>0</v>
      </c>
    </row>
    <row r="1511" spans="1:7" x14ac:dyDescent="0.25">
      <c r="A1511" s="5" t="s">
        <v>103</v>
      </c>
      <c r="B1511" s="5" t="s">
        <v>107</v>
      </c>
      <c r="C1511" s="5">
        <v>1440</v>
      </c>
      <c r="D1511" s="5" t="s">
        <v>78</v>
      </c>
      <c r="E1511" s="5" t="s">
        <v>93</v>
      </c>
      <c r="F1511" s="6">
        <v>42736</v>
      </c>
      <c r="G1511">
        <v>0</v>
      </c>
    </row>
    <row r="1512" spans="1:7" x14ac:dyDescent="0.25">
      <c r="A1512" s="5" t="s">
        <v>103</v>
      </c>
      <c r="B1512" s="5" t="s">
        <v>107</v>
      </c>
      <c r="C1512" s="5">
        <v>1440</v>
      </c>
      <c r="D1512" s="5" t="s">
        <v>78</v>
      </c>
      <c r="E1512" s="5" t="s">
        <v>94</v>
      </c>
      <c r="F1512" s="6">
        <v>42370</v>
      </c>
      <c r="G1512">
        <v>0</v>
      </c>
    </row>
    <row r="1513" spans="1:7" x14ac:dyDescent="0.25">
      <c r="A1513" s="5" t="s">
        <v>103</v>
      </c>
      <c r="B1513" s="5" t="s">
        <v>107</v>
      </c>
      <c r="C1513" s="5">
        <v>1440</v>
      </c>
      <c r="D1513" s="5" t="s">
        <v>78</v>
      </c>
      <c r="E1513" s="5" t="s">
        <v>94</v>
      </c>
      <c r="F1513" s="6">
        <v>42736</v>
      </c>
      <c r="G1513">
        <v>0</v>
      </c>
    </row>
    <row r="1514" spans="1:7" x14ac:dyDescent="0.25">
      <c r="A1514" s="5" t="s">
        <v>103</v>
      </c>
      <c r="B1514" s="5" t="s">
        <v>107</v>
      </c>
      <c r="C1514" s="5">
        <v>1440</v>
      </c>
      <c r="D1514" s="5" t="s">
        <v>78</v>
      </c>
      <c r="E1514" s="5" t="s">
        <v>95</v>
      </c>
      <c r="F1514" s="6">
        <v>42370</v>
      </c>
      <c r="G1514">
        <v>0</v>
      </c>
    </row>
    <row r="1515" spans="1:7" x14ac:dyDescent="0.25">
      <c r="A1515" s="5" t="s">
        <v>103</v>
      </c>
      <c r="B1515" s="5" t="s">
        <v>107</v>
      </c>
      <c r="C1515" s="5">
        <v>1440</v>
      </c>
      <c r="D1515" s="5" t="s">
        <v>78</v>
      </c>
      <c r="E1515" s="5" t="s">
        <v>95</v>
      </c>
      <c r="F1515" s="6">
        <v>42736</v>
      </c>
      <c r="G1515">
        <v>0</v>
      </c>
    </row>
    <row r="1516" spans="1:7" x14ac:dyDescent="0.25">
      <c r="A1516" s="5" t="s">
        <v>103</v>
      </c>
      <c r="B1516" s="5" t="s">
        <v>107</v>
      </c>
      <c r="C1516" s="5">
        <v>1440</v>
      </c>
      <c r="D1516" s="5" t="s">
        <v>78</v>
      </c>
      <c r="E1516" s="5" t="s">
        <v>96</v>
      </c>
      <c r="F1516" s="6">
        <v>42370</v>
      </c>
      <c r="G1516">
        <v>0</v>
      </c>
    </row>
    <row r="1517" spans="1:7" x14ac:dyDescent="0.25">
      <c r="A1517" s="5" t="s">
        <v>103</v>
      </c>
      <c r="B1517" s="5" t="s">
        <v>107</v>
      </c>
      <c r="C1517" s="5">
        <v>1440</v>
      </c>
      <c r="D1517" s="5" t="s">
        <v>78</v>
      </c>
      <c r="E1517" s="5" t="s">
        <v>96</v>
      </c>
      <c r="F1517" s="6">
        <v>42736</v>
      </c>
      <c r="G1517">
        <v>0</v>
      </c>
    </row>
    <row r="1518" spans="1:7" x14ac:dyDescent="0.25">
      <c r="A1518" s="5" t="s">
        <v>103</v>
      </c>
      <c r="B1518" s="5" t="s">
        <v>107</v>
      </c>
      <c r="C1518" s="5">
        <v>1440</v>
      </c>
      <c r="D1518" s="5" t="s">
        <v>78</v>
      </c>
      <c r="E1518" s="5" t="s">
        <v>97</v>
      </c>
      <c r="F1518" s="6">
        <v>42370</v>
      </c>
      <c r="G1518">
        <v>0</v>
      </c>
    </row>
    <row r="1519" spans="1:7" x14ac:dyDescent="0.25">
      <c r="A1519" s="5" t="s">
        <v>103</v>
      </c>
      <c r="B1519" s="5" t="s">
        <v>107</v>
      </c>
      <c r="C1519" s="5">
        <v>1440</v>
      </c>
      <c r="D1519" s="5" t="s">
        <v>78</v>
      </c>
      <c r="E1519" s="5" t="s">
        <v>97</v>
      </c>
      <c r="F1519" s="6">
        <v>42736</v>
      </c>
      <c r="G1519">
        <v>0</v>
      </c>
    </row>
    <row r="1520" spans="1:7" x14ac:dyDescent="0.25">
      <c r="A1520" s="5" t="s">
        <v>103</v>
      </c>
      <c r="B1520" s="5" t="s">
        <v>107</v>
      </c>
      <c r="C1520" s="5">
        <v>1440</v>
      </c>
      <c r="D1520" s="5" t="s">
        <v>78</v>
      </c>
      <c r="E1520" s="5" t="s">
        <v>98</v>
      </c>
      <c r="F1520" s="6">
        <v>42370</v>
      </c>
      <c r="G1520">
        <v>0</v>
      </c>
    </row>
    <row r="1521" spans="1:7" x14ac:dyDescent="0.25">
      <c r="A1521" s="5" t="s">
        <v>103</v>
      </c>
      <c r="B1521" s="5" t="s">
        <v>107</v>
      </c>
      <c r="C1521" s="5">
        <v>1440</v>
      </c>
      <c r="D1521" s="5" t="s">
        <v>78</v>
      </c>
      <c r="E1521" s="5" t="s">
        <v>98</v>
      </c>
      <c r="F1521" s="6">
        <v>42736</v>
      </c>
      <c r="G1521">
        <v>0</v>
      </c>
    </row>
    <row r="1522" spans="1:7" x14ac:dyDescent="0.25">
      <c r="A1522" s="5" t="s">
        <v>108</v>
      </c>
      <c r="B1522" s="5" t="s">
        <v>109</v>
      </c>
      <c r="C1522" s="5">
        <v>2330</v>
      </c>
      <c r="D1522" s="5" t="s">
        <v>8</v>
      </c>
      <c r="E1522" s="5" t="s">
        <v>9</v>
      </c>
      <c r="F1522" s="6">
        <v>42370</v>
      </c>
      <c r="G1522">
        <v>0</v>
      </c>
    </row>
    <row r="1523" spans="1:7" x14ac:dyDescent="0.25">
      <c r="A1523" s="5" t="s">
        <v>108</v>
      </c>
      <c r="B1523" s="5" t="s">
        <v>109</v>
      </c>
      <c r="C1523" s="5">
        <v>2330</v>
      </c>
      <c r="D1523" s="5" t="s">
        <v>8</v>
      </c>
      <c r="E1523" s="5" t="s">
        <v>9</v>
      </c>
      <c r="F1523" s="6">
        <v>42736</v>
      </c>
      <c r="G1523">
        <v>0</v>
      </c>
    </row>
    <row r="1524" spans="1:7" x14ac:dyDescent="0.25">
      <c r="A1524" s="5" t="s">
        <v>108</v>
      </c>
      <c r="B1524" s="5" t="s">
        <v>109</v>
      </c>
      <c r="C1524" s="5">
        <v>2330</v>
      </c>
      <c r="D1524" s="5" t="s">
        <v>8</v>
      </c>
      <c r="E1524" s="5" t="s">
        <v>10</v>
      </c>
      <c r="F1524" s="6">
        <v>42370</v>
      </c>
      <c r="G1524">
        <v>0</v>
      </c>
    </row>
    <row r="1525" spans="1:7" x14ac:dyDescent="0.25">
      <c r="A1525" s="5" t="s">
        <v>108</v>
      </c>
      <c r="B1525" s="5" t="s">
        <v>109</v>
      </c>
      <c r="C1525" s="5">
        <v>2330</v>
      </c>
      <c r="D1525" s="5" t="s">
        <v>8</v>
      </c>
      <c r="E1525" s="5" t="s">
        <v>10</v>
      </c>
      <c r="F1525" s="6">
        <v>42736</v>
      </c>
      <c r="G1525">
        <v>0</v>
      </c>
    </row>
    <row r="1526" spans="1:7" x14ac:dyDescent="0.25">
      <c r="A1526" s="5" t="s">
        <v>108</v>
      </c>
      <c r="B1526" s="5" t="s">
        <v>109</v>
      </c>
      <c r="C1526" s="5">
        <v>2330</v>
      </c>
      <c r="D1526" s="5" t="s">
        <v>8</v>
      </c>
      <c r="E1526" s="5" t="s">
        <v>11</v>
      </c>
      <c r="F1526" s="6">
        <v>42370</v>
      </c>
      <c r="G1526">
        <v>0</v>
      </c>
    </row>
    <row r="1527" spans="1:7" x14ac:dyDescent="0.25">
      <c r="A1527" s="5" t="s">
        <v>108</v>
      </c>
      <c r="B1527" s="5" t="s">
        <v>109</v>
      </c>
      <c r="C1527" s="5">
        <v>2330</v>
      </c>
      <c r="D1527" s="5" t="s">
        <v>8</v>
      </c>
      <c r="E1527" s="5" t="s">
        <v>11</v>
      </c>
      <c r="F1527" s="6">
        <v>42736</v>
      </c>
      <c r="G1527">
        <v>0</v>
      </c>
    </row>
    <row r="1528" spans="1:7" x14ac:dyDescent="0.25">
      <c r="A1528" s="5" t="s">
        <v>108</v>
      </c>
      <c r="B1528" s="5" t="s">
        <v>109</v>
      </c>
      <c r="C1528" s="5">
        <v>2330</v>
      </c>
      <c r="D1528" s="5" t="s">
        <v>8</v>
      </c>
      <c r="E1528" s="5" t="s">
        <v>12</v>
      </c>
      <c r="F1528" s="6">
        <v>42370</v>
      </c>
      <c r="G1528">
        <v>0</v>
      </c>
    </row>
    <row r="1529" spans="1:7" x14ac:dyDescent="0.25">
      <c r="A1529" s="5" t="s">
        <v>108</v>
      </c>
      <c r="B1529" s="5" t="s">
        <v>109</v>
      </c>
      <c r="C1529" s="5">
        <v>2330</v>
      </c>
      <c r="D1529" s="5" t="s">
        <v>8</v>
      </c>
      <c r="E1529" s="5" t="s">
        <v>12</v>
      </c>
      <c r="F1529" s="6">
        <v>42736</v>
      </c>
      <c r="G1529">
        <v>0</v>
      </c>
    </row>
    <row r="1530" spans="1:7" x14ac:dyDescent="0.25">
      <c r="A1530" s="5" t="s">
        <v>108</v>
      </c>
      <c r="B1530" s="5" t="s">
        <v>109</v>
      </c>
      <c r="C1530" s="5">
        <v>2330</v>
      </c>
      <c r="D1530" s="5" t="s">
        <v>8</v>
      </c>
      <c r="E1530" s="5" t="s">
        <v>13</v>
      </c>
      <c r="F1530" s="6">
        <v>42370</v>
      </c>
      <c r="G1530">
        <v>0</v>
      </c>
    </row>
    <row r="1531" spans="1:7" x14ac:dyDescent="0.25">
      <c r="A1531" s="5" t="s">
        <v>108</v>
      </c>
      <c r="B1531" s="5" t="s">
        <v>109</v>
      </c>
      <c r="C1531" s="5">
        <v>2330</v>
      </c>
      <c r="D1531" s="5" t="s">
        <v>8</v>
      </c>
      <c r="E1531" s="5" t="s">
        <v>13</v>
      </c>
      <c r="F1531" s="6">
        <v>42736</v>
      </c>
      <c r="G1531">
        <v>0</v>
      </c>
    </row>
    <row r="1532" spans="1:7" x14ac:dyDescent="0.25">
      <c r="A1532" s="5" t="s">
        <v>108</v>
      </c>
      <c r="B1532" s="5" t="s">
        <v>109</v>
      </c>
      <c r="C1532" s="5">
        <v>2330</v>
      </c>
      <c r="D1532" s="5" t="s">
        <v>8</v>
      </c>
      <c r="E1532" s="5" t="s">
        <v>14</v>
      </c>
      <c r="F1532" s="6">
        <v>42370</v>
      </c>
      <c r="G1532">
        <v>0</v>
      </c>
    </row>
    <row r="1533" spans="1:7" x14ac:dyDescent="0.25">
      <c r="A1533" s="5" t="s">
        <v>108</v>
      </c>
      <c r="B1533" s="5" t="s">
        <v>109</v>
      </c>
      <c r="C1533" s="5">
        <v>2330</v>
      </c>
      <c r="D1533" s="5" t="s">
        <v>8</v>
      </c>
      <c r="E1533" s="5" t="s">
        <v>14</v>
      </c>
      <c r="F1533" s="6">
        <v>42736</v>
      </c>
      <c r="G1533">
        <v>0</v>
      </c>
    </row>
    <row r="1534" spans="1:7" x14ac:dyDescent="0.25">
      <c r="A1534" s="5" t="s">
        <v>108</v>
      </c>
      <c r="B1534" s="5" t="s">
        <v>109</v>
      </c>
      <c r="C1534" s="5">
        <v>2330</v>
      </c>
      <c r="D1534" s="5" t="s">
        <v>8</v>
      </c>
      <c r="E1534" s="5" t="s">
        <v>15</v>
      </c>
      <c r="F1534" s="6">
        <v>42370</v>
      </c>
      <c r="G1534">
        <v>0</v>
      </c>
    </row>
    <row r="1535" spans="1:7" x14ac:dyDescent="0.25">
      <c r="A1535" s="5" t="s">
        <v>108</v>
      </c>
      <c r="B1535" s="5" t="s">
        <v>109</v>
      </c>
      <c r="C1535" s="5">
        <v>2330</v>
      </c>
      <c r="D1535" s="5" t="s">
        <v>8</v>
      </c>
      <c r="E1535" s="5" t="s">
        <v>15</v>
      </c>
      <c r="F1535" s="6">
        <v>42736</v>
      </c>
      <c r="G1535">
        <v>0</v>
      </c>
    </row>
    <row r="1536" spans="1:7" x14ac:dyDescent="0.25">
      <c r="A1536" s="5" t="s">
        <v>108</v>
      </c>
      <c r="B1536" s="5" t="s">
        <v>109</v>
      </c>
      <c r="C1536" s="5">
        <v>2330</v>
      </c>
      <c r="D1536" s="5" t="s">
        <v>8</v>
      </c>
      <c r="E1536" s="5" t="s">
        <v>16</v>
      </c>
      <c r="F1536" s="6">
        <v>42370</v>
      </c>
      <c r="G1536">
        <v>0</v>
      </c>
    </row>
    <row r="1537" spans="1:7" x14ac:dyDescent="0.25">
      <c r="A1537" s="5" t="s">
        <v>108</v>
      </c>
      <c r="B1537" s="5" t="s">
        <v>109</v>
      </c>
      <c r="C1537" s="5">
        <v>2330</v>
      </c>
      <c r="D1537" s="5" t="s">
        <v>8</v>
      </c>
      <c r="E1537" s="5" t="s">
        <v>16</v>
      </c>
      <c r="F1537" s="6">
        <v>42736</v>
      </c>
      <c r="G1537">
        <v>0</v>
      </c>
    </row>
    <row r="1538" spans="1:7" x14ac:dyDescent="0.25">
      <c r="A1538" s="5" t="s">
        <v>108</v>
      </c>
      <c r="B1538" s="5" t="s">
        <v>109</v>
      </c>
      <c r="C1538" s="5">
        <v>2330</v>
      </c>
      <c r="D1538" s="5" t="s">
        <v>8</v>
      </c>
      <c r="E1538" s="5" t="s">
        <v>17</v>
      </c>
      <c r="F1538" s="6">
        <v>42370</v>
      </c>
      <c r="G1538">
        <v>0</v>
      </c>
    </row>
    <row r="1539" spans="1:7" x14ac:dyDescent="0.25">
      <c r="A1539" s="5" t="s">
        <v>108</v>
      </c>
      <c r="B1539" s="5" t="s">
        <v>109</v>
      </c>
      <c r="C1539" s="5">
        <v>2330</v>
      </c>
      <c r="D1539" s="5" t="s">
        <v>8</v>
      </c>
      <c r="E1539" s="5" t="s">
        <v>17</v>
      </c>
      <c r="F1539" s="6">
        <v>42736</v>
      </c>
      <c r="G1539">
        <v>0</v>
      </c>
    </row>
    <row r="1540" spans="1:7" x14ac:dyDescent="0.25">
      <c r="A1540" s="5" t="s">
        <v>108</v>
      </c>
      <c r="B1540" s="5" t="s">
        <v>109</v>
      </c>
      <c r="C1540" s="5">
        <v>2330</v>
      </c>
      <c r="D1540" s="5" t="s">
        <v>8</v>
      </c>
      <c r="E1540" s="5" t="s">
        <v>18</v>
      </c>
      <c r="F1540" s="6">
        <v>42370</v>
      </c>
      <c r="G1540">
        <v>0</v>
      </c>
    </row>
    <row r="1541" spans="1:7" x14ac:dyDescent="0.25">
      <c r="A1541" s="5" t="s">
        <v>108</v>
      </c>
      <c r="B1541" s="5" t="s">
        <v>109</v>
      </c>
      <c r="C1541" s="5">
        <v>2330</v>
      </c>
      <c r="D1541" s="5" t="s">
        <v>8</v>
      </c>
      <c r="E1541" s="5" t="s">
        <v>18</v>
      </c>
      <c r="F1541" s="6">
        <v>42736</v>
      </c>
      <c r="G1541">
        <v>0</v>
      </c>
    </row>
    <row r="1542" spans="1:7" x14ac:dyDescent="0.25">
      <c r="A1542" s="5" t="s">
        <v>108</v>
      </c>
      <c r="B1542" s="5" t="s">
        <v>109</v>
      </c>
      <c r="C1542" s="5">
        <v>2330</v>
      </c>
      <c r="D1542" s="5" t="s">
        <v>8</v>
      </c>
      <c r="E1542" s="5" t="s">
        <v>19</v>
      </c>
      <c r="F1542" s="6">
        <v>42370</v>
      </c>
      <c r="G1542">
        <v>0</v>
      </c>
    </row>
    <row r="1543" spans="1:7" x14ac:dyDescent="0.25">
      <c r="A1543" s="5" t="s">
        <v>108</v>
      </c>
      <c r="B1543" s="5" t="s">
        <v>109</v>
      </c>
      <c r="C1543" s="5">
        <v>2330</v>
      </c>
      <c r="D1543" s="5" t="s">
        <v>8</v>
      </c>
      <c r="E1543" s="5" t="s">
        <v>19</v>
      </c>
      <c r="F1543" s="6">
        <v>42736</v>
      </c>
      <c r="G1543">
        <v>0</v>
      </c>
    </row>
    <row r="1544" spans="1:7" x14ac:dyDescent="0.25">
      <c r="A1544" s="5" t="s">
        <v>108</v>
      </c>
      <c r="B1544" s="5" t="s">
        <v>109</v>
      </c>
      <c r="C1544" s="5">
        <v>2330</v>
      </c>
      <c r="D1544" s="5" t="s">
        <v>20</v>
      </c>
      <c r="E1544" s="5" t="s">
        <v>9</v>
      </c>
      <c r="F1544" s="6">
        <v>42370</v>
      </c>
      <c r="G1544">
        <v>1</v>
      </c>
    </row>
    <row r="1545" spans="1:7" x14ac:dyDescent="0.25">
      <c r="A1545" s="5" t="s">
        <v>108</v>
      </c>
      <c r="B1545" s="5" t="s">
        <v>109</v>
      </c>
      <c r="C1545" s="5">
        <v>2330</v>
      </c>
      <c r="D1545" s="5" t="s">
        <v>20</v>
      </c>
      <c r="E1545" s="5" t="s">
        <v>9</v>
      </c>
      <c r="F1545" s="6">
        <v>42736</v>
      </c>
      <c r="G1545">
        <v>7</v>
      </c>
    </row>
    <row r="1546" spans="1:7" x14ac:dyDescent="0.25">
      <c r="A1546" s="5" t="s">
        <v>108</v>
      </c>
      <c r="B1546" s="5" t="s">
        <v>109</v>
      </c>
      <c r="C1546" s="5">
        <v>2330</v>
      </c>
      <c r="D1546" s="5" t="s">
        <v>20</v>
      </c>
      <c r="E1546" s="5" t="s">
        <v>21</v>
      </c>
      <c r="F1546" s="6">
        <v>42370</v>
      </c>
      <c r="G1546">
        <v>0</v>
      </c>
    </row>
    <row r="1547" spans="1:7" x14ac:dyDescent="0.25">
      <c r="A1547" s="5" t="s">
        <v>108</v>
      </c>
      <c r="B1547" s="5" t="s">
        <v>109</v>
      </c>
      <c r="C1547" s="5">
        <v>2330</v>
      </c>
      <c r="D1547" s="5" t="s">
        <v>20</v>
      </c>
      <c r="E1547" s="5" t="s">
        <v>21</v>
      </c>
      <c r="F1547" s="6">
        <v>42736</v>
      </c>
      <c r="G1547">
        <v>0</v>
      </c>
    </row>
    <row r="1548" spans="1:7" x14ac:dyDescent="0.25">
      <c r="A1548" s="5" t="s">
        <v>108</v>
      </c>
      <c r="B1548" s="5" t="s">
        <v>109</v>
      </c>
      <c r="C1548" s="5">
        <v>2330</v>
      </c>
      <c r="D1548" s="5" t="s">
        <v>20</v>
      </c>
      <c r="E1548" s="5" t="s">
        <v>22</v>
      </c>
      <c r="F1548" s="6">
        <v>42370</v>
      </c>
      <c r="G1548">
        <v>0</v>
      </c>
    </row>
    <row r="1549" spans="1:7" x14ac:dyDescent="0.25">
      <c r="A1549" s="5" t="s">
        <v>108</v>
      </c>
      <c r="B1549" s="5" t="s">
        <v>109</v>
      </c>
      <c r="C1549" s="5">
        <v>2330</v>
      </c>
      <c r="D1549" s="5" t="s">
        <v>20</v>
      </c>
      <c r="E1549" s="5" t="s">
        <v>22</v>
      </c>
      <c r="F1549" s="6">
        <v>42736</v>
      </c>
      <c r="G1549">
        <v>0</v>
      </c>
    </row>
    <row r="1550" spans="1:7" x14ac:dyDescent="0.25">
      <c r="A1550" s="5" t="s">
        <v>108</v>
      </c>
      <c r="B1550" s="5" t="s">
        <v>109</v>
      </c>
      <c r="C1550" s="5">
        <v>2330</v>
      </c>
      <c r="D1550" s="5" t="s">
        <v>20</v>
      </c>
      <c r="E1550" s="5" t="s">
        <v>23</v>
      </c>
      <c r="F1550" s="6">
        <v>42370</v>
      </c>
      <c r="G1550">
        <v>2</v>
      </c>
    </row>
    <row r="1551" spans="1:7" x14ac:dyDescent="0.25">
      <c r="A1551" s="5" t="s">
        <v>108</v>
      </c>
      <c r="B1551" s="5" t="s">
        <v>109</v>
      </c>
      <c r="C1551" s="5">
        <v>2330</v>
      </c>
      <c r="D1551" s="5" t="s">
        <v>20</v>
      </c>
      <c r="E1551" s="5" t="s">
        <v>23</v>
      </c>
      <c r="F1551" s="6">
        <v>42736</v>
      </c>
      <c r="G1551">
        <v>0</v>
      </c>
    </row>
    <row r="1552" spans="1:7" x14ac:dyDescent="0.25">
      <c r="A1552" s="5" t="s">
        <v>108</v>
      </c>
      <c r="B1552" s="5" t="s">
        <v>109</v>
      </c>
      <c r="C1552" s="5">
        <v>2330</v>
      </c>
      <c r="D1552" s="5" t="s">
        <v>20</v>
      </c>
      <c r="E1552" s="5" t="s">
        <v>24</v>
      </c>
      <c r="F1552" s="6">
        <v>42370</v>
      </c>
      <c r="G1552">
        <v>0</v>
      </c>
    </row>
    <row r="1553" spans="1:7" x14ac:dyDescent="0.25">
      <c r="A1553" s="5" t="s">
        <v>108</v>
      </c>
      <c r="B1553" s="5" t="s">
        <v>109</v>
      </c>
      <c r="C1553" s="5">
        <v>2330</v>
      </c>
      <c r="D1553" s="5" t="s">
        <v>20</v>
      </c>
      <c r="E1553" s="5" t="s">
        <v>24</v>
      </c>
      <c r="F1553" s="6">
        <v>42736</v>
      </c>
      <c r="G1553">
        <v>0</v>
      </c>
    </row>
    <row r="1554" spans="1:7" x14ac:dyDescent="0.25">
      <c r="A1554" s="5" t="s">
        <v>108</v>
      </c>
      <c r="B1554" s="5" t="s">
        <v>109</v>
      </c>
      <c r="C1554" s="5">
        <v>2330</v>
      </c>
      <c r="D1554" s="5" t="s">
        <v>20</v>
      </c>
      <c r="E1554" s="5" t="s">
        <v>25</v>
      </c>
      <c r="F1554" s="6">
        <v>42370</v>
      </c>
      <c r="G1554">
        <v>0</v>
      </c>
    </row>
    <row r="1555" spans="1:7" x14ac:dyDescent="0.25">
      <c r="A1555" s="5" t="s">
        <v>108</v>
      </c>
      <c r="B1555" s="5" t="s">
        <v>109</v>
      </c>
      <c r="C1555" s="5">
        <v>2330</v>
      </c>
      <c r="D1555" s="5" t="s">
        <v>20</v>
      </c>
      <c r="E1555" s="5" t="s">
        <v>25</v>
      </c>
      <c r="F1555" s="6">
        <v>42736</v>
      </c>
      <c r="G1555">
        <v>0</v>
      </c>
    </row>
    <row r="1556" spans="1:7" x14ac:dyDescent="0.25">
      <c r="A1556" s="5" t="s">
        <v>108</v>
      </c>
      <c r="B1556" s="5" t="s">
        <v>109</v>
      </c>
      <c r="C1556" s="5">
        <v>2330</v>
      </c>
      <c r="D1556" s="5" t="s">
        <v>20</v>
      </c>
      <c r="E1556" s="5" t="s">
        <v>26</v>
      </c>
      <c r="F1556" s="6">
        <v>42370</v>
      </c>
      <c r="G1556">
        <v>32</v>
      </c>
    </row>
    <row r="1557" spans="1:7" x14ac:dyDescent="0.25">
      <c r="A1557" s="5" t="s">
        <v>108</v>
      </c>
      <c r="B1557" s="5" t="s">
        <v>109</v>
      </c>
      <c r="C1557" s="5">
        <v>2330</v>
      </c>
      <c r="D1557" s="5" t="s">
        <v>20</v>
      </c>
      <c r="E1557" s="5" t="s">
        <v>26</v>
      </c>
      <c r="F1557" s="6">
        <v>42736</v>
      </c>
      <c r="G1557">
        <v>45</v>
      </c>
    </row>
    <row r="1558" spans="1:7" x14ac:dyDescent="0.25">
      <c r="A1558" s="5" t="s">
        <v>108</v>
      </c>
      <c r="B1558" s="5" t="s">
        <v>109</v>
      </c>
      <c r="C1558" s="5">
        <v>2330</v>
      </c>
      <c r="D1558" s="5" t="s">
        <v>20</v>
      </c>
      <c r="E1558" s="5" t="s">
        <v>27</v>
      </c>
      <c r="F1558" s="6">
        <v>42370</v>
      </c>
      <c r="G1558">
        <v>0</v>
      </c>
    </row>
    <row r="1559" spans="1:7" x14ac:dyDescent="0.25">
      <c r="A1559" s="5" t="s">
        <v>108</v>
      </c>
      <c r="B1559" s="5" t="s">
        <v>109</v>
      </c>
      <c r="C1559" s="5">
        <v>2330</v>
      </c>
      <c r="D1559" s="5" t="s">
        <v>20</v>
      </c>
      <c r="E1559" s="5" t="s">
        <v>27</v>
      </c>
      <c r="F1559" s="6">
        <v>42736</v>
      </c>
      <c r="G1559">
        <v>2</v>
      </c>
    </row>
    <row r="1560" spans="1:7" x14ac:dyDescent="0.25">
      <c r="A1560" s="5" t="s">
        <v>108</v>
      </c>
      <c r="B1560" s="5" t="s">
        <v>109</v>
      </c>
      <c r="C1560" s="5">
        <v>2330</v>
      </c>
      <c r="D1560" s="5" t="s">
        <v>20</v>
      </c>
      <c r="E1560" s="5" t="s">
        <v>28</v>
      </c>
      <c r="F1560" s="6">
        <v>42370</v>
      </c>
      <c r="G1560">
        <v>0</v>
      </c>
    </row>
    <row r="1561" spans="1:7" x14ac:dyDescent="0.25">
      <c r="A1561" s="5" t="s">
        <v>108</v>
      </c>
      <c r="B1561" s="5" t="s">
        <v>109</v>
      </c>
      <c r="C1561" s="5">
        <v>2330</v>
      </c>
      <c r="D1561" s="5" t="s">
        <v>20</v>
      </c>
      <c r="E1561" s="5" t="s">
        <v>28</v>
      </c>
      <c r="F1561" s="6">
        <v>42736</v>
      </c>
      <c r="G1561">
        <v>0</v>
      </c>
    </row>
    <row r="1562" spans="1:7" x14ac:dyDescent="0.25">
      <c r="A1562" s="5" t="s">
        <v>108</v>
      </c>
      <c r="B1562" s="5" t="s">
        <v>109</v>
      </c>
      <c r="C1562" s="5">
        <v>2330</v>
      </c>
      <c r="D1562" s="5" t="s">
        <v>20</v>
      </c>
      <c r="E1562" s="5" t="s">
        <v>29</v>
      </c>
      <c r="F1562" s="6">
        <v>42370</v>
      </c>
      <c r="G1562">
        <v>27</v>
      </c>
    </row>
    <row r="1563" spans="1:7" x14ac:dyDescent="0.25">
      <c r="A1563" s="5" t="s">
        <v>108</v>
      </c>
      <c r="B1563" s="5" t="s">
        <v>109</v>
      </c>
      <c r="C1563" s="5">
        <v>2330</v>
      </c>
      <c r="D1563" s="5" t="s">
        <v>20</v>
      </c>
      <c r="E1563" s="5" t="s">
        <v>29</v>
      </c>
      <c r="F1563" s="6">
        <v>42736</v>
      </c>
      <c r="G1563">
        <v>46</v>
      </c>
    </row>
    <row r="1564" spans="1:7" x14ac:dyDescent="0.25">
      <c r="A1564" s="5" t="s">
        <v>108</v>
      </c>
      <c r="B1564" s="5" t="s">
        <v>109</v>
      </c>
      <c r="C1564" s="5">
        <v>2330</v>
      </c>
      <c r="D1564" s="5" t="s">
        <v>20</v>
      </c>
      <c r="E1564" s="5" t="s">
        <v>30</v>
      </c>
      <c r="F1564" s="6">
        <v>42370</v>
      </c>
      <c r="G1564">
        <v>34</v>
      </c>
    </row>
    <row r="1565" spans="1:7" x14ac:dyDescent="0.25">
      <c r="A1565" s="5" t="s">
        <v>108</v>
      </c>
      <c r="B1565" s="5" t="s">
        <v>109</v>
      </c>
      <c r="C1565" s="5">
        <v>2330</v>
      </c>
      <c r="D1565" s="5" t="s">
        <v>20</v>
      </c>
      <c r="E1565" s="5" t="s">
        <v>30</v>
      </c>
      <c r="F1565" s="6">
        <v>42736</v>
      </c>
      <c r="G1565">
        <v>45</v>
      </c>
    </row>
    <row r="1566" spans="1:7" x14ac:dyDescent="0.25">
      <c r="A1566" s="5" t="s">
        <v>108</v>
      </c>
      <c r="B1566" s="5" t="s">
        <v>109</v>
      </c>
      <c r="C1566" s="5">
        <v>2330</v>
      </c>
      <c r="D1566" s="5" t="s">
        <v>20</v>
      </c>
      <c r="E1566" s="5" t="s">
        <v>31</v>
      </c>
      <c r="F1566" s="6">
        <v>42370</v>
      </c>
      <c r="G1566">
        <v>100</v>
      </c>
    </row>
    <row r="1567" spans="1:7" x14ac:dyDescent="0.25">
      <c r="A1567" s="5" t="s">
        <v>108</v>
      </c>
      <c r="B1567" s="5" t="s">
        <v>109</v>
      </c>
      <c r="C1567" s="5">
        <v>2330</v>
      </c>
      <c r="D1567" s="5" t="s">
        <v>20</v>
      </c>
      <c r="E1567" s="5" t="s">
        <v>31</v>
      </c>
      <c r="F1567" s="6">
        <v>42736</v>
      </c>
      <c r="G1567">
        <v>126</v>
      </c>
    </row>
    <row r="1568" spans="1:7" x14ac:dyDescent="0.25">
      <c r="A1568" s="5" t="s">
        <v>108</v>
      </c>
      <c r="B1568" s="5" t="s">
        <v>109</v>
      </c>
      <c r="C1568" s="5">
        <v>2330</v>
      </c>
      <c r="D1568" s="5" t="s">
        <v>20</v>
      </c>
      <c r="E1568" s="5" t="s">
        <v>32</v>
      </c>
      <c r="F1568" s="6">
        <v>42370</v>
      </c>
      <c r="G1568">
        <v>34</v>
      </c>
    </row>
    <row r="1569" spans="1:7" x14ac:dyDescent="0.25">
      <c r="A1569" s="5" t="s">
        <v>108</v>
      </c>
      <c r="B1569" s="5" t="s">
        <v>109</v>
      </c>
      <c r="C1569" s="5">
        <v>2330</v>
      </c>
      <c r="D1569" s="5" t="s">
        <v>20</v>
      </c>
      <c r="E1569" s="5" t="s">
        <v>32</v>
      </c>
      <c r="F1569" s="6">
        <v>42736</v>
      </c>
      <c r="G1569">
        <v>43</v>
      </c>
    </row>
    <row r="1570" spans="1:7" x14ac:dyDescent="0.25">
      <c r="A1570" s="5" t="s">
        <v>108</v>
      </c>
      <c r="B1570" s="5" t="s">
        <v>109</v>
      </c>
      <c r="C1570" s="5">
        <v>2330</v>
      </c>
      <c r="D1570" s="5" t="s">
        <v>33</v>
      </c>
      <c r="E1570" s="5" t="s">
        <v>9</v>
      </c>
      <c r="F1570" s="6">
        <v>42370</v>
      </c>
      <c r="G1570">
        <v>0</v>
      </c>
    </row>
    <row r="1571" spans="1:7" x14ac:dyDescent="0.25">
      <c r="A1571" s="5" t="s">
        <v>108</v>
      </c>
      <c r="B1571" s="5" t="s">
        <v>109</v>
      </c>
      <c r="C1571" s="5">
        <v>2330</v>
      </c>
      <c r="D1571" s="5" t="s">
        <v>33</v>
      </c>
      <c r="E1571" s="5" t="s">
        <v>9</v>
      </c>
      <c r="F1571" s="6">
        <v>42736</v>
      </c>
      <c r="G1571">
        <v>0</v>
      </c>
    </row>
    <row r="1572" spans="1:7" x14ac:dyDescent="0.25">
      <c r="A1572" s="5" t="s">
        <v>108</v>
      </c>
      <c r="B1572" s="5" t="s">
        <v>109</v>
      </c>
      <c r="C1572" s="5">
        <v>2330</v>
      </c>
      <c r="D1572" s="5" t="s">
        <v>33</v>
      </c>
      <c r="E1572" s="5" t="s">
        <v>34</v>
      </c>
      <c r="F1572" s="6">
        <v>42370</v>
      </c>
      <c r="G1572">
        <v>0</v>
      </c>
    </row>
    <row r="1573" spans="1:7" x14ac:dyDescent="0.25">
      <c r="A1573" s="5" t="s">
        <v>108</v>
      </c>
      <c r="B1573" s="5" t="s">
        <v>109</v>
      </c>
      <c r="C1573" s="5">
        <v>2330</v>
      </c>
      <c r="D1573" s="5" t="s">
        <v>33</v>
      </c>
      <c r="E1573" s="5" t="s">
        <v>34</v>
      </c>
      <c r="F1573" s="6">
        <v>42736</v>
      </c>
      <c r="G1573">
        <v>0</v>
      </c>
    </row>
    <row r="1574" spans="1:7" x14ac:dyDescent="0.25">
      <c r="A1574" s="5" t="s">
        <v>108</v>
      </c>
      <c r="B1574" s="5" t="s">
        <v>109</v>
      </c>
      <c r="C1574" s="5">
        <v>2330</v>
      </c>
      <c r="D1574" s="5" t="s">
        <v>35</v>
      </c>
      <c r="E1574" s="5" t="s">
        <v>36</v>
      </c>
      <c r="F1574" s="6">
        <v>42370</v>
      </c>
      <c r="G1574">
        <v>0</v>
      </c>
    </row>
    <row r="1575" spans="1:7" x14ac:dyDescent="0.25">
      <c r="A1575" s="5" t="s">
        <v>108</v>
      </c>
      <c r="B1575" s="5" t="s">
        <v>109</v>
      </c>
      <c r="C1575" s="5">
        <v>2330</v>
      </c>
      <c r="D1575" s="5" t="s">
        <v>35</v>
      </c>
      <c r="E1575" s="5" t="s">
        <v>36</v>
      </c>
      <c r="F1575" s="6">
        <v>42736</v>
      </c>
      <c r="G1575">
        <v>0</v>
      </c>
    </row>
    <row r="1576" spans="1:7" x14ac:dyDescent="0.25">
      <c r="A1576" s="5" t="s">
        <v>108</v>
      </c>
      <c r="B1576" s="5" t="s">
        <v>109</v>
      </c>
      <c r="C1576" s="5">
        <v>2330</v>
      </c>
      <c r="D1576" s="5" t="s">
        <v>35</v>
      </c>
      <c r="E1576" s="5" t="s">
        <v>37</v>
      </c>
      <c r="F1576" s="6">
        <v>42370</v>
      </c>
      <c r="G1576">
        <v>0</v>
      </c>
    </row>
    <row r="1577" spans="1:7" x14ac:dyDescent="0.25">
      <c r="A1577" s="5" t="s">
        <v>108</v>
      </c>
      <c r="B1577" s="5" t="s">
        <v>109</v>
      </c>
      <c r="C1577" s="5">
        <v>2330</v>
      </c>
      <c r="D1577" s="5" t="s">
        <v>35</v>
      </c>
      <c r="E1577" s="5" t="s">
        <v>37</v>
      </c>
      <c r="F1577" s="6">
        <v>42736</v>
      </c>
      <c r="G1577">
        <v>0</v>
      </c>
    </row>
    <row r="1578" spans="1:7" x14ac:dyDescent="0.25">
      <c r="A1578" s="5" t="s">
        <v>108</v>
      </c>
      <c r="B1578" s="5" t="s">
        <v>109</v>
      </c>
      <c r="C1578" s="5">
        <v>2330</v>
      </c>
      <c r="D1578" s="5" t="s">
        <v>35</v>
      </c>
      <c r="E1578" s="5" t="s">
        <v>38</v>
      </c>
      <c r="F1578" s="6">
        <v>42370</v>
      </c>
      <c r="G1578">
        <v>0</v>
      </c>
    </row>
    <row r="1579" spans="1:7" x14ac:dyDescent="0.25">
      <c r="A1579" s="5" t="s">
        <v>108</v>
      </c>
      <c r="B1579" s="5" t="s">
        <v>109</v>
      </c>
      <c r="C1579" s="5">
        <v>2330</v>
      </c>
      <c r="D1579" s="5" t="s">
        <v>35</v>
      </c>
      <c r="E1579" s="5" t="s">
        <v>38</v>
      </c>
      <c r="F1579" s="6">
        <v>42736</v>
      </c>
      <c r="G1579">
        <v>0</v>
      </c>
    </row>
    <row r="1580" spans="1:7" x14ac:dyDescent="0.25">
      <c r="A1580" s="5" t="s">
        <v>108</v>
      </c>
      <c r="B1580" s="5" t="s">
        <v>109</v>
      </c>
      <c r="C1580" s="5">
        <v>2330</v>
      </c>
      <c r="D1580" s="5" t="s">
        <v>35</v>
      </c>
      <c r="E1580" s="5" t="s">
        <v>39</v>
      </c>
      <c r="F1580" s="6">
        <v>42370</v>
      </c>
      <c r="G1580">
        <v>0</v>
      </c>
    </row>
    <row r="1581" spans="1:7" x14ac:dyDescent="0.25">
      <c r="A1581" s="5" t="s">
        <v>108</v>
      </c>
      <c r="B1581" s="5" t="s">
        <v>109</v>
      </c>
      <c r="C1581" s="5">
        <v>2330</v>
      </c>
      <c r="D1581" s="5" t="s">
        <v>35</v>
      </c>
      <c r="E1581" s="5" t="s">
        <v>39</v>
      </c>
      <c r="F1581" s="6">
        <v>42736</v>
      </c>
      <c r="G1581">
        <v>0</v>
      </c>
    </row>
    <row r="1582" spans="1:7" x14ac:dyDescent="0.25">
      <c r="A1582" s="5" t="s">
        <v>108</v>
      </c>
      <c r="B1582" s="5" t="s">
        <v>109</v>
      </c>
      <c r="C1582" s="5">
        <v>2330</v>
      </c>
      <c r="D1582" s="5" t="s">
        <v>35</v>
      </c>
      <c r="E1582" s="5" t="s">
        <v>40</v>
      </c>
      <c r="F1582" s="6">
        <v>42370</v>
      </c>
      <c r="G1582">
        <v>0</v>
      </c>
    </row>
    <row r="1583" spans="1:7" x14ac:dyDescent="0.25">
      <c r="A1583" s="5" t="s">
        <v>108</v>
      </c>
      <c r="B1583" s="5" t="s">
        <v>109</v>
      </c>
      <c r="C1583" s="5">
        <v>2330</v>
      </c>
      <c r="D1583" s="5" t="s">
        <v>35</v>
      </c>
      <c r="E1583" s="5" t="s">
        <v>40</v>
      </c>
      <c r="F1583" s="6">
        <v>42736</v>
      </c>
      <c r="G1583">
        <v>0</v>
      </c>
    </row>
    <row r="1584" spans="1:7" x14ac:dyDescent="0.25">
      <c r="A1584" s="5" t="s">
        <v>108</v>
      </c>
      <c r="B1584" s="5" t="s">
        <v>109</v>
      </c>
      <c r="C1584" s="5">
        <v>2330</v>
      </c>
      <c r="D1584" s="5" t="s">
        <v>35</v>
      </c>
      <c r="E1584" s="5" t="s">
        <v>41</v>
      </c>
      <c r="F1584" s="6">
        <v>42370</v>
      </c>
      <c r="G1584">
        <v>0</v>
      </c>
    </row>
    <row r="1585" spans="1:7" x14ac:dyDescent="0.25">
      <c r="A1585" s="5" t="s">
        <v>108</v>
      </c>
      <c r="B1585" s="5" t="s">
        <v>109</v>
      </c>
      <c r="C1585" s="5">
        <v>2330</v>
      </c>
      <c r="D1585" s="5" t="s">
        <v>35</v>
      </c>
      <c r="E1585" s="5" t="s">
        <v>41</v>
      </c>
      <c r="F1585" s="6">
        <v>42736</v>
      </c>
      <c r="G1585">
        <v>0</v>
      </c>
    </row>
    <row r="1586" spans="1:7" x14ac:dyDescent="0.25">
      <c r="A1586" s="5" t="s">
        <v>108</v>
      </c>
      <c r="B1586" s="5" t="s">
        <v>109</v>
      </c>
      <c r="C1586" s="5">
        <v>2330</v>
      </c>
      <c r="D1586" s="5" t="s">
        <v>35</v>
      </c>
      <c r="E1586" s="5" t="s">
        <v>42</v>
      </c>
      <c r="F1586" s="6">
        <v>42370</v>
      </c>
      <c r="G1586">
        <v>0</v>
      </c>
    </row>
    <row r="1587" spans="1:7" x14ac:dyDescent="0.25">
      <c r="A1587" s="5" t="s">
        <v>108</v>
      </c>
      <c r="B1587" s="5" t="s">
        <v>109</v>
      </c>
      <c r="C1587" s="5">
        <v>2330</v>
      </c>
      <c r="D1587" s="5" t="s">
        <v>35</v>
      </c>
      <c r="E1587" s="5" t="s">
        <v>42</v>
      </c>
      <c r="F1587" s="6">
        <v>42736</v>
      </c>
      <c r="G1587">
        <v>0</v>
      </c>
    </row>
    <row r="1588" spans="1:7" x14ac:dyDescent="0.25">
      <c r="A1588" s="5" t="s">
        <v>108</v>
      </c>
      <c r="B1588" s="5" t="s">
        <v>109</v>
      </c>
      <c r="C1588" s="5">
        <v>2330</v>
      </c>
      <c r="D1588" s="5" t="s">
        <v>35</v>
      </c>
      <c r="E1588" s="5" t="s">
        <v>43</v>
      </c>
      <c r="F1588" s="6">
        <v>42370</v>
      </c>
      <c r="G1588">
        <v>0</v>
      </c>
    </row>
    <row r="1589" spans="1:7" x14ac:dyDescent="0.25">
      <c r="A1589" s="5" t="s">
        <v>108</v>
      </c>
      <c r="B1589" s="5" t="s">
        <v>109</v>
      </c>
      <c r="C1589" s="5">
        <v>2330</v>
      </c>
      <c r="D1589" s="5" t="s">
        <v>35</v>
      </c>
      <c r="E1589" s="5" t="s">
        <v>43</v>
      </c>
      <c r="F1589" s="6">
        <v>42736</v>
      </c>
      <c r="G1589">
        <v>0</v>
      </c>
    </row>
    <row r="1590" spans="1:7" x14ac:dyDescent="0.25">
      <c r="A1590" s="5" t="s">
        <v>108</v>
      </c>
      <c r="B1590" s="5" t="s">
        <v>109</v>
      </c>
      <c r="C1590" s="5">
        <v>2330</v>
      </c>
      <c r="D1590" s="5" t="s">
        <v>44</v>
      </c>
      <c r="E1590" s="5" t="s">
        <v>36</v>
      </c>
      <c r="F1590" s="6">
        <v>42370</v>
      </c>
      <c r="G1590">
        <v>0</v>
      </c>
    </row>
    <row r="1591" spans="1:7" x14ac:dyDescent="0.25">
      <c r="A1591" s="5" t="s">
        <v>108</v>
      </c>
      <c r="B1591" s="5" t="s">
        <v>109</v>
      </c>
      <c r="C1591" s="5">
        <v>2330</v>
      </c>
      <c r="D1591" s="5" t="s">
        <v>44</v>
      </c>
      <c r="E1591" s="5" t="s">
        <v>36</v>
      </c>
      <c r="F1591" s="6">
        <v>42736</v>
      </c>
      <c r="G1591">
        <v>0</v>
      </c>
    </row>
    <row r="1592" spans="1:7" x14ac:dyDescent="0.25">
      <c r="A1592" s="5" t="s">
        <v>108</v>
      </c>
      <c r="B1592" s="5" t="s">
        <v>109</v>
      </c>
      <c r="C1592" s="5">
        <v>2330</v>
      </c>
      <c r="D1592" s="5" t="s">
        <v>44</v>
      </c>
      <c r="E1592" s="5" t="s">
        <v>37</v>
      </c>
      <c r="F1592" s="6">
        <v>42370</v>
      </c>
      <c r="G1592">
        <v>0</v>
      </c>
    </row>
    <row r="1593" spans="1:7" x14ac:dyDescent="0.25">
      <c r="A1593" s="5" t="s">
        <v>108</v>
      </c>
      <c r="B1593" s="5" t="s">
        <v>109</v>
      </c>
      <c r="C1593" s="5">
        <v>2330</v>
      </c>
      <c r="D1593" s="5" t="s">
        <v>44</v>
      </c>
      <c r="E1593" s="5" t="s">
        <v>37</v>
      </c>
      <c r="F1593" s="6">
        <v>42736</v>
      </c>
      <c r="G1593">
        <v>0</v>
      </c>
    </row>
    <row r="1594" spans="1:7" x14ac:dyDescent="0.25">
      <c r="A1594" s="5" t="s">
        <v>108</v>
      </c>
      <c r="B1594" s="5" t="s">
        <v>109</v>
      </c>
      <c r="C1594" s="5">
        <v>2330</v>
      </c>
      <c r="D1594" s="5" t="s">
        <v>44</v>
      </c>
      <c r="E1594" s="5" t="s">
        <v>38</v>
      </c>
      <c r="F1594" s="6">
        <v>42370</v>
      </c>
      <c r="G1594">
        <v>0</v>
      </c>
    </row>
    <row r="1595" spans="1:7" x14ac:dyDescent="0.25">
      <c r="A1595" s="5" t="s">
        <v>108</v>
      </c>
      <c r="B1595" s="5" t="s">
        <v>109</v>
      </c>
      <c r="C1595" s="5">
        <v>2330</v>
      </c>
      <c r="D1595" s="5" t="s">
        <v>44</v>
      </c>
      <c r="E1595" s="5" t="s">
        <v>38</v>
      </c>
      <c r="F1595" s="6">
        <v>42736</v>
      </c>
      <c r="G1595">
        <v>0</v>
      </c>
    </row>
    <row r="1596" spans="1:7" x14ac:dyDescent="0.25">
      <c r="A1596" s="5" t="s">
        <v>108</v>
      </c>
      <c r="B1596" s="5" t="s">
        <v>109</v>
      </c>
      <c r="C1596" s="5">
        <v>2330</v>
      </c>
      <c r="D1596" s="5" t="s">
        <v>44</v>
      </c>
      <c r="E1596" s="5" t="s">
        <v>39</v>
      </c>
      <c r="F1596" s="6">
        <v>42370</v>
      </c>
      <c r="G1596">
        <v>0</v>
      </c>
    </row>
    <row r="1597" spans="1:7" x14ac:dyDescent="0.25">
      <c r="A1597" s="5" t="s">
        <v>108</v>
      </c>
      <c r="B1597" s="5" t="s">
        <v>109</v>
      </c>
      <c r="C1597" s="5">
        <v>2330</v>
      </c>
      <c r="D1597" s="5" t="s">
        <v>44</v>
      </c>
      <c r="E1597" s="5" t="s">
        <v>39</v>
      </c>
      <c r="F1597" s="6">
        <v>42736</v>
      </c>
      <c r="G1597">
        <v>0</v>
      </c>
    </row>
    <row r="1598" spans="1:7" x14ac:dyDescent="0.25">
      <c r="A1598" s="5" t="s">
        <v>108</v>
      </c>
      <c r="B1598" s="5" t="s">
        <v>109</v>
      </c>
      <c r="C1598" s="5">
        <v>2330</v>
      </c>
      <c r="D1598" s="5" t="s">
        <v>44</v>
      </c>
      <c r="E1598" s="5" t="s">
        <v>40</v>
      </c>
      <c r="F1598" s="6">
        <v>42370</v>
      </c>
      <c r="G1598">
        <v>0</v>
      </c>
    </row>
    <row r="1599" spans="1:7" x14ac:dyDescent="0.25">
      <c r="A1599" s="5" t="s">
        <v>108</v>
      </c>
      <c r="B1599" s="5" t="s">
        <v>109</v>
      </c>
      <c r="C1599" s="5">
        <v>2330</v>
      </c>
      <c r="D1599" s="5" t="s">
        <v>44</v>
      </c>
      <c r="E1599" s="5" t="s">
        <v>40</v>
      </c>
      <c r="F1599" s="6">
        <v>42736</v>
      </c>
      <c r="G1599">
        <v>0</v>
      </c>
    </row>
    <row r="1600" spans="1:7" x14ac:dyDescent="0.25">
      <c r="A1600" s="5" t="s">
        <v>108</v>
      </c>
      <c r="B1600" s="5" t="s">
        <v>109</v>
      </c>
      <c r="C1600" s="5">
        <v>2330</v>
      </c>
      <c r="D1600" s="5" t="s">
        <v>44</v>
      </c>
      <c r="E1600" s="5" t="s">
        <v>41</v>
      </c>
      <c r="F1600" s="6">
        <v>42370</v>
      </c>
      <c r="G1600">
        <v>0</v>
      </c>
    </row>
    <row r="1601" spans="1:7" x14ac:dyDescent="0.25">
      <c r="A1601" s="5" t="s">
        <v>108</v>
      </c>
      <c r="B1601" s="5" t="s">
        <v>109</v>
      </c>
      <c r="C1601" s="5">
        <v>2330</v>
      </c>
      <c r="D1601" s="5" t="s">
        <v>44</v>
      </c>
      <c r="E1601" s="5" t="s">
        <v>41</v>
      </c>
      <c r="F1601" s="6">
        <v>42736</v>
      </c>
      <c r="G1601">
        <v>0</v>
      </c>
    </row>
    <row r="1602" spans="1:7" x14ac:dyDescent="0.25">
      <c r="A1602" s="5" t="s">
        <v>108</v>
      </c>
      <c r="B1602" s="5" t="s">
        <v>109</v>
      </c>
      <c r="C1602" s="5">
        <v>2330</v>
      </c>
      <c r="D1602" s="5" t="s">
        <v>44</v>
      </c>
      <c r="E1602" s="5" t="s">
        <v>42</v>
      </c>
      <c r="F1602" s="6">
        <v>42370</v>
      </c>
      <c r="G1602">
        <v>0</v>
      </c>
    </row>
    <row r="1603" spans="1:7" x14ac:dyDescent="0.25">
      <c r="A1603" s="5" t="s">
        <v>108</v>
      </c>
      <c r="B1603" s="5" t="s">
        <v>109</v>
      </c>
      <c r="C1603" s="5">
        <v>2330</v>
      </c>
      <c r="D1603" s="5" t="s">
        <v>44</v>
      </c>
      <c r="E1603" s="5" t="s">
        <v>42</v>
      </c>
      <c r="F1603" s="6">
        <v>42736</v>
      </c>
      <c r="G1603">
        <v>0</v>
      </c>
    </row>
    <row r="1604" spans="1:7" x14ac:dyDescent="0.25">
      <c r="A1604" s="5" t="s">
        <v>108</v>
      </c>
      <c r="B1604" s="5" t="s">
        <v>109</v>
      </c>
      <c r="C1604" s="5">
        <v>2330</v>
      </c>
      <c r="D1604" s="5" t="s">
        <v>44</v>
      </c>
      <c r="E1604" s="5" t="s">
        <v>43</v>
      </c>
      <c r="F1604" s="6">
        <v>42370</v>
      </c>
      <c r="G1604">
        <v>0</v>
      </c>
    </row>
    <row r="1605" spans="1:7" x14ac:dyDescent="0.25">
      <c r="A1605" s="5" t="s">
        <v>108</v>
      </c>
      <c r="B1605" s="5" t="s">
        <v>109</v>
      </c>
      <c r="C1605" s="5">
        <v>2330</v>
      </c>
      <c r="D1605" s="5" t="s">
        <v>44</v>
      </c>
      <c r="E1605" s="5" t="s">
        <v>43</v>
      </c>
      <c r="F1605" s="6">
        <v>42736</v>
      </c>
      <c r="G1605">
        <v>0</v>
      </c>
    </row>
    <row r="1606" spans="1:7" x14ac:dyDescent="0.25">
      <c r="A1606" s="5" t="s">
        <v>108</v>
      </c>
      <c r="B1606" s="5" t="s">
        <v>109</v>
      </c>
      <c r="C1606" s="5">
        <v>2330</v>
      </c>
      <c r="D1606" s="5" t="s">
        <v>45</v>
      </c>
      <c r="E1606" s="5" t="s">
        <v>46</v>
      </c>
      <c r="F1606" s="6">
        <v>42370</v>
      </c>
      <c r="G1606">
        <v>0</v>
      </c>
    </row>
    <row r="1607" spans="1:7" x14ac:dyDescent="0.25">
      <c r="A1607" s="5" t="s">
        <v>108</v>
      </c>
      <c r="B1607" s="5" t="s">
        <v>109</v>
      </c>
      <c r="C1607" s="5">
        <v>2330</v>
      </c>
      <c r="D1607" s="5" t="s">
        <v>45</v>
      </c>
      <c r="E1607" s="5" t="s">
        <v>46</v>
      </c>
      <c r="F1607" s="6">
        <v>42736</v>
      </c>
      <c r="G1607">
        <v>0</v>
      </c>
    </row>
    <row r="1608" spans="1:7" x14ac:dyDescent="0.25">
      <c r="A1608" s="5" t="s">
        <v>108</v>
      </c>
      <c r="B1608" s="5" t="s">
        <v>109</v>
      </c>
      <c r="C1608" s="5">
        <v>2330</v>
      </c>
      <c r="D1608" s="5" t="s">
        <v>45</v>
      </c>
      <c r="E1608" s="5" t="s">
        <v>47</v>
      </c>
      <c r="F1608" s="6">
        <v>42370</v>
      </c>
      <c r="G1608">
        <v>0</v>
      </c>
    </row>
    <row r="1609" spans="1:7" x14ac:dyDescent="0.25">
      <c r="A1609" s="5" t="s">
        <v>108</v>
      </c>
      <c r="B1609" s="5" t="s">
        <v>109</v>
      </c>
      <c r="C1609" s="5">
        <v>2330</v>
      </c>
      <c r="D1609" s="5" t="s">
        <v>45</v>
      </c>
      <c r="E1609" s="5" t="s">
        <v>47</v>
      </c>
      <c r="F1609" s="6">
        <v>42736</v>
      </c>
      <c r="G1609">
        <v>0</v>
      </c>
    </row>
    <row r="1610" spans="1:7" x14ac:dyDescent="0.25">
      <c r="A1610" s="5" t="s">
        <v>108</v>
      </c>
      <c r="B1610" s="5" t="s">
        <v>109</v>
      </c>
      <c r="C1610" s="5">
        <v>2330</v>
      </c>
      <c r="D1610" s="5" t="s">
        <v>45</v>
      </c>
      <c r="E1610" s="5" t="s">
        <v>48</v>
      </c>
      <c r="F1610" s="6">
        <v>42370</v>
      </c>
      <c r="G1610">
        <v>10</v>
      </c>
    </row>
    <row r="1611" spans="1:7" x14ac:dyDescent="0.25">
      <c r="A1611" s="5" t="s">
        <v>108</v>
      </c>
      <c r="B1611" s="5" t="s">
        <v>109</v>
      </c>
      <c r="C1611" s="5">
        <v>2330</v>
      </c>
      <c r="D1611" s="5" t="s">
        <v>45</v>
      </c>
      <c r="E1611" s="5" t="s">
        <v>48</v>
      </c>
      <c r="F1611" s="6">
        <v>42736</v>
      </c>
      <c r="G1611">
        <v>7</v>
      </c>
    </row>
    <row r="1612" spans="1:7" x14ac:dyDescent="0.25">
      <c r="A1612" s="5" t="s">
        <v>108</v>
      </c>
      <c r="B1612" s="5" t="s">
        <v>109</v>
      </c>
      <c r="C1612" s="5">
        <v>2330</v>
      </c>
      <c r="D1612" s="5" t="s">
        <v>45</v>
      </c>
      <c r="E1612" s="5" t="s">
        <v>49</v>
      </c>
      <c r="F1612" s="6">
        <v>42370</v>
      </c>
      <c r="G1612">
        <v>0</v>
      </c>
    </row>
    <row r="1613" spans="1:7" x14ac:dyDescent="0.25">
      <c r="A1613" s="5" t="s">
        <v>108</v>
      </c>
      <c r="B1613" s="5" t="s">
        <v>109</v>
      </c>
      <c r="C1613" s="5">
        <v>2330</v>
      </c>
      <c r="D1613" s="5" t="s">
        <v>45</v>
      </c>
      <c r="E1613" s="5" t="s">
        <v>49</v>
      </c>
      <c r="F1613" s="6">
        <v>42736</v>
      </c>
      <c r="G1613">
        <v>0</v>
      </c>
    </row>
    <row r="1614" spans="1:7" x14ac:dyDescent="0.25">
      <c r="A1614" s="5" t="s">
        <v>108</v>
      </c>
      <c r="B1614" s="5" t="s">
        <v>109</v>
      </c>
      <c r="C1614" s="5">
        <v>2330</v>
      </c>
      <c r="D1614" s="5" t="s">
        <v>45</v>
      </c>
      <c r="E1614" s="5" t="s">
        <v>50</v>
      </c>
      <c r="F1614" s="6">
        <v>42370</v>
      </c>
      <c r="G1614">
        <v>0</v>
      </c>
    </row>
    <row r="1615" spans="1:7" x14ac:dyDescent="0.25">
      <c r="A1615" s="5" t="s">
        <v>108</v>
      </c>
      <c r="B1615" s="5" t="s">
        <v>109</v>
      </c>
      <c r="C1615" s="5">
        <v>2330</v>
      </c>
      <c r="D1615" s="5" t="s">
        <v>45</v>
      </c>
      <c r="E1615" s="5" t="s">
        <v>50</v>
      </c>
      <c r="F1615" s="6">
        <v>42736</v>
      </c>
      <c r="G1615">
        <v>0</v>
      </c>
    </row>
    <row r="1616" spans="1:7" x14ac:dyDescent="0.25">
      <c r="A1616" s="5" t="s">
        <v>108</v>
      </c>
      <c r="B1616" s="5" t="s">
        <v>109</v>
      </c>
      <c r="C1616" s="5">
        <v>2330</v>
      </c>
      <c r="D1616" s="5" t="s">
        <v>45</v>
      </c>
      <c r="E1616" s="5" t="s">
        <v>51</v>
      </c>
      <c r="F1616" s="6">
        <v>42370</v>
      </c>
      <c r="G1616">
        <v>0</v>
      </c>
    </row>
    <row r="1617" spans="1:7" x14ac:dyDescent="0.25">
      <c r="A1617" s="5" t="s">
        <v>108</v>
      </c>
      <c r="B1617" s="5" t="s">
        <v>109</v>
      </c>
      <c r="C1617" s="5">
        <v>2330</v>
      </c>
      <c r="D1617" s="5" t="s">
        <v>45</v>
      </c>
      <c r="E1617" s="5" t="s">
        <v>51</v>
      </c>
      <c r="F1617" s="6">
        <v>42736</v>
      </c>
      <c r="G1617">
        <v>0</v>
      </c>
    </row>
    <row r="1618" spans="1:7" x14ac:dyDescent="0.25">
      <c r="A1618" s="5" t="s">
        <v>108</v>
      </c>
      <c r="B1618" s="5" t="s">
        <v>109</v>
      </c>
      <c r="C1618" s="5">
        <v>2330</v>
      </c>
      <c r="D1618" s="5" t="s">
        <v>45</v>
      </c>
      <c r="E1618" s="5" t="s">
        <v>52</v>
      </c>
      <c r="F1618" s="6">
        <v>42370</v>
      </c>
      <c r="G1618">
        <v>0</v>
      </c>
    </row>
    <row r="1619" spans="1:7" x14ac:dyDescent="0.25">
      <c r="A1619" s="5" t="s">
        <v>108</v>
      </c>
      <c r="B1619" s="5" t="s">
        <v>109</v>
      </c>
      <c r="C1619" s="5">
        <v>2330</v>
      </c>
      <c r="D1619" s="5" t="s">
        <v>45</v>
      </c>
      <c r="E1619" s="5" t="s">
        <v>52</v>
      </c>
      <c r="F1619" s="6">
        <v>42736</v>
      </c>
      <c r="G1619">
        <v>0</v>
      </c>
    </row>
    <row r="1620" spans="1:7" x14ac:dyDescent="0.25">
      <c r="A1620" s="5" t="s">
        <v>108</v>
      </c>
      <c r="B1620" s="5" t="s">
        <v>109</v>
      </c>
      <c r="C1620" s="5">
        <v>2330</v>
      </c>
      <c r="D1620" s="5" t="s">
        <v>45</v>
      </c>
      <c r="E1620" s="5" t="s">
        <v>53</v>
      </c>
      <c r="F1620" s="6">
        <v>42370</v>
      </c>
      <c r="G1620">
        <v>1</v>
      </c>
    </row>
    <row r="1621" spans="1:7" x14ac:dyDescent="0.25">
      <c r="A1621" s="5" t="s">
        <v>108</v>
      </c>
      <c r="B1621" s="5" t="s">
        <v>109</v>
      </c>
      <c r="C1621" s="5">
        <v>2330</v>
      </c>
      <c r="D1621" s="5" t="s">
        <v>45</v>
      </c>
      <c r="E1621" s="5" t="s">
        <v>53</v>
      </c>
      <c r="F1621" s="6">
        <v>42736</v>
      </c>
      <c r="G1621">
        <v>4</v>
      </c>
    </row>
    <row r="1622" spans="1:7" x14ac:dyDescent="0.25">
      <c r="A1622" s="5" t="s">
        <v>108</v>
      </c>
      <c r="B1622" s="5" t="s">
        <v>109</v>
      </c>
      <c r="C1622" s="5">
        <v>2330</v>
      </c>
      <c r="D1622" s="5" t="s">
        <v>45</v>
      </c>
      <c r="E1622" s="5" t="s">
        <v>54</v>
      </c>
      <c r="F1622" s="6">
        <v>42370</v>
      </c>
      <c r="G1622">
        <v>0</v>
      </c>
    </row>
    <row r="1623" spans="1:7" x14ac:dyDescent="0.25">
      <c r="A1623" s="5" t="s">
        <v>108</v>
      </c>
      <c r="B1623" s="5" t="s">
        <v>109</v>
      </c>
      <c r="C1623" s="5">
        <v>2330</v>
      </c>
      <c r="D1623" s="5" t="s">
        <v>45</v>
      </c>
      <c r="E1623" s="5" t="s">
        <v>54</v>
      </c>
      <c r="F1623" s="6">
        <v>42736</v>
      </c>
      <c r="G1623">
        <v>0</v>
      </c>
    </row>
    <row r="1624" spans="1:7" x14ac:dyDescent="0.25">
      <c r="A1624" s="5" t="s">
        <v>108</v>
      </c>
      <c r="B1624" s="5" t="s">
        <v>109</v>
      </c>
      <c r="C1624" s="5">
        <v>2330</v>
      </c>
      <c r="D1624" s="5" t="s">
        <v>45</v>
      </c>
      <c r="E1624" s="5" t="s">
        <v>55</v>
      </c>
      <c r="F1624" s="6">
        <v>42370</v>
      </c>
      <c r="G1624">
        <v>0</v>
      </c>
    </row>
    <row r="1625" spans="1:7" x14ac:dyDescent="0.25">
      <c r="A1625" s="5" t="s">
        <v>108</v>
      </c>
      <c r="B1625" s="5" t="s">
        <v>109</v>
      </c>
      <c r="C1625" s="5">
        <v>2330</v>
      </c>
      <c r="D1625" s="5" t="s">
        <v>45</v>
      </c>
      <c r="E1625" s="5" t="s">
        <v>55</v>
      </c>
      <c r="F1625" s="6">
        <v>42736</v>
      </c>
      <c r="G1625">
        <v>0</v>
      </c>
    </row>
    <row r="1626" spans="1:7" x14ac:dyDescent="0.25">
      <c r="A1626" s="5" t="s">
        <v>108</v>
      </c>
      <c r="B1626" s="5" t="s">
        <v>109</v>
      </c>
      <c r="C1626" s="5">
        <v>2330</v>
      </c>
      <c r="D1626" s="5" t="s">
        <v>45</v>
      </c>
      <c r="E1626" s="5" t="s">
        <v>56</v>
      </c>
      <c r="F1626" s="6">
        <v>42370</v>
      </c>
      <c r="G1626">
        <v>0</v>
      </c>
    </row>
    <row r="1627" spans="1:7" x14ac:dyDescent="0.25">
      <c r="A1627" s="5" t="s">
        <v>108</v>
      </c>
      <c r="B1627" s="5" t="s">
        <v>109</v>
      </c>
      <c r="C1627" s="5">
        <v>2330</v>
      </c>
      <c r="D1627" s="5" t="s">
        <v>45</v>
      </c>
      <c r="E1627" s="5" t="s">
        <v>56</v>
      </c>
      <c r="F1627" s="6">
        <v>42736</v>
      </c>
      <c r="G1627">
        <v>0</v>
      </c>
    </row>
    <row r="1628" spans="1:7" x14ac:dyDescent="0.25">
      <c r="A1628" s="5" t="s">
        <v>108</v>
      </c>
      <c r="B1628" s="5" t="s">
        <v>109</v>
      </c>
      <c r="C1628" s="5">
        <v>2330</v>
      </c>
      <c r="D1628" s="5" t="s">
        <v>45</v>
      </c>
      <c r="E1628" s="5" t="s">
        <v>57</v>
      </c>
      <c r="F1628" s="6">
        <v>42370</v>
      </c>
      <c r="G1628">
        <v>0</v>
      </c>
    </row>
    <row r="1629" spans="1:7" x14ac:dyDescent="0.25">
      <c r="A1629" s="5" t="s">
        <v>108</v>
      </c>
      <c r="B1629" s="5" t="s">
        <v>109</v>
      </c>
      <c r="C1629" s="5">
        <v>2330</v>
      </c>
      <c r="D1629" s="5" t="s">
        <v>45</v>
      </c>
      <c r="E1629" s="5" t="s">
        <v>57</v>
      </c>
      <c r="F1629" s="6">
        <v>42736</v>
      </c>
      <c r="G1629">
        <v>0</v>
      </c>
    </row>
    <row r="1630" spans="1:7" x14ac:dyDescent="0.25">
      <c r="A1630" s="5" t="s">
        <v>108</v>
      </c>
      <c r="B1630" s="5" t="s">
        <v>109</v>
      </c>
      <c r="C1630" s="5">
        <v>2330</v>
      </c>
      <c r="D1630" s="5" t="s">
        <v>45</v>
      </c>
      <c r="E1630" s="5" t="s">
        <v>58</v>
      </c>
      <c r="F1630" s="6">
        <v>42370</v>
      </c>
      <c r="G1630">
        <v>0</v>
      </c>
    </row>
    <row r="1631" spans="1:7" x14ac:dyDescent="0.25">
      <c r="A1631" s="5" t="s">
        <v>108</v>
      </c>
      <c r="B1631" s="5" t="s">
        <v>109</v>
      </c>
      <c r="C1631" s="5">
        <v>2330</v>
      </c>
      <c r="D1631" s="5" t="s">
        <v>45</v>
      </c>
      <c r="E1631" s="5" t="s">
        <v>58</v>
      </c>
      <c r="F1631" s="6">
        <v>42736</v>
      </c>
      <c r="G1631">
        <v>0</v>
      </c>
    </row>
    <row r="1632" spans="1:7" x14ac:dyDescent="0.25">
      <c r="A1632" s="5" t="s">
        <v>108</v>
      </c>
      <c r="B1632" s="5" t="s">
        <v>109</v>
      </c>
      <c r="C1632" s="5">
        <v>2330</v>
      </c>
      <c r="D1632" s="5" t="s">
        <v>45</v>
      </c>
      <c r="E1632" s="5" t="s">
        <v>59</v>
      </c>
      <c r="F1632" s="6">
        <v>42370</v>
      </c>
      <c r="G1632">
        <v>0</v>
      </c>
    </row>
    <row r="1633" spans="1:7" x14ac:dyDescent="0.25">
      <c r="A1633" s="5" t="s">
        <v>108</v>
      </c>
      <c r="B1633" s="5" t="s">
        <v>109</v>
      </c>
      <c r="C1633" s="5">
        <v>2330</v>
      </c>
      <c r="D1633" s="5" t="s">
        <v>45</v>
      </c>
      <c r="E1633" s="5" t="s">
        <v>59</v>
      </c>
      <c r="F1633" s="6">
        <v>42736</v>
      </c>
      <c r="G1633">
        <v>0</v>
      </c>
    </row>
    <row r="1634" spans="1:7" x14ac:dyDescent="0.25">
      <c r="A1634" s="5" t="s">
        <v>108</v>
      </c>
      <c r="B1634" s="5" t="s">
        <v>109</v>
      </c>
      <c r="C1634" s="5">
        <v>2330</v>
      </c>
      <c r="D1634" s="5" t="s">
        <v>45</v>
      </c>
      <c r="E1634" s="5" t="s">
        <v>60</v>
      </c>
      <c r="F1634" s="6">
        <v>42370</v>
      </c>
      <c r="G1634">
        <v>0</v>
      </c>
    </row>
    <row r="1635" spans="1:7" x14ac:dyDescent="0.25">
      <c r="A1635" s="5" t="s">
        <v>108</v>
      </c>
      <c r="B1635" s="5" t="s">
        <v>109</v>
      </c>
      <c r="C1635" s="5">
        <v>2330</v>
      </c>
      <c r="D1635" s="5" t="s">
        <v>45</v>
      </c>
      <c r="E1635" s="5" t="s">
        <v>60</v>
      </c>
      <c r="F1635" s="6">
        <v>42736</v>
      </c>
      <c r="G1635">
        <v>0</v>
      </c>
    </row>
    <row r="1636" spans="1:7" x14ac:dyDescent="0.25">
      <c r="A1636" s="5" t="s">
        <v>108</v>
      </c>
      <c r="B1636" s="5" t="s">
        <v>109</v>
      </c>
      <c r="C1636" s="5">
        <v>2330</v>
      </c>
      <c r="D1636" s="5" t="s">
        <v>45</v>
      </c>
      <c r="E1636" s="5" t="s">
        <v>61</v>
      </c>
      <c r="F1636" s="6">
        <v>42370</v>
      </c>
      <c r="G1636">
        <v>3</v>
      </c>
    </row>
    <row r="1637" spans="1:7" x14ac:dyDescent="0.25">
      <c r="A1637" s="5" t="s">
        <v>108</v>
      </c>
      <c r="B1637" s="5" t="s">
        <v>109</v>
      </c>
      <c r="C1637" s="5">
        <v>2330</v>
      </c>
      <c r="D1637" s="5" t="s">
        <v>45</v>
      </c>
      <c r="E1637" s="5" t="s">
        <v>61</v>
      </c>
      <c r="F1637" s="6">
        <v>42736</v>
      </c>
      <c r="G1637">
        <v>6</v>
      </c>
    </row>
    <row r="1638" spans="1:7" x14ac:dyDescent="0.25">
      <c r="A1638" s="5" t="s">
        <v>108</v>
      </c>
      <c r="B1638" s="5" t="s">
        <v>109</v>
      </c>
      <c r="C1638" s="5">
        <v>2330</v>
      </c>
      <c r="D1638" s="5" t="s">
        <v>62</v>
      </c>
      <c r="E1638" s="5" t="s">
        <v>63</v>
      </c>
      <c r="F1638" s="6">
        <v>42370</v>
      </c>
      <c r="G1638">
        <v>0</v>
      </c>
    </row>
    <row r="1639" spans="1:7" x14ac:dyDescent="0.25">
      <c r="A1639" s="5" t="s">
        <v>108</v>
      </c>
      <c r="B1639" s="5" t="s">
        <v>109</v>
      </c>
      <c r="C1639" s="5">
        <v>2330</v>
      </c>
      <c r="D1639" s="5" t="s">
        <v>62</v>
      </c>
      <c r="E1639" s="5" t="s">
        <v>63</v>
      </c>
      <c r="F1639" s="6">
        <v>42736</v>
      </c>
      <c r="G1639">
        <v>0</v>
      </c>
    </row>
    <row r="1640" spans="1:7" x14ac:dyDescent="0.25">
      <c r="A1640" s="5" t="s">
        <v>108</v>
      </c>
      <c r="B1640" s="5" t="s">
        <v>109</v>
      </c>
      <c r="C1640" s="5">
        <v>2330</v>
      </c>
      <c r="D1640" s="5" t="s">
        <v>62</v>
      </c>
      <c r="E1640" s="5" t="s">
        <v>64</v>
      </c>
      <c r="F1640" s="6">
        <v>42370</v>
      </c>
      <c r="G1640">
        <v>0</v>
      </c>
    </row>
    <row r="1641" spans="1:7" x14ac:dyDescent="0.25">
      <c r="A1641" s="5" t="s">
        <v>108</v>
      </c>
      <c r="B1641" s="5" t="s">
        <v>109</v>
      </c>
      <c r="C1641" s="5">
        <v>2330</v>
      </c>
      <c r="D1641" s="5" t="s">
        <v>62</v>
      </c>
      <c r="E1641" s="5" t="s">
        <v>64</v>
      </c>
      <c r="F1641" s="6">
        <v>42736</v>
      </c>
      <c r="G1641">
        <v>0</v>
      </c>
    </row>
    <row r="1642" spans="1:7" x14ac:dyDescent="0.25">
      <c r="A1642" s="5" t="s">
        <v>108</v>
      </c>
      <c r="B1642" s="5" t="s">
        <v>109</v>
      </c>
      <c r="C1642" s="5">
        <v>2330</v>
      </c>
      <c r="D1642" s="5" t="s">
        <v>62</v>
      </c>
      <c r="E1642" s="5" t="s">
        <v>9</v>
      </c>
      <c r="F1642" s="6">
        <v>42370</v>
      </c>
      <c r="G1642">
        <v>0</v>
      </c>
    </row>
    <row r="1643" spans="1:7" x14ac:dyDescent="0.25">
      <c r="A1643" s="5" t="s">
        <v>108</v>
      </c>
      <c r="B1643" s="5" t="s">
        <v>109</v>
      </c>
      <c r="C1643" s="5">
        <v>2330</v>
      </c>
      <c r="D1643" s="5" t="s">
        <v>62</v>
      </c>
      <c r="E1643" s="5" t="s">
        <v>9</v>
      </c>
      <c r="F1643" s="6">
        <v>42736</v>
      </c>
      <c r="G1643">
        <v>0</v>
      </c>
    </row>
    <row r="1644" spans="1:7" x14ac:dyDescent="0.25">
      <c r="A1644" s="5" t="s">
        <v>108</v>
      </c>
      <c r="B1644" s="5" t="s">
        <v>109</v>
      </c>
      <c r="C1644" s="5">
        <v>2330</v>
      </c>
      <c r="D1644" s="5" t="s">
        <v>62</v>
      </c>
      <c r="E1644" s="5" t="s">
        <v>65</v>
      </c>
      <c r="F1644" s="6">
        <v>42370</v>
      </c>
      <c r="G1644">
        <v>0</v>
      </c>
    </row>
    <row r="1645" spans="1:7" x14ac:dyDescent="0.25">
      <c r="A1645" s="5" t="s">
        <v>108</v>
      </c>
      <c r="B1645" s="5" t="s">
        <v>109</v>
      </c>
      <c r="C1645" s="5">
        <v>2330</v>
      </c>
      <c r="D1645" s="5" t="s">
        <v>62</v>
      </c>
      <c r="E1645" s="5" t="s">
        <v>65</v>
      </c>
      <c r="F1645" s="6">
        <v>42736</v>
      </c>
      <c r="G1645">
        <v>0</v>
      </c>
    </row>
    <row r="1646" spans="1:7" x14ac:dyDescent="0.25">
      <c r="A1646" s="5" t="s">
        <v>108</v>
      </c>
      <c r="B1646" s="5" t="s">
        <v>109</v>
      </c>
      <c r="C1646" s="5">
        <v>2330</v>
      </c>
      <c r="D1646" s="5" t="s">
        <v>62</v>
      </c>
      <c r="E1646" s="5" t="s">
        <v>66</v>
      </c>
      <c r="F1646" s="6">
        <v>42370</v>
      </c>
      <c r="G1646">
        <v>0</v>
      </c>
    </row>
    <row r="1647" spans="1:7" x14ac:dyDescent="0.25">
      <c r="A1647" s="5" t="s">
        <v>108</v>
      </c>
      <c r="B1647" s="5" t="s">
        <v>109</v>
      </c>
      <c r="C1647" s="5">
        <v>2330</v>
      </c>
      <c r="D1647" s="5" t="s">
        <v>62</v>
      </c>
      <c r="E1647" s="5" t="s">
        <v>66</v>
      </c>
      <c r="F1647" s="6">
        <v>42736</v>
      </c>
      <c r="G1647">
        <v>0</v>
      </c>
    </row>
    <row r="1648" spans="1:7" x14ac:dyDescent="0.25">
      <c r="A1648" s="5" t="s">
        <v>108</v>
      </c>
      <c r="B1648" s="5" t="s">
        <v>109</v>
      </c>
      <c r="C1648" s="5">
        <v>2330</v>
      </c>
      <c r="D1648" s="5" t="s">
        <v>62</v>
      </c>
      <c r="E1648" s="5" t="s">
        <v>67</v>
      </c>
      <c r="F1648" s="6">
        <v>42370</v>
      </c>
      <c r="G1648">
        <v>0</v>
      </c>
    </row>
    <row r="1649" spans="1:7" x14ac:dyDescent="0.25">
      <c r="A1649" s="5" t="s">
        <v>108</v>
      </c>
      <c r="B1649" s="5" t="s">
        <v>109</v>
      </c>
      <c r="C1649" s="5">
        <v>2330</v>
      </c>
      <c r="D1649" s="5" t="s">
        <v>62</v>
      </c>
      <c r="E1649" s="5" t="s">
        <v>67</v>
      </c>
      <c r="F1649" s="6">
        <v>42736</v>
      </c>
      <c r="G1649">
        <v>0</v>
      </c>
    </row>
    <row r="1650" spans="1:7" x14ac:dyDescent="0.25">
      <c r="A1650" s="5" t="s">
        <v>108</v>
      </c>
      <c r="B1650" s="5" t="s">
        <v>109</v>
      </c>
      <c r="C1650" s="5">
        <v>2330</v>
      </c>
      <c r="D1650" s="5" t="s">
        <v>62</v>
      </c>
      <c r="E1650" s="5" t="s">
        <v>68</v>
      </c>
      <c r="F1650" s="6">
        <v>42370</v>
      </c>
      <c r="G1650">
        <v>0</v>
      </c>
    </row>
    <row r="1651" spans="1:7" x14ac:dyDescent="0.25">
      <c r="A1651" s="5" t="s">
        <v>108</v>
      </c>
      <c r="B1651" s="5" t="s">
        <v>109</v>
      </c>
      <c r="C1651" s="5">
        <v>2330</v>
      </c>
      <c r="D1651" s="5" t="s">
        <v>62</v>
      </c>
      <c r="E1651" s="5" t="s">
        <v>68</v>
      </c>
      <c r="F1651" s="6">
        <v>42736</v>
      </c>
      <c r="G1651">
        <v>0</v>
      </c>
    </row>
    <row r="1652" spans="1:7" x14ac:dyDescent="0.25">
      <c r="A1652" s="5" t="s">
        <v>108</v>
      </c>
      <c r="B1652" s="5" t="s">
        <v>109</v>
      </c>
      <c r="C1652" s="5">
        <v>2330</v>
      </c>
      <c r="D1652" s="5" t="s">
        <v>62</v>
      </c>
      <c r="E1652" s="5" t="s">
        <v>69</v>
      </c>
      <c r="F1652" s="6">
        <v>42370</v>
      </c>
      <c r="G1652">
        <v>0</v>
      </c>
    </row>
    <row r="1653" spans="1:7" x14ac:dyDescent="0.25">
      <c r="A1653" s="5" t="s">
        <v>108</v>
      </c>
      <c r="B1653" s="5" t="s">
        <v>109</v>
      </c>
      <c r="C1653" s="5">
        <v>2330</v>
      </c>
      <c r="D1653" s="5" t="s">
        <v>62</v>
      </c>
      <c r="E1653" s="5" t="s">
        <v>69</v>
      </c>
      <c r="F1653" s="6">
        <v>42736</v>
      </c>
      <c r="G1653">
        <v>0</v>
      </c>
    </row>
    <row r="1654" spans="1:7" x14ac:dyDescent="0.25">
      <c r="A1654" s="5" t="s">
        <v>108</v>
      </c>
      <c r="B1654" s="5" t="s">
        <v>109</v>
      </c>
      <c r="C1654" s="5">
        <v>2330</v>
      </c>
      <c r="D1654" s="5" t="s">
        <v>62</v>
      </c>
      <c r="E1654" s="5" t="s">
        <v>70</v>
      </c>
      <c r="F1654" s="6">
        <v>42370</v>
      </c>
      <c r="G1654">
        <v>0</v>
      </c>
    </row>
    <row r="1655" spans="1:7" x14ac:dyDescent="0.25">
      <c r="A1655" s="5" t="s">
        <v>108</v>
      </c>
      <c r="B1655" s="5" t="s">
        <v>109</v>
      </c>
      <c r="C1655" s="5">
        <v>2330</v>
      </c>
      <c r="D1655" s="5" t="s">
        <v>62</v>
      </c>
      <c r="E1655" s="5" t="s">
        <v>70</v>
      </c>
      <c r="F1655" s="6">
        <v>42736</v>
      </c>
      <c r="G1655">
        <v>0</v>
      </c>
    </row>
    <row r="1656" spans="1:7" x14ac:dyDescent="0.25">
      <c r="A1656" s="5" t="s">
        <v>108</v>
      </c>
      <c r="B1656" s="5" t="s">
        <v>109</v>
      </c>
      <c r="C1656" s="5">
        <v>2330</v>
      </c>
      <c r="D1656" s="5" t="s">
        <v>62</v>
      </c>
      <c r="E1656" s="5" t="s">
        <v>71</v>
      </c>
      <c r="F1656" s="6">
        <v>42370</v>
      </c>
      <c r="G1656">
        <v>0</v>
      </c>
    </row>
    <row r="1657" spans="1:7" x14ac:dyDescent="0.25">
      <c r="A1657" s="5" t="s">
        <v>108</v>
      </c>
      <c r="B1657" s="5" t="s">
        <v>109</v>
      </c>
      <c r="C1657" s="5">
        <v>2330</v>
      </c>
      <c r="D1657" s="5" t="s">
        <v>62</v>
      </c>
      <c r="E1657" s="5" t="s">
        <v>71</v>
      </c>
      <c r="F1657" s="6">
        <v>42736</v>
      </c>
      <c r="G1657">
        <v>0</v>
      </c>
    </row>
    <row r="1658" spans="1:7" x14ac:dyDescent="0.25">
      <c r="A1658" s="5" t="s">
        <v>108</v>
      </c>
      <c r="B1658" s="5" t="s">
        <v>109</v>
      </c>
      <c r="C1658" s="5">
        <v>2330</v>
      </c>
      <c r="D1658" s="5" t="s">
        <v>72</v>
      </c>
      <c r="E1658" s="5" t="s">
        <v>73</v>
      </c>
      <c r="F1658" s="6">
        <v>42370</v>
      </c>
      <c r="G1658">
        <v>0</v>
      </c>
    </row>
    <row r="1659" spans="1:7" x14ac:dyDescent="0.25">
      <c r="A1659" s="5" t="s">
        <v>108</v>
      </c>
      <c r="B1659" s="5" t="s">
        <v>109</v>
      </c>
      <c r="C1659" s="5">
        <v>2330</v>
      </c>
      <c r="D1659" s="5" t="s">
        <v>72</v>
      </c>
      <c r="E1659" s="5" t="s">
        <v>73</v>
      </c>
      <c r="F1659" s="6">
        <v>42736</v>
      </c>
      <c r="G1659">
        <v>0</v>
      </c>
    </row>
    <row r="1660" spans="1:7" x14ac:dyDescent="0.25">
      <c r="A1660" s="5" t="s">
        <v>108</v>
      </c>
      <c r="B1660" s="5" t="s">
        <v>109</v>
      </c>
      <c r="C1660" s="5">
        <v>2330</v>
      </c>
      <c r="D1660" s="5" t="s">
        <v>72</v>
      </c>
      <c r="E1660" s="5" t="s">
        <v>9</v>
      </c>
      <c r="F1660" s="6">
        <v>42370</v>
      </c>
      <c r="G1660">
        <v>0</v>
      </c>
    </row>
    <row r="1661" spans="1:7" x14ac:dyDescent="0.25">
      <c r="A1661" s="5" t="s">
        <v>108</v>
      </c>
      <c r="B1661" s="5" t="s">
        <v>109</v>
      </c>
      <c r="C1661" s="5">
        <v>2330</v>
      </c>
      <c r="D1661" s="5" t="s">
        <v>72</v>
      </c>
      <c r="E1661" s="5" t="s">
        <v>9</v>
      </c>
      <c r="F1661" s="6">
        <v>42736</v>
      </c>
      <c r="G1661">
        <v>0</v>
      </c>
    </row>
    <row r="1662" spans="1:7" x14ac:dyDescent="0.25">
      <c r="A1662" s="5" t="s">
        <v>108</v>
      </c>
      <c r="B1662" s="5" t="s">
        <v>109</v>
      </c>
      <c r="C1662" s="5">
        <v>2330</v>
      </c>
      <c r="D1662" s="5" t="s">
        <v>72</v>
      </c>
      <c r="E1662" s="5" t="s">
        <v>34</v>
      </c>
      <c r="F1662" s="6">
        <v>42370</v>
      </c>
      <c r="G1662">
        <v>0</v>
      </c>
    </row>
    <row r="1663" spans="1:7" x14ac:dyDescent="0.25">
      <c r="A1663" s="5" t="s">
        <v>108</v>
      </c>
      <c r="B1663" s="5" t="s">
        <v>109</v>
      </c>
      <c r="C1663" s="5">
        <v>2330</v>
      </c>
      <c r="D1663" s="5" t="s">
        <v>72</v>
      </c>
      <c r="E1663" s="5" t="s">
        <v>34</v>
      </c>
      <c r="F1663" s="6">
        <v>42736</v>
      </c>
      <c r="G1663">
        <v>0</v>
      </c>
    </row>
    <row r="1664" spans="1:7" x14ac:dyDescent="0.25">
      <c r="A1664" s="5" t="s">
        <v>108</v>
      </c>
      <c r="B1664" s="5" t="s">
        <v>109</v>
      </c>
      <c r="C1664" s="5">
        <v>2330</v>
      </c>
      <c r="D1664" s="5" t="s">
        <v>72</v>
      </c>
      <c r="E1664" s="5" t="s">
        <v>74</v>
      </c>
      <c r="F1664" s="6">
        <v>42370</v>
      </c>
      <c r="G1664">
        <v>0</v>
      </c>
    </row>
    <row r="1665" spans="1:7" x14ac:dyDescent="0.25">
      <c r="A1665" s="5" t="s">
        <v>108</v>
      </c>
      <c r="B1665" s="5" t="s">
        <v>109</v>
      </c>
      <c r="C1665" s="5">
        <v>2330</v>
      </c>
      <c r="D1665" s="5" t="s">
        <v>72</v>
      </c>
      <c r="E1665" s="5" t="s">
        <v>74</v>
      </c>
      <c r="F1665" s="6">
        <v>42736</v>
      </c>
      <c r="G1665">
        <v>0</v>
      </c>
    </row>
    <row r="1666" spans="1:7" x14ac:dyDescent="0.25">
      <c r="A1666" s="5" t="s">
        <v>108</v>
      </c>
      <c r="B1666" s="5" t="s">
        <v>109</v>
      </c>
      <c r="C1666" s="5">
        <v>2330</v>
      </c>
      <c r="D1666" s="5" t="s">
        <v>72</v>
      </c>
      <c r="E1666" s="5" t="s">
        <v>75</v>
      </c>
      <c r="F1666" s="6">
        <v>42370</v>
      </c>
      <c r="G1666">
        <v>0</v>
      </c>
    </row>
    <row r="1667" spans="1:7" x14ac:dyDescent="0.25">
      <c r="A1667" s="5" t="s">
        <v>108</v>
      </c>
      <c r="B1667" s="5" t="s">
        <v>109</v>
      </c>
      <c r="C1667" s="5">
        <v>2330</v>
      </c>
      <c r="D1667" s="5" t="s">
        <v>72</v>
      </c>
      <c r="E1667" s="5" t="s">
        <v>75</v>
      </c>
      <c r="F1667" s="6">
        <v>42736</v>
      </c>
      <c r="G1667">
        <v>0</v>
      </c>
    </row>
    <row r="1668" spans="1:7" x14ac:dyDescent="0.25">
      <c r="A1668" s="5" t="s">
        <v>108</v>
      </c>
      <c r="B1668" s="5" t="s">
        <v>109</v>
      </c>
      <c r="C1668" s="5">
        <v>2330</v>
      </c>
      <c r="D1668" s="5" t="s">
        <v>76</v>
      </c>
      <c r="E1668" s="5" t="s">
        <v>9</v>
      </c>
      <c r="F1668" s="6">
        <v>42370</v>
      </c>
      <c r="G1668">
        <v>0</v>
      </c>
    </row>
    <row r="1669" spans="1:7" x14ac:dyDescent="0.25">
      <c r="A1669" s="5" t="s">
        <v>108</v>
      </c>
      <c r="B1669" s="5" t="s">
        <v>109</v>
      </c>
      <c r="C1669" s="5">
        <v>2330</v>
      </c>
      <c r="D1669" s="5" t="s">
        <v>76</v>
      </c>
      <c r="E1669" s="5" t="s">
        <v>9</v>
      </c>
      <c r="F1669" s="6">
        <v>42736</v>
      </c>
      <c r="G1669">
        <v>0</v>
      </c>
    </row>
    <row r="1670" spans="1:7" x14ac:dyDescent="0.25">
      <c r="A1670" s="5" t="s">
        <v>108</v>
      </c>
      <c r="B1670" s="5" t="s">
        <v>109</v>
      </c>
      <c r="C1670" s="5">
        <v>2330</v>
      </c>
      <c r="D1670" s="5" t="s">
        <v>76</v>
      </c>
      <c r="E1670" s="5" t="s">
        <v>77</v>
      </c>
      <c r="F1670" s="6">
        <v>42370</v>
      </c>
      <c r="G1670">
        <v>0</v>
      </c>
    </row>
    <row r="1671" spans="1:7" x14ac:dyDescent="0.25">
      <c r="A1671" s="5" t="s">
        <v>108</v>
      </c>
      <c r="B1671" s="5" t="s">
        <v>109</v>
      </c>
      <c r="C1671" s="5">
        <v>2330</v>
      </c>
      <c r="D1671" s="5" t="s">
        <v>76</v>
      </c>
      <c r="E1671" s="5" t="s">
        <v>77</v>
      </c>
      <c r="F1671" s="6">
        <v>42736</v>
      </c>
      <c r="G1671">
        <v>0</v>
      </c>
    </row>
    <row r="1672" spans="1:7" x14ac:dyDescent="0.25">
      <c r="A1672" s="5" t="s">
        <v>108</v>
      </c>
      <c r="B1672" s="5" t="s">
        <v>109</v>
      </c>
      <c r="C1672" s="5">
        <v>2330</v>
      </c>
      <c r="D1672" s="5" t="s">
        <v>78</v>
      </c>
      <c r="E1672" s="5" t="s">
        <v>79</v>
      </c>
      <c r="F1672" s="6">
        <v>42370</v>
      </c>
      <c r="G1672">
        <v>1</v>
      </c>
    </row>
    <row r="1673" spans="1:7" x14ac:dyDescent="0.25">
      <c r="A1673" s="5" t="s">
        <v>108</v>
      </c>
      <c r="B1673" s="5" t="s">
        <v>109</v>
      </c>
      <c r="C1673" s="5">
        <v>2330</v>
      </c>
      <c r="D1673" s="5" t="s">
        <v>78</v>
      </c>
      <c r="E1673" s="5" t="s">
        <v>79</v>
      </c>
      <c r="F1673" s="6">
        <v>42736</v>
      </c>
      <c r="G1673">
        <v>0</v>
      </c>
    </row>
    <row r="1674" spans="1:7" x14ac:dyDescent="0.25">
      <c r="A1674" s="5" t="s">
        <v>108</v>
      </c>
      <c r="B1674" s="5" t="s">
        <v>109</v>
      </c>
      <c r="C1674" s="5">
        <v>2330</v>
      </c>
      <c r="D1674" s="5" t="s">
        <v>78</v>
      </c>
      <c r="E1674" s="5" t="s">
        <v>80</v>
      </c>
      <c r="F1674" s="6">
        <v>42370</v>
      </c>
      <c r="G1674">
        <v>0</v>
      </c>
    </row>
    <row r="1675" spans="1:7" x14ac:dyDescent="0.25">
      <c r="A1675" s="5" t="s">
        <v>108</v>
      </c>
      <c r="B1675" s="5" t="s">
        <v>109</v>
      </c>
      <c r="C1675" s="5">
        <v>2330</v>
      </c>
      <c r="D1675" s="5" t="s">
        <v>78</v>
      </c>
      <c r="E1675" s="5" t="s">
        <v>80</v>
      </c>
      <c r="F1675" s="6">
        <v>42736</v>
      </c>
      <c r="G1675">
        <v>0</v>
      </c>
    </row>
    <row r="1676" spans="1:7" x14ac:dyDescent="0.25">
      <c r="A1676" s="5" t="s">
        <v>108</v>
      </c>
      <c r="B1676" s="5" t="s">
        <v>109</v>
      </c>
      <c r="C1676" s="5">
        <v>2330</v>
      </c>
      <c r="D1676" s="5" t="s">
        <v>78</v>
      </c>
      <c r="E1676" s="5" t="s">
        <v>81</v>
      </c>
      <c r="F1676" s="6">
        <v>42370</v>
      </c>
      <c r="G1676">
        <v>159</v>
      </c>
    </row>
    <row r="1677" spans="1:7" x14ac:dyDescent="0.25">
      <c r="A1677" s="5" t="s">
        <v>108</v>
      </c>
      <c r="B1677" s="5" t="s">
        <v>109</v>
      </c>
      <c r="C1677" s="5">
        <v>2330</v>
      </c>
      <c r="D1677" s="5" t="s">
        <v>78</v>
      </c>
      <c r="E1677" s="5" t="s">
        <v>81</v>
      </c>
      <c r="F1677" s="6">
        <v>42736</v>
      </c>
      <c r="G1677">
        <v>215</v>
      </c>
    </row>
    <row r="1678" spans="1:7" x14ac:dyDescent="0.25">
      <c r="A1678" s="5" t="s">
        <v>108</v>
      </c>
      <c r="B1678" s="5" t="s">
        <v>109</v>
      </c>
      <c r="C1678" s="5">
        <v>2330</v>
      </c>
      <c r="D1678" s="5" t="s">
        <v>78</v>
      </c>
      <c r="E1678" s="5" t="s">
        <v>82</v>
      </c>
      <c r="F1678" s="6">
        <v>42370</v>
      </c>
      <c r="G1678">
        <v>0</v>
      </c>
    </row>
    <row r="1679" spans="1:7" x14ac:dyDescent="0.25">
      <c r="A1679" s="5" t="s">
        <v>108</v>
      </c>
      <c r="B1679" s="5" t="s">
        <v>109</v>
      </c>
      <c r="C1679" s="5">
        <v>2330</v>
      </c>
      <c r="D1679" s="5" t="s">
        <v>78</v>
      </c>
      <c r="E1679" s="5" t="s">
        <v>82</v>
      </c>
      <c r="F1679" s="6">
        <v>42736</v>
      </c>
      <c r="G1679">
        <v>0</v>
      </c>
    </row>
    <row r="1680" spans="1:7" x14ac:dyDescent="0.25">
      <c r="A1680" s="5" t="s">
        <v>108</v>
      </c>
      <c r="B1680" s="5" t="s">
        <v>109</v>
      </c>
      <c r="C1680" s="5">
        <v>2330</v>
      </c>
      <c r="D1680" s="5" t="s">
        <v>78</v>
      </c>
      <c r="E1680" s="5" t="s">
        <v>83</v>
      </c>
      <c r="F1680" s="6">
        <v>42370</v>
      </c>
      <c r="G1680">
        <v>0</v>
      </c>
    </row>
    <row r="1681" spans="1:7" x14ac:dyDescent="0.25">
      <c r="A1681" s="5" t="s">
        <v>108</v>
      </c>
      <c r="B1681" s="5" t="s">
        <v>109</v>
      </c>
      <c r="C1681" s="5">
        <v>2330</v>
      </c>
      <c r="D1681" s="5" t="s">
        <v>78</v>
      </c>
      <c r="E1681" s="5" t="s">
        <v>83</v>
      </c>
      <c r="F1681" s="6">
        <v>42736</v>
      </c>
      <c r="G1681">
        <v>0</v>
      </c>
    </row>
    <row r="1682" spans="1:7" x14ac:dyDescent="0.25">
      <c r="A1682" s="5" t="s">
        <v>108</v>
      </c>
      <c r="B1682" s="5" t="s">
        <v>109</v>
      </c>
      <c r="C1682" s="5">
        <v>2330</v>
      </c>
      <c r="D1682" s="5" t="s">
        <v>78</v>
      </c>
      <c r="E1682" s="5" t="s">
        <v>84</v>
      </c>
      <c r="F1682" s="6">
        <v>42370</v>
      </c>
      <c r="G1682">
        <v>0</v>
      </c>
    </row>
    <row r="1683" spans="1:7" x14ac:dyDescent="0.25">
      <c r="A1683" s="5" t="s">
        <v>108</v>
      </c>
      <c r="B1683" s="5" t="s">
        <v>109</v>
      </c>
      <c r="C1683" s="5">
        <v>2330</v>
      </c>
      <c r="D1683" s="5" t="s">
        <v>78</v>
      </c>
      <c r="E1683" s="5" t="s">
        <v>84</v>
      </c>
      <c r="F1683" s="6">
        <v>42736</v>
      </c>
      <c r="G1683">
        <v>0</v>
      </c>
    </row>
    <row r="1684" spans="1:7" x14ac:dyDescent="0.25">
      <c r="A1684" s="5" t="s">
        <v>108</v>
      </c>
      <c r="B1684" s="5" t="s">
        <v>109</v>
      </c>
      <c r="C1684" s="5">
        <v>2330</v>
      </c>
      <c r="D1684" s="5" t="s">
        <v>78</v>
      </c>
      <c r="E1684" s="5" t="s">
        <v>85</v>
      </c>
      <c r="F1684" s="6">
        <v>42370</v>
      </c>
      <c r="G1684">
        <v>0</v>
      </c>
    </row>
    <row r="1685" spans="1:7" x14ac:dyDescent="0.25">
      <c r="A1685" s="5" t="s">
        <v>108</v>
      </c>
      <c r="B1685" s="5" t="s">
        <v>109</v>
      </c>
      <c r="C1685" s="5">
        <v>2330</v>
      </c>
      <c r="D1685" s="5" t="s">
        <v>78</v>
      </c>
      <c r="E1685" s="5" t="s">
        <v>85</v>
      </c>
      <c r="F1685" s="6">
        <v>42736</v>
      </c>
      <c r="G1685">
        <v>0</v>
      </c>
    </row>
    <row r="1686" spans="1:7" x14ac:dyDescent="0.25">
      <c r="A1686" s="5" t="s">
        <v>108</v>
      </c>
      <c r="B1686" s="5" t="s">
        <v>109</v>
      </c>
      <c r="C1686" s="5">
        <v>2330</v>
      </c>
      <c r="D1686" s="5" t="s">
        <v>78</v>
      </c>
      <c r="E1686" s="5" t="s">
        <v>86</v>
      </c>
      <c r="F1686" s="6">
        <v>42370</v>
      </c>
      <c r="G1686">
        <v>0</v>
      </c>
    </row>
    <row r="1687" spans="1:7" x14ac:dyDescent="0.25">
      <c r="A1687" s="5" t="s">
        <v>108</v>
      </c>
      <c r="B1687" s="5" t="s">
        <v>109</v>
      </c>
      <c r="C1687" s="5">
        <v>2330</v>
      </c>
      <c r="D1687" s="5" t="s">
        <v>78</v>
      </c>
      <c r="E1687" s="5" t="s">
        <v>86</v>
      </c>
      <c r="F1687" s="6">
        <v>42736</v>
      </c>
      <c r="G1687">
        <v>0</v>
      </c>
    </row>
    <row r="1688" spans="1:7" x14ac:dyDescent="0.25">
      <c r="A1688" s="5" t="s">
        <v>108</v>
      </c>
      <c r="B1688" s="5" t="s">
        <v>109</v>
      </c>
      <c r="C1688" s="5">
        <v>2330</v>
      </c>
      <c r="D1688" s="5" t="s">
        <v>78</v>
      </c>
      <c r="E1688" s="5" t="s">
        <v>87</v>
      </c>
      <c r="F1688" s="6">
        <v>42370</v>
      </c>
      <c r="G1688">
        <v>0</v>
      </c>
    </row>
    <row r="1689" spans="1:7" x14ac:dyDescent="0.25">
      <c r="A1689" s="5" t="s">
        <v>108</v>
      </c>
      <c r="B1689" s="5" t="s">
        <v>109</v>
      </c>
      <c r="C1689" s="5">
        <v>2330</v>
      </c>
      <c r="D1689" s="5" t="s">
        <v>78</v>
      </c>
      <c r="E1689" s="5" t="s">
        <v>87</v>
      </c>
      <c r="F1689" s="6">
        <v>42736</v>
      </c>
      <c r="G1689">
        <v>0</v>
      </c>
    </row>
    <row r="1690" spans="1:7" x14ac:dyDescent="0.25">
      <c r="A1690" s="5" t="s">
        <v>108</v>
      </c>
      <c r="B1690" s="5" t="s">
        <v>109</v>
      </c>
      <c r="C1690" s="5">
        <v>2330</v>
      </c>
      <c r="D1690" s="5" t="s">
        <v>78</v>
      </c>
      <c r="E1690" s="5" t="s">
        <v>88</v>
      </c>
      <c r="F1690" s="6">
        <v>42370</v>
      </c>
      <c r="G1690">
        <v>46</v>
      </c>
    </row>
    <row r="1691" spans="1:7" x14ac:dyDescent="0.25">
      <c r="A1691" s="5" t="s">
        <v>108</v>
      </c>
      <c r="B1691" s="5" t="s">
        <v>109</v>
      </c>
      <c r="C1691" s="5">
        <v>2330</v>
      </c>
      <c r="D1691" s="5" t="s">
        <v>78</v>
      </c>
      <c r="E1691" s="5" t="s">
        <v>88</v>
      </c>
      <c r="F1691" s="6">
        <v>42736</v>
      </c>
      <c r="G1691">
        <v>78</v>
      </c>
    </row>
    <row r="1692" spans="1:7" x14ac:dyDescent="0.25">
      <c r="A1692" s="5" t="s">
        <v>108</v>
      </c>
      <c r="B1692" s="5" t="s">
        <v>109</v>
      </c>
      <c r="C1692" s="5">
        <v>2330</v>
      </c>
      <c r="D1692" s="5" t="s">
        <v>78</v>
      </c>
      <c r="E1692" s="5" t="s">
        <v>89</v>
      </c>
      <c r="F1692" s="6">
        <v>42370</v>
      </c>
      <c r="G1692">
        <v>495</v>
      </c>
    </row>
    <row r="1693" spans="1:7" x14ac:dyDescent="0.25">
      <c r="A1693" s="5" t="s">
        <v>108</v>
      </c>
      <c r="B1693" s="5" t="s">
        <v>109</v>
      </c>
      <c r="C1693" s="5">
        <v>2330</v>
      </c>
      <c r="D1693" s="5" t="s">
        <v>78</v>
      </c>
      <c r="E1693" s="5" t="s">
        <v>89</v>
      </c>
      <c r="F1693" s="6">
        <v>42736</v>
      </c>
      <c r="G1693">
        <v>578</v>
      </c>
    </row>
    <row r="1694" spans="1:7" x14ac:dyDescent="0.25">
      <c r="A1694" s="5" t="s">
        <v>108</v>
      </c>
      <c r="B1694" s="5" t="s">
        <v>109</v>
      </c>
      <c r="C1694" s="5">
        <v>2330</v>
      </c>
      <c r="D1694" s="5" t="s">
        <v>78</v>
      </c>
      <c r="E1694" s="5" t="s">
        <v>90</v>
      </c>
      <c r="F1694" s="6">
        <v>42370</v>
      </c>
      <c r="G1694">
        <v>0</v>
      </c>
    </row>
    <row r="1695" spans="1:7" x14ac:dyDescent="0.25">
      <c r="A1695" s="5" t="s">
        <v>108</v>
      </c>
      <c r="B1695" s="5" t="s">
        <v>109</v>
      </c>
      <c r="C1695" s="5">
        <v>2330</v>
      </c>
      <c r="D1695" s="5" t="s">
        <v>78</v>
      </c>
      <c r="E1695" s="5" t="s">
        <v>90</v>
      </c>
      <c r="F1695" s="6">
        <v>42736</v>
      </c>
      <c r="G1695">
        <v>0</v>
      </c>
    </row>
    <row r="1696" spans="1:7" x14ac:dyDescent="0.25">
      <c r="A1696" s="5" t="s">
        <v>108</v>
      </c>
      <c r="B1696" s="5" t="s">
        <v>109</v>
      </c>
      <c r="C1696" s="5">
        <v>2330</v>
      </c>
      <c r="D1696" s="5" t="s">
        <v>78</v>
      </c>
      <c r="E1696" s="5" t="s">
        <v>91</v>
      </c>
      <c r="F1696" s="6">
        <v>42370</v>
      </c>
      <c r="G1696">
        <v>0</v>
      </c>
    </row>
    <row r="1697" spans="1:7" x14ac:dyDescent="0.25">
      <c r="A1697" s="5" t="s">
        <v>108</v>
      </c>
      <c r="B1697" s="5" t="s">
        <v>109</v>
      </c>
      <c r="C1697" s="5">
        <v>2330</v>
      </c>
      <c r="D1697" s="5" t="s">
        <v>78</v>
      </c>
      <c r="E1697" s="5" t="s">
        <v>91</v>
      </c>
      <c r="F1697" s="6">
        <v>42736</v>
      </c>
      <c r="G1697">
        <v>0</v>
      </c>
    </row>
    <row r="1698" spans="1:7" x14ac:dyDescent="0.25">
      <c r="A1698" s="5" t="s">
        <v>108</v>
      </c>
      <c r="B1698" s="5" t="s">
        <v>109</v>
      </c>
      <c r="C1698" s="5">
        <v>2330</v>
      </c>
      <c r="D1698" s="5" t="s">
        <v>78</v>
      </c>
      <c r="E1698" s="5" t="s">
        <v>92</v>
      </c>
      <c r="F1698" s="6">
        <v>42370</v>
      </c>
      <c r="G1698">
        <v>0</v>
      </c>
    </row>
    <row r="1699" spans="1:7" x14ac:dyDescent="0.25">
      <c r="A1699" s="5" t="s">
        <v>108</v>
      </c>
      <c r="B1699" s="5" t="s">
        <v>109</v>
      </c>
      <c r="C1699" s="5">
        <v>2330</v>
      </c>
      <c r="D1699" s="5" t="s">
        <v>78</v>
      </c>
      <c r="E1699" s="5" t="s">
        <v>92</v>
      </c>
      <c r="F1699" s="6">
        <v>42736</v>
      </c>
      <c r="G1699">
        <v>0</v>
      </c>
    </row>
    <row r="1700" spans="1:7" x14ac:dyDescent="0.25">
      <c r="A1700" s="5" t="s">
        <v>108</v>
      </c>
      <c r="B1700" s="5" t="s">
        <v>109</v>
      </c>
      <c r="C1700" s="5">
        <v>2330</v>
      </c>
      <c r="D1700" s="5" t="s">
        <v>78</v>
      </c>
      <c r="E1700" s="5" t="s">
        <v>93</v>
      </c>
      <c r="F1700" s="6">
        <v>42370</v>
      </c>
      <c r="G1700">
        <v>0</v>
      </c>
    </row>
    <row r="1701" spans="1:7" x14ac:dyDescent="0.25">
      <c r="A1701" s="5" t="s">
        <v>108</v>
      </c>
      <c r="B1701" s="5" t="s">
        <v>109</v>
      </c>
      <c r="C1701" s="5">
        <v>2330</v>
      </c>
      <c r="D1701" s="5" t="s">
        <v>78</v>
      </c>
      <c r="E1701" s="5" t="s">
        <v>93</v>
      </c>
      <c r="F1701" s="6">
        <v>42736</v>
      </c>
      <c r="G1701">
        <v>0</v>
      </c>
    </row>
    <row r="1702" spans="1:7" x14ac:dyDescent="0.25">
      <c r="A1702" s="5" t="s">
        <v>108</v>
      </c>
      <c r="B1702" s="5" t="s">
        <v>109</v>
      </c>
      <c r="C1702" s="5">
        <v>2330</v>
      </c>
      <c r="D1702" s="5" t="s">
        <v>78</v>
      </c>
      <c r="E1702" s="5" t="s">
        <v>94</v>
      </c>
      <c r="F1702" s="6">
        <v>42370</v>
      </c>
      <c r="G1702">
        <v>0</v>
      </c>
    </row>
    <row r="1703" spans="1:7" x14ac:dyDescent="0.25">
      <c r="A1703" s="5" t="s">
        <v>108</v>
      </c>
      <c r="B1703" s="5" t="s">
        <v>109</v>
      </c>
      <c r="C1703" s="5">
        <v>2330</v>
      </c>
      <c r="D1703" s="5" t="s">
        <v>78</v>
      </c>
      <c r="E1703" s="5" t="s">
        <v>94</v>
      </c>
      <c r="F1703" s="6">
        <v>42736</v>
      </c>
      <c r="G1703">
        <v>0</v>
      </c>
    </row>
    <row r="1704" spans="1:7" x14ac:dyDescent="0.25">
      <c r="A1704" s="5" t="s">
        <v>108</v>
      </c>
      <c r="B1704" s="5" t="s">
        <v>109</v>
      </c>
      <c r="C1704" s="5">
        <v>2330</v>
      </c>
      <c r="D1704" s="5" t="s">
        <v>78</v>
      </c>
      <c r="E1704" s="5" t="s">
        <v>95</v>
      </c>
      <c r="F1704" s="6">
        <v>42370</v>
      </c>
      <c r="G1704">
        <v>0</v>
      </c>
    </row>
    <row r="1705" spans="1:7" x14ac:dyDescent="0.25">
      <c r="A1705" s="5" t="s">
        <v>108</v>
      </c>
      <c r="B1705" s="5" t="s">
        <v>109</v>
      </c>
      <c r="C1705" s="5">
        <v>2330</v>
      </c>
      <c r="D1705" s="5" t="s">
        <v>78</v>
      </c>
      <c r="E1705" s="5" t="s">
        <v>95</v>
      </c>
      <c r="F1705" s="6">
        <v>42736</v>
      </c>
      <c r="G1705">
        <v>0</v>
      </c>
    </row>
    <row r="1706" spans="1:7" x14ac:dyDescent="0.25">
      <c r="A1706" s="5" t="s">
        <v>108</v>
      </c>
      <c r="B1706" s="5" t="s">
        <v>109</v>
      </c>
      <c r="C1706" s="5">
        <v>2330</v>
      </c>
      <c r="D1706" s="5" t="s">
        <v>78</v>
      </c>
      <c r="E1706" s="5" t="s">
        <v>96</v>
      </c>
      <c r="F1706" s="6">
        <v>42370</v>
      </c>
      <c r="G1706">
        <v>0</v>
      </c>
    </row>
    <row r="1707" spans="1:7" x14ac:dyDescent="0.25">
      <c r="A1707" s="5" t="s">
        <v>108</v>
      </c>
      <c r="B1707" s="5" t="s">
        <v>109</v>
      </c>
      <c r="C1707" s="5">
        <v>2330</v>
      </c>
      <c r="D1707" s="5" t="s">
        <v>78</v>
      </c>
      <c r="E1707" s="5" t="s">
        <v>96</v>
      </c>
      <c r="F1707" s="6">
        <v>42736</v>
      </c>
      <c r="G1707">
        <v>0</v>
      </c>
    </row>
    <row r="1708" spans="1:7" x14ac:dyDescent="0.25">
      <c r="A1708" s="5" t="s">
        <v>108</v>
      </c>
      <c r="B1708" s="5" t="s">
        <v>109</v>
      </c>
      <c r="C1708" s="5">
        <v>2330</v>
      </c>
      <c r="D1708" s="5" t="s">
        <v>78</v>
      </c>
      <c r="E1708" s="5" t="s">
        <v>97</v>
      </c>
      <c r="F1708" s="6">
        <v>42370</v>
      </c>
      <c r="G1708">
        <v>0</v>
      </c>
    </row>
    <row r="1709" spans="1:7" x14ac:dyDescent="0.25">
      <c r="A1709" s="5" t="s">
        <v>108</v>
      </c>
      <c r="B1709" s="5" t="s">
        <v>109</v>
      </c>
      <c r="C1709" s="5">
        <v>2330</v>
      </c>
      <c r="D1709" s="5" t="s">
        <v>78</v>
      </c>
      <c r="E1709" s="5" t="s">
        <v>97</v>
      </c>
      <c r="F1709" s="6">
        <v>42736</v>
      </c>
      <c r="G1709">
        <v>0</v>
      </c>
    </row>
    <row r="1710" spans="1:7" x14ac:dyDescent="0.25">
      <c r="A1710" s="5" t="s">
        <v>108</v>
      </c>
      <c r="B1710" s="5" t="s">
        <v>109</v>
      </c>
      <c r="C1710" s="5">
        <v>2330</v>
      </c>
      <c r="D1710" s="5" t="s">
        <v>78</v>
      </c>
      <c r="E1710" s="5" t="s">
        <v>98</v>
      </c>
      <c r="F1710" s="6">
        <v>42370</v>
      </c>
      <c r="G1710">
        <v>0</v>
      </c>
    </row>
    <row r="1711" spans="1:7" x14ac:dyDescent="0.25">
      <c r="A1711" s="5" t="s">
        <v>108</v>
      </c>
      <c r="B1711" s="5" t="s">
        <v>109</v>
      </c>
      <c r="C1711" s="5">
        <v>2330</v>
      </c>
      <c r="D1711" s="5" t="s">
        <v>78</v>
      </c>
      <c r="E1711" s="5" t="s">
        <v>98</v>
      </c>
      <c r="F1711" s="6">
        <v>42736</v>
      </c>
      <c r="G1711">
        <v>0</v>
      </c>
    </row>
    <row r="1712" spans="1:7" x14ac:dyDescent="0.25">
      <c r="A1712" s="5" t="s">
        <v>108</v>
      </c>
      <c r="B1712" s="5" t="s">
        <v>110</v>
      </c>
      <c r="C1712" s="5">
        <v>2310</v>
      </c>
      <c r="D1712" s="5" t="s">
        <v>8</v>
      </c>
      <c r="E1712" s="5" t="s">
        <v>9</v>
      </c>
      <c r="F1712" s="6">
        <v>42370</v>
      </c>
      <c r="G1712">
        <v>0</v>
      </c>
    </row>
    <row r="1713" spans="1:7" x14ac:dyDescent="0.25">
      <c r="A1713" s="5" t="s">
        <v>108</v>
      </c>
      <c r="B1713" s="5" t="s">
        <v>110</v>
      </c>
      <c r="C1713" s="5">
        <v>2310</v>
      </c>
      <c r="D1713" s="5" t="s">
        <v>8</v>
      </c>
      <c r="E1713" s="5" t="s">
        <v>9</v>
      </c>
      <c r="F1713" s="6">
        <v>42736</v>
      </c>
      <c r="G1713">
        <v>0</v>
      </c>
    </row>
    <row r="1714" spans="1:7" x14ac:dyDescent="0.25">
      <c r="A1714" s="5" t="s">
        <v>108</v>
      </c>
      <c r="B1714" s="5" t="s">
        <v>110</v>
      </c>
      <c r="C1714" s="5">
        <v>2310</v>
      </c>
      <c r="D1714" s="5" t="s">
        <v>8</v>
      </c>
      <c r="E1714" s="5" t="s">
        <v>10</v>
      </c>
      <c r="F1714" s="6">
        <v>42370</v>
      </c>
      <c r="G1714">
        <v>0</v>
      </c>
    </row>
    <row r="1715" spans="1:7" x14ac:dyDescent="0.25">
      <c r="A1715" s="5" t="s">
        <v>108</v>
      </c>
      <c r="B1715" s="5" t="s">
        <v>110</v>
      </c>
      <c r="C1715" s="5">
        <v>2310</v>
      </c>
      <c r="D1715" s="5" t="s">
        <v>8</v>
      </c>
      <c r="E1715" s="5" t="s">
        <v>10</v>
      </c>
      <c r="F1715" s="6">
        <v>42736</v>
      </c>
      <c r="G1715">
        <v>0</v>
      </c>
    </row>
    <row r="1716" spans="1:7" x14ac:dyDescent="0.25">
      <c r="A1716" s="5" t="s">
        <v>108</v>
      </c>
      <c r="B1716" s="5" t="s">
        <v>110</v>
      </c>
      <c r="C1716" s="5">
        <v>2310</v>
      </c>
      <c r="D1716" s="5" t="s">
        <v>8</v>
      </c>
      <c r="E1716" s="5" t="s">
        <v>11</v>
      </c>
      <c r="F1716" s="6">
        <v>42370</v>
      </c>
      <c r="G1716">
        <v>0</v>
      </c>
    </row>
    <row r="1717" spans="1:7" x14ac:dyDescent="0.25">
      <c r="A1717" s="5" t="s">
        <v>108</v>
      </c>
      <c r="B1717" s="5" t="s">
        <v>110</v>
      </c>
      <c r="C1717" s="5">
        <v>2310</v>
      </c>
      <c r="D1717" s="5" t="s">
        <v>8</v>
      </c>
      <c r="E1717" s="5" t="s">
        <v>11</v>
      </c>
      <c r="F1717" s="6">
        <v>42736</v>
      </c>
      <c r="G1717">
        <v>0</v>
      </c>
    </row>
    <row r="1718" spans="1:7" x14ac:dyDescent="0.25">
      <c r="A1718" s="5" t="s">
        <v>108</v>
      </c>
      <c r="B1718" s="5" t="s">
        <v>110</v>
      </c>
      <c r="C1718" s="5">
        <v>2310</v>
      </c>
      <c r="D1718" s="5" t="s">
        <v>8</v>
      </c>
      <c r="E1718" s="5" t="s">
        <v>12</v>
      </c>
      <c r="F1718" s="6">
        <v>42370</v>
      </c>
      <c r="G1718">
        <v>0</v>
      </c>
    </row>
    <row r="1719" spans="1:7" x14ac:dyDescent="0.25">
      <c r="A1719" s="5" t="s">
        <v>108</v>
      </c>
      <c r="B1719" s="5" t="s">
        <v>110</v>
      </c>
      <c r="C1719" s="5">
        <v>2310</v>
      </c>
      <c r="D1719" s="5" t="s">
        <v>8</v>
      </c>
      <c r="E1719" s="5" t="s">
        <v>12</v>
      </c>
      <c r="F1719" s="6">
        <v>42736</v>
      </c>
      <c r="G1719">
        <v>0</v>
      </c>
    </row>
    <row r="1720" spans="1:7" x14ac:dyDescent="0.25">
      <c r="A1720" s="5" t="s">
        <v>108</v>
      </c>
      <c r="B1720" s="5" t="s">
        <v>110</v>
      </c>
      <c r="C1720" s="5">
        <v>2310</v>
      </c>
      <c r="D1720" s="5" t="s">
        <v>8</v>
      </c>
      <c r="E1720" s="5" t="s">
        <v>13</v>
      </c>
      <c r="F1720" s="6">
        <v>42370</v>
      </c>
      <c r="G1720">
        <v>0</v>
      </c>
    </row>
    <row r="1721" spans="1:7" x14ac:dyDescent="0.25">
      <c r="A1721" s="5" t="s">
        <v>108</v>
      </c>
      <c r="B1721" s="5" t="s">
        <v>110</v>
      </c>
      <c r="C1721" s="5">
        <v>2310</v>
      </c>
      <c r="D1721" s="5" t="s">
        <v>8</v>
      </c>
      <c r="E1721" s="5" t="s">
        <v>13</v>
      </c>
      <c r="F1721" s="6">
        <v>42736</v>
      </c>
      <c r="G1721">
        <v>0</v>
      </c>
    </row>
    <row r="1722" spans="1:7" x14ac:dyDescent="0.25">
      <c r="A1722" s="5" t="s">
        <v>108</v>
      </c>
      <c r="B1722" s="5" t="s">
        <v>110</v>
      </c>
      <c r="C1722" s="5">
        <v>2310</v>
      </c>
      <c r="D1722" s="5" t="s">
        <v>8</v>
      </c>
      <c r="E1722" s="5" t="s">
        <v>14</v>
      </c>
      <c r="F1722" s="6">
        <v>42370</v>
      </c>
      <c r="G1722">
        <v>0</v>
      </c>
    </row>
    <row r="1723" spans="1:7" x14ac:dyDescent="0.25">
      <c r="A1723" s="5" t="s">
        <v>108</v>
      </c>
      <c r="B1723" s="5" t="s">
        <v>110</v>
      </c>
      <c r="C1723" s="5">
        <v>2310</v>
      </c>
      <c r="D1723" s="5" t="s">
        <v>8</v>
      </c>
      <c r="E1723" s="5" t="s">
        <v>14</v>
      </c>
      <c r="F1723" s="6">
        <v>42736</v>
      </c>
      <c r="G1723">
        <v>0</v>
      </c>
    </row>
    <row r="1724" spans="1:7" x14ac:dyDescent="0.25">
      <c r="A1724" s="5" t="s">
        <v>108</v>
      </c>
      <c r="B1724" s="5" t="s">
        <v>110</v>
      </c>
      <c r="C1724" s="5">
        <v>2310</v>
      </c>
      <c r="D1724" s="5" t="s">
        <v>8</v>
      </c>
      <c r="E1724" s="5" t="s">
        <v>15</v>
      </c>
      <c r="F1724" s="6">
        <v>42370</v>
      </c>
      <c r="G1724">
        <v>0</v>
      </c>
    </row>
    <row r="1725" spans="1:7" x14ac:dyDescent="0.25">
      <c r="A1725" s="5" t="s">
        <v>108</v>
      </c>
      <c r="B1725" s="5" t="s">
        <v>110</v>
      </c>
      <c r="C1725" s="5">
        <v>2310</v>
      </c>
      <c r="D1725" s="5" t="s">
        <v>8</v>
      </c>
      <c r="E1725" s="5" t="s">
        <v>15</v>
      </c>
      <c r="F1725" s="6">
        <v>42736</v>
      </c>
      <c r="G1725">
        <v>0</v>
      </c>
    </row>
    <row r="1726" spans="1:7" x14ac:dyDescent="0.25">
      <c r="A1726" s="5" t="s">
        <v>108</v>
      </c>
      <c r="B1726" s="5" t="s">
        <v>110</v>
      </c>
      <c r="C1726" s="5">
        <v>2310</v>
      </c>
      <c r="D1726" s="5" t="s">
        <v>8</v>
      </c>
      <c r="E1726" s="5" t="s">
        <v>16</v>
      </c>
      <c r="F1726" s="6">
        <v>42370</v>
      </c>
      <c r="G1726">
        <v>0</v>
      </c>
    </row>
    <row r="1727" spans="1:7" x14ac:dyDescent="0.25">
      <c r="A1727" s="5" t="s">
        <v>108</v>
      </c>
      <c r="B1727" s="5" t="s">
        <v>110</v>
      </c>
      <c r="C1727" s="5">
        <v>2310</v>
      </c>
      <c r="D1727" s="5" t="s">
        <v>8</v>
      </c>
      <c r="E1727" s="5" t="s">
        <v>16</v>
      </c>
      <c r="F1727" s="6">
        <v>42736</v>
      </c>
      <c r="G1727">
        <v>0</v>
      </c>
    </row>
    <row r="1728" spans="1:7" x14ac:dyDescent="0.25">
      <c r="A1728" s="5" t="s">
        <v>108</v>
      </c>
      <c r="B1728" s="5" t="s">
        <v>110</v>
      </c>
      <c r="C1728" s="5">
        <v>2310</v>
      </c>
      <c r="D1728" s="5" t="s">
        <v>8</v>
      </c>
      <c r="E1728" s="5" t="s">
        <v>17</v>
      </c>
      <c r="F1728" s="6">
        <v>42370</v>
      </c>
      <c r="G1728">
        <v>0</v>
      </c>
    </row>
    <row r="1729" spans="1:7" x14ac:dyDescent="0.25">
      <c r="A1729" s="5" t="s">
        <v>108</v>
      </c>
      <c r="B1729" s="5" t="s">
        <v>110</v>
      </c>
      <c r="C1729" s="5">
        <v>2310</v>
      </c>
      <c r="D1729" s="5" t="s">
        <v>8</v>
      </c>
      <c r="E1729" s="5" t="s">
        <v>17</v>
      </c>
      <c r="F1729" s="6">
        <v>42736</v>
      </c>
      <c r="G1729">
        <v>0</v>
      </c>
    </row>
    <row r="1730" spans="1:7" x14ac:dyDescent="0.25">
      <c r="A1730" s="5" t="s">
        <v>108</v>
      </c>
      <c r="B1730" s="5" t="s">
        <v>110</v>
      </c>
      <c r="C1730" s="5">
        <v>2310</v>
      </c>
      <c r="D1730" s="5" t="s">
        <v>8</v>
      </c>
      <c r="E1730" s="5" t="s">
        <v>18</v>
      </c>
      <c r="F1730" s="6">
        <v>42370</v>
      </c>
      <c r="G1730">
        <v>0</v>
      </c>
    </row>
    <row r="1731" spans="1:7" x14ac:dyDescent="0.25">
      <c r="A1731" s="5" t="s">
        <v>108</v>
      </c>
      <c r="B1731" s="5" t="s">
        <v>110</v>
      </c>
      <c r="C1731" s="5">
        <v>2310</v>
      </c>
      <c r="D1731" s="5" t="s">
        <v>8</v>
      </c>
      <c r="E1731" s="5" t="s">
        <v>18</v>
      </c>
      <c r="F1731" s="6">
        <v>42736</v>
      </c>
      <c r="G1731">
        <v>0</v>
      </c>
    </row>
    <row r="1732" spans="1:7" x14ac:dyDescent="0.25">
      <c r="A1732" s="5" t="s">
        <v>108</v>
      </c>
      <c r="B1732" s="5" t="s">
        <v>110</v>
      </c>
      <c r="C1732" s="5">
        <v>2310</v>
      </c>
      <c r="D1732" s="5" t="s">
        <v>8</v>
      </c>
      <c r="E1732" s="5" t="s">
        <v>19</v>
      </c>
      <c r="F1732" s="6">
        <v>42370</v>
      </c>
      <c r="G1732">
        <v>0</v>
      </c>
    </row>
    <row r="1733" spans="1:7" x14ac:dyDescent="0.25">
      <c r="A1733" s="5" t="s">
        <v>108</v>
      </c>
      <c r="B1733" s="5" t="s">
        <v>110</v>
      </c>
      <c r="C1733" s="5">
        <v>2310</v>
      </c>
      <c r="D1733" s="5" t="s">
        <v>8</v>
      </c>
      <c r="E1733" s="5" t="s">
        <v>19</v>
      </c>
      <c r="F1733" s="6">
        <v>42736</v>
      </c>
      <c r="G1733">
        <v>0</v>
      </c>
    </row>
    <row r="1734" spans="1:7" x14ac:dyDescent="0.25">
      <c r="A1734" s="5" t="s">
        <v>108</v>
      </c>
      <c r="B1734" s="5" t="s">
        <v>110</v>
      </c>
      <c r="C1734" s="5">
        <v>2310</v>
      </c>
      <c r="D1734" s="5" t="s">
        <v>20</v>
      </c>
      <c r="E1734" s="5" t="s">
        <v>9</v>
      </c>
      <c r="F1734" s="6">
        <v>42370</v>
      </c>
      <c r="G1734">
        <v>2</v>
      </c>
    </row>
    <row r="1735" spans="1:7" x14ac:dyDescent="0.25">
      <c r="A1735" s="5" t="s">
        <v>108</v>
      </c>
      <c r="B1735" s="5" t="s">
        <v>110</v>
      </c>
      <c r="C1735" s="5">
        <v>2310</v>
      </c>
      <c r="D1735" s="5" t="s">
        <v>20</v>
      </c>
      <c r="E1735" s="5" t="s">
        <v>9</v>
      </c>
      <c r="F1735" s="6">
        <v>42736</v>
      </c>
      <c r="G1735">
        <v>7</v>
      </c>
    </row>
    <row r="1736" spans="1:7" x14ac:dyDescent="0.25">
      <c r="A1736" s="5" t="s">
        <v>108</v>
      </c>
      <c r="B1736" s="5" t="s">
        <v>110</v>
      </c>
      <c r="C1736" s="5">
        <v>2310</v>
      </c>
      <c r="D1736" s="5" t="s">
        <v>20</v>
      </c>
      <c r="E1736" s="5" t="s">
        <v>21</v>
      </c>
      <c r="F1736" s="6">
        <v>42370</v>
      </c>
      <c r="G1736">
        <v>0</v>
      </c>
    </row>
    <row r="1737" spans="1:7" x14ac:dyDescent="0.25">
      <c r="A1737" s="5" t="s">
        <v>108</v>
      </c>
      <c r="B1737" s="5" t="s">
        <v>110</v>
      </c>
      <c r="C1737" s="5">
        <v>2310</v>
      </c>
      <c r="D1737" s="5" t="s">
        <v>20</v>
      </c>
      <c r="E1737" s="5" t="s">
        <v>21</v>
      </c>
      <c r="F1737" s="6">
        <v>42736</v>
      </c>
      <c r="G1737">
        <v>0</v>
      </c>
    </row>
    <row r="1738" spans="1:7" x14ac:dyDescent="0.25">
      <c r="A1738" s="5" t="s">
        <v>108</v>
      </c>
      <c r="B1738" s="5" t="s">
        <v>110</v>
      </c>
      <c r="C1738" s="5">
        <v>2310</v>
      </c>
      <c r="D1738" s="5" t="s">
        <v>20</v>
      </c>
      <c r="E1738" s="5" t="s">
        <v>22</v>
      </c>
      <c r="F1738" s="6">
        <v>42370</v>
      </c>
      <c r="G1738">
        <v>0</v>
      </c>
    </row>
    <row r="1739" spans="1:7" x14ac:dyDescent="0.25">
      <c r="A1739" s="5" t="s">
        <v>108</v>
      </c>
      <c r="B1739" s="5" t="s">
        <v>110</v>
      </c>
      <c r="C1739" s="5">
        <v>2310</v>
      </c>
      <c r="D1739" s="5" t="s">
        <v>20</v>
      </c>
      <c r="E1739" s="5" t="s">
        <v>22</v>
      </c>
      <c r="F1739" s="6">
        <v>42736</v>
      </c>
      <c r="G1739">
        <v>0</v>
      </c>
    </row>
    <row r="1740" spans="1:7" x14ac:dyDescent="0.25">
      <c r="A1740" s="5" t="s">
        <v>108</v>
      </c>
      <c r="B1740" s="5" t="s">
        <v>110</v>
      </c>
      <c r="C1740" s="5">
        <v>2310</v>
      </c>
      <c r="D1740" s="5" t="s">
        <v>20</v>
      </c>
      <c r="E1740" s="5" t="s">
        <v>23</v>
      </c>
      <c r="F1740" s="6">
        <v>42370</v>
      </c>
      <c r="G1740">
        <v>0</v>
      </c>
    </row>
    <row r="1741" spans="1:7" x14ac:dyDescent="0.25">
      <c r="A1741" s="5" t="s">
        <v>108</v>
      </c>
      <c r="B1741" s="5" t="s">
        <v>110</v>
      </c>
      <c r="C1741" s="5">
        <v>2310</v>
      </c>
      <c r="D1741" s="5" t="s">
        <v>20</v>
      </c>
      <c r="E1741" s="5" t="s">
        <v>23</v>
      </c>
      <c r="F1741" s="6">
        <v>42736</v>
      </c>
      <c r="G1741">
        <v>0</v>
      </c>
    </row>
    <row r="1742" spans="1:7" x14ac:dyDescent="0.25">
      <c r="A1742" s="5" t="s">
        <v>108</v>
      </c>
      <c r="B1742" s="5" t="s">
        <v>110</v>
      </c>
      <c r="C1742" s="5">
        <v>2310</v>
      </c>
      <c r="D1742" s="5" t="s">
        <v>20</v>
      </c>
      <c r="E1742" s="5" t="s">
        <v>24</v>
      </c>
      <c r="F1742" s="6">
        <v>42370</v>
      </c>
      <c r="G1742">
        <v>0</v>
      </c>
    </row>
    <row r="1743" spans="1:7" x14ac:dyDescent="0.25">
      <c r="A1743" s="5" t="s">
        <v>108</v>
      </c>
      <c r="B1743" s="5" t="s">
        <v>110</v>
      </c>
      <c r="C1743" s="5">
        <v>2310</v>
      </c>
      <c r="D1743" s="5" t="s">
        <v>20</v>
      </c>
      <c r="E1743" s="5" t="s">
        <v>24</v>
      </c>
      <c r="F1743" s="6">
        <v>42736</v>
      </c>
      <c r="G1743">
        <v>0</v>
      </c>
    </row>
    <row r="1744" spans="1:7" x14ac:dyDescent="0.25">
      <c r="A1744" s="5" t="s">
        <v>108</v>
      </c>
      <c r="B1744" s="5" t="s">
        <v>110</v>
      </c>
      <c r="C1744" s="5">
        <v>2310</v>
      </c>
      <c r="D1744" s="5" t="s">
        <v>20</v>
      </c>
      <c r="E1744" s="5" t="s">
        <v>25</v>
      </c>
      <c r="F1744" s="6">
        <v>42370</v>
      </c>
      <c r="G1744">
        <v>0</v>
      </c>
    </row>
    <row r="1745" spans="1:7" x14ac:dyDescent="0.25">
      <c r="A1745" s="5" t="s">
        <v>108</v>
      </c>
      <c r="B1745" s="5" t="s">
        <v>110</v>
      </c>
      <c r="C1745" s="5">
        <v>2310</v>
      </c>
      <c r="D1745" s="5" t="s">
        <v>20</v>
      </c>
      <c r="E1745" s="5" t="s">
        <v>25</v>
      </c>
      <c r="F1745" s="6">
        <v>42736</v>
      </c>
      <c r="G1745">
        <v>0</v>
      </c>
    </row>
    <row r="1746" spans="1:7" x14ac:dyDescent="0.25">
      <c r="A1746" s="5" t="s">
        <v>108</v>
      </c>
      <c r="B1746" s="5" t="s">
        <v>110</v>
      </c>
      <c r="C1746" s="5">
        <v>2310</v>
      </c>
      <c r="D1746" s="5" t="s">
        <v>20</v>
      </c>
      <c r="E1746" s="5" t="s">
        <v>26</v>
      </c>
      <c r="F1746" s="6">
        <v>42370</v>
      </c>
      <c r="G1746">
        <v>19</v>
      </c>
    </row>
    <row r="1747" spans="1:7" x14ac:dyDescent="0.25">
      <c r="A1747" s="5" t="s">
        <v>108</v>
      </c>
      <c r="B1747" s="5" t="s">
        <v>110</v>
      </c>
      <c r="C1747" s="5">
        <v>2310</v>
      </c>
      <c r="D1747" s="5" t="s">
        <v>20</v>
      </c>
      <c r="E1747" s="5" t="s">
        <v>26</v>
      </c>
      <c r="F1747" s="6">
        <v>42736</v>
      </c>
      <c r="G1747">
        <v>34</v>
      </c>
    </row>
    <row r="1748" spans="1:7" x14ac:dyDescent="0.25">
      <c r="A1748" s="5" t="s">
        <v>108</v>
      </c>
      <c r="B1748" s="5" t="s">
        <v>110</v>
      </c>
      <c r="C1748" s="5">
        <v>2310</v>
      </c>
      <c r="D1748" s="5" t="s">
        <v>20</v>
      </c>
      <c r="E1748" s="5" t="s">
        <v>27</v>
      </c>
      <c r="F1748" s="6">
        <v>42370</v>
      </c>
      <c r="G1748">
        <v>0</v>
      </c>
    </row>
    <row r="1749" spans="1:7" x14ac:dyDescent="0.25">
      <c r="A1749" s="5" t="s">
        <v>108</v>
      </c>
      <c r="B1749" s="5" t="s">
        <v>110</v>
      </c>
      <c r="C1749" s="5">
        <v>2310</v>
      </c>
      <c r="D1749" s="5" t="s">
        <v>20</v>
      </c>
      <c r="E1749" s="5" t="s">
        <v>27</v>
      </c>
      <c r="F1749" s="6">
        <v>42736</v>
      </c>
      <c r="G1749">
        <v>3</v>
      </c>
    </row>
    <row r="1750" spans="1:7" x14ac:dyDescent="0.25">
      <c r="A1750" s="5" t="s">
        <v>108</v>
      </c>
      <c r="B1750" s="5" t="s">
        <v>110</v>
      </c>
      <c r="C1750" s="5">
        <v>2310</v>
      </c>
      <c r="D1750" s="5" t="s">
        <v>20</v>
      </c>
      <c r="E1750" s="5" t="s">
        <v>28</v>
      </c>
      <c r="F1750" s="6">
        <v>42370</v>
      </c>
      <c r="G1750">
        <v>0</v>
      </c>
    </row>
    <row r="1751" spans="1:7" x14ac:dyDescent="0.25">
      <c r="A1751" s="5" t="s">
        <v>108</v>
      </c>
      <c r="B1751" s="5" t="s">
        <v>110</v>
      </c>
      <c r="C1751" s="5">
        <v>2310</v>
      </c>
      <c r="D1751" s="5" t="s">
        <v>20</v>
      </c>
      <c r="E1751" s="5" t="s">
        <v>28</v>
      </c>
      <c r="F1751" s="6">
        <v>42736</v>
      </c>
      <c r="G1751">
        <v>0</v>
      </c>
    </row>
    <row r="1752" spans="1:7" x14ac:dyDescent="0.25">
      <c r="A1752" s="5" t="s">
        <v>108</v>
      </c>
      <c r="B1752" s="5" t="s">
        <v>110</v>
      </c>
      <c r="C1752" s="5">
        <v>2310</v>
      </c>
      <c r="D1752" s="5" t="s">
        <v>20</v>
      </c>
      <c r="E1752" s="5" t="s">
        <v>29</v>
      </c>
      <c r="F1752" s="6">
        <v>42370</v>
      </c>
      <c r="G1752">
        <v>20</v>
      </c>
    </row>
    <row r="1753" spans="1:7" x14ac:dyDescent="0.25">
      <c r="A1753" s="5" t="s">
        <v>108</v>
      </c>
      <c r="B1753" s="5" t="s">
        <v>110</v>
      </c>
      <c r="C1753" s="5">
        <v>2310</v>
      </c>
      <c r="D1753" s="5" t="s">
        <v>20</v>
      </c>
      <c r="E1753" s="5" t="s">
        <v>29</v>
      </c>
      <c r="F1753" s="6">
        <v>42736</v>
      </c>
      <c r="G1753">
        <v>34</v>
      </c>
    </row>
    <row r="1754" spans="1:7" x14ac:dyDescent="0.25">
      <c r="A1754" s="5" t="s">
        <v>108</v>
      </c>
      <c r="B1754" s="5" t="s">
        <v>110</v>
      </c>
      <c r="C1754" s="5">
        <v>2310</v>
      </c>
      <c r="D1754" s="5" t="s">
        <v>20</v>
      </c>
      <c r="E1754" s="5" t="s">
        <v>30</v>
      </c>
      <c r="F1754" s="6">
        <v>42370</v>
      </c>
      <c r="G1754">
        <v>19</v>
      </c>
    </row>
    <row r="1755" spans="1:7" x14ac:dyDescent="0.25">
      <c r="A1755" s="5" t="s">
        <v>108</v>
      </c>
      <c r="B1755" s="5" t="s">
        <v>110</v>
      </c>
      <c r="C1755" s="5">
        <v>2310</v>
      </c>
      <c r="D1755" s="5" t="s">
        <v>20</v>
      </c>
      <c r="E1755" s="5" t="s">
        <v>30</v>
      </c>
      <c r="F1755" s="6">
        <v>42736</v>
      </c>
      <c r="G1755">
        <v>34</v>
      </c>
    </row>
    <row r="1756" spans="1:7" x14ac:dyDescent="0.25">
      <c r="A1756" s="5" t="s">
        <v>108</v>
      </c>
      <c r="B1756" s="5" t="s">
        <v>110</v>
      </c>
      <c r="C1756" s="5">
        <v>2310</v>
      </c>
      <c r="D1756" s="5" t="s">
        <v>20</v>
      </c>
      <c r="E1756" s="5" t="s">
        <v>31</v>
      </c>
      <c r="F1756" s="6">
        <v>42370</v>
      </c>
      <c r="G1756">
        <v>43</v>
      </c>
    </row>
    <row r="1757" spans="1:7" x14ac:dyDescent="0.25">
      <c r="A1757" s="5" t="s">
        <v>108</v>
      </c>
      <c r="B1757" s="5" t="s">
        <v>110</v>
      </c>
      <c r="C1757" s="5">
        <v>2310</v>
      </c>
      <c r="D1757" s="5" t="s">
        <v>20</v>
      </c>
      <c r="E1757" s="5" t="s">
        <v>31</v>
      </c>
      <c r="F1757" s="6">
        <v>42736</v>
      </c>
      <c r="G1757">
        <v>65</v>
      </c>
    </row>
    <row r="1758" spans="1:7" x14ac:dyDescent="0.25">
      <c r="A1758" s="5" t="s">
        <v>108</v>
      </c>
      <c r="B1758" s="5" t="s">
        <v>110</v>
      </c>
      <c r="C1758" s="5">
        <v>2310</v>
      </c>
      <c r="D1758" s="5" t="s">
        <v>20</v>
      </c>
      <c r="E1758" s="5" t="s">
        <v>32</v>
      </c>
      <c r="F1758" s="6">
        <v>42370</v>
      </c>
      <c r="G1758">
        <v>21</v>
      </c>
    </row>
    <row r="1759" spans="1:7" x14ac:dyDescent="0.25">
      <c r="A1759" s="5" t="s">
        <v>108</v>
      </c>
      <c r="B1759" s="5" t="s">
        <v>110</v>
      </c>
      <c r="C1759" s="5">
        <v>2310</v>
      </c>
      <c r="D1759" s="5" t="s">
        <v>20</v>
      </c>
      <c r="E1759" s="5" t="s">
        <v>32</v>
      </c>
      <c r="F1759" s="6">
        <v>42736</v>
      </c>
      <c r="G1759">
        <v>35</v>
      </c>
    </row>
    <row r="1760" spans="1:7" x14ac:dyDescent="0.25">
      <c r="A1760" s="5" t="s">
        <v>108</v>
      </c>
      <c r="B1760" s="5" t="s">
        <v>110</v>
      </c>
      <c r="C1760" s="5">
        <v>2310</v>
      </c>
      <c r="D1760" s="5" t="s">
        <v>33</v>
      </c>
      <c r="E1760" s="5" t="s">
        <v>9</v>
      </c>
      <c r="F1760" s="6">
        <v>42370</v>
      </c>
      <c r="G1760">
        <v>0</v>
      </c>
    </row>
    <row r="1761" spans="1:7" x14ac:dyDescent="0.25">
      <c r="A1761" s="5" t="s">
        <v>108</v>
      </c>
      <c r="B1761" s="5" t="s">
        <v>110</v>
      </c>
      <c r="C1761" s="5">
        <v>2310</v>
      </c>
      <c r="D1761" s="5" t="s">
        <v>33</v>
      </c>
      <c r="E1761" s="5" t="s">
        <v>9</v>
      </c>
      <c r="F1761" s="6">
        <v>42736</v>
      </c>
      <c r="G1761">
        <v>0</v>
      </c>
    </row>
    <row r="1762" spans="1:7" x14ac:dyDescent="0.25">
      <c r="A1762" s="5" t="s">
        <v>108</v>
      </c>
      <c r="B1762" s="5" t="s">
        <v>110</v>
      </c>
      <c r="C1762" s="5">
        <v>2310</v>
      </c>
      <c r="D1762" s="5" t="s">
        <v>33</v>
      </c>
      <c r="E1762" s="5" t="s">
        <v>34</v>
      </c>
      <c r="F1762" s="6">
        <v>42370</v>
      </c>
      <c r="G1762">
        <v>0</v>
      </c>
    </row>
    <row r="1763" spans="1:7" x14ac:dyDescent="0.25">
      <c r="A1763" s="5" t="s">
        <v>108</v>
      </c>
      <c r="B1763" s="5" t="s">
        <v>110</v>
      </c>
      <c r="C1763" s="5">
        <v>2310</v>
      </c>
      <c r="D1763" s="5" t="s">
        <v>33</v>
      </c>
      <c r="E1763" s="5" t="s">
        <v>34</v>
      </c>
      <c r="F1763" s="6">
        <v>42736</v>
      </c>
      <c r="G1763">
        <v>0</v>
      </c>
    </row>
    <row r="1764" spans="1:7" x14ac:dyDescent="0.25">
      <c r="A1764" s="5" t="s">
        <v>108</v>
      </c>
      <c r="B1764" s="5" t="s">
        <v>110</v>
      </c>
      <c r="C1764" s="5">
        <v>2310</v>
      </c>
      <c r="D1764" s="5" t="s">
        <v>35</v>
      </c>
      <c r="E1764" s="5" t="s">
        <v>36</v>
      </c>
      <c r="F1764" s="6">
        <v>42370</v>
      </c>
      <c r="G1764">
        <v>0</v>
      </c>
    </row>
    <row r="1765" spans="1:7" x14ac:dyDescent="0.25">
      <c r="A1765" s="5" t="s">
        <v>108</v>
      </c>
      <c r="B1765" s="5" t="s">
        <v>110</v>
      </c>
      <c r="C1765" s="5">
        <v>2310</v>
      </c>
      <c r="D1765" s="5" t="s">
        <v>35</v>
      </c>
      <c r="E1765" s="5" t="s">
        <v>36</v>
      </c>
      <c r="F1765" s="6">
        <v>42736</v>
      </c>
      <c r="G1765">
        <v>0</v>
      </c>
    </row>
    <row r="1766" spans="1:7" x14ac:dyDescent="0.25">
      <c r="A1766" s="5" t="s">
        <v>108</v>
      </c>
      <c r="B1766" s="5" t="s">
        <v>110</v>
      </c>
      <c r="C1766" s="5">
        <v>2310</v>
      </c>
      <c r="D1766" s="5" t="s">
        <v>35</v>
      </c>
      <c r="E1766" s="5" t="s">
        <v>37</v>
      </c>
      <c r="F1766" s="6">
        <v>42370</v>
      </c>
      <c r="G1766">
        <v>0</v>
      </c>
    </row>
    <row r="1767" spans="1:7" x14ac:dyDescent="0.25">
      <c r="A1767" s="5" t="s">
        <v>108</v>
      </c>
      <c r="B1767" s="5" t="s">
        <v>110</v>
      </c>
      <c r="C1767" s="5">
        <v>2310</v>
      </c>
      <c r="D1767" s="5" t="s">
        <v>35</v>
      </c>
      <c r="E1767" s="5" t="s">
        <v>37</v>
      </c>
      <c r="F1767" s="6">
        <v>42736</v>
      </c>
      <c r="G1767">
        <v>0</v>
      </c>
    </row>
    <row r="1768" spans="1:7" x14ac:dyDescent="0.25">
      <c r="A1768" s="5" t="s">
        <v>108</v>
      </c>
      <c r="B1768" s="5" t="s">
        <v>110</v>
      </c>
      <c r="C1768" s="5">
        <v>2310</v>
      </c>
      <c r="D1768" s="5" t="s">
        <v>35</v>
      </c>
      <c r="E1768" s="5" t="s">
        <v>38</v>
      </c>
      <c r="F1768" s="6">
        <v>42370</v>
      </c>
      <c r="G1768">
        <v>0</v>
      </c>
    </row>
    <row r="1769" spans="1:7" x14ac:dyDescent="0.25">
      <c r="A1769" s="5" t="s">
        <v>108</v>
      </c>
      <c r="B1769" s="5" t="s">
        <v>110</v>
      </c>
      <c r="C1769" s="5">
        <v>2310</v>
      </c>
      <c r="D1769" s="5" t="s">
        <v>35</v>
      </c>
      <c r="E1769" s="5" t="s">
        <v>38</v>
      </c>
      <c r="F1769" s="6">
        <v>42736</v>
      </c>
      <c r="G1769">
        <v>0</v>
      </c>
    </row>
    <row r="1770" spans="1:7" x14ac:dyDescent="0.25">
      <c r="A1770" s="5" t="s">
        <v>108</v>
      </c>
      <c r="B1770" s="5" t="s">
        <v>110</v>
      </c>
      <c r="C1770" s="5">
        <v>2310</v>
      </c>
      <c r="D1770" s="5" t="s">
        <v>35</v>
      </c>
      <c r="E1770" s="5" t="s">
        <v>39</v>
      </c>
      <c r="F1770" s="6">
        <v>42370</v>
      </c>
      <c r="G1770">
        <v>0</v>
      </c>
    </row>
    <row r="1771" spans="1:7" x14ac:dyDescent="0.25">
      <c r="A1771" s="5" t="s">
        <v>108</v>
      </c>
      <c r="B1771" s="5" t="s">
        <v>110</v>
      </c>
      <c r="C1771" s="5">
        <v>2310</v>
      </c>
      <c r="D1771" s="5" t="s">
        <v>35</v>
      </c>
      <c r="E1771" s="5" t="s">
        <v>39</v>
      </c>
      <c r="F1771" s="6">
        <v>42736</v>
      </c>
      <c r="G1771">
        <v>0</v>
      </c>
    </row>
    <row r="1772" spans="1:7" x14ac:dyDescent="0.25">
      <c r="A1772" s="5" t="s">
        <v>108</v>
      </c>
      <c r="B1772" s="5" t="s">
        <v>110</v>
      </c>
      <c r="C1772" s="5">
        <v>2310</v>
      </c>
      <c r="D1772" s="5" t="s">
        <v>35</v>
      </c>
      <c r="E1772" s="5" t="s">
        <v>40</v>
      </c>
      <c r="F1772" s="6">
        <v>42370</v>
      </c>
      <c r="G1772">
        <v>0</v>
      </c>
    </row>
    <row r="1773" spans="1:7" x14ac:dyDescent="0.25">
      <c r="A1773" s="5" t="s">
        <v>108</v>
      </c>
      <c r="B1773" s="5" t="s">
        <v>110</v>
      </c>
      <c r="C1773" s="5">
        <v>2310</v>
      </c>
      <c r="D1773" s="5" t="s">
        <v>35</v>
      </c>
      <c r="E1773" s="5" t="s">
        <v>40</v>
      </c>
      <c r="F1773" s="6">
        <v>42736</v>
      </c>
      <c r="G1773">
        <v>0</v>
      </c>
    </row>
    <row r="1774" spans="1:7" x14ac:dyDescent="0.25">
      <c r="A1774" s="5" t="s">
        <v>108</v>
      </c>
      <c r="B1774" s="5" t="s">
        <v>110</v>
      </c>
      <c r="C1774" s="5">
        <v>2310</v>
      </c>
      <c r="D1774" s="5" t="s">
        <v>35</v>
      </c>
      <c r="E1774" s="5" t="s">
        <v>41</v>
      </c>
      <c r="F1774" s="6">
        <v>42370</v>
      </c>
      <c r="G1774">
        <v>0</v>
      </c>
    </row>
    <row r="1775" spans="1:7" x14ac:dyDescent="0.25">
      <c r="A1775" s="5" t="s">
        <v>108</v>
      </c>
      <c r="B1775" s="5" t="s">
        <v>110</v>
      </c>
      <c r="C1775" s="5">
        <v>2310</v>
      </c>
      <c r="D1775" s="5" t="s">
        <v>35</v>
      </c>
      <c r="E1775" s="5" t="s">
        <v>41</v>
      </c>
      <c r="F1775" s="6">
        <v>42736</v>
      </c>
      <c r="G1775">
        <v>0</v>
      </c>
    </row>
    <row r="1776" spans="1:7" x14ac:dyDescent="0.25">
      <c r="A1776" s="5" t="s">
        <v>108</v>
      </c>
      <c r="B1776" s="5" t="s">
        <v>110</v>
      </c>
      <c r="C1776" s="5">
        <v>2310</v>
      </c>
      <c r="D1776" s="5" t="s">
        <v>35</v>
      </c>
      <c r="E1776" s="5" t="s">
        <v>42</v>
      </c>
      <c r="F1776" s="6">
        <v>42370</v>
      </c>
      <c r="G1776">
        <v>0</v>
      </c>
    </row>
    <row r="1777" spans="1:7" x14ac:dyDescent="0.25">
      <c r="A1777" s="5" t="s">
        <v>108</v>
      </c>
      <c r="B1777" s="5" t="s">
        <v>110</v>
      </c>
      <c r="C1777" s="5">
        <v>2310</v>
      </c>
      <c r="D1777" s="5" t="s">
        <v>35</v>
      </c>
      <c r="E1777" s="5" t="s">
        <v>42</v>
      </c>
      <c r="F1777" s="6">
        <v>42736</v>
      </c>
      <c r="G1777">
        <v>0</v>
      </c>
    </row>
    <row r="1778" spans="1:7" x14ac:dyDescent="0.25">
      <c r="A1778" s="5" t="s">
        <v>108</v>
      </c>
      <c r="B1778" s="5" t="s">
        <v>110</v>
      </c>
      <c r="C1778" s="5">
        <v>2310</v>
      </c>
      <c r="D1778" s="5" t="s">
        <v>35</v>
      </c>
      <c r="E1778" s="5" t="s">
        <v>43</v>
      </c>
      <c r="F1778" s="6">
        <v>42370</v>
      </c>
      <c r="G1778">
        <v>0</v>
      </c>
    </row>
    <row r="1779" spans="1:7" x14ac:dyDescent="0.25">
      <c r="A1779" s="5" t="s">
        <v>108</v>
      </c>
      <c r="B1779" s="5" t="s">
        <v>110</v>
      </c>
      <c r="C1779" s="5">
        <v>2310</v>
      </c>
      <c r="D1779" s="5" t="s">
        <v>35</v>
      </c>
      <c r="E1779" s="5" t="s">
        <v>43</v>
      </c>
      <c r="F1779" s="6">
        <v>42736</v>
      </c>
      <c r="G1779">
        <v>0</v>
      </c>
    </row>
    <row r="1780" spans="1:7" x14ac:dyDescent="0.25">
      <c r="A1780" s="5" t="s">
        <v>108</v>
      </c>
      <c r="B1780" s="5" t="s">
        <v>110</v>
      </c>
      <c r="C1780" s="5">
        <v>2310</v>
      </c>
      <c r="D1780" s="5" t="s">
        <v>44</v>
      </c>
      <c r="E1780" s="5" t="s">
        <v>36</v>
      </c>
      <c r="F1780" s="6">
        <v>42370</v>
      </c>
      <c r="G1780">
        <v>0</v>
      </c>
    </row>
    <row r="1781" spans="1:7" x14ac:dyDescent="0.25">
      <c r="A1781" s="5" t="s">
        <v>108</v>
      </c>
      <c r="B1781" s="5" t="s">
        <v>110</v>
      </c>
      <c r="C1781" s="5">
        <v>2310</v>
      </c>
      <c r="D1781" s="5" t="s">
        <v>44</v>
      </c>
      <c r="E1781" s="5" t="s">
        <v>36</v>
      </c>
      <c r="F1781" s="6">
        <v>42736</v>
      </c>
      <c r="G1781">
        <v>0</v>
      </c>
    </row>
    <row r="1782" spans="1:7" x14ac:dyDescent="0.25">
      <c r="A1782" s="5" t="s">
        <v>108</v>
      </c>
      <c r="B1782" s="5" t="s">
        <v>110</v>
      </c>
      <c r="C1782" s="5">
        <v>2310</v>
      </c>
      <c r="D1782" s="5" t="s">
        <v>44</v>
      </c>
      <c r="E1782" s="5" t="s">
        <v>37</v>
      </c>
      <c r="F1782" s="6">
        <v>42370</v>
      </c>
      <c r="G1782">
        <v>0</v>
      </c>
    </row>
    <row r="1783" spans="1:7" x14ac:dyDescent="0.25">
      <c r="A1783" s="5" t="s">
        <v>108</v>
      </c>
      <c r="B1783" s="5" t="s">
        <v>110</v>
      </c>
      <c r="C1783" s="5">
        <v>2310</v>
      </c>
      <c r="D1783" s="5" t="s">
        <v>44</v>
      </c>
      <c r="E1783" s="5" t="s">
        <v>37</v>
      </c>
      <c r="F1783" s="6">
        <v>42736</v>
      </c>
      <c r="G1783">
        <v>0</v>
      </c>
    </row>
    <row r="1784" spans="1:7" x14ac:dyDescent="0.25">
      <c r="A1784" s="5" t="s">
        <v>108</v>
      </c>
      <c r="B1784" s="5" t="s">
        <v>110</v>
      </c>
      <c r="C1784" s="5">
        <v>2310</v>
      </c>
      <c r="D1784" s="5" t="s">
        <v>44</v>
      </c>
      <c r="E1784" s="5" t="s">
        <v>38</v>
      </c>
      <c r="F1784" s="6">
        <v>42370</v>
      </c>
      <c r="G1784">
        <v>0</v>
      </c>
    </row>
    <row r="1785" spans="1:7" x14ac:dyDescent="0.25">
      <c r="A1785" s="5" t="s">
        <v>108</v>
      </c>
      <c r="B1785" s="5" t="s">
        <v>110</v>
      </c>
      <c r="C1785" s="5">
        <v>2310</v>
      </c>
      <c r="D1785" s="5" t="s">
        <v>44</v>
      </c>
      <c r="E1785" s="5" t="s">
        <v>38</v>
      </c>
      <c r="F1785" s="6">
        <v>42736</v>
      </c>
      <c r="G1785">
        <v>0</v>
      </c>
    </row>
    <row r="1786" spans="1:7" x14ac:dyDescent="0.25">
      <c r="A1786" s="5" t="s">
        <v>108</v>
      </c>
      <c r="B1786" s="5" t="s">
        <v>110</v>
      </c>
      <c r="C1786" s="5">
        <v>2310</v>
      </c>
      <c r="D1786" s="5" t="s">
        <v>44</v>
      </c>
      <c r="E1786" s="5" t="s">
        <v>39</v>
      </c>
      <c r="F1786" s="6">
        <v>42370</v>
      </c>
      <c r="G1786">
        <v>0</v>
      </c>
    </row>
    <row r="1787" spans="1:7" x14ac:dyDescent="0.25">
      <c r="A1787" s="5" t="s">
        <v>108</v>
      </c>
      <c r="B1787" s="5" t="s">
        <v>110</v>
      </c>
      <c r="C1787" s="5">
        <v>2310</v>
      </c>
      <c r="D1787" s="5" t="s">
        <v>44</v>
      </c>
      <c r="E1787" s="5" t="s">
        <v>39</v>
      </c>
      <c r="F1787" s="6">
        <v>42736</v>
      </c>
      <c r="G1787">
        <v>0</v>
      </c>
    </row>
    <row r="1788" spans="1:7" x14ac:dyDescent="0.25">
      <c r="A1788" s="5" t="s">
        <v>108</v>
      </c>
      <c r="B1788" s="5" t="s">
        <v>110</v>
      </c>
      <c r="C1788" s="5">
        <v>2310</v>
      </c>
      <c r="D1788" s="5" t="s">
        <v>44</v>
      </c>
      <c r="E1788" s="5" t="s">
        <v>40</v>
      </c>
      <c r="F1788" s="6">
        <v>42370</v>
      </c>
      <c r="G1788">
        <v>0</v>
      </c>
    </row>
    <row r="1789" spans="1:7" x14ac:dyDescent="0.25">
      <c r="A1789" s="5" t="s">
        <v>108</v>
      </c>
      <c r="B1789" s="5" t="s">
        <v>110</v>
      </c>
      <c r="C1789" s="5">
        <v>2310</v>
      </c>
      <c r="D1789" s="5" t="s">
        <v>44</v>
      </c>
      <c r="E1789" s="5" t="s">
        <v>40</v>
      </c>
      <c r="F1789" s="6">
        <v>42736</v>
      </c>
      <c r="G1789">
        <v>0</v>
      </c>
    </row>
    <row r="1790" spans="1:7" x14ac:dyDescent="0.25">
      <c r="A1790" s="5" t="s">
        <v>108</v>
      </c>
      <c r="B1790" s="5" t="s">
        <v>110</v>
      </c>
      <c r="C1790" s="5">
        <v>2310</v>
      </c>
      <c r="D1790" s="5" t="s">
        <v>44</v>
      </c>
      <c r="E1790" s="5" t="s">
        <v>41</v>
      </c>
      <c r="F1790" s="6">
        <v>42370</v>
      </c>
      <c r="G1790">
        <v>0</v>
      </c>
    </row>
    <row r="1791" spans="1:7" x14ac:dyDescent="0.25">
      <c r="A1791" s="5" t="s">
        <v>108</v>
      </c>
      <c r="B1791" s="5" t="s">
        <v>110</v>
      </c>
      <c r="C1791" s="5">
        <v>2310</v>
      </c>
      <c r="D1791" s="5" t="s">
        <v>44</v>
      </c>
      <c r="E1791" s="5" t="s">
        <v>41</v>
      </c>
      <c r="F1791" s="6">
        <v>42736</v>
      </c>
      <c r="G1791">
        <v>0</v>
      </c>
    </row>
    <row r="1792" spans="1:7" x14ac:dyDescent="0.25">
      <c r="A1792" s="5" t="s">
        <v>108</v>
      </c>
      <c r="B1792" s="5" t="s">
        <v>110</v>
      </c>
      <c r="C1792" s="5">
        <v>2310</v>
      </c>
      <c r="D1792" s="5" t="s">
        <v>44</v>
      </c>
      <c r="E1792" s="5" t="s">
        <v>42</v>
      </c>
      <c r="F1792" s="6">
        <v>42370</v>
      </c>
      <c r="G1792">
        <v>0</v>
      </c>
    </row>
    <row r="1793" spans="1:7" x14ac:dyDescent="0.25">
      <c r="A1793" s="5" t="s">
        <v>108</v>
      </c>
      <c r="B1793" s="5" t="s">
        <v>110</v>
      </c>
      <c r="C1793" s="5">
        <v>2310</v>
      </c>
      <c r="D1793" s="5" t="s">
        <v>44</v>
      </c>
      <c r="E1793" s="5" t="s">
        <v>42</v>
      </c>
      <c r="F1793" s="6">
        <v>42736</v>
      </c>
      <c r="G1793">
        <v>0</v>
      </c>
    </row>
    <row r="1794" spans="1:7" x14ac:dyDescent="0.25">
      <c r="A1794" s="5" t="s">
        <v>108</v>
      </c>
      <c r="B1794" s="5" t="s">
        <v>110</v>
      </c>
      <c r="C1794" s="5">
        <v>2310</v>
      </c>
      <c r="D1794" s="5" t="s">
        <v>44</v>
      </c>
      <c r="E1794" s="5" t="s">
        <v>43</v>
      </c>
      <c r="F1794" s="6">
        <v>42370</v>
      </c>
      <c r="G1794">
        <v>0</v>
      </c>
    </row>
    <row r="1795" spans="1:7" x14ac:dyDescent="0.25">
      <c r="A1795" s="5" t="s">
        <v>108</v>
      </c>
      <c r="B1795" s="5" t="s">
        <v>110</v>
      </c>
      <c r="C1795" s="5">
        <v>2310</v>
      </c>
      <c r="D1795" s="5" t="s">
        <v>44</v>
      </c>
      <c r="E1795" s="5" t="s">
        <v>43</v>
      </c>
      <c r="F1795" s="6">
        <v>42736</v>
      </c>
      <c r="G1795">
        <v>0</v>
      </c>
    </row>
    <row r="1796" spans="1:7" x14ac:dyDescent="0.25">
      <c r="A1796" s="5" t="s">
        <v>108</v>
      </c>
      <c r="B1796" s="5" t="s">
        <v>110</v>
      </c>
      <c r="C1796" s="5">
        <v>2310</v>
      </c>
      <c r="D1796" s="5" t="s">
        <v>45</v>
      </c>
      <c r="E1796" s="5" t="s">
        <v>46</v>
      </c>
      <c r="F1796" s="6">
        <v>42370</v>
      </c>
      <c r="G1796">
        <v>0</v>
      </c>
    </row>
    <row r="1797" spans="1:7" x14ac:dyDescent="0.25">
      <c r="A1797" s="5" t="s">
        <v>108</v>
      </c>
      <c r="B1797" s="5" t="s">
        <v>110</v>
      </c>
      <c r="C1797" s="5">
        <v>2310</v>
      </c>
      <c r="D1797" s="5" t="s">
        <v>45</v>
      </c>
      <c r="E1797" s="5" t="s">
        <v>46</v>
      </c>
      <c r="F1797" s="6">
        <v>42736</v>
      </c>
      <c r="G1797">
        <v>0</v>
      </c>
    </row>
    <row r="1798" spans="1:7" x14ac:dyDescent="0.25">
      <c r="A1798" s="5" t="s">
        <v>108</v>
      </c>
      <c r="B1798" s="5" t="s">
        <v>110</v>
      </c>
      <c r="C1798" s="5">
        <v>2310</v>
      </c>
      <c r="D1798" s="5" t="s">
        <v>45</v>
      </c>
      <c r="E1798" s="5" t="s">
        <v>47</v>
      </c>
      <c r="F1798" s="6">
        <v>42370</v>
      </c>
      <c r="G1798">
        <v>0</v>
      </c>
    </row>
    <row r="1799" spans="1:7" x14ac:dyDescent="0.25">
      <c r="A1799" s="5" t="s">
        <v>108</v>
      </c>
      <c r="B1799" s="5" t="s">
        <v>110</v>
      </c>
      <c r="C1799" s="5">
        <v>2310</v>
      </c>
      <c r="D1799" s="5" t="s">
        <v>45</v>
      </c>
      <c r="E1799" s="5" t="s">
        <v>47</v>
      </c>
      <c r="F1799" s="6">
        <v>42736</v>
      </c>
      <c r="G1799">
        <v>0</v>
      </c>
    </row>
    <row r="1800" spans="1:7" x14ac:dyDescent="0.25">
      <c r="A1800" s="5" t="s">
        <v>108</v>
      </c>
      <c r="B1800" s="5" t="s">
        <v>110</v>
      </c>
      <c r="C1800" s="5">
        <v>2310</v>
      </c>
      <c r="D1800" s="5" t="s">
        <v>45</v>
      </c>
      <c r="E1800" s="5" t="s">
        <v>48</v>
      </c>
      <c r="F1800" s="6">
        <v>42370</v>
      </c>
      <c r="G1800">
        <v>12</v>
      </c>
    </row>
    <row r="1801" spans="1:7" x14ac:dyDescent="0.25">
      <c r="A1801" s="5" t="s">
        <v>108</v>
      </c>
      <c r="B1801" s="5" t="s">
        <v>110</v>
      </c>
      <c r="C1801" s="5">
        <v>2310</v>
      </c>
      <c r="D1801" s="5" t="s">
        <v>45</v>
      </c>
      <c r="E1801" s="5" t="s">
        <v>48</v>
      </c>
      <c r="F1801" s="6">
        <v>42736</v>
      </c>
      <c r="G1801">
        <v>13</v>
      </c>
    </row>
    <row r="1802" spans="1:7" x14ac:dyDescent="0.25">
      <c r="A1802" s="5" t="s">
        <v>108</v>
      </c>
      <c r="B1802" s="5" t="s">
        <v>110</v>
      </c>
      <c r="C1802" s="5">
        <v>2310</v>
      </c>
      <c r="D1802" s="5" t="s">
        <v>45</v>
      </c>
      <c r="E1802" s="5" t="s">
        <v>49</v>
      </c>
      <c r="F1802" s="6">
        <v>42370</v>
      </c>
      <c r="G1802">
        <v>0</v>
      </c>
    </row>
    <row r="1803" spans="1:7" x14ac:dyDescent="0.25">
      <c r="A1803" s="5" t="s">
        <v>108</v>
      </c>
      <c r="B1803" s="5" t="s">
        <v>110</v>
      </c>
      <c r="C1803" s="5">
        <v>2310</v>
      </c>
      <c r="D1803" s="5" t="s">
        <v>45</v>
      </c>
      <c r="E1803" s="5" t="s">
        <v>49</v>
      </c>
      <c r="F1803" s="6">
        <v>42736</v>
      </c>
      <c r="G1803">
        <v>0</v>
      </c>
    </row>
    <row r="1804" spans="1:7" x14ac:dyDescent="0.25">
      <c r="A1804" s="5" t="s">
        <v>108</v>
      </c>
      <c r="B1804" s="5" t="s">
        <v>110</v>
      </c>
      <c r="C1804" s="5">
        <v>2310</v>
      </c>
      <c r="D1804" s="5" t="s">
        <v>45</v>
      </c>
      <c r="E1804" s="5" t="s">
        <v>50</v>
      </c>
      <c r="F1804" s="6">
        <v>42370</v>
      </c>
      <c r="G1804">
        <v>0</v>
      </c>
    </row>
    <row r="1805" spans="1:7" x14ac:dyDescent="0.25">
      <c r="A1805" s="5" t="s">
        <v>108</v>
      </c>
      <c r="B1805" s="5" t="s">
        <v>110</v>
      </c>
      <c r="C1805" s="5">
        <v>2310</v>
      </c>
      <c r="D1805" s="5" t="s">
        <v>45</v>
      </c>
      <c r="E1805" s="5" t="s">
        <v>50</v>
      </c>
      <c r="F1805" s="6">
        <v>42736</v>
      </c>
      <c r="G1805">
        <v>0</v>
      </c>
    </row>
    <row r="1806" spans="1:7" x14ac:dyDescent="0.25">
      <c r="A1806" s="5" t="s">
        <v>108</v>
      </c>
      <c r="B1806" s="5" t="s">
        <v>110</v>
      </c>
      <c r="C1806" s="5">
        <v>2310</v>
      </c>
      <c r="D1806" s="5" t="s">
        <v>45</v>
      </c>
      <c r="E1806" s="5" t="s">
        <v>51</v>
      </c>
      <c r="F1806" s="6">
        <v>42370</v>
      </c>
      <c r="G1806">
        <v>0</v>
      </c>
    </row>
    <row r="1807" spans="1:7" x14ac:dyDescent="0.25">
      <c r="A1807" s="5" t="s">
        <v>108</v>
      </c>
      <c r="B1807" s="5" t="s">
        <v>110</v>
      </c>
      <c r="C1807" s="5">
        <v>2310</v>
      </c>
      <c r="D1807" s="5" t="s">
        <v>45</v>
      </c>
      <c r="E1807" s="5" t="s">
        <v>51</v>
      </c>
      <c r="F1807" s="6">
        <v>42736</v>
      </c>
      <c r="G1807">
        <v>0</v>
      </c>
    </row>
    <row r="1808" spans="1:7" x14ac:dyDescent="0.25">
      <c r="A1808" s="5" t="s">
        <v>108</v>
      </c>
      <c r="B1808" s="5" t="s">
        <v>110</v>
      </c>
      <c r="C1808" s="5">
        <v>2310</v>
      </c>
      <c r="D1808" s="5" t="s">
        <v>45</v>
      </c>
      <c r="E1808" s="5" t="s">
        <v>52</v>
      </c>
      <c r="F1808" s="6">
        <v>42370</v>
      </c>
      <c r="G1808">
        <v>0</v>
      </c>
    </row>
    <row r="1809" spans="1:7" x14ac:dyDescent="0.25">
      <c r="A1809" s="5" t="s">
        <v>108</v>
      </c>
      <c r="B1809" s="5" t="s">
        <v>110</v>
      </c>
      <c r="C1809" s="5">
        <v>2310</v>
      </c>
      <c r="D1809" s="5" t="s">
        <v>45</v>
      </c>
      <c r="E1809" s="5" t="s">
        <v>52</v>
      </c>
      <c r="F1809" s="6">
        <v>42736</v>
      </c>
      <c r="G1809">
        <v>0</v>
      </c>
    </row>
    <row r="1810" spans="1:7" x14ac:dyDescent="0.25">
      <c r="A1810" s="5" t="s">
        <v>108</v>
      </c>
      <c r="B1810" s="5" t="s">
        <v>110</v>
      </c>
      <c r="C1810" s="5">
        <v>2310</v>
      </c>
      <c r="D1810" s="5" t="s">
        <v>45</v>
      </c>
      <c r="E1810" s="5" t="s">
        <v>53</v>
      </c>
      <c r="F1810" s="6">
        <v>42370</v>
      </c>
      <c r="G1810">
        <v>10</v>
      </c>
    </row>
    <row r="1811" spans="1:7" x14ac:dyDescent="0.25">
      <c r="A1811" s="5" t="s">
        <v>108</v>
      </c>
      <c r="B1811" s="5" t="s">
        <v>110</v>
      </c>
      <c r="C1811" s="5">
        <v>2310</v>
      </c>
      <c r="D1811" s="5" t="s">
        <v>45</v>
      </c>
      <c r="E1811" s="5" t="s">
        <v>53</v>
      </c>
      <c r="F1811" s="6">
        <v>42736</v>
      </c>
      <c r="G1811">
        <v>24</v>
      </c>
    </row>
    <row r="1812" spans="1:7" x14ac:dyDescent="0.25">
      <c r="A1812" s="5" t="s">
        <v>108</v>
      </c>
      <c r="B1812" s="5" t="s">
        <v>110</v>
      </c>
      <c r="C1812" s="5">
        <v>2310</v>
      </c>
      <c r="D1812" s="5" t="s">
        <v>45</v>
      </c>
      <c r="E1812" s="5" t="s">
        <v>54</v>
      </c>
      <c r="F1812" s="6">
        <v>42370</v>
      </c>
      <c r="G1812">
        <v>0</v>
      </c>
    </row>
    <row r="1813" spans="1:7" x14ac:dyDescent="0.25">
      <c r="A1813" s="5" t="s">
        <v>108</v>
      </c>
      <c r="B1813" s="5" t="s">
        <v>110</v>
      </c>
      <c r="C1813" s="5">
        <v>2310</v>
      </c>
      <c r="D1813" s="5" t="s">
        <v>45</v>
      </c>
      <c r="E1813" s="5" t="s">
        <v>54</v>
      </c>
      <c r="F1813" s="6">
        <v>42736</v>
      </c>
      <c r="G1813">
        <v>0</v>
      </c>
    </row>
    <row r="1814" spans="1:7" x14ac:dyDescent="0.25">
      <c r="A1814" s="5" t="s">
        <v>108</v>
      </c>
      <c r="B1814" s="5" t="s">
        <v>110</v>
      </c>
      <c r="C1814" s="5">
        <v>2310</v>
      </c>
      <c r="D1814" s="5" t="s">
        <v>45</v>
      </c>
      <c r="E1814" s="5" t="s">
        <v>55</v>
      </c>
      <c r="F1814" s="6">
        <v>42370</v>
      </c>
      <c r="G1814">
        <v>0</v>
      </c>
    </row>
    <row r="1815" spans="1:7" x14ac:dyDescent="0.25">
      <c r="A1815" s="5" t="s">
        <v>108</v>
      </c>
      <c r="B1815" s="5" t="s">
        <v>110</v>
      </c>
      <c r="C1815" s="5">
        <v>2310</v>
      </c>
      <c r="D1815" s="5" t="s">
        <v>45</v>
      </c>
      <c r="E1815" s="5" t="s">
        <v>55</v>
      </c>
      <c r="F1815" s="6">
        <v>42736</v>
      </c>
      <c r="G1815">
        <v>0</v>
      </c>
    </row>
    <row r="1816" spans="1:7" x14ac:dyDescent="0.25">
      <c r="A1816" s="5" t="s">
        <v>108</v>
      </c>
      <c r="B1816" s="5" t="s">
        <v>110</v>
      </c>
      <c r="C1816" s="5">
        <v>2310</v>
      </c>
      <c r="D1816" s="5" t="s">
        <v>45</v>
      </c>
      <c r="E1816" s="5" t="s">
        <v>56</v>
      </c>
      <c r="F1816" s="6">
        <v>42370</v>
      </c>
      <c r="G1816">
        <v>0</v>
      </c>
    </row>
    <row r="1817" spans="1:7" x14ac:dyDescent="0.25">
      <c r="A1817" s="5" t="s">
        <v>108</v>
      </c>
      <c r="B1817" s="5" t="s">
        <v>110</v>
      </c>
      <c r="C1817" s="5">
        <v>2310</v>
      </c>
      <c r="D1817" s="5" t="s">
        <v>45</v>
      </c>
      <c r="E1817" s="5" t="s">
        <v>56</v>
      </c>
      <c r="F1817" s="6">
        <v>42736</v>
      </c>
      <c r="G1817">
        <v>0</v>
      </c>
    </row>
    <row r="1818" spans="1:7" x14ac:dyDescent="0.25">
      <c r="A1818" s="5" t="s">
        <v>108</v>
      </c>
      <c r="B1818" s="5" t="s">
        <v>110</v>
      </c>
      <c r="C1818" s="5">
        <v>2310</v>
      </c>
      <c r="D1818" s="5" t="s">
        <v>45</v>
      </c>
      <c r="E1818" s="5" t="s">
        <v>57</v>
      </c>
      <c r="F1818" s="6">
        <v>42370</v>
      </c>
      <c r="G1818">
        <v>0</v>
      </c>
    </row>
    <row r="1819" spans="1:7" x14ac:dyDescent="0.25">
      <c r="A1819" s="5" t="s">
        <v>108</v>
      </c>
      <c r="B1819" s="5" t="s">
        <v>110</v>
      </c>
      <c r="C1819" s="5">
        <v>2310</v>
      </c>
      <c r="D1819" s="5" t="s">
        <v>45</v>
      </c>
      <c r="E1819" s="5" t="s">
        <v>57</v>
      </c>
      <c r="F1819" s="6">
        <v>42736</v>
      </c>
      <c r="G1819">
        <v>0</v>
      </c>
    </row>
    <row r="1820" spans="1:7" x14ac:dyDescent="0.25">
      <c r="A1820" s="5" t="s">
        <v>108</v>
      </c>
      <c r="B1820" s="5" t="s">
        <v>110</v>
      </c>
      <c r="C1820" s="5">
        <v>2310</v>
      </c>
      <c r="D1820" s="5" t="s">
        <v>45</v>
      </c>
      <c r="E1820" s="5" t="s">
        <v>58</v>
      </c>
      <c r="F1820" s="6">
        <v>42370</v>
      </c>
      <c r="G1820">
        <v>0</v>
      </c>
    </row>
    <row r="1821" spans="1:7" x14ac:dyDescent="0.25">
      <c r="A1821" s="5" t="s">
        <v>108</v>
      </c>
      <c r="B1821" s="5" t="s">
        <v>110</v>
      </c>
      <c r="C1821" s="5">
        <v>2310</v>
      </c>
      <c r="D1821" s="5" t="s">
        <v>45</v>
      </c>
      <c r="E1821" s="5" t="s">
        <v>58</v>
      </c>
      <c r="F1821" s="6">
        <v>42736</v>
      </c>
      <c r="G1821">
        <v>0</v>
      </c>
    </row>
    <row r="1822" spans="1:7" x14ac:dyDescent="0.25">
      <c r="A1822" s="5" t="s">
        <v>108</v>
      </c>
      <c r="B1822" s="5" t="s">
        <v>110</v>
      </c>
      <c r="C1822" s="5">
        <v>2310</v>
      </c>
      <c r="D1822" s="5" t="s">
        <v>45</v>
      </c>
      <c r="E1822" s="5" t="s">
        <v>59</v>
      </c>
      <c r="F1822" s="6">
        <v>42370</v>
      </c>
      <c r="G1822">
        <v>0</v>
      </c>
    </row>
    <row r="1823" spans="1:7" x14ac:dyDescent="0.25">
      <c r="A1823" s="5" t="s">
        <v>108</v>
      </c>
      <c r="B1823" s="5" t="s">
        <v>110</v>
      </c>
      <c r="C1823" s="5">
        <v>2310</v>
      </c>
      <c r="D1823" s="5" t="s">
        <v>45</v>
      </c>
      <c r="E1823" s="5" t="s">
        <v>59</v>
      </c>
      <c r="F1823" s="6">
        <v>42736</v>
      </c>
      <c r="G1823">
        <v>0</v>
      </c>
    </row>
    <row r="1824" spans="1:7" x14ac:dyDescent="0.25">
      <c r="A1824" s="5" t="s">
        <v>108</v>
      </c>
      <c r="B1824" s="5" t="s">
        <v>110</v>
      </c>
      <c r="C1824" s="5">
        <v>2310</v>
      </c>
      <c r="D1824" s="5" t="s">
        <v>45</v>
      </c>
      <c r="E1824" s="5" t="s">
        <v>60</v>
      </c>
      <c r="F1824" s="6">
        <v>42370</v>
      </c>
      <c r="G1824">
        <v>0</v>
      </c>
    </row>
    <row r="1825" spans="1:7" x14ac:dyDescent="0.25">
      <c r="A1825" s="5" t="s">
        <v>108</v>
      </c>
      <c r="B1825" s="5" t="s">
        <v>110</v>
      </c>
      <c r="C1825" s="5">
        <v>2310</v>
      </c>
      <c r="D1825" s="5" t="s">
        <v>45</v>
      </c>
      <c r="E1825" s="5" t="s">
        <v>60</v>
      </c>
      <c r="F1825" s="6">
        <v>42736</v>
      </c>
      <c r="G1825">
        <v>0</v>
      </c>
    </row>
    <row r="1826" spans="1:7" x14ac:dyDescent="0.25">
      <c r="A1826" s="5" t="s">
        <v>108</v>
      </c>
      <c r="B1826" s="5" t="s">
        <v>110</v>
      </c>
      <c r="C1826" s="5">
        <v>2310</v>
      </c>
      <c r="D1826" s="5" t="s">
        <v>45</v>
      </c>
      <c r="E1826" s="5" t="s">
        <v>61</v>
      </c>
      <c r="F1826" s="6">
        <v>42370</v>
      </c>
      <c r="G1826">
        <v>0</v>
      </c>
    </row>
    <row r="1827" spans="1:7" x14ac:dyDescent="0.25">
      <c r="A1827" s="5" t="s">
        <v>108</v>
      </c>
      <c r="B1827" s="5" t="s">
        <v>110</v>
      </c>
      <c r="C1827" s="5">
        <v>2310</v>
      </c>
      <c r="D1827" s="5" t="s">
        <v>45</v>
      </c>
      <c r="E1827" s="5" t="s">
        <v>61</v>
      </c>
      <c r="F1827" s="6">
        <v>42736</v>
      </c>
      <c r="G1827">
        <v>1</v>
      </c>
    </row>
    <row r="1828" spans="1:7" x14ac:dyDescent="0.25">
      <c r="A1828" s="5" t="s">
        <v>108</v>
      </c>
      <c r="B1828" s="5" t="s">
        <v>110</v>
      </c>
      <c r="C1828" s="5">
        <v>2310</v>
      </c>
      <c r="D1828" s="5" t="s">
        <v>62</v>
      </c>
      <c r="E1828" s="5" t="s">
        <v>63</v>
      </c>
      <c r="F1828" s="6">
        <v>42370</v>
      </c>
      <c r="G1828">
        <v>0</v>
      </c>
    </row>
    <row r="1829" spans="1:7" x14ac:dyDescent="0.25">
      <c r="A1829" s="5" t="s">
        <v>108</v>
      </c>
      <c r="B1829" s="5" t="s">
        <v>110</v>
      </c>
      <c r="C1829" s="5">
        <v>2310</v>
      </c>
      <c r="D1829" s="5" t="s">
        <v>62</v>
      </c>
      <c r="E1829" s="5" t="s">
        <v>63</v>
      </c>
      <c r="F1829" s="6">
        <v>42736</v>
      </c>
      <c r="G1829">
        <v>0</v>
      </c>
    </row>
    <row r="1830" spans="1:7" x14ac:dyDescent="0.25">
      <c r="A1830" s="5" t="s">
        <v>108</v>
      </c>
      <c r="B1830" s="5" t="s">
        <v>110</v>
      </c>
      <c r="C1830" s="5">
        <v>2310</v>
      </c>
      <c r="D1830" s="5" t="s">
        <v>62</v>
      </c>
      <c r="E1830" s="5" t="s">
        <v>64</v>
      </c>
      <c r="F1830" s="6">
        <v>42370</v>
      </c>
      <c r="G1830">
        <v>0</v>
      </c>
    </row>
    <row r="1831" spans="1:7" x14ac:dyDescent="0.25">
      <c r="A1831" s="5" t="s">
        <v>108</v>
      </c>
      <c r="B1831" s="5" t="s">
        <v>110</v>
      </c>
      <c r="C1831" s="5">
        <v>2310</v>
      </c>
      <c r="D1831" s="5" t="s">
        <v>62</v>
      </c>
      <c r="E1831" s="5" t="s">
        <v>64</v>
      </c>
      <c r="F1831" s="6">
        <v>42736</v>
      </c>
      <c r="G1831">
        <v>0</v>
      </c>
    </row>
    <row r="1832" spans="1:7" x14ac:dyDescent="0.25">
      <c r="A1832" s="5" t="s">
        <v>108</v>
      </c>
      <c r="B1832" s="5" t="s">
        <v>110</v>
      </c>
      <c r="C1832" s="5">
        <v>2310</v>
      </c>
      <c r="D1832" s="5" t="s">
        <v>62</v>
      </c>
      <c r="E1832" s="5" t="s">
        <v>9</v>
      </c>
      <c r="F1832" s="6">
        <v>42370</v>
      </c>
      <c r="G1832">
        <v>0</v>
      </c>
    </row>
    <row r="1833" spans="1:7" x14ac:dyDescent="0.25">
      <c r="A1833" s="5" t="s">
        <v>108</v>
      </c>
      <c r="B1833" s="5" t="s">
        <v>110</v>
      </c>
      <c r="C1833" s="5">
        <v>2310</v>
      </c>
      <c r="D1833" s="5" t="s">
        <v>62</v>
      </c>
      <c r="E1833" s="5" t="s">
        <v>9</v>
      </c>
      <c r="F1833" s="6">
        <v>42736</v>
      </c>
      <c r="G1833">
        <v>0</v>
      </c>
    </row>
    <row r="1834" spans="1:7" x14ac:dyDescent="0.25">
      <c r="A1834" s="5" t="s">
        <v>108</v>
      </c>
      <c r="B1834" s="5" t="s">
        <v>110</v>
      </c>
      <c r="C1834" s="5">
        <v>2310</v>
      </c>
      <c r="D1834" s="5" t="s">
        <v>62</v>
      </c>
      <c r="E1834" s="5" t="s">
        <v>65</v>
      </c>
      <c r="F1834" s="6">
        <v>42370</v>
      </c>
      <c r="G1834">
        <v>0</v>
      </c>
    </row>
    <row r="1835" spans="1:7" x14ac:dyDescent="0.25">
      <c r="A1835" s="5" t="s">
        <v>108</v>
      </c>
      <c r="B1835" s="5" t="s">
        <v>110</v>
      </c>
      <c r="C1835" s="5">
        <v>2310</v>
      </c>
      <c r="D1835" s="5" t="s">
        <v>62</v>
      </c>
      <c r="E1835" s="5" t="s">
        <v>65</v>
      </c>
      <c r="F1835" s="6">
        <v>42736</v>
      </c>
      <c r="G1835">
        <v>0</v>
      </c>
    </row>
    <row r="1836" spans="1:7" x14ac:dyDescent="0.25">
      <c r="A1836" s="5" t="s">
        <v>108</v>
      </c>
      <c r="B1836" s="5" t="s">
        <v>110</v>
      </c>
      <c r="C1836" s="5">
        <v>2310</v>
      </c>
      <c r="D1836" s="5" t="s">
        <v>62</v>
      </c>
      <c r="E1836" s="5" t="s">
        <v>66</v>
      </c>
      <c r="F1836" s="6">
        <v>42370</v>
      </c>
      <c r="G1836">
        <v>0</v>
      </c>
    </row>
    <row r="1837" spans="1:7" x14ac:dyDescent="0.25">
      <c r="A1837" s="5" t="s">
        <v>108</v>
      </c>
      <c r="B1837" s="5" t="s">
        <v>110</v>
      </c>
      <c r="C1837" s="5">
        <v>2310</v>
      </c>
      <c r="D1837" s="5" t="s">
        <v>62</v>
      </c>
      <c r="E1837" s="5" t="s">
        <v>66</v>
      </c>
      <c r="F1837" s="6">
        <v>42736</v>
      </c>
      <c r="G1837">
        <v>0</v>
      </c>
    </row>
    <row r="1838" spans="1:7" x14ac:dyDescent="0.25">
      <c r="A1838" s="5" t="s">
        <v>108</v>
      </c>
      <c r="B1838" s="5" t="s">
        <v>110</v>
      </c>
      <c r="C1838" s="5">
        <v>2310</v>
      </c>
      <c r="D1838" s="5" t="s">
        <v>62</v>
      </c>
      <c r="E1838" s="5" t="s">
        <v>67</v>
      </c>
      <c r="F1838" s="6">
        <v>42370</v>
      </c>
      <c r="G1838">
        <v>0</v>
      </c>
    </row>
    <row r="1839" spans="1:7" x14ac:dyDescent="0.25">
      <c r="A1839" s="5" t="s">
        <v>108</v>
      </c>
      <c r="B1839" s="5" t="s">
        <v>110</v>
      </c>
      <c r="C1839" s="5">
        <v>2310</v>
      </c>
      <c r="D1839" s="5" t="s">
        <v>62</v>
      </c>
      <c r="E1839" s="5" t="s">
        <v>67</v>
      </c>
      <c r="F1839" s="6">
        <v>42736</v>
      </c>
      <c r="G1839">
        <v>0</v>
      </c>
    </row>
    <row r="1840" spans="1:7" x14ac:dyDescent="0.25">
      <c r="A1840" s="5" t="s">
        <v>108</v>
      </c>
      <c r="B1840" s="5" t="s">
        <v>110</v>
      </c>
      <c r="C1840" s="5">
        <v>2310</v>
      </c>
      <c r="D1840" s="5" t="s">
        <v>62</v>
      </c>
      <c r="E1840" s="5" t="s">
        <v>68</v>
      </c>
      <c r="F1840" s="6">
        <v>42370</v>
      </c>
      <c r="G1840">
        <v>0</v>
      </c>
    </row>
    <row r="1841" spans="1:7" x14ac:dyDescent="0.25">
      <c r="A1841" s="5" t="s">
        <v>108</v>
      </c>
      <c r="B1841" s="5" t="s">
        <v>110</v>
      </c>
      <c r="C1841" s="5">
        <v>2310</v>
      </c>
      <c r="D1841" s="5" t="s">
        <v>62</v>
      </c>
      <c r="E1841" s="5" t="s">
        <v>68</v>
      </c>
      <c r="F1841" s="6">
        <v>42736</v>
      </c>
      <c r="G1841">
        <v>0</v>
      </c>
    </row>
    <row r="1842" spans="1:7" x14ac:dyDescent="0.25">
      <c r="A1842" s="5" t="s">
        <v>108</v>
      </c>
      <c r="B1842" s="5" t="s">
        <v>110</v>
      </c>
      <c r="C1842" s="5">
        <v>2310</v>
      </c>
      <c r="D1842" s="5" t="s">
        <v>62</v>
      </c>
      <c r="E1842" s="5" t="s">
        <v>69</v>
      </c>
      <c r="F1842" s="6">
        <v>42370</v>
      </c>
      <c r="G1842">
        <v>0</v>
      </c>
    </row>
    <row r="1843" spans="1:7" x14ac:dyDescent="0.25">
      <c r="A1843" s="5" t="s">
        <v>108</v>
      </c>
      <c r="B1843" s="5" t="s">
        <v>110</v>
      </c>
      <c r="C1843" s="5">
        <v>2310</v>
      </c>
      <c r="D1843" s="5" t="s">
        <v>62</v>
      </c>
      <c r="E1843" s="5" t="s">
        <v>69</v>
      </c>
      <c r="F1843" s="6">
        <v>42736</v>
      </c>
      <c r="G1843">
        <v>0</v>
      </c>
    </row>
    <row r="1844" spans="1:7" x14ac:dyDescent="0.25">
      <c r="A1844" s="5" t="s">
        <v>108</v>
      </c>
      <c r="B1844" s="5" t="s">
        <v>110</v>
      </c>
      <c r="C1844" s="5">
        <v>2310</v>
      </c>
      <c r="D1844" s="5" t="s">
        <v>62</v>
      </c>
      <c r="E1844" s="5" t="s">
        <v>70</v>
      </c>
      <c r="F1844" s="6">
        <v>42370</v>
      </c>
      <c r="G1844">
        <v>0</v>
      </c>
    </row>
    <row r="1845" spans="1:7" x14ac:dyDescent="0.25">
      <c r="A1845" s="5" t="s">
        <v>108</v>
      </c>
      <c r="B1845" s="5" t="s">
        <v>110</v>
      </c>
      <c r="C1845" s="5">
        <v>2310</v>
      </c>
      <c r="D1845" s="5" t="s">
        <v>62</v>
      </c>
      <c r="E1845" s="5" t="s">
        <v>70</v>
      </c>
      <c r="F1845" s="6">
        <v>42736</v>
      </c>
      <c r="G1845">
        <v>0</v>
      </c>
    </row>
    <row r="1846" spans="1:7" x14ac:dyDescent="0.25">
      <c r="A1846" s="5" t="s">
        <v>108</v>
      </c>
      <c r="B1846" s="5" t="s">
        <v>110</v>
      </c>
      <c r="C1846" s="5">
        <v>2310</v>
      </c>
      <c r="D1846" s="5" t="s">
        <v>62</v>
      </c>
      <c r="E1846" s="5" t="s">
        <v>71</v>
      </c>
      <c r="F1846" s="6">
        <v>42370</v>
      </c>
      <c r="G1846">
        <v>0</v>
      </c>
    </row>
    <row r="1847" spans="1:7" x14ac:dyDescent="0.25">
      <c r="A1847" s="5" t="s">
        <v>108</v>
      </c>
      <c r="B1847" s="5" t="s">
        <v>110</v>
      </c>
      <c r="C1847" s="5">
        <v>2310</v>
      </c>
      <c r="D1847" s="5" t="s">
        <v>62</v>
      </c>
      <c r="E1847" s="5" t="s">
        <v>71</v>
      </c>
      <c r="F1847" s="6">
        <v>42736</v>
      </c>
      <c r="G1847">
        <v>0</v>
      </c>
    </row>
    <row r="1848" spans="1:7" x14ac:dyDescent="0.25">
      <c r="A1848" s="5" t="s">
        <v>108</v>
      </c>
      <c r="B1848" s="5" t="s">
        <v>110</v>
      </c>
      <c r="C1848" s="5">
        <v>2310</v>
      </c>
      <c r="D1848" s="5" t="s">
        <v>72</v>
      </c>
      <c r="E1848" s="5" t="s">
        <v>73</v>
      </c>
      <c r="F1848" s="6">
        <v>42370</v>
      </c>
      <c r="G1848">
        <v>0</v>
      </c>
    </row>
    <row r="1849" spans="1:7" x14ac:dyDescent="0.25">
      <c r="A1849" s="5" t="s">
        <v>108</v>
      </c>
      <c r="B1849" s="5" t="s">
        <v>110</v>
      </c>
      <c r="C1849" s="5">
        <v>2310</v>
      </c>
      <c r="D1849" s="5" t="s">
        <v>72</v>
      </c>
      <c r="E1849" s="5" t="s">
        <v>73</v>
      </c>
      <c r="F1849" s="6">
        <v>42736</v>
      </c>
      <c r="G1849">
        <v>0</v>
      </c>
    </row>
    <row r="1850" spans="1:7" x14ac:dyDescent="0.25">
      <c r="A1850" s="5" t="s">
        <v>108</v>
      </c>
      <c r="B1850" s="5" t="s">
        <v>110</v>
      </c>
      <c r="C1850" s="5">
        <v>2310</v>
      </c>
      <c r="D1850" s="5" t="s">
        <v>72</v>
      </c>
      <c r="E1850" s="5" t="s">
        <v>9</v>
      </c>
      <c r="F1850" s="6">
        <v>42370</v>
      </c>
      <c r="G1850">
        <v>0</v>
      </c>
    </row>
    <row r="1851" spans="1:7" x14ac:dyDescent="0.25">
      <c r="A1851" s="5" t="s">
        <v>108</v>
      </c>
      <c r="B1851" s="5" t="s">
        <v>110</v>
      </c>
      <c r="C1851" s="5">
        <v>2310</v>
      </c>
      <c r="D1851" s="5" t="s">
        <v>72</v>
      </c>
      <c r="E1851" s="5" t="s">
        <v>9</v>
      </c>
      <c r="F1851" s="6">
        <v>42736</v>
      </c>
      <c r="G1851">
        <v>0</v>
      </c>
    </row>
    <row r="1852" spans="1:7" x14ac:dyDescent="0.25">
      <c r="A1852" s="5" t="s">
        <v>108</v>
      </c>
      <c r="B1852" s="5" t="s">
        <v>110</v>
      </c>
      <c r="C1852" s="5">
        <v>2310</v>
      </c>
      <c r="D1852" s="5" t="s">
        <v>72</v>
      </c>
      <c r="E1852" s="5" t="s">
        <v>34</v>
      </c>
      <c r="F1852" s="6">
        <v>42370</v>
      </c>
      <c r="G1852">
        <v>0</v>
      </c>
    </row>
    <row r="1853" spans="1:7" x14ac:dyDescent="0.25">
      <c r="A1853" s="5" t="s">
        <v>108</v>
      </c>
      <c r="B1853" s="5" t="s">
        <v>110</v>
      </c>
      <c r="C1853" s="5">
        <v>2310</v>
      </c>
      <c r="D1853" s="5" t="s">
        <v>72</v>
      </c>
      <c r="E1853" s="5" t="s">
        <v>34</v>
      </c>
      <c r="F1853" s="6">
        <v>42736</v>
      </c>
      <c r="G1853">
        <v>0</v>
      </c>
    </row>
    <row r="1854" spans="1:7" x14ac:dyDescent="0.25">
      <c r="A1854" s="5" t="s">
        <v>108</v>
      </c>
      <c r="B1854" s="5" t="s">
        <v>110</v>
      </c>
      <c r="C1854" s="5">
        <v>2310</v>
      </c>
      <c r="D1854" s="5" t="s">
        <v>72</v>
      </c>
      <c r="E1854" s="5" t="s">
        <v>74</v>
      </c>
      <c r="F1854" s="6">
        <v>42370</v>
      </c>
      <c r="G1854">
        <v>0</v>
      </c>
    </row>
    <row r="1855" spans="1:7" x14ac:dyDescent="0.25">
      <c r="A1855" s="5" t="s">
        <v>108</v>
      </c>
      <c r="B1855" s="5" t="s">
        <v>110</v>
      </c>
      <c r="C1855" s="5">
        <v>2310</v>
      </c>
      <c r="D1855" s="5" t="s">
        <v>72</v>
      </c>
      <c r="E1855" s="5" t="s">
        <v>74</v>
      </c>
      <c r="F1855" s="6">
        <v>42736</v>
      </c>
      <c r="G1855">
        <v>0</v>
      </c>
    </row>
    <row r="1856" spans="1:7" x14ac:dyDescent="0.25">
      <c r="A1856" s="5" t="s">
        <v>108</v>
      </c>
      <c r="B1856" s="5" t="s">
        <v>110</v>
      </c>
      <c r="C1856" s="5">
        <v>2310</v>
      </c>
      <c r="D1856" s="5" t="s">
        <v>72</v>
      </c>
      <c r="E1856" s="5" t="s">
        <v>75</v>
      </c>
      <c r="F1856" s="6">
        <v>42370</v>
      </c>
      <c r="G1856">
        <v>0</v>
      </c>
    </row>
    <row r="1857" spans="1:7" x14ac:dyDescent="0.25">
      <c r="A1857" s="5" t="s">
        <v>108</v>
      </c>
      <c r="B1857" s="5" t="s">
        <v>110</v>
      </c>
      <c r="C1857" s="5">
        <v>2310</v>
      </c>
      <c r="D1857" s="5" t="s">
        <v>72</v>
      </c>
      <c r="E1857" s="5" t="s">
        <v>75</v>
      </c>
      <c r="F1857" s="6">
        <v>42736</v>
      </c>
      <c r="G1857">
        <v>0</v>
      </c>
    </row>
    <row r="1858" spans="1:7" x14ac:dyDescent="0.25">
      <c r="A1858" s="5" t="s">
        <v>108</v>
      </c>
      <c r="B1858" s="5" t="s">
        <v>110</v>
      </c>
      <c r="C1858" s="5">
        <v>2310</v>
      </c>
      <c r="D1858" s="5" t="s">
        <v>76</v>
      </c>
      <c r="E1858" s="5" t="s">
        <v>9</v>
      </c>
      <c r="F1858" s="6">
        <v>42370</v>
      </c>
      <c r="G1858">
        <v>0</v>
      </c>
    </row>
    <row r="1859" spans="1:7" x14ac:dyDescent="0.25">
      <c r="A1859" s="5" t="s">
        <v>108</v>
      </c>
      <c r="B1859" s="5" t="s">
        <v>110</v>
      </c>
      <c r="C1859" s="5">
        <v>2310</v>
      </c>
      <c r="D1859" s="5" t="s">
        <v>76</v>
      </c>
      <c r="E1859" s="5" t="s">
        <v>9</v>
      </c>
      <c r="F1859" s="6">
        <v>42736</v>
      </c>
      <c r="G1859">
        <v>0</v>
      </c>
    </row>
    <row r="1860" spans="1:7" x14ac:dyDescent="0.25">
      <c r="A1860" s="5" t="s">
        <v>108</v>
      </c>
      <c r="B1860" s="5" t="s">
        <v>110</v>
      </c>
      <c r="C1860" s="5">
        <v>2310</v>
      </c>
      <c r="D1860" s="5" t="s">
        <v>76</v>
      </c>
      <c r="E1860" s="5" t="s">
        <v>77</v>
      </c>
      <c r="F1860" s="6">
        <v>42370</v>
      </c>
      <c r="G1860">
        <v>0</v>
      </c>
    </row>
    <row r="1861" spans="1:7" x14ac:dyDescent="0.25">
      <c r="A1861" s="5" t="s">
        <v>108</v>
      </c>
      <c r="B1861" s="5" t="s">
        <v>110</v>
      </c>
      <c r="C1861" s="5">
        <v>2310</v>
      </c>
      <c r="D1861" s="5" t="s">
        <v>76</v>
      </c>
      <c r="E1861" s="5" t="s">
        <v>77</v>
      </c>
      <c r="F1861" s="6">
        <v>42736</v>
      </c>
      <c r="G1861">
        <v>0</v>
      </c>
    </row>
    <row r="1862" spans="1:7" x14ac:dyDescent="0.25">
      <c r="A1862" s="5" t="s">
        <v>108</v>
      </c>
      <c r="B1862" s="5" t="s">
        <v>110</v>
      </c>
      <c r="C1862" s="5">
        <v>2310</v>
      </c>
      <c r="D1862" s="5" t="s">
        <v>78</v>
      </c>
      <c r="E1862" s="5" t="s">
        <v>79</v>
      </c>
      <c r="F1862" s="6">
        <v>42370</v>
      </c>
      <c r="G1862">
        <v>0</v>
      </c>
    </row>
    <row r="1863" spans="1:7" x14ac:dyDescent="0.25">
      <c r="A1863" s="5" t="s">
        <v>108</v>
      </c>
      <c r="B1863" s="5" t="s">
        <v>110</v>
      </c>
      <c r="C1863" s="5">
        <v>2310</v>
      </c>
      <c r="D1863" s="5" t="s">
        <v>78</v>
      </c>
      <c r="E1863" s="5" t="s">
        <v>79</v>
      </c>
      <c r="F1863" s="6">
        <v>42736</v>
      </c>
      <c r="G1863">
        <v>0</v>
      </c>
    </row>
    <row r="1864" spans="1:7" x14ac:dyDescent="0.25">
      <c r="A1864" s="5" t="s">
        <v>108</v>
      </c>
      <c r="B1864" s="5" t="s">
        <v>110</v>
      </c>
      <c r="C1864" s="5">
        <v>2310</v>
      </c>
      <c r="D1864" s="5" t="s">
        <v>78</v>
      </c>
      <c r="E1864" s="5" t="s">
        <v>80</v>
      </c>
      <c r="F1864" s="6">
        <v>42370</v>
      </c>
      <c r="G1864">
        <v>0</v>
      </c>
    </row>
    <row r="1865" spans="1:7" x14ac:dyDescent="0.25">
      <c r="A1865" s="5" t="s">
        <v>108</v>
      </c>
      <c r="B1865" s="5" t="s">
        <v>110</v>
      </c>
      <c r="C1865" s="5">
        <v>2310</v>
      </c>
      <c r="D1865" s="5" t="s">
        <v>78</v>
      </c>
      <c r="E1865" s="5" t="s">
        <v>80</v>
      </c>
      <c r="F1865" s="6">
        <v>42736</v>
      </c>
      <c r="G1865">
        <v>0</v>
      </c>
    </row>
    <row r="1866" spans="1:7" x14ac:dyDescent="0.25">
      <c r="A1866" s="5" t="s">
        <v>108</v>
      </c>
      <c r="B1866" s="5" t="s">
        <v>110</v>
      </c>
      <c r="C1866" s="5">
        <v>2310</v>
      </c>
      <c r="D1866" s="5" t="s">
        <v>78</v>
      </c>
      <c r="E1866" s="5" t="s">
        <v>81</v>
      </c>
      <c r="F1866" s="6">
        <v>42370</v>
      </c>
      <c r="G1866">
        <v>107</v>
      </c>
    </row>
    <row r="1867" spans="1:7" x14ac:dyDescent="0.25">
      <c r="A1867" s="5" t="s">
        <v>108</v>
      </c>
      <c r="B1867" s="5" t="s">
        <v>110</v>
      </c>
      <c r="C1867" s="5">
        <v>2310</v>
      </c>
      <c r="D1867" s="5" t="s">
        <v>78</v>
      </c>
      <c r="E1867" s="5" t="s">
        <v>81</v>
      </c>
      <c r="F1867" s="6">
        <v>42736</v>
      </c>
      <c r="G1867">
        <v>201</v>
      </c>
    </row>
    <row r="1868" spans="1:7" x14ac:dyDescent="0.25">
      <c r="A1868" s="5" t="s">
        <v>108</v>
      </c>
      <c r="B1868" s="5" t="s">
        <v>110</v>
      </c>
      <c r="C1868" s="5">
        <v>2310</v>
      </c>
      <c r="D1868" s="5" t="s">
        <v>78</v>
      </c>
      <c r="E1868" s="5" t="s">
        <v>82</v>
      </c>
      <c r="F1868" s="6">
        <v>42370</v>
      </c>
      <c r="G1868">
        <v>0</v>
      </c>
    </row>
    <row r="1869" spans="1:7" x14ac:dyDescent="0.25">
      <c r="A1869" s="5" t="s">
        <v>108</v>
      </c>
      <c r="B1869" s="5" t="s">
        <v>110</v>
      </c>
      <c r="C1869" s="5">
        <v>2310</v>
      </c>
      <c r="D1869" s="5" t="s">
        <v>78</v>
      </c>
      <c r="E1869" s="5" t="s">
        <v>82</v>
      </c>
      <c r="F1869" s="6">
        <v>42736</v>
      </c>
      <c r="G1869">
        <v>0</v>
      </c>
    </row>
    <row r="1870" spans="1:7" x14ac:dyDescent="0.25">
      <c r="A1870" s="5" t="s">
        <v>108</v>
      </c>
      <c r="B1870" s="5" t="s">
        <v>110</v>
      </c>
      <c r="C1870" s="5">
        <v>2310</v>
      </c>
      <c r="D1870" s="5" t="s">
        <v>78</v>
      </c>
      <c r="E1870" s="5" t="s">
        <v>83</v>
      </c>
      <c r="F1870" s="6">
        <v>42370</v>
      </c>
      <c r="G1870">
        <v>0</v>
      </c>
    </row>
    <row r="1871" spans="1:7" x14ac:dyDescent="0.25">
      <c r="A1871" s="5" t="s">
        <v>108</v>
      </c>
      <c r="B1871" s="5" t="s">
        <v>110</v>
      </c>
      <c r="C1871" s="5">
        <v>2310</v>
      </c>
      <c r="D1871" s="5" t="s">
        <v>78</v>
      </c>
      <c r="E1871" s="5" t="s">
        <v>83</v>
      </c>
      <c r="F1871" s="6">
        <v>42736</v>
      </c>
      <c r="G1871">
        <v>0</v>
      </c>
    </row>
    <row r="1872" spans="1:7" x14ac:dyDescent="0.25">
      <c r="A1872" s="5" t="s">
        <v>108</v>
      </c>
      <c r="B1872" s="5" t="s">
        <v>110</v>
      </c>
      <c r="C1872" s="5">
        <v>2310</v>
      </c>
      <c r="D1872" s="5" t="s">
        <v>78</v>
      </c>
      <c r="E1872" s="5" t="s">
        <v>84</v>
      </c>
      <c r="F1872" s="6">
        <v>42370</v>
      </c>
      <c r="G1872">
        <v>0</v>
      </c>
    </row>
    <row r="1873" spans="1:7" x14ac:dyDescent="0.25">
      <c r="A1873" s="5" t="s">
        <v>108</v>
      </c>
      <c r="B1873" s="5" t="s">
        <v>110</v>
      </c>
      <c r="C1873" s="5">
        <v>2310</v>
      </c>
      <c r="D1873" s="5" t="s">
        <v>78</v>
      </c>
      <c r="E1873" s="5" t="s">
        <v>84</v>
      </c>
      <c r="F1873" s="6">
        <v>42736</v>
      </c>
      <c r="G1873">
        <v>0</v>
      </c>
    </row>
    <row r="1874" spans="1:7" x14ac:dyDescent="0.25">
      <c r="A1874" s="5" t="s">
        <v>108</v>
      </c>
      <c r="B1874" s="5" t="s">
        <v>110</v>
      </c>
      <c r="C1874" s="5">
        <v>2310</v>
      </c>
      <c r="D1874" s="5" t="s">
        <v>78</v>
      </c>
      <c r="E1874" s="5" t="s">
        <v>85</v>
      </c>
      <c r="F1874" s="6">
        <v>42370</v>
      </c>
      <c r="G1874">
        <v>0</v>
      </c>
    </row>
    <row r="1875" spans="1:7" x14ac:dyDescent="0.25">
      <c r="A1875" s="5" t="s">
        <v>108</v>
      </c>
      <c r="B1875" s="5" t="s">
        <v>110</v>
      </c>
      <c r="C1875" s="5">
        <v>2310</v>
      </c>
      <c r="D1875" s="5" t="s">
        <v>78</v>
      </c>
      <c r="E1875" s="5" t="s">
        <v>85</v>
      </c>
      <c r="F1875" s="6">
        <v>42736</v>
      </c>
      <c r="G1875">
        <v>0</v>
      </c>
    </row>
    <row r="1876" spans="1:7" x14ac:dyDescent="0.25">
      <c r="A1876" s="5" t="s">
        <v>108</v>
      </c>
      <c r="B1876" s="5" t="s">
        <v>110</v>
      </c>
      <c r="C1876" s="5">
        <v>2310</v>
      </c>
      <c r="D1876" s="5" t="s">
        <v>78</v>
      </c>
      <c r="E1876" s="5" t="s">
        <v>86</v>
      </c>
      <c r="F1876" s="6">
        <v>42370</v>
      </c>
      <c r="G1876">
        <v>0</v>
      </c>
    </row>
    <row r="1877" spans="1:7" x14ac:dyDescent="0.25">
      <c r="A1877" s="5" t="s">
        <v>108</v>
      </c>
      <c r="B1877" s="5" t="s">
        <v>110</v>
      </c>
      <c r="C1877" s="5">
        <v>2310</v>
      </c>
      <c r="D1877" s="5" t="s">
        <v>78</v>
      </c>
      <c r="E1877" s="5" t="s">
        <v>86</v>
      </c>
      <c r="F1877" s="6">
        <v>42736</v>
      </c>
      <c r="G1877">
        <v>0</v>
      </c>
    </row>
    <row r="1878" spans="1:7" x14ac:dyDescent="0.25">
      <c r="A1878" s="5" t="s">
        <v>108</v>
      </c>
      <c r="B1878" s="5" t="s">
        <v>110</v>
      </c>
      <c r="C1878" s="5">
        <v>2310</v>
      </c>
      <c r="D1878" s="5" t="s">
        <v>78</v>
      </c>
      <c r="E1878" s="5" t="s">
        <v>87</v>
      </c>
      <c r="F1878" s="6">
        <v>42370</v>
      </c>
      <c r="G1878">
        <v>0</v>
      </c>
    </row>
    <row r="1879" spans="1:7" x14ac:dyDescent="0.25">
      <c r="A1879" s="5" t="s">
        <v>108</v>
      </c>
      <c r="B1879" s="5" t="s">
        <v>110</v>
      </c>
      <c r="C1879" s="5">
        <v>2310</v>
      </c>
      <c r="D1879" s="5" t="s">
        <v>78</v>
      </c>
      <c r="E1879" s="5" t="s">
        <v>87</v>
      </c>
      <c r="F1879" s="6">
        <v>42736</v>
      </c>
      <c r="G1879">
        <v>0</v>
      </c>
    </row>
    <row r="1880" spans="1:7" x14ac:dyDescent="0.25">
      <c r="A1880" s="5" t="s">
        <v>108</v>
      </c>
      <c r="B1880" s="5" t="s">
        <v>110</v>
      </c>
      <c r="C1880" s="5">
        <v>2310</v>
      </c>
      <c r="D1880" s="5" t="s">
        <v>78</v>
      </c>
      <c r="E1880" s="5" t="s">
        <v>88</v>
      </c>
      <c r="F1880" s="6">
        <v>42370</v>
      </c>
      <c r="G1880">
        <v>34</v>
      </c>
    </row>
    <row r="1881" spans="1:7" x14ac:dyDescent="0.25">
      <c r="A1881" s="5" t="s">
        <v>108</v>
      </c>
      <c r="B1881" s="5" t="s">
        <v>110</v>
      </c>
      <c r="C1881" s="5">
        <v>2310</v>
      </c>
      <c r="D1881" s="5" t="s">
        <v>78</v>
      </c>
      <c r="E1881" s="5" t="s">
        <v>88</v>
      </c>
      <c r="F1881" s="6">
        <v>42736</v>
      </c>
      <c r="G1881">
        <v>42</v>
      </c>
    </row>
    <row r="1882" spans="1:7" x14ac:dyDescent="0.25">
      <c r="A1882" s="5" t="s">
        <v>108</v>
      </c>
      <c r="B1882" s="5" t="s">
        <v>110</v>
      </c>
      <c r="C1882" s="5">
        <v>2310</v>
      </c>
      <c r="D1882" s="5" t="s">
        <v>78</v>
      </c>
      <c r="E1882" s="5" t="s">
        <v>89</v>
      </c>
      <c r="F1882" s="6">
        <v>42370</v>
      </c>
      <c r="G1882">
        <v>307</v>
      </c>
    </row>
    <row r="1883" spans="1:7" x14ac:dyDescent="0.25">
      <c r="A1883" s="5" t="s">
        <v>108</v>
      </c>
      <c r="B1883" s="5" t="s">
        <v>110</v>
      </c>
      <c r="C1883" s="5">
        <v>2310</v>
      </c>
      <c r="D1883" s="5" t="s">
        <v>78</v>
      </c>
      <c r="E1883" s="5" t="s">
        <v>89</v>
      </c>
      <c r="F1883" s="6">
        <v>42736</v>
      </c>
      <c r="G1883">
        <v>350</v>
      </c>
    </row>
    <row r="1884" spans="1:7" x14ac:dyDescent="0.25">
      <c r="A1884" s="5" t="s">
        <v>108</v>
      </c>
      <c r="B1884" s="5" t="s">
        <v>110</v>
      </c>
      <c r="C1884" s="5">
        <v>2310</v>
      </c>
      <c r="D1884" s="5" t="s">
        <v>78</v>
      </c>
      <c r="E1884" s="5" t="s">
        <v>90</v>
      </c>
      <c r="F1884" s="6">
        <v>42370</v>
      </c>
      <c r="G1884">
        <v>0</v>
      </c>
    </row>
    <row r="1885" spans="1:7" x14ac:dyDescent="0.25">
      <c r="A1885" s="5" t="s">
        <v>108</v>
      </c>
      <c r="B1885" s="5" t="s">
        <v>110</v>
      </c>
      <c r="C1885" s="5">
        <v>2310</v>
      </c>
      <c r="D1885" s="5" t="s">
        <v>78</v>
      </c>
      <c r="E1885" s="5" t="s">
        <v>90</v>
      </c>
      <c r="F1885" s="6">
        <v>42736</v>
      </c>
      <c r="G1885">
        <v>0</v>
      </c>
    </row>
    <row r="1886" spans="1:7" x14ac:dyDescent="0.25">
      <c r="A1886" s="5" t="s">
        <v>108</v>
      </c>
      <c r="B1886" s="5" t="s">
        <v>110</v>
      </c>
      <c r="C1886" s="5">
        <v>2310</v>
      </c>
      <c r="D1886" s="5" t="s">
        <v>78</v>
      </c>
      <c r="E1886" s="5" t="s">
        <v>91</v>
      </c>
      <c r="F1886" s="6">
        <v>42370</v>
      </c>
      <c r="G1886">
        <v>0</v>
      </c>
    </row>
    <row r="1887" spans="1:7" x14ac:dyDescent="0.25">
      <c r="A1887" s="5" t="s">
        <v>108</v>
      </c>
      <c r="B1887" s="5" t="s">
        <v>110</v>
      </c>
      <c r="C1887" s="5">
        <v>2310</v>
      </c>
      <c r="D1887" s="5" t="s">
        <v>78</v>
      </c>
      <c r="E1887" s="5" t="s">
        <v>91</v>
      </c>
      <c r="F1887" s="6">
        <v>42736</v>
      </c>
      <c r="G1887">
        <v>0</v>
      </c>
    </row>
    <row r="1888" spans="1:7" x14ac:dyDescent="0.25">
      <c r="A1888" s="5" t="s">
        <v>108</v>
      </c>
      <c r="B1888" s="5" t="s">
        <v>110</v>
      </c>
      <c r="C1888" s="5">
        <v>2310</v>
      </c>
      <c r="D1888" s="5" t="s">
        <v>78</v>
      </c>
      <c r="E1888" s="5" t="s">
        <v>92</v>
      </c>
      <c r="F1888" s="6">
        <v>42370</v>
      </c>
      <c r="G1888">
        <v>0</v>
      </c>
    </row>
    <row r="1889" spans="1:7" x14ac:dyDescent="0.25">
      <c r="A1889" s="5" t="s">
        <v>108</v>
      </c>
      <c r="B1889" s="5" t="s">
        <v>110</v>
      </c>
      <c r="C1889" s="5">
        <v>2310</v>
      </c>
      <c r="D1889" s="5" t="s">
        <v>78</v>
      </c>
      <c r="E1889" s="5" t="s">
        <v>92</v>
      </c>
      <c r="F1889" s="6">
        <v>42736</v>
      </c>
      <c r="G1889">
        <v>0</v>
      </c>
    </row>
    <row r="1890" spans="1:7" x14ac:dyDescent="0.25">
      <c r="A1890" s="5" t="s">
        <v>108</v>
      </c>
      <c r="B1890" s="5" t="s">
        <v>110</v>
      </c>
      <c r="C1890" s="5">
        <v>2310</v>
      </c>
      <c r="D1890" s="5" t="s">
        <v>78</v>
      </c>
      <c r="E1890" s="5" t="s">
        <v>93</v>
      </c>
      <c r="F1890" s="6">
        <v>42370</v>
      </c>
      <c r="G1890">
        <v>0</v>
      </c>
    </row>
    <row r="1891" spans="1:7" x14ac:dyDescent="0.25">
      <c r="A1891" s="5" t="s">
        <v>108</v>
      </c>
      <c r="B1891" s="5" t="s">
        <v>110</v>
      </c>
      <c r="C1891" s="5">
        <v>2310</v>
      </c>
      <c r="D1891" s="5" t="s">
        <v>78</v>
      </c>
      <c r="E1891" s="5" t="s">
        <v>93</v>
      </c>
      <c r="F1891" s="6">
        <v>42736</v>
      </c>
      <c r="G1891">
        <v>0</v>
      </c>
    </row>
    <row r="1892" spans="1:7" x14ac:dyDescent="0.25">
      <c r="A1892" s="5" t="s">
        <v>108</v>
      </c>
      <c r="B1892" s="5" t="s">
        <v>110</v>
      </c>
      <c r="C1892" s="5">
        <v>2310</v>
      </c>
      <c r="D1892" s="5" t="s">
        <v>78</v>
      </c>
      <c r="E1892" s="5" t="s">
        <v>94</v>
      </c>
      <c r="F1892" s="6">
        <v>42370</v>
      </c>
      <c r="G1892">
        <v>0</v>
      </c>
    </row>
    <row r="1893" spans="1:7" x14ac:dyDescent="0.25">
      <c r="A1893" s="5" t="s">
        <v>108</v>
      </c>
      <c r="B1893" s="5" t="s">
        <v>110</v>
      </c>
      <c r="C1893" s="5">
        <v>2310</v>
      </c>
      <c r="D1893" s="5" t="s">
        <v>78</v>
      </c>
      <c r="E1893" s="5" t="s">
        <v>94</v>
      </c>
      <c r="F1893" s="6">
        <v>42736</v>
      </c>
      <c r="G1893">
        <v>0</v>
      </c>
    </row>
    <row r="1894" spans="1:7" x14ac:dyDescent="0.25">
      <c r="A1894" s="5" t="s">
        <v>108</v>
      </c>
      <c r="B1894" s="5" t="s">
        <v>110</v>
      </c>
      <c r="C1894" s="5">
        <v>2310</v>
      </c>
      <c r="D1894" s="5" t="s">
        <v>78</v>
      </c>
      <c r="E1894" s="5" t="s">
        <v>95</v>
      </c>
      <c r="F1894" s="6">
        <v>42370</v>
      </c>
      <c r="G1894">
        <v>0</v>
      </c>
    </row>
    <row r="1895" spans="1:7" x14ac:dyDescent="0.25">
      <c r="A1895" s="5" t="s">
        <v>108</v>
      </c>
      <c r="B1895" s="5" t="s">
        <v>110</v>
      </c>
      <c r="C1895" s="5">
        <v>2310</v>
      </c>
      <c r="D1895" s="5" t="s">
        <v>78</v>
      </c>
      <c r="E1895" s="5" t="s">
        <v>95</v>
      </c>
      <c r="F1895" s="6">
        <v>42736</v>
      </c>
      <c r="G1895">
        <v>0</v>
      </c>
    </row>
    <row r="1896" spans="1:7" x14ac:dyDescent="0.25">
      <c r="A1896" s="5" t="s">
        <v>108</v>
      </c>
      <c r="B1896" s="5" t="s">
        <v>110</v>
      </c>
      <c r="C1896" s="5">
        <v>2310</v>
      </c>
      <c r="D1896" s="5" t="s">
        <v>78</v>
      </c>
      <c r="E1896" s="5" t="s">
        <v>96</v>
      </c>
      <c r="F1896" s="6">
        <v>42370</v>
      </c>
      <c r="G1896">
        <v>0</v>
      </c>
    </row>
    <row r="1897" spans="1:7" x14ac:dyDescent="0.25">
      <c r="A1897" s="5" t="s">
        <v>108</v>
      </c>
      <c r="B1897" s="5" t="s">
        <v>110</v>
      </c>
      <c r="C1897" s="5">
        <v>2310</v>
      </c>
      <c r="D1897" s="5" t="s">
        <v>78</v>
      </c>
      <c r="E1897" s="5" t="s">
        <v>96</v>
      </c>
      <c r="F1897" s="6">
        <v>42736</v>
      </c>
      <c r="G1897">
        <v>0</v>
      </c>
    </row>
    <row r="1898" spans="1:7" x14ac:dyDescent="0.25">
      <c r="A1898" s="5" t="s">
        <v>108</v>
      </c>
      <c r="B1898" s="5" t="s">
        <v>110</v>
      </c>
      <c r="C1898" s="5">
        <v>2310</v>
      </c>
      <c r="D1898" s="5" t="s">
        <v>78</v>
      </c>
      <c r="E1898" s="5" t="s">
        <v>97</v>
      </c>
      <c r="F1898" s="6">
        <v>42370</v>
      </c>
      <c r="G1898">
        <v>0</v>
      </c>
    </row>
    <row r="1899" spans="1:7" x14ac:dyDescent="0.25">
      <c r="A1899" s="5" t="s">
        <v>108</v>
      </c>
      <c r="B1899" s="5" t="s">
        <v>110</v>
      </c>
      <c r="C1899" s="5">
        <v>2310</v>
      </c>
      <c r="D1899" s="5" t="s">
        <v>78</v>
      </c>
      <c r="E1899" s="5" t="s">
        <v>97</v>
      </c>
      <c r="F1899" s="6">
        <v>42736</v>
      </c>
      <c r="G1899">
        <v>0</v>
      </c>
    </row>
    <row r="1900" spans="1:7" x14ac:dyDescent="0.25">
      <c r="A1900" s="5" t="s">
        <v>108</v>
      </c>
      <c r="B1900" s="5" t="s">
        <v>110</v>
      </c>
      <c r="C1900" s="5">
        <v>2310</v>
      </c>
      <c r="D1900" s="5" t="s">
        <v>78</v>
      </c>
      <c r="E1900" s="5" t="s">
        <v>98</v>
      </c>
      <c r="F1900" s="6">
        <v>42370</v>
      </c>
      <c r="G1900">
        <v>1</v>
      </c>
    </row>
    <row r="1901" spans="1:7" x14ac:dyDescent="0.25">
      <c r="A1901" s="5" t="s">
        <v>108</v>
      </c>
      <c r="B1901" s="5" t="s">
        <v>110</v>
      </c>
      <c r="C1901" s="5">
        <v>2310</v>
      </c>
      <c r="D1901" s="5" t="s">
        <v>78</v>
      </c>
      <c r="E1901" s="5" t="s">
        <v>98</v>
      </c>
      <c r="F1901" s="6">
        <v>42736</v>
      </c>
      <c r="G1901">
        <v>0</v>
      </c>
    </row>
    <row r="1902" spans="1:7" x14ac:dyDescent="0.25">
      <c r="A1902" s="5" t="s">
        <v>108</v>
      </c>
      <c r="B1902" s="5" t="s">
        <v>111</v>
      </c>
      <c r="C1902" s="5">
        <v>2320</v>
      </c>
      <c r="D1902" s="5" t="s">
        <v>8</v>
      </c>
      <c r="E1902" s="5" t="s">
        <v>9</v>
      </c>
      <c r="F1902" s="6">
        <v>42370</v>
      </c>
      <c r="G1902">
        <v>0</v>
      </c>
    </row>
    <row r="1903" spans="1:7" x14ac:dyDescent="0.25">
      <c r="A1903" s="5" t="s">
        <v>108</v>
      </c>
      <c r="B1903" s="5" t="s">
        <v>111</v>
      </c>
      <c r="C1903" s="5">
        <v>2320</v>
      </c>
      <c r="D1903" s="5" t="s">
        <v>8</v>
      </c>
      <c r="E1903" s="5" t="s">
        <v>9</v>
      </c>
      <c r="F1903" s="6">
        <v>42736</v>
      </c>
      <c r="G1903">
        <v>0</v>
      </c>
    </row>
    <row r="1904" spans="1:7" x14ac:dyDescent="0.25">
      <c r="A1904" s="5" t="s">
        <v>108</v>
      </c>
      <c r="B1904" s="5" t="s">
        <v>111</v>
      </c>
      <c r="C1904" s="5">
        <v>2320</v>
      </c>
      <c r="D1904" s="5" t="s">
        <v>8</v>
      </c>
      <c r="E1904" s="5" t="s">
        <v>10</v>
      </c>
      <c r="F1904" s="6">
        <v>42370</v>
      </c>
      <c r="G1904">
        <v>0</v>
      </c>
    </row>
    <row r="1905" spans="1:7" x14ac:dyDescent="0.25">
      <c r="A1905" s="5" t="s">
        <v>108</v>
      </c>
      <c r="B1905" s="5" t="s">
        <v>111</v>
      </c>
      <c r="C1905" s="5">
        <v>2320</v>
      </c>
      <c r="D1905" s="5" t="s">
        <v>8</v>
      </c>
      <c r="E1905" s="5" t="s">
        <v>10</v>
      </c>
      <c r="F1905" s="6">
        <v>42736</v>
      </c>
      <c r="G1905">
        <v>0</v>
      </c>
    </row>
    <row r="1906" spans="1:7" x14ac:dyDescent="0.25">
      <c r="A1906" s="5" t="s">
        <v>108</v>
      </c>
      <c r="B1906" s="5" t="s">
        <v>111</v>
      </c>
      <c r="C1906" s="5">
        <v>2320</v>
      </c>
      <c r="D1906" s="5" t="s">
        <v>8</v>
      </c>
      <c r="E1906" s="5" t="s">
        <v>11</v>
      </c>
      <c r="F1906" s="6">
        <v>42370</v>
      </c>
      <c r="G1906">
        <v>0</v>
      </c>
    </row>
    <row r="1907" spans="1:7" x14ac:dyDescent="0.25">
      <c r="A1907" s="5" t="s">
        <v>108</v>
      </c>
      <c r="B1907" s="5" t="s">
        <v>111</v>
      </c>
      <c r="C1907" s="5">
        <v>2320</v>
      </c>
      <c r="D1907" s="5" t="s">
        <v>8</v>
      </c>
      <c r="E1907" s="5" t="s">
        <v>11</v>
      </c>
      <c r="F1907" s="6">
        <v>42736</v>
      </c>
      <c r="G1907">
        <v>0</v>
      </c>
    </row>
    <row r="1908" spans="1:7" x14ac:dyDescent="0.25">
      <c r="A1908" s="5" t="s">
        <v>108</v>
      </c>
      <c r="B1908" s="5" t="s">
        <v>111</v>
      </c>
      <c r="C1908" s="5">
        <v>2320</v>
      </c>
      <c r="D1908" s="5" t="s">
        <v>8</v>
      </c>
      <c r="E1908" s="5" t="s">
        <v>12</v>
      </c>
      <c r="F1908" s="6">
        <v>42370</v>
      </c>
      <c r="G1908">
        <v>0</v>
      </c>
    </row>
    <row r="1909" spans="1:7" x14ac:dyDescent="0.25">
      <c r="A1909" s="5" t="s">
        <v>108</v>
      </c>
      <c r="B1909" s="5" t="s">
        <v>111</v>
      </c>
      <c r="C1909" s="5">
        <v>2320</v>
      </c>
      <c r="D1909" s="5" t="s">
        <v>8</v>
      </c>
      <c r="E1909" s="5" t="s">
        <v>12</v>
      </c>
      <c r="F1909" s="6">
        <v>42736</v>
      </c>
      <c r="G1909">
        <v>0</v>
      </c>
    </row>
    <row r="1910" spans="1:7" x14ac:dyDescent="0.25">
      <c r="A1910" s="5" t="s">
        <v>108</v>
      </c>
      <c r="B1910" s="5" t="s">
        <v>111</v>
      </c>
      <c r="C1910" s="5">
        <v>2320</v>
      </c>
      <c r="D1910" s="5" t="s">
        <v>8</v>
      </c>
      <c r="E1910" s="5" t="s">
        <v>13</v>
      </c>
      <c r="F1910" s="6">
        <v>42370</v>
      </c>
      <c r="G1910">
        <v>0</v>
      </c>
    </row>
    <row r="1911" spans="1:7" x14ac:dyDescent="0.25">
      <c r="A1911" s="5" t="s">
        <v>108</v>
      </c>
      <c r="B1911" s="5" t="s">
        <v>111</v>
      </c>
      <c r="C1911" s="5">
        <v>2320</v>
      </c>
      <c r="D1911" s="5" t="s">
        <v>8</v>
      </c>
      <c r="E1911" s="5" t="s">
        <v>13</v>
      </c>
      <c r="F1911" s="6">
        <v>42736</v>
      </c>
      <c r="G1911">
        <v>0</v>
      </c>
    </row>
    <row r="1912" spans="1:7" x14ac:dyDescent="0.25">
      <c r="A1912" s="5" t="s">
        <v>108</v>
      </c>
      <c r="B1912" s="5" t="s">
        <v>111</v>
      </c>
      <c r="C1912" s="5">
        <v>2320</v>
      </c>
      <c r="D1912" s="5" t="s">
        <v>8</v>
      </c>
      <c r="E1912" s="5" t="s">
        <v>14</v>
      </c>
      <c r="F1912" s="6">
        <v>42370</v>
      </c>
      <c r="G1912">
        <v>0</v>
      </c>
    </row>
    <row r="1913" spans="1:7" x14ac:dyDescent="0.25">
      <c r="A1913" s="5" t="s">
        <v>108</v>
      </c>
      <c r="B1913" s="5" t="s">
        <v>111</v>
      </c>
      <c r="C1913" s="5">
        <v>2320</v>
      </c>
      <c r="D1913" s="5" t="s">
        <v>8</v>
      </c>
      <c r="E1913" s="5" t="s">
        <v>14</v>
      </c>
      <c r="F1913" s="6">
        <v>42736</v>
      </c>
      <c r="G1913">
        <v>0</v>
      </c>
    </row>
    <row r="1914" spans="1:7" x14ac:dyDescent="0.25">
      <c r="A1914" s="5" t="s">
        <v>108</v>
      </c>
      <c r="B1914" s="5" t="s">
        <v>111</v>
      </c>
      <c r="C1914" s="5">
        <v>2320</v>
      </c>
      <c r="D1914" s="5" t="s">
        <v>8</v>
      </c>
      <c r="E1914" s="5" t="s">
        <v>15</v>
      </c>
      <c r="F1914" s="6">
        <v>42370</v>
      </c>
      <c r="G1914">
        <v>0</v>
      </c>
    </row>
    <row r="1915" spans="1:7" x14ac:dyDescent="0.25">
      <c r="A1915" s="5" t="s">
        <v>108</v>
      </c>
      <c r="B1915" s="5" t="s">
        <v>111</v>
      </c>
      <c r="C1915" s="5">
        <v>2320</v>
      </c>
      <c r="D1915" s="5" t="s">
        <v>8</v>
      </c>
      <c r="E1915" s="5" t="s">
        <v>15</v>
      </c>
      <c r="F1915" s="6">
        <v>42736</v>
      </c>
      <c r="G1915">
        <v>0</v>
      </c>
    </row>
    <row r="1916" spans="1:7" x14ac:dyDescent="0.25">
      <c r="A1916" s="5" t="s">
        <v>108</v>
      </c>
      <c r="B1916" s="5" t="s">
        <v>111</v>
      </c>
      <c r="C1916" s="5">
        <v>2320</v>
      </c>
      <c r="D1916" s="5" t="s">
        <v>8</v>
      </c>
      <c r="E1916" s="5" t="s">
        <v>16</v>
      </c>
      <c r="F1916" s="6">
        <v>42370</v>
      </c>
      <c r="G1916">
        <v>0</v>
      </c>
    </row>
    <row r="1917" spans="1:7" x14ac:dyDescent="0.25">
      <c r="A1917" s="5" t="s">
        <v>108</v>
      </c>
      <c r="B1917" s="5" t="s">
        <v>111</v>
      </c>
      <c r="C1917" s="5">
        <v>2320</v>
      </c>
      <c r="D1917" s="5" t="s">
        <v>8</v>
      </c>
      <c r="E1917" s="5" t="s">
        <v>16</v>
      </c>
      <c r="F1917" s="6">
        <v>42736</v>
      </c>
      <c r="G1917">
        <v>0</v>
      </c>
    </row>
    <row r="1918" spans="1:7" x14ac:dyDescent="0.25">
      <c r="A1918" s="5" t="s">
        <v>108</v>
      </c>
      <c r="B1918" s="5" t="s">
        <v>111</v>
      </c>
      <c r="C1918" s="5">
        <v>2320</v>
      </c>
      <c r="D1918" s="5" t="s">
        <v>8</v>
      </c>
      <c r="E1918" s="5" t="s">
        <v>17</v>
      </c>
      <c r="F1918" s="6">
        <v>42370</v>
      </c>
      <c r="G1918">
        <v>0</v>
      </c>
    </row>
    <row r="1919" spans="1:7" x14ac:dyDescent="0.25">
      <c r="A1919" s="5" t="s">
        <v>108</v>
      </c>
      <c r="B1919" s="5" t="s">
        <v>111</v>
      </c>
      <c r="C1919" s="5">
        <v>2320</v>
      </c>
      <c r="D1919" s="5" t="s">
        <v>8</v>
      </c>
      <c r="E1919" s="5" t="s">
        <v>17</v>
      </c>
      <c r="F1919" s="6">
        <v>42736</v>
      </c>
      <c r="G1919">
        <v>0</v>
      </c>
    </row>
    <row r="1920" spans="1:7" x14ac:dyDescent="0.25">
      <c r="A1920" s="5" t="s">
        <v>108</v>
      </c>
      <c r="B1920" s="5" t="s">
        <v>111</v>
      </c>
      <c r="C1920" s="5">
        <v>2320</v>
      </c>
      <c r="D1920" s="5" t="s">
        <v>8</v>
      </c>
      <c r="E1920" s="5" t="s">
        <v>18</v>
      </c>
      <c r="F1920" s="6">
        <v>42370</v>
      </c>
      <c r="G1920">
        <v>0</v>
      </c>
    </row>
    <row r="1921" spans="1:7" x14ac:dyDescent="0.25">
      <c r="A1921" s="5" t="s">
        <v>108</v>
      </c>
      <c r="B1921" s="5" t="s">
        <v>111</v>
      </c>
      <c r="C1921" s="5">
        <v>2320</v>
      </c>
      <c r="D1921" s="5" t="s">
        <v>8</v>
      </c>
      <c r="E1921" s="5" t="s">
        <v>18</v>
      </c>
      <c r="F1921" s="6">
        <v>42736</v>
      </c>
      <c r="G1921">
        <v>0</v>
      </c>
    </row>
    <row r="1922" spans="1:7" x14ac:dyDescent="0.25">
      <c r="A1922" s="5" t="s">
        <v>108</v>
      </c>
      <c r="B1922" s="5" t="s">
        <v>111</v>
      </c>
      <c r="C1922" s="5">
        <v>2320</v>
      </c>
      <c r="D1922" s="5" t="s">
        <v>8</v>
      </c>
      <c r="E1922" s="5" t="s">
        <v>19</v>
      </c>
      <c r="F1922" s="6">
        <v>42370</v>
      </c>
      <c r="G1922">
        <v>0</v>
      </c>
    </row>
    <row r="1923" spans="1:7" x14ac:dyDescent="0.25">
      <c r="A1923" s="5" t="s">
        <v>108</v>
      </c>
      <c r="B1923" s="5" t="s">
        <v>111</v>
      </c>
      <c r="C1923" s="5">
        <v>2320</v>
      </c>
      <c r="D1923" s="5" t="s">
        <v>8</v>
      </c>
      <c r="E1923" s="5" t="s">
        <v>19</v>
      </c>
      <c r="F1923" s="6">
        <v>42736</v>
      </c>
      <c r="G1923">
        <v>0</v>
      </c>
    </row>
    <row r="1924" spans="1:7" x14ac:dyDescent="0.25">
      <c r="A1924" s="5" t="s">
        <v>108</v>
      </c>
      <c r="B1924" s="5" t="s">
        <v>111</v>
      </c>
      <c r="C1924" s="5">
        <v>2320</v>
      </c>
      <c r="D1924" s="5" t="s">
        <v>20</v>
      </c>
      <c r="E1924" s="5" t="s">
        <v>9</v>
      </c>
      <c r="F1924" s="6">
        <v>42370</v>
      </c>
      <c r="G1924">
        <v>1</v>
      </c>
    </row>
    <row r="1925" spans="1:7" x14ac:dyDescent="0.25">
      <c r="A1925" s="5" t="s">
        <v>108</v>
      </c>
      <c r="B1925" s="5" t="s">
        <v>111</v>
      </c>
      <c r="C1925" s="5">
        <v>2320</v>
      </c>
      <c r="D1925" s="5" t="s">
        <v>20</v>
      </c>
      <c r="E1925" s="5" t="s">
        <v>9</v>
      </c>
      <c r="F1925" s="6">
        <v>42736</v>
      </c>
      <c r="G1925">
        <v>1</v>
      </c>
    </row>
    <row r="1926" spans="1:7" x14ac:dyDescent="0.25">
      <c r="A1926" s="5" t="s">
        <v>108</v>
      </c>
      <c r="B1926" s="5" t="s">
        <v>111</v>
      </c>
      <c r="C1926" s="5">
        <v>2320</v>
      </c>
      <c r="D1926" s="5" t="s">
        <v>20</v>
      </c>
      <c r="E1926" s="5" t="s">
        <v>21</v>
      </c>
      <c r="F1926" s="6">
        <v>42370</v>
      </c>
      <c r="G1926">
        <v>0</v>
      </c>
    </row>
    <row r="1927" spans="1:7" x14ac:dyDescent="0.25">
      <c r="A1927" s="5" t="s">
        <v>108</v>
      </c>
      <c r="B1927" s="5" t="s">
        <v>111</v>
      </c>
      <c r="C1927" s="5">
        <v>2320</v>
      </c>
      <c r="D1927" s="5" t="s">
        <v>20</v>
      </c>
      <c r="E1927" s="5" t="s">
        <v>21</v>
      </c>
      <c r="F1927" s="6">
        <v>42736</v>
      </c>
      <c r="G1927">
        <v>0</v>
      </c>
    </row>
    <row r="1928" spans="1:7" x14ac:dyDescent="0.25">
      <c r="A1928" s="5" t="s">
        <v>108</v>
      </c>
      <c r="B1928" s="5" t="s">
        <v>111</v>
      </c>
      <c r="C1928" s="5">
        <v>2320</v>
      </c>
      <c r="D1928" s="5" t="s">
        <v>20</v>
      </c>
      <c r="E1928" s="5" t="s">
        <v>22</v>
      </c>
      <c r="F1928" s="6">
        <v>42370</v>
      </c>
      <c r="G1928">
        <v>0</v>
      </c>
    </row>
    <row r="1929" spans="1:7" x14ac:dyDescent="0.25">
      <c r="A1929" s="5" t="s">
        <v>108</v>
      </c>
      <c r="B1929" s="5" t="s">
        <v>111</v>
      </c>
      <c r="C1929" s="5">
        <v>2320</v>
      </c>
      <c r="D1929" s="5" t="s">
        <v>20</v>
      </c>
      <c r="E1929" s="5" t="s">
        <v>22</v>
      </c>
      <c r="F1929" s="6">
        <v>42736</v>
      </c>
      <c r="G1929">
        <v>0</v>
      </c>
    </row>
    <row r="1930" spans="1:7" x14ac:dyDescent="0.25">
      <c r="A1930" s="5" t="s">
        <v>108</v>
      </c>
      <c r="B1930" s="5" t="s">
        <v>111</v>
      </c>
      <c r="C1930" s="5">
        <v>2320</v>
      </c>
      <c r="D1930" s="5" t="s">
        <v>20</v>
      </c>
      <c r="E1930" s="5" t="s">
        <v>23</v>
      </c>
      <c r="F1930" s="6">
        <v>42370</v>
      </c>
      <c r="G1930">
        <v>0</v>
      </c>
    </row>
    <row r="1931" spans="1:7" x14ac:dyDescent="0.25">
      <c r="A1931" s="5" t="s">
        <v>108</v>
      </c>
      <c r="B1931" s="5" t="s">
        <v>111</v>
      </c>
      <c r="C1931" s="5">
        <v>2320</v>
      </c>
      <c r="D1931" s="5" t="s">
        <v>20</v>
      </c>
      <c r="E1931" s="5" t="s">
        <v>23</v>
      </c>
      <c r="F1931" s="6">
        <v>42736</v>
      </c>
      <c r="G1931">
        <v>0</v>
      </c>
    </row>
    <row r="1932" spans="1:7" x14ac:dyDescent="0.25">
      <c r="A1932" s="5" t="s">
        <v>108</v>
      </c>
      <c r="B1932" s="5" t="s">
        <v>111</v>
      </c>
      <c r="C1932" s="5">
        <v>2320</v>
      </c>
      <c r="D1932" s="5" t="s">
        <v>20</v>
      </c>
      <c r="E1932" s="5" t="s">
        <v>24</v>
      </c>
      <c r="F1932" s="6">
        <v>42370</v>
      </c>
      <c r="G1932">
        <v>0</v>
      </c>
    </row>
    <row r="1933" spans="1:7" x14ac:dyDescent="0.25">
      <c r="A1933" s="5" t="s">
        <v>108</v>
      </c>
      <c r="B1933" s="5" t="s">
        <v>111</v>
      </c>
      <c r="C1933" s="5">
        <v>2320</v>
      </c>
      <c r="D1933" s="5" t="s">
        <v>20</v>
      </c>
      <c r="E1933" s="5" t="s">
        <v>24</v>
      </c>
      <c r="F1933" s="6">
        <v>42736</v>
      </c>
      <c r="G1933">
        <v>0</v>
      </c>
    </row>
    <row r="1934" spans="1:7" x14ac:dyDescent="0.25">
      <c r="A1934" s="5" t="s">
        <v>108</v>
      </c>
      <c r="B1934" s="5" t="s">
        <v>111</v>
      </c>
      <c r="C1934" s="5">
        <v>2320</v>
      </c>
      <c r="D1934" s="5" t="s">
        <v>20</v>
      </c>
      <c r="E1934" s="5" t="s">
        <v>25</v>
      </c>
      <c r="F1934" s="6">
        <v>42370</v>
      </c>
      <c r="G1934">
        <v>0</v>
      </c>
    </row>
    <row r="1935" spans="1:7" x14ac:dyDescent="0.25">
      <c r="A1935" s="5" t="s">
        <v>108</v>
      </c>
      <c r="B1935" s="5" t="s">
        <v>111</v>
      </c>
      <c r="C1935" s="5">
        <v>2320</v>
      </c>
      <c r="D1935" s="5" t="s">
        <v>20</v>
      </c>
      <c r="E1935" s="5" t="s">
        <v>25</v>
      </c>
      <c r="F1935" s="6">
        <v>42736</v>
      </c>
      <c r="G1935">
        <v>0</v>
      </c>
    </row>
    <row r="1936" spans="1:7" x14ac:dyDescent="0.25">
      <c r="A1936" s="5" t="s">
        <v>108</v>
      </c>
      <c r="B1936" s="5" t="s">
        <v>111</v>
      </c>
      <c r="C1936" s="5">
        <v>2320</v>
      </c>
      <c r="D1936" s="5" t="s">
        <v>20</v>
      </c>
      <c r="E1936" s="5" t="s">
        <v>26</v>
      </c>
      <c r="F1936" s="6">
        <v>42370</v>
      </c>
      <c r="G1936">
        <v>29</v>
      </c>
    </row>
    <row r="1937" spans="1:7" x14ac:dyDescent="0.25">
      <c r="A1937" s="5" t="s">
        <v>108</v>
      </c>
      <c r="B1937" s="5" t="s">
        <v>111</v>
      </c>
      <c r="C1937" s="5">
        <v>2320</v>
      </c>
      <c r="D1937" s="5" t="s">
        <v>20</v>
      </c>
      <c r="E1937" s="5" t="s">
        <v>26</v>
      </c>
      <c r="F1937" s="6">
        <v>42736</v>
      </c>
      <c r="G1937">
        <v>40</v>
      </c>
    </row>
    <row r="1938" spans="1:7" x14ac:dyDescent="0.25">
      <c r="A1938" s="5" t="s">
        <v>108</v>
      </c>
      <c r="B1938" s="5" t="s">
        <v>111</v>
      </c>
      <c r="C1938" s="5">
        <v>2320</v>
      </c>
      <c r="D1938" s="5" t="s">
        <v>20</v>
      </c>
      <c r="E1938" s="5" t="s">
        <v>27</v>
      </c>
      <c r="F1938" s="6">
        <v>42370</v>
      </c>
      <c r="G1938">
        <v>0</v>
      </c>
    </row>
    <row r="1939" spans="1:7" x14ac:dyDescent="0.25">
      <c r="A1939" s="5" t="s">
        <v>108</v>
      </c>
      <c r="B1939" s="5" t="s">
        <v>111</v>
      </c>
      <c r="C1939" s="5">
        <v>2320</v>
      </c>
      <c r="D1939" s="5" t="s">
        <v>20</v>
      </c>
      <c r="E1939" s="5" t="s">
        <v>27</v>
      </c>
      <c r="F1939" s="6">
        <v>42736</v>
      </c>
      <c r="G1939">
        <v>3</v>
      </c>
    </row>
    <row r="1940" spans="1:7" x14ac:dyDescent="0.25">
      <c r="A1940" s="5" t="s">
        <v>108</v>
      </c>
      <c r="B1940" s="5" t="s">
        <v>111</v>
      </c>
      <c r="C1940" s="5">
        <v>2320</v>
      </c>
      <c r="D1940" s="5" t="s">
        <v>20</v>
      </c>
      <c r="E1940" s="5" t="s">
        <v>28</v>
      </c>
      <c r="F1940" s="6">
        <v>42370</v>
      </c>
      <c r="G1940">
        <v>0</v>
      </c>
    </row>
    <row r="1941" spans="1:7" x14ac:dyDescent="0.25">
      <c r="A1941" s="5" t="s">
        <v>108</v>
      </c>
      <c r="B1941" s="5" t="s">
        <v>111</v>
      </c>
      <c r="C1941" s="5">
        <v>2320</v>
      </c>
      <c r="D1941" s="5" t="s">
        <v>20</v>
      </c>
      <c r="E1941" s="5" t="s">
        <v>28</v>
      </c>
      <c r="F1941" s="6">
        <v>42736</v>
      </c>
      <c r="G1941">
        <v>0</v>
      </c>
    </row>
    <row r="1942" spans="1:7" x14ac:dyDescent="0.25">
      <c r="A1942" s="5" t="s">
        <v>108</v>
      </c>
      <c r="B1942" s="5" t="s">
        <v>111</v>
      </c>
      <c r="C1942" s="5">
        <v>2320</v>
      </c>
      <c r="D1942" s="5" t="s">
        <v>20</v>
      </c>
      <c r="E1942" s="5" t="s">
        <v>29</v>
      </c>
      <c r="F1942" s="6">
        <v>42370</v>
      </c>
      <c r="G1942">
        <v>27</v>
      </c>
    </row>
    <row r="1943" spans="1:7" x14ac:dyDescent="0.25">
      <c r="A1943" s="5" t="s">
        <v>108</v>
      </c>
      <c r="B1943" s="5" t="s">
        <v>111</v>
      </c>
      <c r="C1943" s="5">
        <v>2320</v>
      </c>
      <c r="D1943" s="5" t="s">
        <v>20</v>
      </c>
      <c r="E1943" s="5" t="s">
        <v>29</v>
      </c>
      <c r="F1943" s="6">
        <v>42736</v>
      </c>
      <c r="G1943">
        <v>37</v>
      </c>
    </row>
    <row r="1944" spans="1:7" x14ac:dyDescent="0.25">
      <c r="A1944" s="5" t="s">
        <v>108</v>
      </c>
      <c r="B1944" s="5" t="s">
        <v>111</v>
      </c>
      <c r="C1944" s="5">
        <v>2320</v>
      </c>
      <c r="D1944" s="5" t="s">
        <v>20</v>
      </c>
      <c r="E1944" s="5" t="s">
        <v>30</v>
      </c>
      <c r="F1944" s="6">
        <v>42370</v>
      </c>
      <c r="G1944">
        <v>28</v>
      </c>
    </row>
    <row r="1945" spans="1:7" x14ac:dyDescent="0.25">
      <c r="A1945" s="5" t="s">
        <v>108</v>
      </c>
      <c r="B1945" s="5" t="s">
        <v>111</v>
      </c>
      <c r="C1945" s="5">
        <v>2320</v>
      </c>
      <c r="D1945" s="5" t="s">
        <v>20</v>
      </c>
      <c r="E1945" s="5" t="s">
        <v>30</v>
      </c>
      <c r="F1945" s="6">
        <v>42736</v>
      </c>
      <c r="G1945">
        <v>40</v>
      </c>
    </row>
    <row r="1946" spans="1:7" x14ac:dyDescent="0.25">
      <c r="A1946" s="5" t="s">
        <v>108</v>
      </c>
      <c r="B1946" s="5" t="s">
        <v>111</v>
      </c>
      <c r="C1946" s="5">
        <v>2320</v>
      </c>
      <c r="D1946" s="5" t="s">
        <v>20</v>
      </c>
      <c r="E1946" s="5" t="s">
        <v>31</v>
      </c>
      <c r="F1946" s="6">
        <v>42370</v>
      </c>
      <c r="G1946">
        <v>45</v>
      </c>
    </row>
    <row r="1947" spans="1:7" x14ac:dyDescent="0.25">
      <c r="A1947" s="5" t="s">
        <v>108</v>
      </c>
      <c r="B1947" s="5" t="s">
        <v>111</v>
      </c>
      <c r="C1947" s="5">
        <v>2320</v>
      </c>
      <c r="D1947" s="5" t="s">
        <v>20</v>
      </c>
      <c r="E1947" s="5" t="s">
        <v>31</v>
      </c>
      <c r="F1947" s="6">
        <v>42736</v>
      </c>
      <c r="G1947">
        <v>71</v>
      </c>
    </row>
    <row r="1948" spans="1:7" x14ac:dyDescent="0.25">
      <c r="A1948" s="5" t="s">
        <v>108</v>
      </c>
      <c r="B1948" s="5" t="s">
        <v>111</v>
      </c>
      <c r="C1948" s="5">
        <v>2320</v>
      </c>
      <c r="D1948" s="5" t="s">
        <v>20</v>
      </c>
      <c r="E1948" s="5" t="s">
        <v>32</v>
      </c>
      <c r="F1948" s="6">
        <v>42370</v>
      </c>
      <c r="G1948">
        <v>29</v>
      </c>
    </row>
    <row r="1949" spans="1:7" x14ac:dyDescent="0.25">
      <c r="A1949" s="5" t="s">
        <v>108</v>
      </c>
      <c r="B1949" s="5" t="s">
        <v>111</v>
      </c>
      <c r="C1949" s="5">
        <v>2320</v>
      </c>
      <c r="D1949" s="5" t="s">
        <v>20</v>
      </c>
      <c r="E1949" s="5" t="s">
        <v>32</v>
      </c>
      <c r="F1949" s="6">
        <v>42736</v>
      </c>
      <c r="G1949">
        <v>37</v>
      </c>
    </row>
    <row r="1950" spans="1:7" x14ac:dyDescent="0.25">
      <c r="A1950" s="5" t="s">
        <v>108</v>
      </c>
      <c r="B1950" s="5" t="s">
        <v>111</v>
      </c>
      <c r="C1950" s="5">
        <v>2320</v>
      </c>
      <c r="D1950" s="5" t="s">
        <v>33</v>
      </c>
      <c r="E1950" s="5" t="s">
        <v>9</v>
      </c>
      <c r="F1950" s="6">
        <v>42370</v>
      </c>
      <c r="G1950">
        <v>0</v>
      </c>
    </row>
    <row r="1951" spans="1:7" x14ac:dyDescent="0.25">
      <c r="A1951" s="5" t="s">
        <v>108</v>
      </c>
      <c r="B1951" s="5" t="s">
        <v>111</v>
      </c>
      <c r="C1951" s="5">
        <v>2320</v>
      </c>
      <c r="D1951" s="5" t="s">
        <v>33</v>
      </c>
      <c r="E1951" s="5" t="s">
        <v>9</v>
      </c>
      <c r="F1951" s="6">
        <v>42736</v>
      </c>
      <c r="G1951">
        <v>0</v>
      </c>
    </row>
    <row r="1952" spans="1:7" x14ac:dyDescent="0.25">
      <c r="A1952" s="5" t="s">
        <v>108</v>
      </c>
      <c r="B1952" s="5" t="s">
        <v>111</v>
      </c>
      <c r="C1952" s="5">
        <v>2320</v>
      </c>
      <c r="D1952" s="5" t="s">
        <v>33</v>
      </c>
      <c r="E1952" s="5" t="s">
        <v>34</v>
      </c>
      <c r="F1952" s="6">
        <v>42370</v>
      </c>
      <c r="G1952">
        <v>0</v>
      </c>
    </row>
    <row r="1953" spans="1:7" x14ac:dyDescent="0.25">
      <c r="A1953" s="5" t="s">
        <v>108</v>
      </c>
      <c r="B1953" s="5" t="s">
        <v>111</v>
      </c>
      <c r="C1953" s="5">
        <v>2320</v>
      </c>
      <c r="D1953" s="5" t="s">
        <v>33</v>
      </c>
      <c r="E1953" s="5" t="s">
        <v>34</v>
      </c>
      <c r="F1953" s="6">
        <v>42736</v>
      </c>
      <c r="G1953">
        <v>0</v>
      </c>
    </row>
    <row r="1954" spans="1:7" x14ac:dyDescent="0.25">
      <c r="A1954" s="5" t="s">
        <v>108</v>
      </c>
      <c r="B1954" s="5" t="s">
        <v>111</v>
      </c>
      <c r="C1954" s="5">
        <v>2320</v>
      </c>
      <c r="D1954" s="5" t="s">
        <v>35</v>
      </c>
      <c r="E1954" s="5" t="s">
        <v>36</v>
      </c>
      <c r="F1954" s="6">
        <v>42370</v>
      </c>
      <c r="G1954">
        <v>0</v>
      </c>
    </row>
    <row r="1955" spans="1:7" x14ac:dyDescent="0.25">
      <c r="A1955" s="5" t="s">
        <v>108</v>
      </c>
      <c r="B1955" s="5" t="s">
        <v>111</v>
      </c>
      <c r="C1955" s="5">
        <v>2320</v>
      </c>
      <c r="D1955" s="5" t="s">
        <v>35</v>
      </c>
      <c r="E1955" s="5" t="s">
        <v>36</v>
      </c>
      <c r="F1955" s="6">
        <v>42736</v>
      </c>
      <c r="G1955">
        <v>0</v>
      </c>
    </row>
    <row r="1956" spans="1:7" x14ac:dyDescent="0.25">
      <c r="A1956" s="5" t="s">
        <v>108</v>
      </c>
      <c r="B1956" s="5" t="s">
        <v>111</v>
      </c>
      <c r="C1956" s="5">
        <v>2320</v>
      </c>
      <c r="D1956" s="5" t="s">
        <v>35</v>
      </c>
      <c r="E1956" s="5" t="s">
        <v>37</v>
      </c>
      <c r="F1956" s="6">
        <v>42370</v>
      </c>
      <c r="G1956">
        <v>0</v>
      </c>
    </row>
    <row r="1957" spans="1:7" x14ac:dyDescent="0.25">
      <c r="A1957" s="5" t="s">
        <v>108</v>
      </c>
      <c r="B1957" s="5" t="s">
        <v>111</v>
      </c>
      <c r="C1957" s="5">
        <v>2320</v>
      </c>
      <c r="D1957" s="5" t="s">
        <v>35</v>
      </c>
      <c r="E1957" s="5" t="s">
        <v>37</v>
      </c>
      <c r="F1957" s="6">
        <v>42736</v>
      </c>
      <c r="G1957">
        <v>0</v>
      </c>
    </row>
    <row r="1958" spans="1:7" x14ac:dyDescent="0.25">
      <c r="A1958" s="5" t="s">
        <v>108</v>
      </c>
      <c r="B1958" s="5" t="s">
        <v>111</v>
      </c>
      <c r="C1958" s="5">
        <v>2320</v>
      </c>
      <c r="D1958" s="5" t="s">
        <v>35</v>
      </c>
      <c r="E1958" s="5" t="s">
        <v>38</v>
      </c>
      <c r="F1958" s="6">
        <v>42370</v>
      </c>
      <c r="G1958">
        <v>0</v>
      </c>
    </row>
    <row r="1959" spans="1:7" x14ac:dyDescent="0.25">
      <c r="A1959" s="5" t="s">
        <v>108</v>
      </c>
      <c r="B1959" s="5" t="s">
        <v>111</v>
      </c>
      <c r="C1959" s="5">
        <v>2320</v>
      </c>
      <c r="D1959" s="5" t="s">
        <v>35</v>
      </c>
      <c r="E1959" s="5" t="s">
        <v>38</v>
      </c>
      <c r="F1959" s="6">
        <v>42736</v>
      </c>
      <c r="G1959">
        <v>0</v>
      </c>
    </row>
    <row r="1960" spans="1:7" x14ac:dyDescent="0.25">
      <c r="A1960" s="5" t="s">
        <v>108</v>
      </c>
      <c r="B1960" s="5" t="s">
        <v>111</v>
      </c>
      <c r="C1960" s="5">
        <v>2320</v>
      </c>
      <c r="D1960" s="5" t="s">
        <v>35</v>
      </c>
      <c r="E1960" s="5" t="s">
        <v>39</v>
      </c>
      <c r="F1960" s="6">
        <v>42370</v>
      </c>
      <c r="G1960">
        <v>0</v>
      </c>
    </row>
    <row r="1961" spans="1:7" x14ac:dyDescent="0.25">
      <c r="A1961" s="5" t="s">
        <v>108</v>
      </c>
      <c r="B1961" s="5" t="s">
        <v>111</v>
      </c>
      <c r="C1961" s="5">
        <v>2320</v>
      </c>
      <c r="D1961" s="5" t="s">
        <v>35</v>
      </c>
      <c r="E1961" s="5" t="s">
        <v>39</v>
      </c>
      <c r="F1961" s="6">
        <v>42736</v>
      </c>
      <c r="G1961">
        <v>0</v>
      </c>
    </row>
    <row r="1962" spans="1:7" x14ac:dyDescent="0.25">
      <c r="A1962" s="5" t="s">
        <v>108</v>
      </c>
      <c r="B1962" s="5" t="s">
        <v>111</v>
      </c>
      <c r="C1962" s="5">
        <v>2320</v>
      </c>
      <c r="D1962" s="5" t="s">
        <v>35</v>
      </c>
      <c r="E1962" s="5" t="s">
        <v>40</v>
      </c>
      <c r="F1962" s="6">
        <v>42370</v>
      </c>
      <c r="G1962">
        <v>0</v>
      </c>
    </row>
    <row r="1963" spans="1:7" x14ac:dyDescent="0.25">
      <c r="A1963" s="5" t="s">
        <v>108</v>
      </c>
      <c r="B1963" s="5" t="s">
        <v>111</v>
      </c>
      <c r="C1963" s="5">
        <v>2320</v>
      </c>
      <c r="D1963" s="5" t="s">
        <v>35</v>
      </c>
      <c r="E1963" s="5" t="s">
        <v>40</v>
      </c>
      <c r="F1963" s="6">
        <v>42736</v>
      </c>
      <c r="G1963">
        <v>0</v>
      </c>
    </row>
    <row r="1964" spans="1:7" x14ac:dyDescent="0.25">
      <c r="A1964" s="5" t="s">
        <v>108</v>
      </c>
      <c r="B1964" s="5" t="s">
        <v>111</v>
      </c>
      <c r="C1964" s="5">
        <v>2320</v>
      </c>
      <c r="D1964" s="5" t="s">
        <v>35</v>
      </c>
      <c r="E1964" s="5" t="s">
        <v>41</v>
      </c>
      <c r="F1964" s="6">
        <v>42370</v>
      </c>
      <c r="G1964">
        <v>0</v>
      </c>
    </row>
    <row r="1965" spans="1:7" x14ac:dyDescent="0.25">
      <c r="A1965" s="5" t="s">
        <v>108</v>
      </c>
      <c r="B1965" s="5" t="s">
        <v>111</v>
      </c>
      <c r="C1965" s="5">
        <v>2320</v>
      </c>
      <c r="D1965" s="5" t="s">
        <v>35</v>
      </c>
      <c r="E1965" s="5" t="s">
        <v>41</v>
      </c>
      <c r="F1965" s="6">
        <v>42736</v>
      </c>
      <c r="G1965">
        <v>0</v>
      </c>
    </row>
    <row r="1966" spans="1:7" x14ac:dyDescent="0.25">
      <c r="A1966" s="5" t="s">
        <v>108</v>
      </c>
      <c r="B1966" s="5" t="s">
        <v>111</v>
      </c>
      <c r="C1966" s="5">
        <v>2320</v>
      </c>
      <c r="D1966" s="5" t="s">
        <v>35</v>
      </c>
      <c r="E1966" s="5" t="s">
        <v>42</v>
      </c>
      <c r="F1966" s="6">
        <v>42370</v>
      </c>
      <c r="G1966">
        <v>0</v>
      </c>
    </row>
    <row r="1967" spans="1:7" x14ac:dyDescent="0.25">
      <c r="A1967" s="5" t="s">
        <v>108</v>
      </c>
      <c r="B1967" s="5" t="s">
        <v>111</v>
      </c>
      <c r="C1967" s="5">
        <v>2320</v>
      </c>
      <c r="D1967" s="5" t="s">
        <v>35</v>
      </c>
      <c r="E1967" s="5" t="s">
        <v>42</v>
      </c>
      <c r="F1967" s="6">
        <v>42736</v>
      </c>
      <c r="G1967">
        <v>0</v>
      </c>
    </row>
    <row r="1968" spans="1:7" x14ac:dyDescent="0.25">
      <c r="A1968" s="5" t="s">
        <v>108</v>
      </c>
      <c r="B1968" s="5" t="s">
        <v>111</v>
      </c>
      <c r="C1968" s="5">
        <v>2320</v>
      </c>
      <c r="D1968" s="5" t="s">
        <v>35</v>
      </c>
      <c r="E1968" s="5" t="s">
        <v>43</v>
      </c>
      <c r="F1968" s="6">
        <v>42370</v>
      </c>
      <c r="G1968">
        <v>0</v>
      </c>
    </row>
    <row r="1969" spans="1:7" x14ac:dyDescent="0.25">
      <c r="A1969" s="5" t="s">
        <v>108</v>
      </c>
      <c r="B1969" s="5" t="s">
        <v>111</v>
      </c>
      <c r="C1969" s="5">
        <v>2320</v>
      </c>
      <c r="D1969" s="5" t="s">
        <v>35</v>
      </c>
      <c r="E1969" s="5" t="s">
        <v>43</v>
      </c>
      <c r="F1969" s="6">
        <v>42736</v>
      </c>
      <c r="G1969">
        <v>0</v>
      </c>
    </row>
    <row r="1970" spans="1:7" x14ac:dyDescent="0.25">
      <c r="A1970" s="5" t="s">
        <v>108</v>
      </c>
      <c r="B1970" s="5" t="s">
        <v>111</v>
      </c>
      <c r="C1970" s="5">
        <v>2320</v>
      </c>
      <c r="D1970" s="5" t="s">
        <v>44</v>
      </c>
      <c r="E1970" s="5" t="s">
        <v>36</v>
      </c>
      <c r="F1970" s="6">
        <v>42370</v>
      </c>
      <c r="G1970">
        <v>0</v>
      </c>
    </row>
    <row r="1971" spans="1:7" x14ac:dyDescent="0.25">
      <c r="A1971" s="5" t="s">
        <v>108</v>
      </c>
      <c r="B1971" s="5" t="s">
        <v>111</v>
      </c>
      <c r="C1971" s="5">
        <v>2320</v>
      </c>
      <c r="D1971" s="5" t="s">
        <v>44</v>
      </c>
      <c r="E1971" s="5" t="s">
        <v>36</v>
      </c>
      <c r="F1971" s="6">
        <v>42736</v>
      </c>
      <c r="G1971">
        <v>0</v>
      </c>
    </row>
    <row r="1972" spans="1:7" x14ac:dyDescent="0.25">
      <c r="A1972" s="5" t="s">
        <v>108</v>
      </c>
      <c r="B1972" s="5" t="s">
        <v>111</v>
      </c>
      <c r="C1972" s="5">
        <v>2320</v>
      </c>
      <c r="D1972" s="5" t="s">
        <v>44</v>
      </c>
      <c r="E1972" s="5" t="s">
        <v>37</v>
      </c>
      <c r="F1972" s="6">
        <v>42370</v>
      </c>
      <c r="G1972">
        <v>0</v>
      </c>
    </row>
    <row r="1973" spans="1:7" x14ac:dyDescent="0.25">
      <c r="A1973" s="5" t="s">
        <v>108</v>
      </c>
      <c r="B1973" s="5" t="s">
        <v>111</v>
      </c>
      <c r="C1973" s="5">
        <v>2320</v>
      </c>
      <c r="D1973" s="5" t="s">
        <v>44</v>
      </c>
      <c r="E1973" s="5" t="s">
        <v>37</v>
      </c>
      <c r="F1973" s="6">
        <v>42736</v>
      </c>
      <c r="G1973">
        <v>0</v>
      </c>
    </row>
    <row r="1974" spans="1:7" x14ac:dyDescent="0.25">
      <c r="A1974" s="5" t="s">
        <v>108</v>
      </c>
      <c r="B1974" s="5" t="s">
        <v>111</v>
      </c>
      <c r="C1974" s="5">
        <v>2320</v>
      </c>
      <c r="D1974" s="5" t="s">
        <v>44</v>
      </c>
      <c r="E1974" s="5" t="s">
        <v>38</v>
      </c>
      <c r="F1974" s="6">
        <v>42370</v>
      </c>
      <c r="G1974">
        <v>0</v>
      </c>
    </row>
    <row r="1975" spans="1:7" x14ac:dyDescent="0.25">
      <c r="A1975" s="5" t="s">
        <v>108</v>
      </c>
      <c r="B1975" s="5" t="s">
        <v>111</v>
      </c>
      <c r="C1975" s="5">
        <v>2320</v>
      </c>
      <c r="D1975" s="5" t="s">
        <v>44</v>
      </c>
      <c r="E1975" s="5" t="s">
        <v>38</v>
      </c>
      <c r="F1975" s="6">
        <v>42736</v>
      </c>
      <c r="G1975">
        <v>0</v>
      </c>
    </row>
    <row r="1976" spans="1:7" x14ac:dyDescent="0.25">
      <c r="A1976" s="5" t="s">
        <v>108</v>
      </c>
      <c r="B1976" s="5" t="s">
        <v>111</v>
      </c>
      <c r="C1976" s="5">
        <v>2320</v>
      </c>
      <c r="D1976" s="5" t="s">
        <v>44</v>
      </c>
      <c r="E1976" s="5" t="s">
        <v>39</v>
      </c>
      <c r="F1976" s="6">
        <v>42370</v>
      </c>
      <c r="G1976">
        <v>0</v>
      </c>
    </row>
    <row r="1977" spans="1:7" x14ac:dyDescent="0.25">
      <c r="A1977" s="5" t="s">
        <v>108</v>
      </c>
      <c r="B1977" s="5" t="s">
        <v>111</v>
      </c>
      <c r="C1977" s="5">
        <v>2320</v>
      </c>
      <c r="D1977" s="5" t="s">
        <v>44</v>
      </c>
      <c r="E1977" s="5" t="s">
        <v>39</v>
      </c>
      <c r="F1977" s="6">
        <v>42736</v>
      </c>
      <c r="G1977">
        <v>0</v>
      </c>
    </row>
    <row r="1978" spans="1:7" x14ac:dyDescent="0.25">
      <c r="A1978" s="5" t="s">
        <v>108</v>
      </c>
      <c r="B1978" s="5" t="s">
        <v>111</v>
      </c>
      <c r="C1978" s="5">
        <v>2320</v>
      </c>
      <c r="D1978" s="5" t="s">
        <v>44</v>
      </c>
      <c r="E1978" s="5" t="s">
        <v>40</v>
      </c>
      <c r="F1978" s="6">
        <v>42370</v>
      </c>
      <c r="G1978">
        <v>0</v>
      </c>
    </row>
    <row r="1979" spans="1:7" x14ac:dyDescent="0.25">
      <c r="A1979" s="5" t="s">
        <v>108</v>
      </c>
      <c r="B1979" s="5" t="s">
        <v>111</v>
      </c>
      <c r="C1979" s="5">
        <v>2320</v>
      </c>
      <c r="D1979" s="5" t="s">
        <v>44</v>
      </c>
      <c r="E1979" s="5" t="s">
        <v>40</v>
      </c>
      <c r="F1979" s="6">
        <v>42736</v>
      </c>
      <c r="G1979">
        <v>0</v>
      </c>
    </row>
    <row r="1980" spans="1:7" x14ac:dyDescent="0.25">
      <c r="A1980" s="5" t="s">
        <v>108</v>
      </c>
      <c r="B1980" s="5" t="s">
        <v>111</v>
      </c>
      <c r="C1980" s="5">
        <v>2320</v>
      </c>
      <c r="D1980" s="5" t="s">
        <v>44</v>
      </c>
      <c r="E1980" s="5" t="s">
        <v>41</v>
      </c>
      <c r="F1980" s="6">
        <v>42370</v>
      </c>
      <c r="G1980">
        <v>0</v>
      </c>
    </row>
    <row r="1981" spans="1:7" x14ac:dyDescent="0.25">
      <c r="A1981" s="5" t="s">
        <v>108</v>
      </c>
      <c r="B1981" s="5" t="s">
        <v>111</v>
      </c>
      <c r="C1981" s="5">
        <v>2320</v>
      </c>
      <c r="D1981" s="5" t="s">
        <v>44</v>
      </c>
      <c r="E1981" s="5" t="s">
        <v>41</v>
      </c>
      <c r="F1981" s="6">
        <v>42736</v>
      </c>
      <c r="G1981">
        <v>0</v>
      </c>
    </row>
    <row r="1982" spans="1:7" x14ac:dyDescent="0.25">
      <c r="A1982" s="5" t="s">
        <v>108</v>
      </c>
      <c r="B1982" s="5" t="s">
        <v>111</v>
      </c>
      <c r="C1982" s="5">
        <v>2320</v>
      </c>
      <c r="D1982" s="5" t="s">
        <v>44</v>
      </c>
      <c r="E1982" s="5" t="s">
        <v>42</v>
      </c>
      <c r="F1982" s="6">
        <v>42370</v>
      </c>
      <c r="G1982">
        <v>0</v>
      </c>
    </row>
    <row r="1983" spans="1:7" x14ac:dyDescent="0.25">
      <c r="A1983" s="5" t="s">
        <v>108</v>
      </c>
      <c r="B1983" s="5" t="s">
        <v>111</v>
      </c>
      <c r="C1983" s="5">
        <v>2320</v>
      </c>
      <c r="D1983" s="5" t="s">
        <v>44</v>
      </c>
      <c r="E1983" s="5" t="s">
        <v>42</v>
      </c>
      <c r="F1983" s="6">
        <v>42736</v>
      </c>
      <c r="G1983">
        <v>0</v>
      </c>
    </row>
    <row r="1984" spans="1:7" x14ac:dyDescent="0.25">
      <c r="A1984" s="5" t="s">
        <v>108</v>
      </c>
      <c r="B1984" s="5" t="s">
        <v>111</v>
      </c>
      <c r="C1984" s="5">
        <v>2320</v>
      </c>
      <c r="D1984" s="5" t="s">
        <v>44</v>
      </c>
      <c r="E1984" s="5" t="s">
        <v>43</v>
      </c>
      <c r="F1984" s="6">
        <v>42370</v>
      </c>
      <c r="G1984">
        <v>0</v>
      </c>
    </row>
    <row r="1985" spans="1:7" x14ac:dyDescent="0.25">
      <c r="A1985" s="5" t="s">
        <v>108</v>
      </c>
      <c r="B1985" s="5" t="s">
        <v>111</v>
      </c>
      <c r="C1985" s="5">
        <v>2320</v>
      </c>
      <c r="D1985" s="5" t="s">
        <v>44</v>
      </c>
      <c r="E1985" s="5" t="s">
        <v>43</v>
      </c>
      <c r="F1985" s="6">
        <v>42736</v>
      </c>
      <c r="G1985">
        <v>0</v>
      </c>
    </row>
    <row r="1986" spans="1:7" x14ac:dyDescent="0.25">
      <c r="A1986" s="5" t="s">
        <v>108</v>
      </c>
      <c r="B1986" s="5" t="s">
        <v>111</v>
      </c>
      <c r="C1986" s="5">
        <v>2320</v>
      </c>
      <c r="D1986" s="5" t="s">
        <v>45</v>
      </c>
      <c r="E1986" s="5" t="s">
        <v>46</v>
      </c>
      <c r="F1986" s="6">
        <v>42370</v>
      </c>
      <c r="G1986">
        <v>0</v>
      </c>
    </row>
    <row r="1987" spans="1:7" x14ac:dyDescent="0.25">
      <c r="A1987" s="5" t="s">
        <v>108</v>
      </c>
      <c r="B1987" s="5" t="s">
        <v>111</v>
      </c>
      <c r="C1987" s="5">
        <v>2320</v>
      </c>
      <c r="D1987" s="5" t="s">
        <v>45</v>
      </c>
      <c r="E1987" s="5" t="s">
        <v>46</v>
      </c>
      <c r="F1987" s="6">
        <v>42736</v>
      </c>
      <c r="G1987">
        <v>0</v>
      </c>
    </row>
    <row r="1988" spans="1:7" x14ac:dyDescent="0.25">
      <c r="A1988" s="5" t="s">
        <v>108</v>
      </c>
      <c r="B1988" s="5" t="s">
        <v>111</v>
      </c>
      <c r="C1988" s="5">
        <v>2320</v>
      </c>
      <c r="D1988" s="5" t="s">
        <v>45</v>
      </c>
      <c r="E1988" s="5" t="s">
        <v>47</v>
      </c>
      <c r="F1988" s="6">
        <v>42370</v>
      </c>
      <c r="G1988">
        <v>2</v>
      </c>
    </row>
    <row r="1989" spans="1:7" x14ac:dyDescent="0.25">
      <c r="A1989" s="5" t="s">
        <v>108</v>
      </c>
      <c r="B1989" s="5" t="s">
        <v>111</v>
      </c>
      <c r="C1989" s="5">
        <v>2320</v>
      </c>
      <c r="D1989" s="5" t="s">
        <v>45</v>
      </c>
      <c r="E1989" s="5" t="s">
        <v>47</v>
      </c>
      <c r="F1989" s="6">
        <v>42736</v>
      </c>
      <c r="G1989">
        <v>0</v>
      </c>
    </row>
    <row r="1990" spans="1:7" x14ac:dyDescent="0.25">
      <c r="A1990" s="5" t="s">
        <v>108</v>
      </c>
      <c r="B1990" s="5" t="s">
        <v>111</v>
      </c>
      <c r="C1990" s="5">
        <v>2320</v>
      </c>
      <c r="D1990" s="5" t="s">
        <v>45</v>
      </c>
      <c r="E1990" s="5" t="s">
        <v>48</v>
      </c>
      <c r="F1990" s="6">
        <v>42370</v>
      </c>
      <c r="G1990">
        <v>9</v>
      </c>
    </row>
    <row r="1991" spans="1:7" x14ac:dyDescent="0.25">
      <c r="A1991" s="5" t="s">
        <v>108</v>
      </c>
      <c r="B1991" s="5" t="s">
        <v>111</v>
      </c>
      <c r="C1991" s="5">
        <v>2320</v>
      </c>
      <c r="D1991" s="5" t="s">
        <v>45</v>
      </c>
      <c r="E1991" s="5" t="s">
        <v>48</v>
      </c>
      <c r="F1991" s="6">
        <v>42736</v>
      </c>
      <c r="G1991">
        <v>13</v>
      </c>
    </row>
    <row r="1992" spans="1:7" x14ac:dyDescent="0.25">
      <c r="A1992" s="5" t="s">
        <v>108</v>
      </c>
      <c r="B1992" s="5" t="s">
        <v>111</v>
      </c>
      <c r="C1992" s="5">
        <v>2320</v>
      </c>
      <c r="D1992" s="5" t="s">
        <v>45</v>
      </c>
      <c r="E1992" s="5" t="s">
        <v>49</v>
      </c>
      <c r="F1992" s="6">
        <v>42370</v>
      </c>
      <c r="G1992">
        <v>0</v>
      </c>
    </row>
    <row r="1993" spans="1:7" x14ac:dyDescent="0.25">
      <c r="A1993" s="5" t="s">
        <v>108</v>
      </c>
      <c r="B1993" s="5" t="s">
        <v>111</v>
      </c>
      <c r="C1993" s="5">
        <v>2320</v>
      </c>
      <c r="D1993" s="5" t="s">
        <v>45</v>
      </c>
      <c r="E1993" s="5" t="s">
        <v>49</v>
      </c>
      <c r="F1993" s="6">
        <v>42736</v>
      </c>
      <c r="G1993">
        <v>0</v>
      </c>
    </row>
    <row r="1994" spans="1:7" x14ac:dyDescent="0.25">
      <c r="A1994" s="5" t="s">
        <v>108</v>
      </c>
      <c r="B1994" s="5" t="s">
        <v>111</v>
      </c>
      <c r="C1994" s="5">
        <v>2320</v>
      </c>
      <c r="D1994" s="5" t="s">
        <v>45</v>
      </c>
      <c r="E1994" s="5" t="s">
        <v>50</v>
      </c>
      <c r="F1994" s="6">
        <v>42370</v>
      </c>
      <c r="G1994">
        <v>0</v>
      </c>
    </row>
    <row r="1995" spans="1:7" x14ac:dyDescent="0.25">
      <c r="A1995" s="5" t="s">
        <v>108</v>
      </c>
      <c r="B1995" s="5" t="s">
        <v>111</v>
      </c>
      <c r="C1995" s="5">
        <v>2320</v>
      </c>
      <c r="D1995" s="5" t="s">
        <v>45</v>
      </c>
      <c r="E1995" s="5" t="s">
        <v>50</v>
      </c>
      <c r="F1995" s="6">
        <v>42736</v>
      </c>
      <c r="G1995">
        <v>0</v>
      </c>
    </row>
    <row r="1996" spans="1:7" x14ac:dyDescent="0.25">
      <c r="A1996" s="5" t="s">
        <v>108</v>
      </c>
      <c r="B1996" s="5" t="s">
        <v>111</v>
      </c>
      <c r="C1996" s="5">
        <v>2320</v>
      </c>
      <c r="D1996" s="5" t="s">
        <v>45</v>
      </c>
      <c r="E1996" s="5" t="s">
        <v>51</v>
      </c>
      <c r="F1996" s="6">
        <v>42370</v>
      </c>
      <c r="G1996">
        <v>0</v>
      </c>
    </row>
    <row r="1997" spans="1:7" x14ac:dyDescent="0.25">
      <c r="A1997" s="5" t="s">
        <v>108</v>
      </c>
      <c r="B1997" s="5" t="s">
        <v>111</v>
      </c>
      <c r="C1997" s="5">
        <v>2320</v>
      </c>
      <c r="D1997" s="5" t="s">
        <v>45</v>
      </c>
      <c r="E1997" s="5" t="s">
        <v>51</v>
      </c>
      <c r="F1997" s="6">
        <v>42736</v>
      </c>
      <c r="G1997">
        <v>0</v>
      </c>
    </row>
    <row r="1998" spans="1:7" x14ac:dyDescent="0.25">
      <c r="A1998" s="5" t="s">
        <v>108</v>
      </c>
      <c r="B1998" s="5" t="s">
        <v>111</v>
      </c>
      <c r="C1998" s="5">
        <v>2320</v>
      </c>
      <c r="D1998" s="5" t="s">
        <v>45</v>
      </c>
      <c r="E1998" s="5" t="s">
        <v>52</v>
      </c>
      <c r="F1998" s="6">
        <v>42370</v>
      </c>
      <c r="G1998">
        <v>0</v>
      </c>
    </row>
    <row r="1999" spans="1:7" x14ac:dyDescent="0.25">
      <c r="A1999" s="5" t="s">
        <v>108</v>
      </c>
      <c r="B1999" s="5" t="s">
        <v>111</v>
      </c>
      <c r="C1999" s="5">
        <v>2320</v>
      </c>
      <c r="D1999" s="5" t="s">
        <v>45</v>
      </c>
      <c r="E1999" s="5" t="s">
        <v>52</v>
      </c>
      <c r="F1999" s="6">
        <v>42736</v>
      </c>
      <c r="G1999">
        <v>0</v>
      </c>
    </row>
    <row r="2000" spans="1:7" x14ac:dyDescent="0.25">
      <c r="A2000" s="5" t="s">
        <v>108</v>
      </c>
      <c r="B2000" s="5" t="s">
        <v>111</v>
      </c>
      <c r="C2000" s="5">
        <v>2320</v>
      </c>
      <c r="D2000" s="5" t="s">
        <v>45</v>
      </c>
      <c r="E2000" s="5" t="s">
        <v>53</v>
      </c>
      <c r="F2000" s="6">
        <v>42370</v>
      </c>
      <c r="G2000">
        <v>9</v>
      </c>
    </row>
    <row r="2001" spans="1:7" x14ac:dyDescent="0.25">
      <c r="A2001" s="5" t="s">
        <v>108</v>
      </c>
      <c r="B2001" s="5" t="s">
        <v>111</v>
      </c>
      <c r="C2001" s="5">
        <v>2320</v>
      </c>
      <c r="D2001" s="5" t="s">
        <v>45</v>
      </c>
      <c r="E2001" s="5" t="s">
        <v>53</v>
      </c>
      <c r="F2001" s="6">
        <v>42736</v>
      </c>
      <c r="G2001">
        <v>9</v>
      </c>
    </row>
    <row r="2002" spans="1:7" x14ac:dyDescent="0.25">
      <c r="A2002" s="5" t="s">
        <v>108</v>
      </c>
      <c r="B2002" s="5" t="s">
        <v>111</v>
      </c>
      <c r="C2002" s="5">
        <v>2320</v>
      </c>
      <c r="D2002" s="5" t="s">
        <v>45</v>
      </c>
      <c r="E2002" s="5" t="s">
        <v>54</v>
      </c>
      <c r="F2002" s="6">
        <v>42370</v>
      </c>
      <c r="G2002">
        <v>0</v>
      </c>
    </row>
    <row r="2003" spans="1:7" x14ac:dyDescent="0.25">
      <c r="A2003" s="5" t="s">
        <v>108</v>
      </c>
      <c r="B2003" s="5" t="s">
        <v>111</v>
      </c>
      <c r="C2003" s="5">
        <v>2320</v>
      </c>
      <c r="D2003" s="5" t="s">
        <v>45</v>
      </c>
      <c r="E2003" s="5" t="s">
        <v>54</v>
      </c>
      <c r="F2003" s="6">
        <v>42736</v>
      </c>
      <c r="G2003">
        <v>0</v>
      </c>
    </row>
    <row r="2004" spans="1:7" x14ac:dyDescent="0.25">
      <c r="A2004" s="5" t="s">
        <v>108</v>
      </c>
      <c r="B2004" s="5" t="s">
        <v>111</v>
      </c>
      <c r="C2004" s="5">
        <v>2320</v>
      </c>
      <c r="D2004" s="5" t="s">
        <v>45</v>
      </c>
      <c r="E2004" s="5" t="s">
        <v>55</v>
      </c>
      <c r="F2004" s="6">
        <v>42370</v>
      </c>
      <c r="G2004">
        <v>0</v>
      </c>
    </row>
    <row r="2005" spans="1:7" x14ac:dyDescent="0.25">
      <c r="A2005" s="5" t="s">
        <v>108</v>
      </c>
      <c r="B2005" s="5" t="s">
        <v>111</v>
      </c>
      <c r="C2005" s="5">
        <v>2320</v>
      </c>
      <c r="D2005" s="5" t="s">
        <v>45</v>
      </c>
      <c r="E2005" s="5" t="s">
        <v>55</v>
      </c>
      <c r="F2005" s="6">
        <v>42736</v>
      </c>
      <c r="G2005">
        <v>0</v>
      </c>
    </row>
    <row r="2006" spans="1:7" x14ac:dyDescent="0.25">
      <c r="A2006" s="5" t="s">
        <v>108</v>
      </c>
      <c r="B2006" s="5" t="s">
        <v>111</v>
      </c>
      <c r="C2006" s="5">
        <v>2320</v>
      </c>
      <c r="D2006" s="5" t="s">
        <v>45</v>
      </c>
      <c r="E2006" s="5" t="s">
        <v>56</v>
      </c>
      <c r="F2006" s="6">
        <v>42370</v>
      </c>
      <c r="G2006">
        <v>0</v>
      </c>
    </row>
    <row r="2007" spans="1:7" x14ac:dyDescent="0.25">
      <c r="A2007" s="5" t="s">
        <v>108</v>
      </c>
      <c r="B2007" s="5" t="s">
        <v>111</v>
      </c>
      <c r="C2007" s="5">
        <v>2320</v>
      </c>
      <c r="D2007" s="5" t="s">
        <v>45</v>
      </c>
      <c r="E2007" s="5" t="s">
        <v>56</v>
      </c>
      <c r="F2007" s="6">
        <v>42736</v>
      </c>
      <c r="G2007">
        <v>0</v>
      </c>
    </row>
    <row r="2008" spans="1:7" x14ac:dyDescent="0.25">
      <c r="A2008" s="5" t="s">
        <v>108</v>
      </c>
      <c r="B2008" s="5" t="s">
        <v>111</v>
      </c>
      <c r="C2008" s="5">
        <v>2320</v>
      </c>
      <c r="D2008" s="5" t="s">
        <v>45</v>
      </c>
      <c r="E2008" s="5" t="s">
        <v>57</v>
      </c>
      <c r="F2008" s="6">
        <v>42370</v>
      </c>
      <c r="G2008">
        <v>0</v>
      </c>
    </row>
    <row r="2009" spans="1:7" x14ac:dyDescent="0.25">
      <c r="A2009" s="5" t="s">
        <v>108</v>
      </c>
      <c r="B2009" s="5" t="s">
        <v>111</v>
      </c>
      <c r="C2009" s="5">
        <v>2320</v>
      </c>
      <c r="D2009" s="5" t="s">
        <v>45</v>
      </c>
      <c r="E2009" s="5" t="s">
        <v>57</v>
      </c>
      <c r="F2009" s="6">
        <v>42736</v>
      </c>
      <c r="G2009">
        <v>0</v>
      </c>
    </row>
    <row r="2010" spans="1:7" x14ac:dyDescent="0.25">
      <c r="A2010" s="5" t="s">
        <v>108</v>
      </c>
      <c r="B2010" s="5" t="s">
        <v>111</v>
      </c>
      <c r="C2010" s="5">
        <v>2320</v>
      </c>
      <c r="D2010" s="5" t="s">
        <v>45</v>
      </c>
      <c r="E2010" s="5" t="s">
        <v>58</v>
      </c>
      <c r="F2010" s="6">
        <v>42370</v>
      </c>
      <c r="G2010">
        <v>0</v>
      </c>
    </row>
    <row r="2011" spans="1:7" x14ac:dyDescent="0.25">
      <c r="A2011" s="5" t="s">
        <v>108</v>
      </c>
      <c r="B2011" s="5" t="s">
        <v>111</v>
      </c>
      <c r="C2011" s="5">
        <v>2320</v>
      </c>
      <c r="D2011" s="5" t="s">
        <v>45</v>
      </c>
      <c r="E2011" s="5" t="s">
        <v>58</v>
      </c>
      <c r="F2011" s="6">
        <v>42736</v>
      </c>
      <c r="G2011">
        <v>0</v>
      </c>
    </row>
    <row r="2012" spans="1:7" x14ac:dyDescent="0.25">
      <c r="A2012" s="5" t="s">
        <v>108</v>
      </c>
      <c r="B2012" s="5" t="s">
        <v>111</v>
      </c>
      <c r="C2012" s="5">
        <v>2320</v>
      </c>
      <c r="D2012" s="5" t="s">
        <v>45</v>
      </c>
      <c r="E2012" s="5" t="s">
        <v>59</v>
      </c>
      <c r="F2012" s="6">
        <v>42370</v>
      </c>
      <c r="G2012">
        <v>0</v>
      </c>
    </row>
    <row r="2013" spans="1:7" x14ac:dyDescent="0.25">
      <c r="A2013" s="5" t="s">
        <v>108</v>
      </c>
      <c r="B2013" s="5" t="s">
        <v>111</v>
      </c>
      <c r="C2013" s="5">
        <v>2320</v>
      </c>
      <c r="D2013" s="5" t="s">
        <v>45</v>
      </c>
      <c r="E2013" s="5" t="s">
        <v>59</v>
      </c>
      <c r="F2013" s="6">
        <v>42736</v>
      </c>
      <c r="G2013">
        <v>0</v>
      </c>
    </row>
    <row r="2014" spans="1:7" x14ac:dyDescent="0.25">
      <c r="A2014" s="5" t="s">
        <v>108</v>
      </c>
      <c r="B2014" s="5" t="s">
        <v>111</v>
      </c>
      <c r="C2014" s="5">
        <v>2320</v>
      </c>
      <c r="D2014" s="5" t="s">
        <v>45</v>
      </c>
      <c r="E2014" s="5" t="s">
        <v>60</v>
      </c>
      <c r="F2014" s="6">
        <v>42370</v>
      </c>
      <c r="G2014">
        <v>0</v>
      </c>
    </row>
    <row r="2015" spans="1:7" x14ac:dyDescent="0.25">
      <c r="A2015" s="5" t="s">
        <v>108</v>
      </c>
      <c r="B2015" s="5" t="s">
        <v>111</v>
      </c>
      <c r="C2015" s="5">
        <v>2320</v>
      </c>
      <c r="D2015" s="5" t="s">
        <v>45</v>
      </c>
      <c r="E2015" s="5" t="s">
        <v>60</v>
      </c>
      <c r="F2015" s="6">
        <v>42736</v>
      </c>
      <c r="G2015">
        <v>0</v>
      </c>
    </row>
    <row r="2016" spans="1:7" x14ac:dyDescent="0.25">
      <c r="A2016" s="5" t="s">
        <v>108</v>
      </c>
      <c r="B2016" s="5" t="s">
        <v>111</v>
      </c>
      <c r="C2016" s="5">
        <v>2320</v>
      </c>
      <c r="D2016" s="5" t="s">
        <v>45</v>
      </c>
      <c r="E2016" s="5" t="s">
        <v>61</v>
      </c>
      <c r="F2016" s="6">
        <v>42370</v>
      </c>
      <c r="G2016">
        <v>3</v>
      </c>
    </row>
    <row r="2017" spans="1:7" x14ac:dyDescent="0.25">
      <c r="A2017" s="5" t="s">
        <v>108</v>
      </c>
      <c r="B2017" s="5" t="s">
        <v>111</v>
      </c>
      <c r="C2017" s="5">
        <v>2320</v>
      </c>
      <c r="D2017" s="5" t="s">
        <v>45</v>
      </c>
      <c r="E2017" s="5" t="s">
        <v>61</v>
      </c>
      <c r="F2017" s="6">
        <v>42736</v>
      </c>
      <c r="G2017">
        <v>1</v>
      </c>
    </row>
    <row r="2018" spans="1:7" x14ac:dyDescent="0.25">
      <c r="A2018" s="5" t="s">
        <v>108</v>
      </c>
      <c r="B2018" s="5" t="s">
        <v>111</v>
      </c>
      <c r="C2018" s="5">
        <v>2320</v>
      </c>
      <c r="D2018" s="5" t="s">
        <v>62</v>
      </c>
      <c r="E2018" s="5" t="s">
        <v>63</v>
      </c>
      <c r="F2018" s="6">
        <v>42370</v>
      </c>
      <c r="G2018">
        <v>0</v>
      </c>
    </row>
    <row r="2019" spans="1:7" x14ac:dyDescent="0.25">
      <c r="A2019" s="5" t="s">
        <v>108</v>
      </c>
      <c r="B2019" s="5" t="s">
        <v>111</v>
      </c>
      <c r="C2019" s="5">
        <v>2320</v>
      </c>
      <c r="D2019" s="5" t="s">
        <v>62</v>
      </c>
      <c r="E2019" s="5" t="s">
        <v>63</v>
      </c>
      <c r="F2019" s="6">
        <v>42736</v>
      </c>
      <c r="G2019">
        <v>0</v>
      </c>
    </row>
    <row r="2020" spans="1:7" x14ac:dyDescent="0.25">
      <c r="A2020" s="5" t="s">
        <v>108</v>
      </c>
      <c r="B2020" s="5" t="s">
        <v>111</v>
      </c>
      <c r="C2020" s="5">
        <v>2320</v>
      </c>
      <c r="D2020" s="5" t="s">
        <v>62</v>
      </c>
      <c r="E2020" s="5" t="s">
        <v>64</v>
      </c>
      <c r="F2020" s="6">
        <v>42370</v>
      </c>
      <c r="G2020">
        <v>0</v>
      </c>
    </row>
    <row r="2021" spans="1:7" x14ac:dyDescent="0.25">
      <c r="A2021" s="5" t="s">
        <v>108</v>
      </c>
      <c r="B2021" s="5" t="s">
        <v>111</v>
      </c>
      <c r="C2021" s="5">
        <v>2320</v>
      </c>
      <c r="D2021" s="5" t="s">
        <v>62</v>
      </c>
      <c r="E2021" s="5" t="s">
        <v>64</v>
      </c>
      <c r="F2021" s="6">
        <v>42736</v>
      </c>
      <c r="G2021">
        <v>0</v>
      </c>
    </row>
    <row r="2022" spans="1:7" x14ac:dyDescent="0.25">
      <c r="A2022" s="5" t="s">
        <v>108</v>
      </c>
      <c r="B2022" s="5" t="s">
        <v>111</v>
      </c>
      <c r="C2022" s="5">
        <v>2320</v>
      </c>
      <c r="D2022" s="5" t="s">
        <v>62</v>
      </c>
      <c r="E2022" s="5" t="s">
        <v>9</v>
      </c>
      <c r="F2022" s="6">
        <v>42370</v>
      </c>
      <c r="G2022">
        <v>0</v>
      </c>
    </row>
    <row r="2023" spans="1:7" x14ac:dyDescent="0.25">
      <c r="A2023" s="5" t="s">
        <v>108</v>
      </c>
      <c r="B2023" s="5" t="s">
        <v>111</v>
      </c>
      <c r="C2023" s="5">
        <v>2320</v>
      </c>
      <c r="D2023" s="5" t="s">
        <v>62</v>
      </c>
      <c r="E2023" s="5" t="s">
        <v>9</v>
      </c>
      <c r="F2023" s="6">
        <v>42736</v>
      </c>
      <c r="G2023">
        <v>0</v>
      </c>
    </row>
    <row r="2024" spans="1:7" x14ac:dyDescent="0.25">
      <c r="A2024" s="5" t="s">
        <v>108</v>
      </c>
      <c r="B2024" s="5" t="s">
        <v>111</v>
      </c>
      <c r="C2024" s="5">
        <v>2320</v>
      </c>
      <c r="D2024" s="5" t="s">
        <v>62</v>
      </c>
      <c r="E2024" s="5" t="s">
        <v>65</v>
      </c>
      <c r="F2024" s="6">
        <v>42370</v>
      </c>
      <c r="G2024">
        <v>0</v>
      </c>
    </row>
    <row r="2025" spans="1:7" x14ac:dyDescent="0.25">
      <c r="A2025" s="5" t="s">
        <v>108</v>
      </c>
      <c r="B2025" s="5" t="s">
        <v>111</v>
      </c>
      <c r="C2025" s="5">
        <v>2320</v>
      </c>
      <c r="D2025" s="5" t="s">
        <v>62</v>
      </c>
      <c r="E2025" s="5" t="s">
        <v>65</v>
      </c>
      <c r="F2025" s="6">
        <v>42736</v>
      </c>
      <c r="G2025">
        <v>0</v>
      </c>
    </row>
    <row r="2026" spans="1:7" x14ac:dyDescent="0.25">
      <c r="A2026" s="5" t="s">
        <v>108</v>
      </c>
      <c r="B2026" s="5" t="s">
        <v>111</v>
      </c>
      <c r="C2026" s="5">
        <v>2320</v>
      </c>
      <c r="D2026" s="5" t="s">
        <v>62</v>
      </c>
      <c r="E2026" s="5" t="s">
        <v>66</v>
      </c>
      <c r="F2026" s="6">
        <v>42370</v>
      </c>
      <c r="G2026">
        <v>0</v>
      </c>
    </row>
    <row r="2027" spans="1:7" x14ac:dyDescent="0.25">
      <c r="A2027" s="5" t="s">
        <v>108</v>
      </c>
      <c r="B2027" s="5" t="s">
        <v>111</v>
      </c>
      <c r="C2027" s="5">
        <v>2320</v>
      </c>
      <c r="D2027" s="5" t="s">
        <v>62</v>
      </c>
      <c r="E2027" s="5" t="s">
        <v>66</v>
      </c>
      <c r="F2027" s="6">
        <v>42736</v>
      </c>
      <c r="G2027">
        <v>0</v>
      </c>
    </row>
    <row r="2028" spans="1:7" x14ac:dyDescent="0.25">
      <c r="A2028" s="5" t="s">
        <v>108</v>
      </c>
      <c r="B2028" s="5" t="s">
        <v>111</v>
      </c>
      <c r="C2028" s="5">
        <v>2320</v>
      </c>
      <c r="D2028" s="5" t="s">
        <v>62</v>
      </c>
      <c r="E2028" s="5" t="s">
        <v>67</v>
      </c>
      <c r="F2028" s="6">
        <v>42370</v>
      </c>
      <c r="G2028">
        <v>0</v>
      </c>
    </row>
    <row r="2029" spans="1:7" x14ac:dyDescent="0.25">
      <c r="A2029" s="5" t="s">
        <v>108</v>
      </c>
      <c r="B2029" s="5" t="s">
        <v>111</v>
      </c>
      <c r="C2029" s="5">
        <v>2320</v>
      </c>
      <c r="D2029" s="5" t="s">
        <v>62</v>
      </c>
      <c r="E2029" s="5" t="s">
        <v>67</v>
      </c>
      <c r="F2029" s="6">
        <v>42736</v>
      </c>
      <c r="G2029">
        <v>0</v>
      </c>
    </row>
    <row r="2030" spans="1:7" x14ac:dyDescent="0.25">
      <c r="A2030" s="5" t="s">
        <v>108</v>
      </c>
      <c r="B2030" s="5" t="s">
        <v>111</v>
      </c>
      <c r="C2030" s="5">
        <v>2320</v>
      </c>
      <c r="D2030" s="5" t="s">
        <v>62</v>
      </c>
      <c r="E2030" s="5" t="s">
        <v>68</v>
      </c>
      <c r="F2030" s="6">
        <v>42370</v>
      </c>
      <c r="G2030">
        <v>0</v>
      </c>
    </row>
    <row r="2031" spans="1:7" x14ac:dyDescent="0.25">
      <c r="A2031" s="5" t="s">
        <v>108</v>
      </c>
      <c r="B2031" s="5" t="s">
        <v>111</v>
      </c>
      <c r="C2031" s="5">
        <v>2320</v>
      </c>
      <c r="D2031" s="5" t="s">
        <v>62</v>
      </c>
      <c r="E2031" s="5" t="s">
        <v>68</v>
      </c>
      <c r="F2031" s="6">
        <v>42736</v>
      </c>
      <c r="G2031">
        <v>0</v>
      </c>
    </row>
    <row r="2032" spans="1:7" x14ac:dyDescent="0.25">
      <c r="A2032" s="5" t="s">
        <v>108</v>
      </c>
      <c r="B2032" s="5" t="s">
        <v>111</v>
      </c>
      <c r="C2032" s="5">
        <v>2320</v>
      </c>
      <c r="D2032" s="5" t="s">
        <v>62</v>
      </c>
      <c r="E2032" s="5" t="s">
        <v>69</v>
      </c>
      <c r="F2032" s="6">
        <v>42370</v>
      </c>
      <c r="G2032">
        <v>0</v>
      </c>
    </row>
    <row r="2033" spans="1:7" x14ac:dyDescent="0.25">
      <c r="A2033" s="5" t="s">
        <v>108</v>
      </c>
      <c r="B2033" s="5" t="s">
        <v>111</v>
      </c>
      <c r="C2033" s="5">
        <v>2320</v>
      </c>
      <c r="D2033" s="5" t="s">
        <v>62</v>
      </c>
      <c r="E2033" s="5" t="s">
        <v>69</v>
      </c>
      <c r="F2033" s="6">
        <v>42736</v>
      </c>
      <c r="G2033">
        <v>0</v>
      </c>
    </row>
    <row r="2034" spans="1:7" x14ac:dyDescent="0.25">
      <c r="A2034" s="5" t="s">
        <v>108</v>
      </c>
      <c r="B2034" s="5" t="s">
        <v>111</v>
      </c>
      <c r="C2034" s="5">
        <v>2320</v>
      </c>
      <c r="D2034" s="5" t="s">
        <v>62</v>
      </c>
      <c r="E2034" s="5" t="s">
        <v>70</v>
      </c>
      <c r="F2034" s="6">
        <v>42370</v>
      </c>
      <c r="G2034">
        <v>0</v>
      </c>
    </row>
    <row r="2035" spans="1:7" x14ac:dyDescent="0.25">
      <c r="A2035" s="5" t="s">
        <v>108</v>
      </c>
      <c r="B2035" s="5" t="s">
        <v>111</v>
      </c>
      <c r="C2035" s="5">
        <v>2320</v>
      </c>
      <c r="D2035" s="5" t="s">
        <v>62</v>
      </c>
      <c r="E2035" s="5" t="s">
        <v>70</v>
      </c>
      <c r="F2035" s="6">
        <v>42736</v>
      </c>
      <c r="G2035">
        <v>0</v>
      </c>
    </row>
    <row r="2036" spans="1:7" x14ac:dyDescent="0.25">
      <c r="A2036" s="5" t="s">
        <v>108</v>
      </c>
      <c r="B2036" s="5" t="s">
        <v>111</v>
      </c>
      <c r="C2036" s="5">
        <v>2320</v>
      </c>
      <c r="D2036" s="5" t="s">
        <v>62</v>
      </c>
      <c r="E2036" s="5" t="s">
        <v>71</v>
      </c>
      <c r="F2036" s="6">
        <v>42370</v>
      </c>
      <c r="G2036">
        <v>0</v>
      </c>
    </row>
    <row r="2037" spans="1:7" x14ac:dyDescent="0.25">
      <c r="A2037" s="5" t="s">
        <v>108</v>
      </c>
      <c r="B2037" s="5" t="s">
        <v>111</v>
      </c>
      <c r="C2037" s="5">
        <v>2320</v>
      </c>
      <c r="D2037" s="5" t="s">
        <v>62</v>
      </c>
      <c r="E2037" s="5" t="s">
        <v>71</v>
      </c>
      <c r="F2037" s="6">
        <v>42736</v>
      </c>
      <c r="G2037">
        <v>0</v>
      </c>
    </row>
    <row r="2038" spans="1:7" x14ac:dyDescent="0.25">
      <c r="A2038" s="5" t="s">
        <v>108</v>
      </c>
      <c r="B2038" s="5" t="s">
        <v>111</v>
      </c>
      <c r="C2038" s="5">
        <v>2320</v>
      </c>
      <c r="D2038" s="5" t="s">
        <v>72</v>
      </c>
      <c r="E2038" s="5" t="s">
        <v>73</v>
      </c>
      <c r="F2038" s="6">
        <v>42370</v>
      </c>
      <c r="G2038">
        <v>0</v>
      </c>
    </row>
    <row r="2039" spans="1:7" x14ac:dyDescent="0.25">
      <c r="A2039" s="5" t="s">
        <v>108</v>
      </c>
      <c r="B2039" s="5" t="s">
        <v>111</v>
      </c>
      <c r="C2039" s="5">
        <v>2320</v>
      </c>
      <c r="D2039" s="5" t="s">
        <v>72</v>
      </c>
      <c r="E2039" s="5" t="s">
        <v>73</v>
      </c>
      <c r="F2039" s="6">
        <v>42736</v>
      </c>
      <c r="G2039">
        <v>0</v>
      </c>
    </row>
    <row r="2040" spans="1:7" x14ac:dyDescent="0.25">
      <c r="A2040" s="5" t="s">
        <v>108</v>
      </c>
      <c r="B2040" s="5" t="s">
        <v>111</v>
      </c>
      <c r="C2040" s="5">
        <v>2320</v>
      </c>
      <c r="D2040" s="5" t="s">
        <v>72</v>
      </c>
      <c r="E2040" s="5" t="s">
        <v>9</v>
      </c>
      <c r="F2040" s="6">
        <v>42370</v>
      </c>
      <c r="G2040">
        <v>0</v>
      </c>
    </row>
    <row r="2041" spans="1:7" x14ac:dyDescent="0.25">
      <c r="A2041" s="5" t="s">
        <v>108</v>
      </c>
      <c r="B2041" s="5" t="s">
        <v>111</v>
      </c>
      <c r="C2041" s="5">
        <v>2320</v>
      </c>
      <c r="D2041" s="5" t="s">
        <v>72</v>
      </c>
      <c r="E2041" s="5" t="s">
        <v>9</v>
      </c>
      <c r="F2041" s="6">
        <v>42736</v>
      </c>
      <c r="G2041">
        <v>0</v>
      </c>
    </row>
    <row r="2042" spans="1:7" x14ac:dyDescent="0.25">
      <c r="A2042" s="5" t="s">
        <v>108</v>
      </c>
      <c r="B2042" s="5" t="s">
        <v>111</v>
      </c>
      <c r="C2042" s="5">
        <v>2320</v>
      </c>
      <c r="D2042" s="5" t="s">
        <v>72</v>
      </c>
      <c r="E2042" s="5" t="s">
        <v>34</v>
      </c>
      <c r="F2042" s="6">
        <v>42370</v>
      </c>
      <c r="G2042">
        <v>0</v>
      </c>
    </row>
    <row r="2043" spans="1:7" x14ac:dyDescent="0.25">
      <c r="A2043" s="5" t="s">
        <v>108</v>
      </c>
      <c r="B2043" s="5" t="s">
        <v>111</v>
      </c>
      <c r="C2043" s="5">
        <v>2320</v>
      </c>
      <c r="D2043" s="5" t="s">
        <v>72</v>
      </c>
      <c r="E2043" s="5" t="s">
        <v>34</v>
      </c>
      <c r="F2043" s="6">
        <v>42736</v>
      </c>
      <c r="G2043">
        <v>0</v>
      </c>
    </row>
    <row r="2044" spans="1:7" x14ac:dyDescent="0.25">
      <c r="A2044" s="5" t="s">
        <v>108</v>
      </c>
      <c r="B2044" s="5" t="s">
        <v>111</v>
      </c>
      <c r="C2044" s="5">
        <v>2320</v>
      </c>
      <c r="D2044" s="5" t="s">
        <v>72</v>
      </c>
      <c r="E2044" s="5" t="s">
        <v>74</v>
      </c>
      <c r="F2044" s="6">
        <v>42370</v>
      </c>
      <c r="G2044">
        <v>0</v>
      </c>
    </row>
    <row r="2045" spans="1:7" x14ac:dyDescent="0.25">
      <c r="A2045" s="5" t="s">
        <v>108</v>
      </c>
      <c r="B2045" s="5" t="s">
        <v>111</v>
      </c>
      <c r="C2045" s="5">
        <v>2320</v>
      </c>
      <c r="D2045" s="5" t="s">
        <v>72</v>
      </c>
      <c r="E2045" s="5" t="s">
        <v>74</v>
      </c>
      <c r="F2045" s="6">
        <v>42736</v>
      </c>
      <c r="G2045">
        <v>0</v>
      </c>
    </row>
    <row r="2046" spans="1:7" x14ac:dyDescent="0.25">
      <c r="A2046" s="5" t="s">
        <v>108</v>
      </c>
      <c r="B2046" s="5" t="s">
        <v>111</v>
      </c>
      <c r="C2046" s="5">
        <v>2320</v>
      </c>
      <c r="D2046" s="5" t="s">
        <v>72</v>
      </c>
      <c r="E2046" s="5" t="s">
        <v>75</v>
      </c>
      <c r="F2046" s="6">
        <v>42370</v>
      </c>
      <c r="G2046">
        <v>0</v>
      </c>
    </row>
    <row r="2047" spans="1:7" x14ac:dyDescent="0.25">
      <c r="A2047" s="5" t="s">
        <v>108</v>
      </c>
      <c r="B2047" s="5" t="s">
        <v>111</v>
      </c>
      <c r="C2047" s="5">
        <v>2320</v>
      </c>
      <c r="D2047" s="5" t="s">
        <v>72</v>
      </c>
      <c r="E2047" s="5" t="s">
        <v>75</v>
      </c>
      <c r="F2047" s="6">
        <v>42736</v>
      </c>
      <c r="G2047">
        <v>0</v>
      </c>
    </row>
    <row r="2048" spans="1:7" x14ac:dyDescent="0.25">
      <c r="A2048" s="5" t="s">
        <v>108</v>
      </c>
      <c r="B2048" s="5" t="s">
        <v>111</v>
      </c>
      <c r="C2048" s="5">
        <v>2320</v>
      </c>
      <c r="D2048" s="5" t="s">
        <v>76</v>
      </c>
      <c r="E2048" s="5" t="s">
        <v>9</v>
      </c>
      <c r="F2048" s="6">
        <v>42370</v>
      </c>
      <c r="G2048">
        <v>0</v>
      </c>
    </row>
    <row r="2049" spans="1:7" x14ac:dyDescent="0.25">
      <c r="A2049" s="5" t="s">
        <v>108</v>
      </c>
      <c r="B2049" s="5" t="s">
        <v>111</v>
      </c>
      <c r="C2049" s="5">
        <v>2320</v>
      </c>
      <c r="D2049" s="5" t="s">
        <v>76</v>
      </c>
      <c r="E2049" s="5" t="s">
        <v>9</v>
      </c>
      <c r="F2049" s="6">
        <v>42736</v>
      </c>
      <c r="G2049">
        <v>0</v>
      </c>
    </row>
    <row r="2050" spans="1:7" x14ac:dyDescent="0.25">
      <c r="A2050" s="5" t="s">
        <v>108</v>
      </c>
      <c r="B2050" s="5" t="s">
        <v>111</v>
      </c>
      <c r="C2050" s="5">
        <v>2320</v>
      </c>
      <c r="D2050" s="5" t="s">
        <v>76</v>
      </c>
      <c r="E2050" s="5" t="s">
        <v>77</v>
      </c>
      <c r="F2050" s="6">
        <v>42370</v>
      </c>
      <c r="G2050">
        <v>0</v>
      </c>
    </row>
    <row r="2051" spans="1:7" x14ac:dyDescent="0.25">
      <c r="A2051" s="5" t="s">
        <v>108</v>
      </c>
      <c r="B2051" s="5" t="s">
        <v>111</v>
      </c>
      <c r="C2051" s="5">
        <v>2320</v>
      </c>
      <c r="D2051" s="5" t="s">
        <v>76</v>
      </c>
      <c r="E2051" s="5" t="s">
        <v>77</v>
      </c>
      <c r="F2051" s="6">
        <v>42736</v>
      </c>
      <c r="G2051">
        <v>0</v>
      </c>
    </row>
    <row r="2052" spans="1:7" x14ac:dyDescent="0.25">
      <c r="A2052" s="5" t="s">
        <v>108</v>
      </c>
      <c r="B2052" s="5" t="s">
        <v>111</v>
      </c>
      <c r="C2052" s="5">
        <v>2320</v>
      </c>
      <c r="D2052" s="5" t="s">
        <v>78</v>
      </c>
      <c r="E2052" s="5" t="s">
        <v>79</v>
      </c>
      <c r="F2052" s="6">
        <v>42370</v>
      </c>
      <c r="G2052">
        <v>0</v>
      </c>
    </row>
    <row r="2053" spans="1:7" x14ac:dyDescent="0.25">
      <c r="A2053" s="5" t="s">
        <v>108</v>
      </c>
      <c r="B2053" s="5" t="s">
        <v>111</v>
      </c>
      <c r="C2053" s="5">
        <v>2320</v>
      </c>
      <c r="D2053" s="5" t="s">
        <v>78</v>
      </c>
      <c r="E2053" s="5" t="s">
        <v>79</v>
      </c>
      <c r="F2053" s="6">
        <v>42736</v>
      </c>
      <c r="G2053">
        <v>0</v>
      </c>
    </row>
    <row r="2054" spans="1:7" x14ac:dyDescent="0.25">
      <c r="A2054" s="5" t="s">
        <v>108</v>
      </c>
      <c r="B2054" s="5" t="s">
        <v>111</v>
      </c>
      <c r="C2054" s="5">
        <v>2320</v>
      </c>
      <c r="D2054" s="5" t="s">
        <v>78</v>
      </c>
      <c r="E2054" s="5" t="s">
        <v>80</v>
      </c>
      <c r="F2054" s="6">
        <v>42370</v>
      </c>
      <c r="G2054">
        <v>0</v>
      </c>
    </row>
    <row r="2055" spans="1:7" x14ac:dyDescent="0.25">
      <c r="A2055" s="5" t="s">
        <v>108</v>
      </c>
      <c r="B2055" s="5" t="s">
        <v>111</v>
      </c>
      <c r="C2055" s="5">
        <v>2320</v>
      </c>
      <c r="D2055" s="5" t="s">
        <v>78</v>
      </c>
      <c r="E2055" s="5" t="s">
        <v>80</v>
      </c>
      <c r="F2055" s="6">
        <v>42736</v>
      </c>
      <c r="G2055">
        <v>0</v>
      </c>
    </row>
    <row r="2056" spans="1:7" x14ac:dyDescent="0.25">
      <c r="A2056" s="5" t="s">
        <v>108</v>
      </c>
      <c r="B2056" s="5" t="s">
        <v>111</v>
      </c>
      <c r="C2056" s="5">
        <v>2320</v>
      </c>
      <c r="D2056" s="5" t="s">
        <v>78</v>
      </c>
      <c r="E2056" s="5" t="s">
        <v>81</v>
      </c>
      <c r="F2056" s="6">
        <v>42370</v>
      </c>
      <c r="G2056">
        <v>193</v>
      </c>
    </row>
    <row r="2057" spans="1:7" x14ac:dyDescent="0.25">
      <c r="A2057" s="5" t="s">
        <v>108</v>
      </c>
      <c r="B2057" s="5" t="s">
        <v>111</v>
      </c>
      <c r="C2057" s="5">
        <v>2320</v>
      </c>
      <c r="D2057" s="5" t="s">
        <v>78</v>
      </c>
      <c r="E2057" s="5" t="s">
        <v>81</v>
      </c>
      <c r="F2057" s="6">
        <v>42736</v>
      </c>
      <c r="G2057">
        <v>222</v>
      </c>
    </row>
    <row r="2058" spans="1:7" x14ac:dyDescent="0.25">
      <c r="A2058" s="5" t="s">
        <v>108</v>
      </c>
      <c r="B2058" s="5" t="s">
        <v>111</v>
      </c>
      <c r="C2058" s="5">
        <v>2320</v>
      </c>
      <c r="D2058" s="5" t="s">
        <v>78</v>
      </c>
      <c r="E2058" s="5" t="s">
        <v>82</v>
      </c>
      <c r="F2058" s="6">
        <v>42370</v>
      </c>
      <c r="G2058">
        <v>0</v>
      </c>
    </row>
    <row r="2059" spans="1:7" x14ac:dyDescent="0.25">
      <c r="A2059" s="5" t="s">
        <v>108</v>
      </c>
      <c r="B2059" s="5" t="s">
        <v>111</v>
      </c>
      <c r="C2059" s="5">
        <v>2320</v>
      </c>
      <c r="D2059" s="5" t="s">
        <v>78</v>
      </c>
      <c r="E2059" s="5" t="s">
        <v>82</v>
      </c>
      <c r="F2059" s="6">
        <v>42736</v>
      </c>
      <c r="G2059">
        <v>0</v>
      </c>
    </row>
    <row r="2060" spans="1:7" x14ac:dyDescent="0.25">
      <c r="A2060" s="5" t="s">
        <v>108</v>
      </c>
      <c r="B2060" s="5" t="s">
        <v>111</v>
      </c>
      <c r="C2060" s="5">
        <v>2320</v>
      </c>
      <c r="D2060" s="5" t="s">
        <v>78</v>
      </c>
      <c r="E2060" s="5" t="s">
        <v>83</v>
      </c>
      <c r="F2060" s="6">
        <v>42370</v>
      </c>
      <c r="G2060">
        <v>0</v>
      </c>
    </row>
    <row r="2061" spans="1:7" x14ac:dyDescent="0.25">
      <c r="A2061" s="5" t="s">
        <v>108</v>
      </c>
      <c r="B2061" s="5" t="s">
        <v>111</v>
      </c>
      <c r="C2061" s="5">
        <v>2320</v>
      </c>
      <c r="D2061" s="5" t="s">
        <v>78</v>
      </c>
      <c r="E2061" s="5" t="s">
        <v>83</v>
      </c>
      <c r="F2061" s="6">
        <v>42736</v>
      </c>
      <c r="G2061">
        <v>0</v>
      </c>
    </row>
    <row r="2062" spans="1:7" x14ac:dyDescent="0.25">
      <c r="A2062" s="5" t="s">
        <v>108</v>
      </c>
      <c r="B2062" s="5" t="s">
        <v>111</v>
      </c>
      <c r="C2062" s="5">
        <v>2320</v>
      </c>
      <c r="D2062" s="5" t="s">
        <v>78</v>
      </c>
      <c r="E2062" s="5" t="s">
        <v>84</v>
      </c>
      <c r="F2062" s="6">
        <v>42370</v>
      </c>
      <c r="G2062">
        <v>0</v>
      </c>
    </row>
    <row r="2063" spans="1:7" x14ac:dyDescent="0.25">
      <c r="A2063" s="5" t="s">
        <v>108</v>
      </c>
      <c r="B2063" s="5" t="s">
        <v>111</v>
      </c>
      <c r="C2063" s="5">
        <v>2320</v>
      </c>
      <c r="D2063" s="5" t="s">
        <v>78</v>
      </c>
      <c r="E2063" s="5" t="s">
        <v>84</v>
      </c>
      <c r="F2063" s="6">
        <v>42736</v>
      </c>
      <c r="G2063">
        <v>0</v>
      </c>
    </row>
    <row r="2064" spans="1:7" x14ac:dyDescent="0.25">
      <c r="A2064" s="5" t="s">
        <v>108</v>
      </c>
      <c r="B2064" s="5" t="s">
        <v>111</v>
      </c>
      <c r="C2064" s="5">
        <v>2320</v>
      </c>
      <c r="D2064" s="5" t="s">
        <v>78</v>
      </c>
      <c r="E2064" s="5" t="s">
        <v>85</v>
      </c>
      <c r="F2064" s="6">
        <v>42370</v>
      </c>
      <c r="G2064">
        <v>0</v>
      </c>
    </row>
    <row r="2065" spans="1:7" x14ac:dyDescent="0.25">
      <c r="A2065" s="5" t="s">
        <v>108</v>
      </c>
      <c r="B2065" s="5" t="s">
        <v>111</v>
      </c>
      <c r="C2065" s="5">
        <v>2320</v>
      </c>
      <c r="D2065" s="5" t="s">
        <v>78</v>
      </c>
      <c r="E2065" s="5" t="s">
        <v>85</v>
      </c>
      <c r="F2065" s="6">
        <v>42736</v>
      </c>
      <c r="G2065">
        <v>0</v>
      </c>
    </row>
    <row r="2066" spans="1:7" x14ac:dyDescent="0.25">
      <c r="A2066" s="5" t="s">
        <v>108</v>
      </c>
      <c r="B2066" s="5" t="s">
        <v>111</v>
      </c>
      <c r="C2066" s="5">
        <v>2320</v>
      </c>
      <c r="D2066" s="5" t="s">
        <v>78</v>
      </c>
      <c r="E2066" s="5" t="s">
        <v>86</v>
      </c>
      <c r="F2066" s="6">
        <v>42370</v>
      </c>
      <c r="G2066">
        <v>0</v>
      </c>
    </row>
    <row r="2067" spans="1:7" x14ac:dyDescent="0.25">
      <c r="A2067" s="5" t="s">
        <v>108</v>
      </c>
      <c r="B2067" s="5" t="s">
        <v>111</v>
      </c>
      <c r="C2067" s="5">
        <v>2320</v>
      </c>
      <c r="D2067" s="5" t="s">
        <v>78</v>
      </c>
      <c r="E2067" s="5" t="s">
        <v>86</v>
      </c>
      <c r="F2067" s="6">
        <v>42736</v>
      </c>
      <c r="G2067">
        <v>0</v>
      </c>
    </row>
    <row r="2068" spans="1:7" x14ac:dyDescent="0.25">
      <c r="A2068" s="5" t="s">
        <v>108</v>
      </c>
      <c r="B2068" s="5" t="s">
        <v>111</v>
      </c>
      <c r="C2068" s="5">
        <v>2320</v>
      </c>
      <c r="D2068" s="5" t="s">
        <v>78</v>
      </c>
      <c r="E2068" s="5" t="s">
        <v>87</v>
      </c>
      <c r="F2068" s="6">
        <v>42370</v>
      </c>
      <c r="G2068">
        <v>0</v>
      </c>
    </row>
    <row r="2069" spans="1:7" x14ac:dyDescent="0.25">
      <c r="A2069" s="5" t="s">
        <v>108</v>
      </c>
      <c r="B2069" s="5" t="s">
        <v>111</v>
      </c>
      <c r="C2069" s="5">
        <v>2320</v>
      </c>
      <c r="D2069" s="5" t="s">
        <v>78</v>
      </c>
      <c r="E2069" s="5" t="s">
        <v>87</v>
      </c>
      <c r="F2069" s="6">
        <v>42736</v>
      </c>
      <c r="G2069">
        <v>0</v>
      </c>
    </row>
    <row r="2070" spans="1:7" x14ac:dyDescent="0.25">
      <c r="A2070" s="5" t="s">
        <v>108</v>
      </c>
      <c r="B2070" s="5" t="s">
        <v>111</v>
      </c>
      <c r="C2070" s="5">
        <v>2320</v>
      </c>
      <c r="D2070" s="5" t="s">
        <v>78</v>
      </c>
      <c r="E2070" s="5" t="s">
        <v>88</v>
      </c>
      <c r="F2070" s="6">
        <v>42370</v>
      </c>
      <c r="G2070">
        <v>48</v>
      </c>
    </row>
    <row r="2071" spans="1:7" x14ac:dyDescent="0.25">
      <c r="A2071" s="5" t="s">
        <v>108</v>
      </c>
      <c r="B2071" s="5" t="s">
        <v>111</v>
      </c>
      <c r="C2071" s="5">
        <v>2320</v>
      </c>
      <c r="D2071" s="5" t="s">
        <v>78</v>
      </c>
      <c r="E2071" s="5" t="s">
        <v>88</v>
      </c>
      <c r="F2071" s="6">
        <v>42736</v>
      </c>
      <c r="G2071">
        <v>64</v>
      </c>
    </row>
    <row r="2072" spans="1:7" x14ac:dyDescent="0.25">
      <c r="A2072" s="5" t="s">
        <v>108</v>
      </c>
      <c r="B2072" s="5" t="s">
        <v>111</v>
      </c>
      <c r="C2072" s="5">
        <v>2320</v>
      </c>
      <c r="D2072" s="5" t="s">
        <v>78</v>
      </c>
      <c r="E2072" s="5" t="s">
        <v>89</v>
      </c>
      <c r="F2072" s="6">
        <v>42370</v>
      </c>
      <c r="G2072">
        <v>541</v>
      </c>
    </row>
    <row r="2073" spans="1:7" x14ac:dyDescent="0.25">
      <c r="A2073" s="5" t="s">
        <v>108</v>
      </c>
      <c r="B2073" s="5" t="s">
        <v>111</v>
      </c>
      <c r="C2073" s="5">
        <v>2320</v>
      </c>
      <c r="D2073" s="5" t="s">
        <v>78</v>
      </c>
      <c r="E2073" s="5" t="s">
        <v>89</v>
      </c>
      <c r="F2073" s="6">
        <v>42736</v>
      </c>
      <c r="G2073">
        <v>847</v>
      </c>
    </row>
    <row r="2074" spans="1:7" x14ac:dyDescent="0.25">
      <c r="A2074" s="5" t="s">
        <v>108</v>
      </c>
      <c r="B2074" s="5" t="s">
        <v>111</v>
      </c>
      <c r="C2074" s="5">
        <v>2320</v>
      </c>
      <c r="D2074" s="5" t="s">
        <v>78</v>
      </c>
      <c r="E2074" s="5" t="s">
        <v>90</v>
      </c>
      <c r="F2074" s="6">
        <v>42370</v>
      </c>
      <c r="G2074">
        <v>0</v>
      </c>
    </row>
    <row r="2075" spans="1:7" x14ac:dyDescent="0.25">
      <c r="A2075" s="5" t="s">
        <v>108</v>
      </c>
      <c r="B2075" s="5" t="s">
        <v>111</v>
      </c>
      <c r="C2075" s="5">
        <v>2320</v>
      </c>
      <c r="D2075" s="5" t="s">
        <v>78</v>
      </c>
      <c r="E2075" s="5" t="s">
        <v>90</v>
      </c>
      <c r="F2075" s="6">
        <v>42736</v>
      </c>
      <c r="G2075">
        <v>0</v>
      </c>
    </row>
    <row r="2076" spans="1:7" x14ac:dyDescent="0.25">
      <c r="A2076" s="5" t="s">
        <v>108</v>
      </c>
      <c r="B2076" s="5" t="s">
        <v>111</v>
      </c>
      <c r="C2076" s="5">
        <v>2320</v>
      </c>
      <c r="D2076" s="5" t="s">
        <v>78</v>
      </c>
      <c r="E2076" s="5" t="s">
        <v>91</v>
      </c>
      <c r="F2076" s="6">
        <v>42370</v>
      </c>
      <c r="G2076">
        <v>0</v>
      </c>
    </row>
    <row r="2077" spans="1:7" x14ac:dyDescent="0.25">
      <c r="A2077" s="5" t="s">
        <v>108</v>
      </c>
      <c r="B2077" s="5" t="s">
        <v>111</v>
      </c>
      <c r="C2077" s="5">
        <v>2320</v>
      </c>
      <c r="D2077" s="5" t="s">
        <v>78</v>
      </c>
      <c r="E2077" s="5" t="s">
        <v>91</v>
      </c>
      <c r="F2077" s="6">
        <v>42736</v>
      </c>
      <c r="G2077">
        <v>0</v>
      </c>
    </row>
    <row r="2078" spans="1:7" x14ac:dyDescent="0.25">
      <c r="A2078" s="5" t="s">
        <v>108</v>
      </c>
      <c r="B2078" s="5" t="s">
        <v>111</v>
      </c>
      <c r="C2078" s="5">
        <v>2320</v>
      </c>
      <c r="D2078" s="5" t="s">
        <v>78</v>
      </c>
      <c r="E2078" s="5" t="s">
        <v>92</v>
      </c>
      <c r="F2078" s="6">
        <v>42370</v>
      </c>
      <c r="G2078">
        <v>0</v>
      </c>
    </row>
    <row r="2079" spans="1:7" x14ac:dyDescent="0.25">
      <c r="A2079" s="5" t="s">
        <v>108</v>
      </c>
      <c r="B2079" s="5" t="s">
        <v>111</v>
      </c>
      <c r="C2079" s="5">
        <v>2320</v>
      </c>
      <c r="D2079" s="5" t="s">
        <v>78</v>
      </c>
      <c r="E2079" s="5" t="s">
        <v>92</v>
      </c>
      <c r="F2079" s="6">
        <v>42736</v>
      </c>
      <c r="G2079">
        <v>0</v>
      </c>
    </row>
    <row r="2080" spans="1:7" x14ac:dyDescent="0.25">
      <c r="A2080" s="5" t="s">
        <v>108</v>
      </c>
      <c r="B2080" s="5" t="s">
        <v>111</v>
      </c>
      <c r="C2080" s="5">
        <v>2320</v>
      </c>
      <c r="D2080" s="5" t="s">
        <v>78</v>
      </c>
      <c r="E2080" s="5" t="s">
        <v>93</v>
      </c>
      <c r="F2080" s="6">
        <v>42370</v>
      </c>
      <c r="G2080">
        <v>0</v>
      </c>
    </row>
    <row r="2081" spans="1:7" x14ac:dyDescent="0.25">
      <c r="A2081" s="5" t="s">
        <v>108</v>
      </c>
      <c r="B2081" s="5" t="s">
        <v>111</v>
      </c>
      <c r="C2081" s="5">
        <v>2320</v>
      </c>
      <c r="D2081" s="5" t="s">
        <v>78</v>
      </c>
      <c r="E2081" s="5" t="s">
        <v>93</v>
      </c>
      <c r="F2081" s="6">
        <v>42736</v>
      </c>
      <c r="G2081">
        <v>0</v>
      </c>
    </row>
    <row r="2082" spans="1:7" x14ac:dyDescent="0.25">
      <c r="A2082" s="5" t="s">
        <v>108</v>
      </c>
      <c r="B2082" s="5" t="s">
        <v>111</v>
      </c>
      <c r="C2082" s="5">
        <v>2320</v>
      </c>
      <c r="D2082" s="5" t="s">
        <v>78</v>
      </c>
      <c r="E2082" s="5" t="s">
        <v>94</v>
      </c>
      <c r="F2082" s="6">
        <v>42370</v>
      </c>
      <c r="G2082">
        <v>0</v>
      </c>
    </row>
    <row r="2083" spans="1:7" x14ac:dyDescent="0.25">
      <c r="A2083" s="5" t="s">
        <v>108</v>
      </c>
      <c r="B2083" s="5" t="s">
        <v>111</v>
      </c>
      <c r="C2083" s="5">
        <v>2320</v>
      </c>
      <c r="D2083" s="5" t="s">
        <v>78</v>
      </c>
      <c r="E2083" s="5" t="s">
        <v>94</v>
      </c>
      <c r="F2083" s="6">
        <v>42736</v>
      </c>
      <c r="G2083">
        <v>0</v>
      </c>
    </row>
    <row r="2084" spans="1:7" x14ac:dyDescent="0.25">
      <c r="A2084" s="5" t="s">
        <v>108</v>
      </c>
      <c r="B2084" s="5" t="s">
        <v>111</v>
      </c>
      <c r="C2084" s="5">
        <v>2320</v>
      </c>
      <c r="D2084" s="5" t="s">
        <v>78</v>
      </c>
      <c r="E2084" s="5" t="s">
        <v>95</v>
      </c>
      <c r="F2084" s="6">
        <v>42370</v>
      </c>
      <c r="G2084">
        <v>0</v>
      </c>
    </row>
    <row r="2085" spans="1:7" x14ac:dyDescent="0.25">
      <c r="A2085" s="5" t="s">
        <v>108</v>
      </c>
      <c r="B2085" s="5" t="s">
        <v>111</v>
      </c>
      <c r="C2085" s="5">
        <v>2320</v>
      </c>
      <c r="D2085" s="5" t="s">
        <v>78</v>
      </c>
      <c r="E2085" s="5" t="s">
        <v>95</v>
      </c>
      <c r="F2085" s="6">
        <v>42736</v>
      </c>
      <c r="G2085">
        <v>0</v>
      </c>
    </row>
    <row r="2086" spans="1:7" x14ac:dyDescent="0.25">
      <c r="A2086" s="5" t="s">
        <v>108</v>
      </c>
      <c r="B2086" s="5" t="s">
        <v>111</v>
      </c>
      <c r="C2086" s="5">
        <v>2320</v>
      </c>
      <c r="D2086" s="5" t="s">
        <v>78</v>
      </c>
      <c r="E2086" s="5" t="s">
        <v>96</v>
      </c>
      <c r="F2086" s="6">
        <v>42370</v>
      </c>
      <c r="G2086">
        <v>0</v>
      </c>
    </row>
    <row r="2087" spans="1:7" x14ac:dyDescent="0.25">
      <c r="A2087" s="5" t="s">
        <v>108</v>
      </c>
      <c r="B2087" s="5" t="s">
        <v>111</v>
      </c>
      <c r="C2087" s="5">
        <v>2320</v>
      </c>
      <c r="D2087" s="5" t="s">
        <v>78</v>
      </c>
      <c r="E2087" s="5" t="s">
        <v>96</v>
      </c>
      <c r="F2087" s="6">
        <v>42736</v>
      </c>
      <c r="G2087">
        <v>0</v>
      </c>
    </row>
    <row r="2088" spans="1:7" x14ac:dyDescent="0.25">
      <c r="A2088" s="5" t="s">
        <v>108</v>
      </c>
      <c r="B2088" s="5" t="s">
        <v>111</v>
      </c>
      <c r="C2088" s="5">
        <v>2320</v>
      </c>
      <c r="D2088" s="5" t="s">
        <v>78</v>
      </c>
      <c r="E2088" s="5" t="s">
        <v>97</v>
      </c>
      <c r="F2088" s="6">
        <v>42370</v>
      </c>
      <c r="G2088">
        <v>0</v>
      </c>
    </row>
    <row r="2089" spans="1:7" x14ac:dyDescent="0.25">
      <c r="A2089" s="5" t="s">
        <v>108</v>
      </c>
      <c r="B2089" s="5" t="s">
        <v>111</v>
      </c>
      <c r="C2089" s="5">
        <v>2320</v>
      </c>
      <c r="D2089" s="5" t="s">
        <v>78</v>
      </c>
      <c r="E2089" s="5" t="s">
        <v>97</v>
      </c>
      <c r="F2089" s="6">
        <v>42736</v>
      </c>
      <c r="G2089">
        <v>0</v>
      </c>
    </row>
    <row r="2090" spans="1:7" x14ac:dyDescent="0.25">
      <c r="A2090" s="5" t="s">
        <v>108</v>
      </c>
      <c r="B2090" s="5" t="s">
        <v>111</v>
      </c>
      <c r="C2090" s="5">
        <v>2320</v>
      </c>
      <c r="D2090" s="5" t="s">
        <v>78</v>
      </c>
      <c r="E2090" s="5" t="s">
        <v>98</v>
      </c>
      <c r="F2090" s="6">
        <v>42370</v>
      </c>
      <c r="G2090">
        <v>0</v>
      </c>
    </row>
    <row r="2091" spans="1:7" x14ac:dyDescent="0.25">
      <c r="A2091" s="5" t="s">
        <v>108</v>
      </c>
      <c r="B2091" s="5" t="s">
        <v>111</v>
      </c>
      <c r="C2091" s="5">
        <v>2320</v>
      </c>
      <c r="D2091" s="5" t="s">
        <v>78</v>
      </c>
      <c r="E2091" s="5" t="s">
        <v>98</v>
      </c>
      <c r="F2091" s="6">
        <v>42736</v>
      </c>
      <c r="G2091">
        <v>0</v>
      </c>
    </row>
    <row r="2092" spans="1:7" x14ac:dyDescent="0.25">
      <c r="A2092" s="5" t="s">
        <v>108</v>
      </c>
      <c r="B2092" s="5" t="s">
        <v>112</v>
      </c>
      <c r="C2092" s="5">
        <v>2300</v>
      </c>
      <c r="D2092" s="5" t="s">
        <v>8</v>
      </c>
      <c r="E2092" s="5" t="s">
        <v>9</v>
      </c>
      <c r="F2092" s="6">
        <v>42370</v>
      </c>
      <c r="G2092">
        <v>0</v>
      </c>
    </row>
    <row r="2093" spans="1:7" x14ac:dyDescent="0.25">
      <c r="A2093" s="5" t="s">
        <v>108</v>
      </c>
      <c r="B2093" s="5" t="s">
        <v>112</v>
      </c>
      <c r="C2093" s="5">
        <v>2300</v>
      </c>
      <c r="D2093" s="5" t="s">
        <v>8</v>
      </c>
      <c r="E2093" s="5" t="s">
        <v>9</v>
      </c>
      <c r="F2093" s="6">
        <v>42736</v>
      </c>
      <c r="G2093">
        <v>0</v>
      </c>
    </row>
    <row r="2094" spans="1:7" x14ac:dyDescent="0.25">
      <c r="A2094" s="5" t="s">
        <v>108</v>
      </c>
      <c r="B2094" s="5" t="s">
        <v>112</v>
      </c>
      <c r="C2094" s="5">
        <v>2300</v>
      </c>
      <c r="D2094" s="5" t="s">
        <v>8</v>
      </c>
      <c r="E2094" s="5" t="s">
        <v>10</v>
      </c>
      <c r="F2094" s="6">
        <v>42370</v>
      </c>
      <c r="G2094">
        <v>113</v>
      </c>
    </row>
    <row r="2095" spans="1:7" x14ac:dyDescent="0.25">
      <c r="A2095" s="5" t="s">
        <v>108</v>
      </c>
      <c r="B2095" s="5" t="s">
        <v>112</v>
      </c>
      <c r="C2095" s="5">
        <v>2300</v>
      </c>
      <c r="D2095" s="5" t="s">
        <v>8</v>
      </c>
      <c r="E2095" s="5" t="s">
        <v>10</v>
      </c>
      <c r="F2095" s="6">
        <v>42736</v>
      </c>
      <c r="G2095">
        <v>142</v>
      </c>
    </row>
    <row r="2096" spans="1:7" x14ac:dyDescent="0.25">
      <c r="A2096" s="5" t="s">
        <v>108</v>
      </c>
      <c r="B2096" s="5" t="s">
        <v>112</v>
      </c>
      <c r="C2096" s="5">
        <v>2300</v>
      </c>
      <c r="D2096" s="5" t="s">
        <v>8</v>
      </c>
      <c r="E2096" s="5" t="s">
        <v>11</v>
      </c>
      <c r="F2096" s="6">
        <v>42370</v>
      </c>
      <c r="G2096">
        <v>25</v>
      </c>
    </row>
    <row r="2097" spans="1:7" x14ac:dyDescent="0.25">
      <c r="A2097" s="5" t="s">
        <v>108</v>
      </c>
      <c r="B2097" s="5" t="s">
        <v>112</v>
      </c>
      <c r="C2097" s="5">
        <v>2300</v>
      </c>
      <c r="D2097" s="5" t="s">
        <v>8</v>
      </c>
      <c r="E2097" s="5" t="s">
        <v>11</v>
      </c>
      <c r="F2097" s="6">
        <v>42736</v>
      </c>
      <c r="G2097">
        <v>76</v>
      </c>
    </row>
    <row r="2098" spans="1:7" x14ac:dyDescent="0.25">
      <c r="A2098" s="5" t="s">
        <v>108</v>
      </c>
      <c r="B2098" s="5" t="s">
        <v>112</v>
      </c>
      <c r="C2098" s="5">
        <v>2300</v>
      </c>
      <c r="D2098" s="5" t="s">
        <v>8</v>
      </c>
      <c r="E2098" s="5" t="s">
        <v>12</v>
      </c>
      <c r="F2098" s="6">
        <v>42370</v>
      </c>
      <c r="G2098">
        <v>0</v>
      </c>
    </row>
    <row r="2099" spans="1:7" x14ac:dyDescent="0.25">
      <c r="A2099" s="5" t="s">
        <v>108</v>
      </c>
      <c r="B2099" s="5" t="s">
        <v>112</v>
      </c>
      <c r="C2099" s="5">
        <v>2300</v>
      </c>
      <c r="D2099" s="5" t="s">
        <v>8</v>
      </c>
      <c r="E2099" s="5" t="s">
        <v>12</v>
      </c>
      <c r="F2099" s="6">
        <v>42736</v>
      </c>
      <c r="G2099">
        <v>0</v>
      </c>
    </row>
    <row r="2100" spans="1:7" x14ac:dyDescent="0.25">
      <c r="A2100" s="5" t="s">
        <v>108</v>
      </c>
      <c r="B2100" s="5" t="s">
        <v>112</v>
      </c>
      <c r="C2100" s="5">
        <v>2300</v>
      </c>
      <c r="D2100" s="5" t="s">
        <v>8</v>
      </c>
      <c r="E2100" s="5" t="s">
        <v>13</v>
      </c>
      <c r="F2100" s="6">
        <v>42370</v>
      </c>
      <c r="G2100">
        <v>0</v>
      </c>
    </row>
    <row r="2101" spans="1:7" x14ac:dyDescent="0.25">
      <c r="A2101" s="5" t="s">
        <v>108</v>
      </c>
      <c r="B2101" s="5" t="s">
        <v>112</v>
      </c>
      <c r="C2101" s="5">
        <v>2300</v>
      </c>
      <c r="D2101" s="5" t="s">
        <v>8</v>
      </c>
      <c r="E2101" s="5" t="s">
        <v>13</v>
      </c>
      <c r="F2101" s="6">
        <v>42736</v>
      </c>
      <c r="G2101">
        <v>0</v>
      </c>
    </row>
    <row r="2102" spans="1:7" x14ac:dyDescent="0.25">
      <c r="A2102" s="5" t="s">
        <v>108</v>
      </c>
      <c r="B2102" s="5" t="s">
        <v>112</v>
      </c>
      <c r="C2102" s="5">
        <v>2300</v>
      </c>
      <c r="D2102" s="5" t="s">
        <v>8</v>
      </c>
      <c r="E2102" s="5" t="s">
        <v>14</v>
      </c>
      <c r="F2102" s="6">
        <v>42370</v>
      </c>
      <c r="G2102">
        <v>0</v>
      </c>
    </row>
    <row r="2103" spans="1:7" x14ac:dyDescent="0.25">
      <c r="A2103" s="5" t="s">
        <v>108</v>
      </c>
      <c r="B2103" s="5" t="s">
        <v>112</v>
      </c>
      <c r="C2103" s="5">
        <v>2300</v>
      </c>
      <c r="D2103" s="5" t="s">
        <v>8</v>
      </c>
      <c r="E2103" s="5" t="s">
        <v>14</v>
      </c>
      <c r="F2103" s="6">
        <v>42736</v>
      </c>
      <c r="G2103">
        <v>0</v>
      </c>
    </row>
    <row r="2104" spans="1:7" x14ac:dyDescent="0.25">
      <c r="A2104" s="5" t="s">
        <v>108</v>
      </c>
      <c r="B2104" s="5" t="s">
        <v>112</v>
      </c>
      <c r="C2104" s="5">
        <v>2300</v>
      </c>
      <c r="D2104" s="5" t="s">
        <v>8</v>
      </c>
      <c r="E2104" s="5" t="s">
        <v>15</v>
      </c>
      <c r="F2104" s="6">
        <v>42370</v>
      </c>
      <c r="G2104">
        <v>0</v>
      </c>
    </row>
    <row r="2105" spans="1:7" x14ac:dyDescent="0.25">
      <c r="A2105" s="5" t="s">
        <v>108</v>
      </c>
      <c r="B2105" s="5" t="s">
        <v>112</v>
      </c>
      <c r="C2105" s="5">
        <v>2300</v>
      </c>
      <c r="D2105" s="5" t="s">
        <v>8</v>
      </c>
      <c r="E2105" s="5" t="s">
        <v>15</v>
      </c>
      <c r="F2105" s="6">
        <v>42736</v>
      </c>
      <c r="G2105">
        <v>0</v>
      </c>
    </row>
    <row r="2106" spans="1:7" x14ac:dyDescent="0.25">
      <c r="A2106" s="5" t="s">
        <v>108</v>
      </c>
      <c r="B2106" s="5" t="s">
        <v>112</v>
      </c>
      <c r="C2106" s="5">
        <v>2300</v>
      </c>
      <c r="D2106" s="5" t="s">
        <v>8</v>
      </c>
      <c r="E2106" s="5" t="s">
        <v>16</v>
      </c>
      <c r="F2106" s="6">
        <v>42370</v>
      </c>
      <c r="G2106">
        <v>28</v>
      </c>
    </row>
    <row r="2107" spans="1:7" x14ac:dyDescent="0.25">
      <c r="A2107" s="5" t="s">
        <v>108</v>
      </c>
      <c r="B2107" s="5" t="s">
        <v>112</v>
      </c>
      <c r="C2107" s="5">
        <v>2300</v>
      </c>
      <c r="D2107" s="5" t="s">
        <v>8</v>
      </c>
      <c r="E2107" s="5" t="s">
        <v>16</v>
      </c>
      <c r="F2107" s="6">
        <v>42736</v>
      </c>
      <c r="G2107">
        <v>34</v>
      </c>
    </row>
    <row r="2108" spans="1:7" x14ac:dyDescent="0.25">
      <c r="A2108" s="5" t="s">
        <v>108</v>
      </c>
      <c r="B2108" s="5" t="s">
        <v>112</v>
      </c>
      <c r="C2108" s="5">
        <v>2300</v>
      </c>
      <c r="D2108" s="5" t="s">
        <v>8</v>
      </c>
      <c r="E2108" s="5" t="s">
        <v>17</v>
      </c>
      <c r="F2108" s="6">
        <v>42370</v>
      </c>
      <c r="G2108">
        <v>0</v>
      </c>
    </row>
    <row r="2109" spans="1:7" x14ac:dyDescent="0.25">
      <c r="A2109" s="5" t="s">
        <v>108</v>
      </c>
      <c r="B2109" s="5" t="s">
        <v>112</v>
      </c>
      <c r="C2109" s="5">
        <v>2300</v>
      </c>
      <c r="D2109" s="5" t="s">
        <v>8</v>
      </c>
      <c r="E2109" s="5" t="s">
        <v>17</v>
      </c>
      <c r="F2109" s="6">
        <v>42736</v>
      </c>
      <c r="G2109">
        <v>0</v>
      </c>
    </row>
    <row r="2110" spans="1:7" x14ac:dyDescent="0.25">
      <c r="A2110" s="5" t="s">
        <v>108</v>
      </c>
      <c r="B2110" s="5" t="s">
        <v>112</v>
      </c>
      <c r="C2110" s="5">
        <v>2300</v>
      </c>
      <c r="D2110" s="5" t="s">
        <v>8</v>
      </c>
      <c r="E2110" s="5" t="s">
        <v>18</v>
      </c>
      <c r="F2110" s="6">
        <v>42370</v>
      </c>
      <c r="G2110">
        <v>6</v>
      </c>
    </row>
    <row r="2111" spans="1:7" x14ac:dyDescent="0.25">
      <c r="A2111" s="5" t="s">
        <v>108</v>
      </c>
      <c r="B2111" s="5" t="s">
        <v>112</v>
      </c>
      <c r="C2111" s="5">
        <v>2300</v>
      </c>
      <c r="D2111" s="5" t="s">
        <v>8</v>
      </c>
      <c r="E2111" s="5" t="s">
        <v>18</v>
      </c>
      <c r="F2111" s="6">
        <v>42736</v>
      </c>
      <c r="G2111">
        <v>7</v>
      </c>
    </row>
    <row r="2112" spans="1:7" x14ac:dyDescent="0.25">
      <c r="A2112" s="5" t="s">
        <v>108</v>
      </c>
      <c r="B2112" s="5" t="s">
        <v>112</v>
      </c>
      <c r="C2112" s="5">
        <v>2300</v>
      </c>
      <c r="D2112" s="5" t="s">
        <v>8</v>
      </c>
      <c r="E2112" s="5" t="s">
        <v>19</v>
      </c>
      <c r="F2112" s="6">
        <v>42370</v>
      </c>
      <c r="G2112">
        <v>0</v>
      </c>
    </row>
    <row r="2113" spans="1:7" x14ac:dyDescent="0.25">
      <c r="A2113" s="5" t="s">
        <v>108</v>
      </c>
      <c r="B2113" s="5" t="s">
        <v>112</v>
      </c>
      <c r="C2113" s="5">
        <v>2300</v>
      </c>
      <c r="D2113" s="5" t="s">
        <v>8</v>
      </c>
      <c r="E2113" s="5" t="s">
        <v>19</v>
      </c>
      <c r="F2113" s="6">
        <v>42736</v>
      </c>
      <c r="G2113">
        <v>0</v>
      </c>
    </row>
    <row r="2114" spans="1:7" x14ac:dyDescent="0.25">
      <c r="A2114" s="5" t="s">
        <v>108</v>
      </c>
      <c r="B2114" s="5" t="s">
        <v>112</v>
      </c>
      <c r="C2114" s="5">
        <v>2300</v>
      </c>
      <c r="D2114" s="5" t="s">
        <v>20</v>
      </c>
      <c r="E2114" s="5" t="s">
        <v>9</v>
      </c>
      <c r="F2114" s="6">
        <v>42370</v>
      </c>
      <c r="G2114">
        <v>13</v>
      </c>
    </row>
    <row r="2115" spans="1:7" x14ac:dyDescent="0.25">
      <c r="A2115" s="5" t="s">
        <v>108</v>
      </c>
      <c r="B2115" s="5" t="s">
        <v>112</v>
      </c>
      <c r="C2115" s="5">
        <v>2300</v>
      </c>
      <c r="D2115" s="5" t="s">
        <v>20</v>
      </c>
      <c r="E2115" s="5" t="s">
        <v>9</v>
      </c>
      <c r="F2115" s="6">
        <v>42736</v>
      </c>
      <c r="G2115">
        <v>32</v>
      </c>
    </row>
    <row r="2116" spans="1:7" x14ac:dyDescent="0.25">
      <c r="A2116" s="5" t="s">
        <v>108</v>
      </c>
      <c r="B2116" s="5" t="s">
        <v>112</v>
      </c>
      <c r="C2116" s="5">
        <v>2300</v>
      </c>
      <c r="D2116" s="5" t="s">
        <v>20</v>
      </c>
      <c r="E2116" s="5" t="s">
        <v>21</v>
      </c>
      <c r="F2116" s="6">
        <v>42370</v>
      </c>
      <c r="G2116">
        <v>0</v>
      </c>
    </row>
    <row r="2117" spans="1:7" x14ac:dyDescent="0.25">
      <c r="A2117" s="5" t="s">
        <v>108</v>
      </c>
      <c r="B2117" s="5" t="s">
        <v>112</v>
      </c>
      <c r="C2117" s="5">
        <v>2300</v>
      </c>
      <c r="D2117" s="5" t="s">
        <v>20</v>
      </c>
      <c r="E2117" s="5" t="s">
        <v>21</v>
      </c>
      <c r="F2117" s="6">
        <v>42736</v>
      </c>
      <c r="G2117">
        <v>0</v>
      </c>
    </row>
    <row r="2118" spans="1:7" x14ac:dyDescent="0.25">
      <c r="A2118" s="5" t="s">
        <v>108</v>
      </c>
      <c r="B2118" s="5" t="s">
        <v>112</v>
      </c>
      <c r="C2118" s="5">
        <v>2300</v>
      </c>
      <c r="D2118" s="5" t="s">
        <v>20</v>
      </c>
      <c r="E2118" s="5" t="s">
        <v>22</v>
      </c>
      <c r="F2118" s="6">
        <v>42370</v>
      </c>
      <c r="G2118">
        <v>0</v>
      </c>
    </row>
    <row r="2119" spans="1:7" x14ac:dyDescent="0.25">
      <c r="A2119" s="5" t="s">
        <v>108</v>
      </c>
      <c r="B2119" s="5" t="s">
        <v>112</v>
      </c>
      <c r="C2119" s="5">
        <v>2300</v>
      </c>
      <c r="D2119" s="5" t="s">
        <v>20</v>
      </c>
      <c r="E2119" s="5" t="s">
        <v>22</v>
      </c>
      <c r="F2119" s="6">
        <v>42736</v>
      </c>
      <c r="G2119">
        <v>1</v>
      </c>
    </row>
    <row r="2120" spans="1:7" x14ac:dyDescent="0.25">
      <c r="A2120" s="5" t="s">
        <v>108</v>
      </c>
      <c r="B2120" s="5" t="s">
        <v>112</v>
      </c>
      <c r="C2120" s="5">
        <v>2300</v>
      </c>
      <c r="D2120" s="5" t="s">
        <v>20</v>
      </c>
      <c r="E2120" s="5" t="s">
        <v>23</v>
      </c>
      <c r="F2120" s="6">
        <v>42370</v>
      </c>
      <c r="G2120">
        <v>2</v>
      </c>
    </row>
    <row r="2121" spans="1:7" x14ac:dyDescent="0.25">
      <c r="A2121" s="5" t="s">
        <v>108</v>
      </c>
      <c r="B2121" s="5" t="s">
        <v>112</v>
      </c>
      <c r="C2121" s="5">
        <v>2300</v>
      </c>
      <c r="D2121" s="5" t="s">
        <v>20</v>
      </c>
      <c r="E2121" s="5" t="s">
        <v>23</v>
      </c>
      <c r="F2121" s="6">
        <v>42736</v>
      </c>
      <c r="G2121">
        <v>3</v>
      </c>
    </row>
    <row r="2122" spans="1:7" x14ac:dyDescent="0.25">
      <c r="A2122" s="5" t="s">
        <v>108</v>
      </c>
      <c r="B2122" s="5" t="s">
        <v>112</v>
      </c>
      <c r="C2122" s="5">
        <v>2300</v>
      </c>
      <c r="D2122" s="5" t="s">
        <v>20</v>
      </c>
      <c r="E2122" s="5" t="s">
        <v>24</v>
      </c>
      <c r="F2122" s="6">
        <v>42370</v>
      </c>
      <c r="G2122">
        <v>0</v>
      </c>
    </row>
    <row r="2123" spans="1:7" x14ac:dyDescent="0.25">
      <c r="A2123" s="5" t="s">
        <v>108</v>
      </c>
      <c r="B2123" s="5" t="s">
        <v>112</v>
      </c>
      <c r="C2123" s="5">
        <v>2300</v>
      </c>
      <c r="D2123" s="5" t="s">
        <v>20</v>
      </c>
      <c r="E2123" s="5" t="s">
        <v>24</v>
      </c>
      <c r="F2123" s="6">
        <v>42736</v>
      </c>
      <c r="G2123">
        <v>0</v>
      </c>
    </row>
    <row r="2124" spans="1:7" x14ac:dyDescent="0.25">
      <c r="A2124" s="5" t="s">
        <v>108</v>
      </c>
      <c r="B2124" s="5" t="s">
        <v>112</v>
      </c>
      <c r="C2124" s="5">
        <v>2300</v>
      </c>
      <c r="D2124" s="5" t="s">
        <v>20</v>
      </c>
      <c r="E2124" s="5" t="s">
        <v>25</v>
      </c>
      <c r="F2124" s="6">
        <v>42370</v>
      </c>
      <c r="G2124">
        <v>0</v>
      </c>
    </row>
    <row r="2125" spans="1:7" x14ac:dyDescent="0.25">
      <c r="A2125" s="5" t="s">
        <v>108</v>
      </c>
      <c r="B2125" s="5" t="s">
        <v>112</v>
      </c>
      <c r="C2125" s="5">
        <v>2300</v>
      </c>
      <c r="D2125" s="5" t="s">
        <v>20</v>
      </c>
      <c r="E2125" s="5" t="s">
        <v>25</v>
      </c>
      <c r="F2125" s="6">
        <v>42736</v>
      </c>
      <c r="G2125">
        <v>0</v>
      </c>
    </row>
    <row r="2126" spans="1:7" x14ac:dyDescent="0.25">
      <c r="A2126" s="5" t="s">
        <v>108</v>
      </c>
      <c r="B2126" s="5" t="s">
        <v>112</v>
      </c>
      <c r="C2126" s="5">
        <v>2300</v>
      </c>
      <c r="D2126" s="5" t="s">
        <v>20</v>
      </c>
      <c r="E2126" s="5" t="s">
        <v>26</v>
      </c>
      <c r="F2126" s="6">
        <v>42370</v>
      </c>
      <c r="G2126">
        <v>98</v>
      </c>
    </row>
    <row r="2127" spans="1:7" x14ac:dyDescent="0.25">
      <c r="A2127" s="5" t="s">
        <v>108</v>
      </c>
      <c r="B2127" s="5" t="s">
        <v>112</v>
      </c>
      <c r="C2127" s="5">
        <v>2300</v>
      </c>
      <c r="D2127" s="5" t="s">
        <v>20</v>
      </c>
      <c r="E2127" s="5" t="s">
        <v>26</v>
      </c>
      <c r="F2127" s="6">
        <v>42736</v>
      </c>
      <c r="G2127">
        <v>130</v>
      </c>
    </row>
    <row r="2128" spans="1:7" x14ac:dyDescent="0.25">
      <c r="A2128" s="5" t="s">
        <v>108</v>
      </c>
      <c r="B2128" s="5" t="s">
        <v>112</v>
      </c>
      <c r="C2128" s="5">
        <v>2300</v>
      </c>
      <c r="D2128" s="5" t="s">
        <v>20</v>
      </c>
      <c r="E2128" s="5" t="s">
        <v>27</v>
      </c>
      <c r="F2128" s="6">
        <v>42370</v>
      </c>
      <c r="G2128">
        <v>1</v>
      </c>
    </row>
    <row r="2129" spans="1:7" x14ac:dyDescent="0.25">
      <c r="A2129" s="5" t="s">
        <v>108</v>
      </c>
      <c r="B2129" s="5" t="s">
        <v>112</v>
      </c>
      <c r="C2129" s="5">
        <v>2300</v>
      </c>
      <c r="D2129" s="5" t="s">
        <v>20</v>
      </c>
      <c r="E2129" s="5" t="s">
        <v>27</v>
      </c>
      <c r="F2129" s="6">
        <v>42736</v>
      </c>
      <c r="G2129">
        <v>3</v>
      </c>
    </row>
    <row r="2130" spans="1:7" x14ac:dyDescent="0.25">
      <c r="A2130" s="5" t="s">
        <v>108</v>
      </c>
      <c r="B2130" s="5" t="s">
        <v>112</v>
      </c>
      <c r="C2130" s="5">
        <v>2300</v>
      </c>
      <c r="D2130" s="5" t="s">
        <v>20</v>
      </c>
      <c r="E2130" s="5" t="s">
        <v>28</v>
      </c>
      <c r="F2130" s="6">
        <v>42370</v>
      </c>
      <c r="G2130">
        <v>0</v>
      </c>
    </row>
    <row r="2131" spans="1:7" x14ac:dyDescent="0.25">
      <c r="A2131" s="5" t="s">
        <v>108</v>
      </c>
      <c r="B2131" s="5" t="s">
        <v>112</v>
      </c>
      <c r="C2131" s="5">
        <v>2300</v>
      </c>
      <c r="D2131" s="5" t="s">
        <v>20</v>
      </c>
      <c r="E2131" s="5" t="s">
        <v>28</v>
      </c>
      <c r="F2131" s="6">
        <v>42736</v>
      </c>
      <c r="G2131">
        <v>0</v>
      </c>
    </row>
    <row r="2132" spans="1:7" x14ac:dyDescent="0.25">
      <c r="A2132" s="5" t="s">
        <v>108</v>
      </c>
      <c r="B2132" s="5" t="s">
        <v>112</v>
      </c>
      <c r="C2132" s="5">
        <v>2300</v>
      </c>
      <c r="D2132" s="5" t="s">
        <v>20</v>
      </c>
      <c r="E2132" s="5" t="s">
        <v>29</v>
      </c>
      <c r="F2132" s="6">
        <v>42370</v>
      </c>
      <c r="G2132">
        <v>99</v>
      </c>
    </row>
    <row r="2133" spans="1:7" x14ac:dyDescent="0.25">
      <c r="A2133" s="5" t="s">
        <v>108</v>
      </c>
      <c r="B2133" s="5" t="s">
        <v>112</v>
      </c>
      <c r="C2133" s="5">
        <v>2300</v>
      </c>
      <c r="D2133" s="5" t="s">
        <v>20</v>
      </c>
      <c r="E2133" s="5" t="s">
        <v>29</v>
      </c>
      <c r="F2133" s="6">
        <v>42736</v>
      </c>
      <c r="G2133">
        <v>132</v>
      </c>
    </row>
    <row r="2134" spans="1:7" x14ac:dyDescent="0.25">
      <c r="A2134" s="5" t="s">
        <v>108</v>
      </c>
      <c r="B2134" s="5" t="s">
        <v>112</v>
      </c>
      <c r="C2134" s="5">
        <v>2300</v>
      </c>
      <c r="D2134" s="5" t="s">
        <v>20</v>
      </c>
      <c r="E2134" s="5" t="s">
        <v>30</v>
      </c>
      <c r="F2134" s="6">
        <v>42370</v>
      </c>
      <c r="G2134">
        <v>98</v>
      </c>
    </row>
    <row r="2135" spans="1:7" x14ac:dyDescent="0.25">
      <c r="A2135" s="5" t="s">
        <v>108</v>
      </c>
      <c r="B2135" s="5" t="s">
        <v>112</v>
      </c>
      <c r="C2135" s="5">
        <v>2300</v>
      </c>
      <c r="D2135" s="5" t="s">
        <v>20</v>
      </c>
      <c r="E2135" s="5" t="s">
        <v>30</v>
      </c>
      <c r="F2135" s="6">
        <v>42736</v>
      </c>
      <c r="G2135">
        <v>127</v>
      </c>
    </row>
    <row r="2136" spans="1:7" x14ac:dyDescent="0.25">
      <c r="A2136" s="5" t="s">
        <v>108</v>
      </c>
      <c r="B2136" s="5" t="s">
        <v>112</v>
      </c>
      <c r="C2136" s="5">
        <v>2300</v>
      </c>
      <c r="D2136" s="5" t="s">
        <v>20</v>
      </c>
      <c r="E2136" s="5" t="s">
        <v>31</v>
      </c>
      <c r="F2136" s="6">
        <v>42370</v>
      </c>
      <c r="G2136">
        <v>393</v>
      </c>
    </row>
    <row r="2137" spans="1:7" x14ac:dyDescent="0.25">
      <c r="A2137" s="5" t="s">
        <v>108</v>
      </c>
      <c r="B2137" s="5" t="s">
        <v>112</v>
      </c>
      <c r="C2137" s="5">
        <v>2300</v>
      </c>
      <c r="D2137" s="5" t="s">
        <v>20</v>
      </c>
      <c r="E2137" s="5" t="s">
        <v>31</v>
      </c>
      <c r="F2137" s="6">
        <v>42736</v>
      </c>
      <c r="G2137">
        <v>261</v>
      </c>
    </row>
    <row r="2138" spans="1:7" x14ac:dyDescent="0.25">
      <c r="A2138" s="5" t="s">
        <v>108</v>
      </c>
      <c r="B2138" s="5" t="s">
        <v>112</v>
      </c>
      <c r="C2138" s="5">
        <v>2300</v>
      </c>
      <c r="D2138" s="5" t="s">
        <v>20</v>
      </c>
      <c r="E2138" s="5" t="s">
        <v>32</v>
      </c>
      <c r="F2138" s="6">
        <v>42370</v>
      </c>
      <c r="G2138">
        <v>99</v>
      </c>
    </row>
    <row r="2139" spans="1:7" x14ac:dyDescent="0.25">
      <c r="A2139" s="5" t="s">
        <v>108</v>
      </c>
      <c r="B2139" s="5" t="s">
        <v>112</v>
      </c>
      <c r="C2139" s="5">
        <v>2300</v>
      </c>
      <c r="D2139" s="5" t="s">
        <v>20</v>
      </c>
      <c r="E2139" s="5" t="s">
        <v>32</v>
      </c>
      <c r="F2139" s="6">
        <v>42736</v>
      </c>
      <c r="G2139">
        <v>130</v>
      </c>
    </row>
    <row r="2140" spans="1:7" x14ac:dyDescent="0.25">
      <c r="A2140" s="5" t="s">
        <v>108</v>
      </c>
      <c r="B2140" s="5" t="s">
        <v>112</v>
      </c>
      <c r="C2140" s="5">
        <v>2300</v>
      </c>
      <c r="D2140" s="5" t="s">
        <v>33</v>
      </c>
      <c r="E2140" s="5" t="s">
        <v>9</v>
      </c>
      <c r="F2140" s="6">
        <v>42370</v>
      </c>
      <c r="G2140">
        <v>0</v>
      </c>
    </row>
    <row r="2141" spans="1:7" x14ac:dyDescent="0.25">
      <c r="A2141" s="5" t="s">
        <v>108</v>
      </c>
      <c r="B2141" s="5" t="s">
        <v>112</v>
      </c>
      <c r="C2141" s="5">
        <v>2300</v>
      </c>
      <c r="D2141" s="5" t="s">
        <v>33</v>
      </c>
      <c r="E2141" s="5" t="s">
        <v>9</v>
      </c>
      <c r="F2141" s="6">
        <v>42736</v>
      </c>
      <c r="G2141">
        <v>0</v>
      </c>
    </row>
    <row r="2142" spans="1:7" x14ac:dyDescent="0.25">
      <c r="A2142" s="5" t="s">
        <v>108</v>
      </c>
      <c r="B2142" s="5" t="s">
        <v>112</v>
      </c>
      <c r="C2142" s="5">
        <v>2300</v>
      </c>
      <c r="D2142" s="5" t="s">
        <v>33</v>
      </c>
      <c r="E2142" s="5" t="s">
        <v>34</v>
      </c>
      <c r="F2142" s="6">
        <v>42370</v>
      </c>
      <c r="G2142">
        <v>0</v>
      </c>
    </row>
    <row r="2143" spans="1:7" x14ac:dyDescent="0.25">
      <c r="A2143" s="5" t="s">
        <v>108</v>
      </c>
      <c r="B2143" s="5" t="s">
        <v>112</v>
      </c>
      <c r="C2143" s="5">
        <v>2300</v>
      </c>
      <c r="D2143" s="5" t="s">
        <v>33</v>
      </c>
      <c r="E2143" s="5" t="s">
        <v>34</v>
      </c>
      <c r="F2143" s="6">
        <v>42736</v>
      </c>
      <c r="G2143">
        <v>0</v>
      </c>
    </row>
    <row r="2144" spans="1:7" x14ac:dyDescent="0.25">
      <c r="A2144" s="5" t="s">
        <v>108</v>
      </c>
      <c r="B2144" s="5" t="s">
        <v>112</v>
      </c>
      <c r="C2144" s="5">
        <v>2300</v>
      </c>
      <c r="D2144" s="5" t="s">
        <v>35</v>
      </c>
      <c r="E2144" s="5" t="s">
        <v>36</v>
      </c>
      <c r="F2144" s="6">
        <v>42370</v>
      </c>
      <c r="G2144">
        <v>0</v>
      </c>
    </row>
    <row r="2145" spans="1:7" x14ac:dyDescent="0.25">
      <c r="A2145" s="5" t="s">
        <v>108</v>
      </c>
      <c r="B2145" s="5" t="s">
        <v>112</v>
      </c>
      <c r="C2145" s="5">
        <v>2300</v>
      </c>
      <c r="D2145" s="5" t="s">
        <v>35</v>
      </c>
      <c r="E2145" s="5" t="s">
        <v>36</v>
      </c>
      <c r="F2145" s="6">
        <v>42736</v>
      </c>
      <c r="G2145">
        <v>0</v>
      </c>
    </row>
    <row r="2146" spans="1:7" x14ac:dyDescent="0.25">
      <c r="A2146" s="5" t="s">
        <v>108</v>
      </c>
      <c r="B2146" s="5" t="s">
        <v>112</v>
      </c>
      <c r="C2146" s="5">
        <v>2300</v>
      </c>
      <c r="D2146" s="5" t="s">
        <v>35</v>
      </c>
      <c r="E2146" s="5" t="s">
        <v>37</v>
      </c>
      <c r="F2146" s="6">
        <v>42370</v>
      </c>
      <c r="G2146">
        <v>0</v>
      </c>
    </row>
    <row r="2147" spans="1:7" x14ac:dyDescent="0.25">
      <c r="A2147" s="5" t="s">
        <v>108</v>
      </c>
      <c r="B2147" s="5" t="s">
        <v>112</v>
      </c>
      <c r="C2147" s="5">
        <v>2300</v>
      </c>
      <c r="D2147" s="5" t="s">
        <v>35</v>
      </c>
      <c r="E2147" s="5" t="s">
        <v>37</v>
      </c>
      <c r="F2147" s="6">
        <v>42736</v>
      </c>
      <c r="G2147">
        <v>0</v>
      </c>
    </row>
    <row r="2148" spans="1:7" x14ac:dyDescent="0.25">
      <c r="A2148" s="5" t="s">
        <v>108</v>
      </c>
      <c r="B2148" s="5" t="s">
        <v>112</v>
      </c>
      <c r="C2148" s="5">
        <v>2300</v>
      </c>
      <c r="D2148" s="5" t="s">
        <v>35</v>
      </c>
      <c r="E2148" s="5" t="s">
        <v>38</v>
      </c>
      <c r="F2148" s="6">
        <v>42370</v>
      </c>
      <c r="G2148">
        <v>0</v>
      </c>
    </row>
    <row r="2149" spans="1:7" x14ac:dyDescent="0.25">
      <c r="A2149" s="5" t="s">
        <v>108</v>
      </c>
      <c r="B2149" s="5" t="s">
        <v>112</v>
      </c>
      <c r="C2149" s="5">
        <v>2300</v>
      </c>
      <c r="D2149" s="5" t="s">
        <v>35</v>
      </c>
      <c r="E2149" s="5" t="s">
        <v>38</v>
      </c>
      <c r="F2149" s="6">
        <v>42736</v>
      </c>
      <c r="G2149">
        <v>0</v>
      </c>
    </row>
    <row r="2150" spans="1:7" x14ac:dyDescent="0.25">
      <c r="A2150" s="5" t="s">
        <v>108</v>
      </c>
      <c r="B2150" s="5" t="s">
        <v>112</v>
      </c>
      <c r="C2150" s="5">
        <v>2300</v>
      </c>
      <c r="D2150" s="5" t="s">
        <v>35</v>
      </c>
      <c r="E2150" s="5" t="s">
        <v>39</v>
      </c>
      <c r="F2150" s="6">
        <v>42370</v>
      </c>
      <c r="G2150">
        <v>0</v>
      </c>
    </row>
    <row r="2151" spans="1:7" x14ac:dyDescent="0.25">
      <c r="A2151" s="5" t="s">
        <v>108</v>
      </c>
      <c r="B2151" s="5" t="s">
        <v>112</v>
      </c>
      <c r="C2151" s="5">
        <v>2300</v>
      </c>
      <c r="D2151" s="5" t="s">
        <v>35</v>
      </c>
      <c r="E2151" s="5" t="s">
        <v>39</v>
      </c>
      <c r="F2151" s="6">
        <v>42736</v>
      </c>
      <c r="G2151">
        <v>0</v>
      </c>
    </row>
    <row r="2152" spans="1:7" x14ac:dyDescent="0.25">
      <c r="A2152" s="5" t="s">
        <v>108</v>
      </c>
      <c r="B2152" s="5" t="s">
        <v>112</v>
      </c>
      <c r="C2152" s="5">
        <v>2300</v>
      </c>
      <c r="D2152" s="5" t="s">
        <v>35</v>
      </c>
      <c r="E2152" s="5" t="s">
        <v>40</v>
      </c>
      <c r="F2152" s="6">
        <v>42370</v>
      </c>
      <c r="G2152">
        <v>0</v>
      </c>
    </row>
    <row r="2153" spans="1:7" x14ac:dyDescent="0.25">
      <c r="A2153" s="5" t="s">
        <v>108</v>
      </c>
      <c r="B2153" s="5" t="s">
        <v>112</v>
      </c>
      <c r="C2153" s="5">
        <v>2300</v>
      </c>
      <c r="D2153" s="5" t="s">
        <v>35</v>
      </c>
      <c r="E2153" s="5" t="s">
        <v>40</v>
      </c>
      <c r="F2153" s="6">
        <v>42736</v>
      </c>
      <c r="G2153">
        <v>0</v>
      </c>
    </row>
    <row r="2154" spans="1:7" x14ac:dyDescent="0.25">
      <c r="A2154" s="5" t="s">
        <v>108</v>
      </c>
      <c r="B2154" s="5" t="s">
        <v>112</v>
      </c>
      <c r="C2154" s="5">
        <v>2300</v>
      </c>
      <c r="D2154" s="5" t="s">
        <v>35</v>
      </c>
      <c r="E2154" s="5" t="s">
        <v>41</v>
      </c>
      <c r="F2154" s="6">
        <v>42370</v>
      </c>
      <c r="G2154">
        <v>0</v>
      </c>
    </row>
    <row r="2155" spans="1:7" x14ac:dyDescent="0.25">
      <c r="A2155" s="5" t="s">
        <v>108</v>
      </c>
      <c r="B2155" s="5" t="s">
        <v>112</v>
      </c>
      <c r="C2155" s="5">
        <v>2300</v>
      </c>
      <c r="D2155" s="5" t="s">
        <v>35</v>
      </c>
      <c r="E2155" s="5" t="s">
        <v>41</v>
      </c>
      <c r="F2155" s="6">
        <v>42736</v>
      </c>
      <c r="G2155">
        <v>0</v>
      </c>
    </row>
    <row r="2156" spans="1:7" x14ac:dyDescent="0.25">
      <c r="A2156" s="5" t="s">
        <v>108</v>
      </c>
      <c r="B2156" s="5" t="s">
        <v>112</v>
      </c>
      <c r="C2156" s="5">
        <v>2300</v>
      </c>
      <c r="D2156" s="5" t="s">
        <v>35</v>
      </c>
      <c r="E2156" s="5" t="s">
        <v>42</v>
      </c>
      <c r="F2156" s="6">
        <v>42370</v>
      </c>
      <c r="G2156">
        <v>0</v>
      </c>
    </row>
    <row r="2157" spans="1:7" x14ac:dyDescent="0.25">
      <c r="A2157" s="5" t="s">
        <v>108</v>
      </c>
      <c r="B2157" s="5" t="s">
        <v>112</v>
      </c>
      <c r="C2157" s="5">
        <v>2300</v>
      </c>
      <c r="D2157" s="5" t="s">
        <v>35</v>
      </c>
      <c r="E2157" s="5" t="s">
        <v>42</v>
      </c>
      <c r="F2157" s="6">
        <v>42736</v>
      </c>
      <c r="G2157">
        <v>0</v>
      </c>
    </row>
    <row r="2158" spans="1:7" x14ac:dyDescent="0.25">
      <c r="A2158" s="5" t="s">
        <v>108</v>
      </c>
      <c r="B2158" s="5" t="s">
        <v>112</v>
      </c>
      <c r="C2158" s="5">
        <v>2300</v>
      </c>
      <c r="D2158" s="5" t="s">
        <v>35</v>
      </c>
      <c r="E2158" s="5" t="s">
        <v>43</v>
      </c>
      <c r="F2158" s="6">
        <v>42370</v>
      </c>
      <c r="G2158">
        <v>0</v>
      </c>
    </row>
    <row r="2159" spans="1:7" x14ac:dyDescent="0.25">
      <c r="A2159" s="5" t="s">
        <v>108</v>
      </c>
      <c r="B2159" s="5" t="s">
        <v>112</v>
      </c>
      <c r="C2159" s="5">
        <v>2300</v>
      </c>
      <c r="D2159" s="5" t="s">
        <v>35</v>
      </c>
      <c r="E2159" s="5" t="s">
        <v>43</v>
      </c>
      <c r="F2159" s="6">
        <v>42736</v>
      </c>
      <c r="G2159">
        <v>0</v>
      </c>
    </row>
    <row r="2160" spans="1:7" x14ac:dyDescent="0.25">
      <c r="A2160" s="5" t="s">
        <v>108</v>
      </c>
      <c r="B2160" s="5" t="s">
        <v>112</v>
      </c>
      <c r="C2160" s="5">
        <v>2300</v>
      </c>
      <c r="D2160" s="5" t="s">
        <v>44</v>
      </c>
      <c r="E2160" s="5" t="s">
        <v>36</v>
      </c>
      <c r="F2160" s="6">
        <v>42370</v>
      </c>
      <c r="G2160">
        <v>0</v>
      </c>
    </row>
    <row r="2161" spans="1:7" x14ac:dyDescent="0.25">
      <c r="A2161" s="5" t="s">
        <v>108</v>
      </c>
      <c r="B2161" s="5" t="s">
        <v>112</v>
      </c>
      <c r="C2161" s="5">
        <v>2300</v>
      </c>
      <c r="D2161" s="5" t="s">
        <v>44</v>
      </c>
      <c r="E2161" s="5" t="s">
        <v>36</v>
      </c>
      <c r="F2161" s="6">
        <v>42736</v>
      </c>
      <c r="G2161">
        <v>0</v>
      </c>
    </row>
    <row r="2162" spans="1:7" x14ac:dyDescent="0.25">
      <c r="A2162" s="5" t="s">
        <v>108</v>
      </c>
      <c r="B2162" s="5" t="s">
        <v>112</v>
      </c>
      <c r="C2162" s="5">
        <v>2300</v>
      </c>
      <c r="D2162" s="5" t="s">
        <v>44</v>
      </c>
      <c r="E2162" s="5" t="s">
        <v>37</v>
      </c>
      <c r="F2162" s="6">
        <v>42370</v>
      </c>
      <c r="G2162">
        <v>0</v>
      </c>
    </row>
    <row r="2163" spans="1:7" x14ac:dyDescent="0.25">
      <c r="A2163" s="5" t="s">
        <v>108</v>
      </c>
      <c r="B2163" s="5" t="s">
        <v>112</v>
      </c>
      <c r="C2163" s="5">
        <v>2300</v>
      </c>
      <c r="D2163" s="5" t="s">
        <v>44</v>
      </c>
      <c r="E2163" s="5" t="s">
        <v>37</v>
      </c>
      <c r="F2163" s="6">
        <v>42736</v>
      </c>
      <c r="G2163">
        <v>0</v>
      </c>
    </row>
    <row r="2164" spans="1:7" x14ac:dyDescent="0.25">
      <c r="A2164" s="5" t="s">
        <v>108</v>
      </c>
      <c r="B2164" s="5" t="s">
        <v>112</v>
      </c>
      <c r="C2164" s="5">
        <v>2300</v>
      </c>
      <c r="D2164" s="5" t="s">
        <v>44</v>
      </c>
      <c r="E2164" s="5" t="s">
        <v>38</v>
      </c>
      <c r="F2164" s="6">
        <v>42370</v>
      </c>
      <c r="G2164">
        <v>0</v>
      </c>
    </row>
    <row r="2165" spans="1:7" x14ac:dyDescent="0.25">
      <c r="A2165" s="5" t="s">
        <v>108</v>
      </c>
      <c r="B2165" s="5" t="s">
        <v>112</v>
      </c>
      <c r="C2165" s="5">
        <v>2300</v>
      </c>
      <c r="D2165" s="5" t="s">
        <v>44</v>
      </c>
      <c r="E2165" s="5" t="s">
        <v>38</v>
      </c>
      <c r="F2165" s="6">
        <v>42736</v>
      </c>
      <c r="G2165">
        <v>0</v>
      </c>
    </row>
    <row r="2166" spans="1:7" x14ac:dyDescent="0.25">
      <c r="A2166" s="5" t="s">
        <v>108</v>
      </c>
      <c r="B2166" s="5" t="s">
        <v>112</v>
      </c>
      <c r="C2166" s="5">
        <v>2300</v>
      </c>
      <c r="D2166" s="5" t="s">
        <v>44</v>
      </c>
      <c r="E2166" s="5" t="s">
        <v>39</v>
      </c>
      <c r="F2166" s="6">
        <v>42370</v>
      </c>
      <c r="G2166">
        <v>0</v>
      </c>
    </row>
    <row r="2167" spans="1:7" x14ac:dyDescent="0.25">
      <c r="A2167" s="5" t="s">
        <v>108</v>
      </c>
      <c r="B2167" s="5" t="s">
        <v>112</v>
      </c>
      <c r="C2167" s="5">
        <v>2300</v>
      </c>
      <c r="D2167" s="5" t="s">
        <v>44</v>
      </c>
      <c r="E2167" s="5" t="s">
        <v>39</v>
      </c>
      <c r="F2167" s="6">
        <v>42736</v>
      </c>
      <c r="G2167">
        <v>0</v>
      </c>
    </row>
    <row r="2168" spans="1:7" x14ac:dyDescent="0.25">
      <c r="A2168" s="5" t="s">
        <v>108</v>
      </c>
      <c r="B2168" s="5" t="s">
        <v>112</v>
      </c>
      <c r="C2168" s="5">
        <v>2300</v>
      </c>
      <c r="D2168" s="5" t="s">
        <v>44</v>
      </c>
      <c r="E2168" s="5" t="s">
        <v>40</v>
      </c>
      <c r="F2168" s="6">
        <v>42370</v>
      </c>
      <c r="G2168">
        <v>0</v>
      </c>
    </row>
    <row r="2169" spans="1:7" x14ac:dyDescent="0.25">
      <c r="A2169" s="5" t="s">
        <v>108</v>
      </c>
      <c r="B2169" s="5" t="s">
        <v>112</v>
      </c>
      <c r="C2169" s="5">
        <v>2300</v>
      </c>
      <c r="D2169" s="5" t="s">
        <v>44</v>
      </c>
      <c r="E2169" s="5" t="s">
        <v>40</v>
      </c>
      <c r="F2169" s="6">
        <v>42736</v>
      </c>
      <c r="G2169">
        <v>0</v>
      </c>
    </row>
    <row r="2170" spans="1:7" x14ac:dyDescent="0.25">
      <c r="A2170" s="5" t="s">
        <v>108</v>
      </c>
      <c r="B2170" s="5" t="s">
        <v>112</v>
      </c>
      <c r="C2170" s="5">
        <v>2300</v>
      </c>
      <c r="D2170" s="5" t="s">
        <v>44</v>
      </c>
      <c r="E2170" s="5" t="s">
        <v>41</v>
      </c>
      <c r="F2170" s="6">
        <v>42370</v>
      </c>
      <c r="G2170">
        <v>0</v>
      </c>
    </row>
    <row r="2171" spans="1:7" x14ac:dyDescent="0.25">
      <c r="A2171" s="5" t="s">
        <v>108</v>
      </c>
      <c r="B2171" s="5" t="s">
        <v>112</v>
      </c>
      <c r="C2171" s="5">
        <v>2300</v>
      </c>
      <c r="D2171" s="5" t="s">
        <v>44</v>
      </c>
      <c r="E2171" s="5" t="s">
        <v>41</v>
      </c>
      <c r="F2171" s="6">
        <v>42736</v>
      </c>
      <c r="G2171">
        <v>1</v>
      </c>
    </row>
    <row r="2172" spans="1:7" x14ac:dyDescent="0.25">
      <c r="A2172" s="5" t="s">
        <v>108</v>
      </c>
      <c r="B2172" s="5" t="s">
        <v>112</v>
      </c>
      <c r="C2172" s="5">
        <v>2300</v>
      </c>
      <c r="D2172" s="5" t="s">
        <v>44</v>
      </c>
      <c r="E2172" s="5" t="s">
        <v>42</v>
      </c>
      <c r="F2172" s="6">
        <v>42370</v>
      </c>
      <c r="G2172">
        <v>0</v>
      </c>
    </row>
    <row r="2173" spans="1:7" x14ac:dyDescent="0.25">
      <c r="A2173" s="5" t="s">
        <v>108</v>
      </c>
      <c r="B2173" s="5" t="s">
        <v>112</v>
      </c>
      <c r="C2173" s="5">
        <v>2300</v>
      </c>
      <c r="D2173" s="5" t="s">
        <v>44</v>
      </c>
      <c r="E2173" s="5" t="s">
        <v>42</v>
      </c>
      <c r="F2173" s="6">
        <v>42736</v>
      </c>
      <c r="G2173">
        <v>0</v>
      </c>
    </row>
    <row r="2174" spans="1:7" x14ac:dyDescent="0.25">
      <c r="A2174" s="5" t="s">
        <v>108</v>
      </c>
      <c r="B2174" s="5" t="s">
        <v>112</v>
      </c>
      <c r="C2174" s="5">
        <v>2300</v>
      </c>
      <c r="D2174" s="5" t="s">
        <v>44</v>
      </c>
      <c r="E2174" s="5" t="s">
        <v>43</v>
      </c>
      <c r="F2174" s="6">
        <v>42370</v>
      </c>
      <c r="G2174">
        <v>0</v>
      </c>
    </row>
    <row r="2175" spans="1:7" x14ac:dyDescent="0.25">
      <c r="A2175" s="5" t="s">
        <v>108</v>
      </c>
      <c r="B2175" s="5" t="s">
        <v>112</v>
      </c>
      <c r="C2175" s="5">
        <v>2300</v>
      </c>
      <c r="D2175" s="5" t="s">
        <v>44</v>
      </c>
      <c r="E2175" s="5" t="s">
        <v>43</v>
      </c>
      <c r="F2175" s="6">
        <v>42736</v>
      </c>
      <c r="G2175">
        <v>0</v>
      </c>
    </row>
    <row r="2176" spans="1:7" x14ac:dyDescent="0.25">
      <c r="A2176" s="5" t="s">
        <v>108</v>
      </c>
      <c r="B2176" s="5" t="s">
        <v>112</v>
      </c>
      <c r="C2176" s="5">
        <v>2300</v>
      </c>
      <c r="D2176" s="5" t="s">
        <v>45</v>
      </c>
      <c r="E2176" s="5" t="s">
        <v>46</v>
      </c>
      <c r="F2176" s="6">
        <v>42370</v>
      </c>
      <c r="G2176">
        <v>0</v>
      </c>
    </row>
    <row r="2177" spans="1:7" x14ac:dyDescent="0.25">
      <c r="A2177" s="5" t="s">
        <v>108</v>
      </c>
      <c r="B2177" s="5" t="s">
        <v>112</v>
      </c>
      <c r="C2177" s="5">
        <v>2300</v>
      </c>
      <c r="D2177" s="5" t="s">
        <v>45</v>
      </c>
      <c r="E2177" s="5" t="s">
        <v>46</v>
      </c>
      <c r="F2177" s="6">
        <v>42736</v>
      </c>
      <c r="G2177">
        <v>0</v>
      </c>
    </row>
    <row r="2178" spans="1:7" x14ac:dyDescent="0.25">
      <c r="A2178" s="5" t="s">
        <v>108</v>
      </c>
      <c r="B2178" s="5" t="s">
        <v>112</v>
      </c>
      <c r="C2178" s="5">
        <v>2300</v>
      </c>
      <c r="D2178" s="5" t="s">
        <v>45</v>
      </c>
      <c r="E2178" s="5" t="s">
        <v>47</v>
      </c>
      <c r="F2178" s="6">
        <v>42370</v>
      </c>
      <c r="G2178">
        <v>1</v>
      </c>
    </row>
    <row r="2179" spans="1:7" x14ac:dyDescent="0.25">
      <c r="A2179" s="5" t="s">
        <v>108</v>
      </c>
      <c r="B2179" s="5" t="s">
        <v>112</v>
      </c>
      <c r="C2179" s="5">
        <v>2300</v>
      </c>
      <c r="D2179" s="5" t="s">
        <v>45</v>
      </c>
      <c r="E2179" s="5" t="s">
        <v>47</v>
      </c>
      <c r="F2179" s="6">
        <v>42736</v>
      </c>
      <c r="G2179">
        <v>0</v>
      </c>
    </row>
    <row r="2180" spans="1:7" x14ac:dyDescent="0.25">
      <c r="A2180" s="5" t="s">
        <v>108</v>
      </c>
      <c r="B2180" s="5" t="s">
        <v>112</v>
      </c>
      <c r="C2180" s="5">
        <v>2300</v>
      </c>
      <c r="D2180" s="5" t="s">
        <v>45</v>
      </c>
      <c r="E2180" s="5" t="s">
        <v>48</v>
      </c>
      <c r="F2180" s="6">
        <v>42370</v>
      </c>
      <c r="G2180">
        <v>37</v>
      </c>
    </row>
    <row r="2181" spans="1:7" x14ac:dyDescent="0.25">
      <c r="A2181" s="5" t="s">
        <v>108</v>
      </c>
      <c r="B2181" s="5" t="s">
        <v>112</v>
      </c>
      <c r="C2181" s="5">
        <v>2300</v>
      </c>
      <c r="D2181" s="5" t="s">
        <v>45</v>
      </c>
      <c r="E2181" s="5" t="s">
        <v>48</v>
      </c>
      <c r="F2181" s="6">
        <v>42736</v>
      </c>
      <c r="G2181">
        <v>41</v>
      </c>
    </row>
    <row r="2182" spans="1:7" x14ac:dyDescent="0.25">
      <c r="A2182" s="5" t="s">
        <v>108</v>
      </c>
      <c r="B2182" s="5" t="s">
        <v>112</v>
      </c>
      <c r="C2182" s="5">
        <v>2300</v>
      </c>
      <c r="D2182" s="5" t="s">
        <v>45</v>
      </c>
      <c r="E2182" s="5" t="s">
        <v>49</v>
      </c>
      <c r="F2182" s="6">
        <v>42370</v>
      </c>
      <c r="G2182">
        <v>95</v>
      </c>
    </row>
    <row r="2183" spans="1:7" x14ac:dyDescent="0.25">
      <c r="A2183" s="5" t="s">
        <v>108</v>
      </c>
      <c r="B2183" s="5" t="s">
        <v>112</v>
      </c>
      <c r="C2183" s="5">
        <v>2300</v>
      </c>
      <c r="D2183" s="5" t="s">
        <v>45</v>
      </c>
      <c r="E2183" s="5" t="s">
        <v>49</v>
      </c>
      <c r="F2183" s="6">
        <v>42736</v>
      </c>
      <c r="G2183">
        <v>107</v>
      </c>
    </row>
    <row r="2184" spans="1:7" x14ac:dyDescent="0.25">
      <c r="A2184" s="5" t="s">
        <v>108</v>
      </c>
      <c r="B2184" s="5" t="s">
        <v>112</v>
      </c>
      <c r="C2184" s="5">
        <v>2300</v>
      </c>
      <c r="D2184" s="5" t="s">
        <v>45</v>
      </c>
      <c r="E2184" s="5" t="s">
        <v>50</v>
      </c>
      <c r="F2184" s="6">
        <v>42370</v>
      </c>
      <c r="G2184">
        <v>0</v>
      </c>
    </row>
    <row r="2185" spans="1:7" x14ac:dyDescent="0.25">
      <c r="A2185" s="5" t="s">
        <v>108</v>
      </c>
      <c r="B2185" s="5" t="s">
        <v>112</v>
      </c>
      <c r="C2185" s="5">
        <v>2300</v>
      </c>
      <c r="D2185" s="5" t="s">
        <v>45</v>
      </c>
      <c r="E2185" s="5" t="s">
        <v>50</v>
      </c>
      <c r="F2185" s="6">
        <v>42736</v>
      </c>
      <c r="G2185">
        <v>1</v>
      </c>
    </row>
    <row r="2186" spans="1:7" x14ac:dyDescent="0.25">
      <c r="A2186" s="5" t="s">
        <v>108</v>
      </c>
      <c r="B2186" s="5" t="s">
        <v>112</v>
      </c>
      <c r="C2186" s="5">
        <v>2300</v>
      </c>
      <c r="D2186" s="5" t="s">
        <v>45</v>
      </c>
      <c r="E2186" s="5" t="s">
        <v>51</v>
      </c>
      <c r="F2186" s="6">
        <v>42370</v>
      </c>
      <c r="G2186">
        <v>0</v>
      </c>
    </row>
    <row r="2187" spans="1:7" x14ac:dyDescent="0.25">
      <c r="A2187" s="5" t="s">
        <v>108</v>
      </c>
      <c r="B2187" s="5" t="s">
        <v>112</v>
      </c>
      <c r="C2187" s="5">
        <v>2300</v>
      </c>
      <c r="D2187" s="5" t="s">
        <v>45</v>
      </c>
      <c r="E2187" s="5" t="s">
        <v>51</v>
      </c>
      <c r="F2187" s="6">
        <v>42736</v>
      </c>
      <c r="G2187">
        <v>0</v>
      </c>
    </row>
    <row r="2188" spans="1:7" x14ac:dyDescent="0.25">
      <c r="A2188" s="5" t="s">
        <v>108</v>
      </c>
      <c r="B2188" s="5" t="s">
        <v>112</v>
      </c>
      <c r="C2188" s="5">
        <v>2300</v>
      </c>
      <c r="D2188" s="5" t="s">
        <v>45</v>
      </c>
      <c r="E2188" s="5" t="s">
        <v>52</v>
      </c>
      <c r="F2188" s="6">
        <v>42370</v>
      </c>
      <c r="G2188">
        <v>0</v>
      </c>
    </row>
    <row r="2189" spans="1:7" x14ac:dyDescent="0.25">
      <c r="A2189" s="5" t="s">
        <v>108</v>
      </c>
      <c r="B2189" s="5" t="s">
        <v>112</v>
      </c>
      <c r="C2189" s="5">
        <v>2300</v>
      </c>
      <c r="D2189" s="5" t="s">
        <v>45</v>
      </c>
      <c r="E2189" s="5" t="s">
        <v>52</v>
      </c>
      <c r="F2189" s="6">
        <v>42736</v>
      </c>
      <c r="G2189">
        <v>0</v>
      </c>
    </row>
    <row r="2190" spans="1:7" x14ac:dyDescent="0.25">
      <c r="A2190" s="5" t="s">
        <v>108</v>
      </c>
      <c r="B2190" s="5" t="s">
        <v>112</v>
      </c>
      <c r="C2190" s="5">
        <v>2300</v>
      </c>
      <c r="D2190" s="5" t="s">
        <v>45</v>
      </c>
      <c r="E2190" s="5" t="s">
        <v>53</v>
      </c>
      <c r="F2190" s="6">
        <v>42370</v>
      </c>
      <c r="G2190">
        <v>38</v>
      </c>
    </row>
    <row r="2191" spans="1:7" x14ac:dyDescent="0.25">
      <c r="A2191" s="5" t="s">
        <v>108</v>
      </c>
      <c r="B2191" s="5" t="s">
        <v>112</v>
      </c>
      <c r="C2191" s="5">
        <v>2300</v>
      </c>
      <c r="D2191" s="5" t="s">
        <v>45</v>
      </c>
      <c r="E2191" s="5" t="s">
        <v>53</v>
      </c>
      <c r="F2191" s="6">
        <v>42736</v>
      </c>
      <c r="G2191">
        <v>35</v>
      </c>
    </row>
    <row r="2192" spans="1:7" x14ac:dyDescent="0.25">
      <c r="A2192" s="5" t="s">
        <v>108</v>
      </c>
      <c r="B2192" s="5" t="s">
        <v>112</v>
      </c>
      <c r="C2192" s="5">
        <v>2300</v>
      </c>
      <c r="D2192" s="5" t="s">
        <v>45</v>
      </c>
      <c r="E2192" s="5" t="s">
        <v>54</v>
      </c>
      <c r="F2192" s="6">
        <v>42370</v>
      </c>
      <c r="G2192">
        <v>1</v>
      </c>
    </row>
    <row r="2193" spans="1:7" x14ac:dyDescent="0.25">
      <c r="A2193" s="5" t="s">
        <v>108</v>
      </c>
      <c r="B2193" s="5" t="s">
        <v>112</v>
      </c>
      <c r="C2193" s="5">
        <v>2300</v>
      </c>
      <c r="D2193" s="5" t="s">
        <v>45</v>
      </c>
      <c r="E2193" s="5" t="s">
        <v>54</v>
      </c>
      <c r="F2193" s="6">
        <v>42736</v>
      </c>
      <c r="G2193">
        <v>1</v>
      </c>
    </row>
    <row r="2194" spans="1:7" x14ac:dyDescent="0.25">
      <c r="A2194" s="5" t="s">
        <v>108</v>
      </c>
      <c r="B2194" s="5" t="s">
        <v>112</v>
      </c>
      <c r="C2194" s="5">
        <v>2300</v>
      </c>
      <c r="D2194" s="5" t="s">
        <v>45</v>
      </c>
      <c r="E2194" s="5" t="s">
        <v>55</v>
      </c>
      <c r="F2194" s="6">
        <v>42370</v>
      </c>
      <c r="G2194">
        <v>0</v>
      </c>
    </row>
    <row r="2195" spans="1:7" x14ac:dyDescent="0.25">
      <c r="A2195" s="5" t="s">
        <v>108</v>
      </c>
      <c r="B2195" s="5" t="s">
        <v>112</v>
      </c>
      <c r="C2195" s="5">
        <v>2300</v>
      </c>
      <c r="D2195" s="5" t="s">
        <v>45</v>
      </c>
      <c r="E2195" s="5" t="s">
        <v>55</v>
      </c>
      <c r="F2195" s="6">
        <v>42736</v>
      </c>
      <c r="G2195">
        <v>0</v>
      </c>
    </row>
    <row r="2196" spans="1:7" x14ac:dyDescent="0.25">
      <c r="A2196" s="5" t="s">
        <v>108</v>
      </c>
      <c r="B2196" s="5" t="s">
        <v>112</v>
      </c>
      <c r="C2196" s="5">
        <v>2300</v>
      </c>
      <c r="D2196" s="5" t="s">
        <v>45</v>
      </c>
      <c r="E2196" s="5" t="s">
        <v>56</v>
      </c>
      <c r="F2196" s="6">
        <v>42370</v>
      </c>
      <c r="G2196">
        <v>1</v>
      </c>
    </row>
    <row r="2197" spans="1:7" x14ac:dyDescent="0.25">
      <c r="A2197" s="5" t="s">
        <v>108</v>
      </c>
      <c r="B2197" s="5" t="s">
        <v>112</v>
      </c>
      <c r="C2197" s="5">
        <v>2300</v>
      </c>
      <c r="D2197" s="5" t="s">
        <v>45</v>
      </c>
      <c r="E2197" s="5" t="s">
        <v>56</v>
      </c>
      <c r="F2197" s="6">
        <v>42736</v>
      </c>
      <c r="G2197">
        <v>0</v>
      </c>
    </row>
    <row r="2198" spans="1:7" x14ac:dyDescent="0.25">
      <c r="A2198" s="5" t="s">
        <v>108</v>
      </c>
      <c r="B2198" s="5" t="s">
        <v>112</v>
      </c>
      <c r="C2198" s="5">
        <v>2300</v>
      </c>
      <c r="D2198" s="5" t="s">
        <v>45</v>
      </c>
      <c r="E2198" s="5" t="s">
        <v>57</v>
      </c>
      <c r="F2198" s="6">
        <v>42370</v>
      </c>
      <c r="G2198">
        <v>2</v>
      </c>
    </row>
    <row r="2199" spans="1:7" x14ac:dyDescent="0.25">
      <c r="A2199" s="5" t="s">
        <v>108</v>
      </c>
      <c r="B2199" s="5" t="s">
        <v>112</v>
      </c>
      <c r="C2199" s="5">
        <v>2300</v>
      </c>
      <c r="D2199" s="5" t="s">
        <v>45</v>
      </c>
      <c r="E2199" s="5" t="s">
        <v>57</v>
      </c>
      <c r="F2199" s="6">
        <v>42736</v>
      </c>
      <c r="G2199">
        <v>0</v>
      </c>
    </row>
    <row r="2200" spans="1:7" x14ac:dyDescent="0.25">
      <c r="A2200" s="5" t="s">
        <v>108</v>
      </c>
      <c r="B2200" s="5" t="s">
        <v>112</v>
      </c>
      <c r="C2200" s="5">
        <v>2300</v>
      </c>
      <c r="D2200" s="5" t="s">
        <v>45</v>
      </c>
      <c r="E2200" s="5" t="s">
        <v>58</v>
      </c>
      <c r="F2200" s="6">
        <v>42370</v>
      </c>
      <c r="G2200">
        <v>0</v>
      </c>
    </row>
    <row r="2201" spans="1:7" x14ac:dyDescent="0.25">
      <c r="A2201" s="5" t="s">
        <v>108</v>
      </c>
      <c r="B2201" s="5" t="s">
        <v>112</v>
      </c>
      <c r="C2201" s="5">
        <v>2300</v>
      </c>
      <c r="D2201" s="5" t="s">
        <v>45</v>
      </c>
      <c r="E2201" s="5" t="s">
        <v>58</v>
      </c>
      <c r="F2201" s="6">
        <v>42736</v>
      </c>
      <c r="G2201">
        <v>0</v>
      </c>
    </row>
    <row r="2202" spans="1:7" x14ac:dyDescent="0.25">
      <c r="A2202" s="5" t="s">
        <v>108</v>
      </c>
      <c r="B2202" s="5" t="s">
        <v>112</v>
      </c>
      <c r="C2202" s="5">
        <v>2300</v>
      </c>
      <c r="D2202" s="5" t="s">
        <v>45</v>
      </c>
      <c r="E2202" s="5" t="s">
        <v>59</v>
      </c>
      <c r="F2202" s="6">
        <v>42370</v>
      </c>
      <c r="G2202">
        <v>0</v>
      </c>
    </row>
    <row r="2203" spans="1:7" x14ac:dyDescent="0.25">
      <c r="A2203" s="5" t="s">
        <v>108</v>
      </c>
      <c r="B2203" s="5" t="s">
        <v>112</v>
      </c>
      <c r="C2203" s="5">
        <v>2300</v>
      </c>
      <c r="D2203" s="5" t="s">
        <v>45</v>
      </c>
      <c r="E2203" s="5" t="s">
        <v>59</v>
      </c>
      <c r="F2203" s="6">
        <v>42736</v>
      </c>
      <c r="G2203">
        <v>0</v>
      </c>
    </row>
    <row r="2204" spans="1:7" x14ac:dyDescent="0.25">
      <c r="A2204" s="5" t="s">
        <v>108</v>
      </c>
      <c r="B2204" s="5" t="s">
        <v>112</v>
      </c>
      <c r="C2204" s="5">
        <v>2300</v>
      </c>
      <c r="D2204" s="5" t="s">
        <v>45</v>
      </c>
      <c r="E2204" s="5" t="s">
        <v>60</v>
      </c>
      <c r="F2204" s="6">
        <v>42370</v>
      </c>
      <c r="G2204">
        <v>0</v>
      </c>
    </row>
    <row r="2205" spans="1:7" x14ac:dyDescent="0.25">
      <c r="A2205" s="5" t="s">
        <v>108</v>
      </c>
      <c r="B2205" s="5" t="s">
        <v>112</v>
      </c>
      <c r="C2205" s="5">
        <v>2300</v>
      </c>
      <c r="D2205" s="5" t="s">
        <v>45</v>
      </c>
      <c r="E2205" s="5" t="s">
        <v>60</v>
      </c>
      <c r="F2205" s="6">
        <v>42736</v>
      </c>
      <c r="G2205">
        <v>8</v>
      </c>
    </row>
    <row r="2206" spans="1:7" x14ac:dyDescent="0.25">
      <c r="A2206" s="5" t="s">
        <v>108</v>
      </c>
      <c r="B2206" s="5" t="s">
        <v>112</v>
      </c>
      <c r="C2206" s="5">
        <v>2300</v>
      </c>
      <c r="D2206" s="5" t="s">
        <v>45</v>
      </c>
      <c r="E2206" s="5" t="s">
        <v>61</v>
      </c>
      <c r="F2206" s="6">
        <v>42370</v>
      </c>
      <c r="G2206">
        <v>2</v>
      </c>
    </row>
    <row r="2207" spans="1:7" x14ac:dyDescent="0.25">
      <c r="A2207" s="5" t="s">
        <v>108</v>
      </c>
      <c r="B2207" s="5" t="s">
        <v>112</v>
      </c>
      <c r="C2207" s="5">
        <v>2300</v>
      </c>
      <c r="D2207" s="5" t="s">
        <v>45</v>
      </c>
      <c r="E2207" s="5" t="s">
        <v>61</v>
      </c>
      <c r="F2207" s="6">
        <v>42736</v>
      </c>
      <c r="G2207">
        <v>1</v>
      </c>
    </row>
    <row r="2208" spans="1:7" x14ac:dyDescent="0.25">
      <c r="A2208" s="5" t="s">
        <v>108</v>
      </c>
      <c r="B2208" s="5" t="s">
        <v>112</v>
      </c>
      <c r="C2208" s="5">
        <v>2300</v>
      </c>
      <c r="D2208" s="5" t="s">
        <v>62</v>
      </c>
      <c r="E2208" s="5" t="s">
        <v>63</v>
      </c>
      <c r="F2208" s="6">
        <v>42370</v>
      </c>
      <c r="G2208">
        <v>0</v>
      </c>
    </row>
    <row r="2209" spans="1:7" x14ac:dyDescent="0.25">
      <c r="A2209" s="5" t="s">
        <v>108</v>
      </c>
      <c r="B2209" s="5" t="s">
        <v>112</v>
      </c>
      <c r="C2209" s="5">
        <v>2300</v>
      </c>
      <c r="D2209" s="5" t="s">
        <v>62</v>
      </c>
      <c r="E2209" s="5" t="s">
        <v>63</v>
      </c>
      <c r="F2209" s="6">
        <v>42736</v>
      </c>
      <c r="G2209">
        <v>0</v>
      </c>
    </row>
    <row r="2210" spans="1:7" x14ac:dyDescent="0.25">
      <c r="A2210" s="5" t="s">
        <v>108</v>
      </c>
      <c r="B2210" s="5" t="s">
        <v>112</v>
      </c>
      <c r="C2210" s="5">
        <v>2300</v>
      </c>
      <c r="D2210" s="5" t="s">
        <v>62</v>
      </c>
      <c r="E2210" s="5" t="s">
        <v>64</v>
      </c>
      <c r="F2210" s="6">
        <v>42370</v>
      </c>
      <c r="G2210">
        <v>0</v>
      </c>
    </row>
    <row r="2211" spans="1:7" x14ac:dyDescent="0.25">
      <c r="A2211" s="5" t="s">
        <v>108</v>
      </c>
      <c r="B2211" s="5" t="s">
        <v>112</v>
      </c>
      <c r="C2211" s="5">
        <v>2300</v>
      </c>
      <c r="D2211" s="5" t="s">
        <v>62</v>
      </c>
      <c r="E2211" s="5" t="s">
        <v>64</v>
      </c>
      <c r="F2211" s="6">
        <v>42736</v>
      </c>
      <c r="G2211">
        <v>1</v>
      </c>
    </row>
    <row r="2212" spans="1:7" x14ac:dyDescent="0.25">
      <c r="A2212" s="5" t="s">
        <v>108</v>
      </c>
      <c r="B2212" s="5" t="s">
        <v>112</v>
      </c>
      <c r="C2212" s="5">
        <v>2300</v>
      </c>
      <c r="D2212" s="5" t="s">
        <v>62</v>
      </c>
      <c r="E2212" s="5" t="s">
        <v>9</v>
      </c>
      <c r="F2212" s="6">
        <v>42370</v>
      </c>
      <c r="G2212">
        <v>0</v>
      </c>
    </row>
    <row r="2213" spans="1:7" x14ac:dyDescent="0.25">
      <c r="A2213" s="5" t="s">
        <v>108</v>
      </c>
      <c r="B2213" s="5" t="s">
        <v>112</v>
      </c>
      <c r="C2213" s="5">
        <v>2300</v>
      </c>
      <c r="D2213" s="5" t="s">
        <v>62</v>
      </c>
      <c r="E2213" s="5" t="s">
        <v>9</v>
      </c>
      <c r="F2213" s="6">
        <v>42736</v>
      </c>
      <c r="G2213">
        <v>0</v>
      </c>
    </row>
    <row r="2214" spans="1:7" x14ac:dyDescent="0.25">
      <c r="A2214" s="5" t="s">
        <v>108</v>
      </c>
      <c r="B2214" s="5" t="s">
        <v>112</v>
      </c>
      <c r="C2214" s="5">
        <v>2300</v>
      </c>
      <c r="D2214" s="5" t="s">
        <v>62</v>
      </c>
      <c r="E2214" s="5" t="s">
        <v>65</v>
      </c>
      <c r="F2214" s="6">
        <v>42370</v>
      </c>
      <c r="G2214">
        <v>0</v>
      </c>
    </row>
    <row r="2215" spans="1:7" x14ac:dyDescent="0.25">
      <c r="A2215" s="5" t="s">
        <v>108</v>
      </c>
      <c r="B2215" s="5" t="s">
        <v>112</v>
      </c>
      <c r="C2215" s="5">
        <v>2300</v>
      </c>
      <c r="D2215" s="5" t="s">
        <v>62</v>
      </c>
      <c r="E2215" s="5" t="s">
        <v>65</v>
      </c>
      <c r="F2215" s="6">
        <v>42736</v>
      </c>
      <c r="G2215">
        <v>0</v>
      </c>
    </row>
    <row r="2216" spans="1:7" x14ac:dyDescent="0.25">
      <c r="A2216" s="5" t="s">
        <v>108</v>
      </c>
      <c r="B2216" s="5" t="s">
        <v>112</v>
      </c>
      <c r="C2216" s="5">
        <v>2300</v>
      </c>
      <c r="D2216" s="5" t="s">
        <v>62</v>
      </c>
      <c r="E2216" s="5" t="s">
        <v>66</v>
      </c>
      <c r="F2216" s="6">
        <v>42370</v>
      </c>
      <c r="G2216">
        <v>0</v>
      </c>
    </row>
    <row r="2217" spans="1:7" x14ac:dyDescent="0.25">
      <c r="A2217" s="5" t="s">
        <v>108</v>
      </c>
      <c r="B2217" s="5" t="s">
        <v>112</v>
      </c>
      <c r="C2217" s="5">
        <v>2300</v>
      </c>
      <c r="D2217" s="5" t="s">
        <v>62</v>
      </c>
      <c r="E2217" s="5" t="s">
        <v>66</v>
      </c>
      <c r="F2217" s="6">
        <v>42736</v>
      </c>
      <c r="G2217">
        <v>0</v>
      </c>
    </row>
    <row r="2218" spans="1:7" x14ac:dyDescent="0.25">
      <c r="A2218" s="5" t="s">
        <v>108</v>
      </c>
      <c r="B2218" s="5" t="s">
        <v>112</v>
      </c>
      <c r="C2218" s="5">
        <v>2300</v>
      </c>
      <c r="D2218" s="5" t="s">
        <v>62</v>
      </c>
      <c r="E2218" s="5" t="s">
        <v>67</v>
      </c>
      <c r="F2218" s="6">
        <v>42370</v>
      </c>
      <c r="G2218">
        <v>0</v>
      </c>
    </row>
    <row r="2219" spans="1:7" x14ac:dyDescent="0.25">
      <c r="A2219" s="5" t="s">
        <v>108</v>
      </c>
      <c r="B2219" s="5" t="s">
        <v>112</v>
      </c>
      <c r="C2219" s="5">
        <v>2300</v>
      </c>
      <c r="D2219" s="5" t="s">
        <v>62</v>
      </c>
      <c r="E2219" s="5" t="s">
        <v>67</v>
      </c>
      <c r="F2219" s="6">
        <v>42736</v>
      </c>
      <c r="G2219">
        <v>0</v>
      </c>
    </row>
    <row r="2220" spans="1:7" x14ac:dyDescent="0.25">
      <c r="A2220" s="5" t="s">
        <v>108</v>
      </c>
      <c r="B2220" s="5" t="s">
        <v>112</v>
      </c>
      <c r="C2220" s="5">
        <v>2300</v>
      </c>
      <c r="D2220" s="5" t="s">
        <v>62</v>
      </c>
      <c r="E2220" s="5" t="s">
        <v>68</v>
      </c>
      <c r="F2220" s="6">
        <v>42370</v>
      </c>
      <c r="G2220">
        <v>0</v>
      </c>
    </row>
    <row r="2221" spans="1:7" x14ac:dyDescent="0.25">
      <c r="A2221" s="5" t="s">
        <v>108</v>
      </c>
      <c r="B2221" s="5" t="s">
        <v>112</v>
      </c>
      <c r="C2221" s="5">
        <v>2300</v>
      </c>
      <c r="D2221" s="5" t="s">
        <v>62</v>
      </c>
      <c r="E2221" s="5" t="s">
        <v>68</v>
      </c>
      <c r="F2221" s="6">
        <v>42736</v>
      </c>
      <c r="G2221">
        <v>0</v>
      </c>
    </row>
    <row r="2222" spans="1:7" x14ac:dyDescent="0.25">
      <c r="A2222" s="5" t="s">
        <v>108</v>
      </c>
      <c r="B2222" s="5" t="s">
        <v>112</v>
      </c>
      <c r="C2222" s="5">
        <v>2300</v>
      </c>
      <c r="D2222" s="5" t="s">
        <v>62</v>
      </c>
      <c r="E2222" s="5" t="s">
        <v>69</v>
      </c>
      <c r="F2222" s="6">
        <v>42370</v>
      </c>
      <c r="G2222">
        <v>0</v>
      </c>
    </row>
    <row r="2223" spans="1:7" x14ac:dyDescent="0.25">
      <c r="A2223" s="5" t="s">
        <v>108</v>
      </c>
      <c r="B2223" s="5" t="s">
        <v>112</v>
      </c>
      <c r="C2223" s="5">
        <v>2300</v>
      </c>
      <c r="D2223" s="5" t="s">
        <v>62</v>
      </c>
      <c r="E2223" s="5" t="s">
        <v>69</v>
      </c>
      <c r="F2223" s="6">
        <v>42736</v>
      </c>
      <c r="G2223">
        <v>1</v>
      </c>
    </row>
    <row r="2224" spans="1:7" x14ac:dyDescent="0.25">
      <c r="A2224" s="5" t="s">
        <v>108</v>
      </c>
      <c r="B2224" s="5" t="s">
        <v>112</v>
      </c>
      <c r="C2224" s="5">
        <v>2300</v>
      </c>
      <c r="D2224" s="5" t="s">
        <v>62</v>
      </c>
      <c r="E2224" s="5" t="s">
        <v>70</v>
      </c>
      <c r="F2224" s="6">
        <v>42370</v>
      </c>
      <c r="G2224">
        <v>0</v>
      </c>
    </row>
    <row r="2225" spans="1:7" x14ac:dyDescent="0.25">
      <c r="A2225" s="5" t="s">
        <v>108</v>
      </c>
      <c r="B2225" s="5" t="s">
        <v>112</v>
      </c>
      <c r="C2225" s="5">
        <v>2300</v>
      </c>
      <c r="D2225" s="5" t="s">
        <v>62</v>
      </c>
      <c r="E2225" s="5" t="s">
        <v>70</v>
      </c>
      <c r="F2225" s="6">
        <v>42736</v>
      </c>
      <c r="G2225">
        <v>0</v>
      </c>
    </row>
    <row r="2226" spans="1:7" x14ac:dyDescent="0.25">
      <c r="A2226" s="5" t="s">
        <v>108</v>
      </c>
      <c r="B2226" s="5" t="s">
        <v>112</v>
      </c>
      <c r="C2226" s="5">
        <v>2300</v>
      </c>
      <c r="D2226" s="5" t="s">
        <v>62</v>
      </c>
      <c r="E2226" s="5" t="s">
        <v>71</v>
      </c>
      <c r="F2226" s="6">
        <v>42370</v>
      </c>
      <c r="G2226">
        <v>0</v>
      </c>
    </row>
    <row r="2227" spans="1:7" x14ac:dyDescent="0.25">
      <c r="A2227" s="5" t="s">
        <v>108</v>
      </c>
      <c r="B2227" s="5" t="s">
        <v>112</v>
      </c>
      <c r="C2227" s="5">
        <v>2300</v>
      </c>
      <c r="D2227" s="5" t="s">
        <v>62</v>
      </c>
      <c r="E2227" s="5" t="s">
        <v>71</v>
      </c>
      <c r="F2227" s="6">
        <v>42736</v>
      </c>
      <c r="G2227">
        <v>0</v>
      </c>
    </row>
    <row r="2228" spans="1:7" x14ac:dyDescent="0.25">
      <c r="A2228" s="5" t="s">
        <v>108</v>
      </c>
      <c r="B2228" s="5" t="s">
        <v>112</v>
      </c>
      <c r="C2228" s="5">
        <v>2300</v>
      </c>
      <c r="D2228" s="5" t="s">
        <v>72</v>
      </c>
      <c r="E2228" s="5" t="s">
        <v>73</v>
      </c>
      <c r="F2228" s="6">
        <v>42370</v>
      </c>
      <c r="G2228">
        <v>0</v>
      </c>
    </row>
    <row r="2229" spans="1:7" x14ac:dyDescent="0.25">
      <c r="A2229" s="5" t="s">
        <v>108</v>
      </c>
      <c r="B2229" s="5" t="s">
        <v>112</v>
      </c>
      <c r="C2229" s="5">
        <v>2300</v>
      </c>
      <c r="D2229" s="5" t="s">
        <v>72</v>
      </c>
      <c r="E2229" s="5" t="s">
        <v>73</v>
      </c>
      <c r="F2229" s="6">
        <v>42736</v>
      </c>
      <c r="G2229">
        <v>0</v>
      </c>
    </row>
    <row r="2230" spans="1:7" x14ac:dyDescent="0.25">
      <c r="A2230" s="5" t="s">
        <v>108</v>
      </c>
      <c r="B2230" s="5" t="s">
        <v>112</v>
      </c>
      <c r="C2230" s="5">
        <v>2300</v>
      </c>
      <c r="D2230" s="5" t="s">
        <v>72</v>
      </c>
      <c r="E2230" s="5" t="s">
        <v>9</v>
      </c>
      <c r="F2230" s="6">
        <v>42370</v>
      </c>
      <c r="G2230">
        <v>0</v>
      </c>
    </row>
    <row r="2231" spans="1:7" x14ac:dyDescent="0.25">
      <c r="A2231" s="5" t="s">
        <v>108</v>
      </c>
      <c r="B2231" s="5" t="s">
        <v>112</v>
      </c>
      <c r="C2231" s="5">
        <v>2300</v>
      </c>
      <c r="D2231" s="5" t="s">
        <v>72</v>
      </c>
      <c r="E2231" s="5" t="s">
        <v>9</v>
      </c>
      <c r="F2231" s="6">
        <v>42736</v>
      </c>
      <c r="G2231">
        <v>0</v>
      </c>
    </row>
    <row r="2232" spans="1:7" x14ac:dyDescent="0.25">
      <c r="A2232" s="5" t="s">
        <v>108</v>
      </c>
      <c r="B2232" s="5" t="s">
        <v>112</v>
      </c>
      <c r="C2232" s="5">
        <v>2300</v>
      </c>
      <c r="D2232" s="5" t="s">
        <v>72</v>
      </c>
      <c r="E2232" s="5" t="s">
        <v>34</v>
      </c>
      <c r="F2232" s="6">
        <v>42370</v>
      </c>
      <c r="G2232">
        <v>0</v>
      </c>
    </row>
    <row r="2233" spans="1:7" x14ac:dyDescent="0.25">
      <c r="A2233" s="5" t="s">
        <v>108</v>
      </c>
      <c r="B2233" s="5" t="s">
        <v>112</v>
      </c>
      <c r="C2233" s="5">
        <v>2300</v>
      </c>
      <c r="D2233" s="5" t="s">
        <v>72</v>
      </c>
      <c r="E2233" s="5" t="s">
        <v>34</v>
      </c>
      <c r="F2233" s="6">
        <v>42736</v>
      </c>
      <c r="G2233">
        <v>0</v>
      </c>
    </row>
    <row r="2234" spans="1:7" x14ac:dyDescent="0.25">
      <c r="A2234" s="5" t="s">
        <v>108</v>
      </c>
      <c r="B2234" s="5" t="s">
        <v>112</v>
      </c>
      <c r="C2234" s="5">
        <v>2300</v>
      </c>
      <c r="D2234" s="5" t="s">
        <v>72</v>
      </c>
      <c r="E2234" s="5" t="s">
        <v>74</v>
      </c>
      <c r="F2234" s="6">
        <v>42370</v>
      </c>
      <c r="G2234">
        <v>0</v>
      </c>
    </row>
    <row r="2235" spans="1:7" x14ac:dyDescent="0.25">
      <c r="A2235" s="5" t="s">
        <v>108</v>
      </c>
      <c r="B2235" s="5" t="s">
        <v>112</v>
      </c>
      <c r="C2235" s="5">
        <v>2300</v>
      </c>
      <c r="D2235" s="5" t="s">
        <v>72</v>
      </c>
      <c r="E2235" s="5" t="s">
        <v>74</v>
      </c>
      <c r="F2235" s="6">
        <v>42736</v>
      </c>
      <c r="G2235">
        <v>0</v>
      </c>
    </row>
    <row r="2236" spans="1:7" x14ac:dyDescent="0.25">
      <c r="A2236" s="5" t="s">
        <v>108</v>
      </c>
      <c r="B2236" s="5" t="s">
        <v>112</v>
      </c>
      <c r="C2236" s="5">
        <v>2300</v>
      </c>
      <c r="D2236" s="5" t="s">
        <v>72</v>
      </c>
      <c r="E2236" s="5" t="s">
        <v>75</v>
      </c>
      <c r="F2236" s="6">
        <v>42370</v>
      </c>
      <c r="G2236">
        <v>0</v>
      </c>
    </row>
    <row r="2237" spans="1:7" x14ac:dyDescent="0.25">
      <c r="A2237" s="5" t="s">
        <v>108</v>
      </c>
      <c r="B2237" s="5" t="s">
        <v>112</v>
      </c>
      <c r="C2237" s="5">
        <v>2300</v>
      </c>
      <c r="D2237" s="5" t="s">
        <v>72</v>
      </c>
      <c r="E2237" s="5" t="s">
        <v>75</v>
      </c>
      <c r="F2237" s="6">
        <v>42736</v>
      </c>
      <c r="G2237">
        <v>0</v>
      </c>
    </row>
    <row r="2238" spans="1:7" x14ac:dyDescent="0.25">
      <c r="A2238" s="5" t="s">
        <v>108</v>
      </c>
      <c r="B2238" s="5" t="s">
        <v>112</v>
      </c>
      <c r="C2238" s="5">
        <v>2300</v>
      </c>
      <c r="D2238" s="5" t="s">
        <v>76</v>
      </c>
      <c r="E2238" s="5" t="s">
        <v>9</v>
      </c>
      <c r="F2238" s="6">
        <v>42370</v>
      </c>
      <c r="G2238">
        <v>0</v>
      </c>
    </row>
    <row r="2239" spans="1:7" x14ac:dyDescent="0.25">
      <c r="A2239" s="5" t="s">
        <v>108</v>
      </c>
      <c r="B2239" s="5" t="s">
        <v>112</v>
      </c>
      <c r="C2239" s="5">
        <v>2300</v>
      </c>
      <c r="D2239" s="5" t="s">
        <v>76</v>
      </c>
      <c r="E2239" s="5" t="s">
        <v>9</v>
      </c>
      <c r="F2239" s="6">
        <v>42736</v>
      </c>
      <c r="G2239">
        <v>0</v>
      </c>
    </row>
    <row r="2240" spans="1:7" x14ac:dyDescent="0.25">
      <c r="A2240" s="5" t="s">
        <v>108</v>
      </c>
      <c r="B2240" s="5" t="s">
        <v>112</v>
      </c>
      <c r="C2240" s="5">
        <v>2300</v>
      </c>
      <c r="D2240" s="5" t="s">
        <v>76</v>
      </c>
      <c r="E2240" s="5" t="s">
        <v>77</v>
      </c>
      <c r="F2240" s="6">
        <v>42370</v>
      </c>
      <c r="G2240">
        <v>0</v>
      </c>
    </row>
    <row r="2241" spans="1:7" x14ac:dyDescent="0.25">
      <c r="A2241" s="5" t="s">
        <v>108</v>
      </c>
      <c r="B2241" s="5" t="s">
        <v>112</v>
      </c>
      <c r="C2241" s="5">
        <v>2300</v>
      </c>
      <c r="D2241" s="5" t="s">
        <v>76</v>
      </c>
      <c r="E2241" s="5" t="s">
        <v>77</v>
      </c>
      <c r="F2241" s="6">
        <v>42736</v>
      </c>
      <c r="G2241">
        <v>0</v>
      </c>
    </row>
    <row r="2242" spans="1:7" x14ac:dyDescent="0.25">
      <c r="A2242" s="5" t="s">
        <v>108</v>
      </c>
      <c r="B2242" s="5" t="s">
        <v>112</v>
      </c>
      <c r="C2242" s="5">
        <v>2300</v>
      </c>
      <c r="D2242" s="5" t="s">
        <v>78</v>
      </c>
      <c r="E2242" s="5" t="s">
        <v>79</v>
      </c>
      <c r="F2242" s="6">
        <v>42370</v>
      </c>
      <c r="G2242">
        <v>80</v>
      </c>
    </row>
    <row r="2243" spans="1:7" x14ac:dyDescent="0.25">
      <c r="A2243" s="5" t="s">
        <v>108</v>
      </c>
      <c r="B2243" s="5" t="s">
        <v>112</v>
      </c>
      <c r="C2243" s="5">
        <v>2300</v>
      </c>
      <c r="D2243" s="5" t="s">
        <v>78</v>
      </c>
      <c r="E2243" s="5" t="s">
        <v>79</v>
      </c>
      <c r="F2243" s="6">
        <v>42736</v>
      </c>
      <c r="G2243">
        <v>92</v>
      </c>
    </row>
    <row r="2244" spans="1:7" x14ac:dyDescent="0.25">
      <c r="A2244" s="5" t="s">
        <v>108</v>
      </c>
      <c r="B2244" s="5" t="s">
        <v>112</v>
      </c>
      <c r="C2244" s="5">
        <v>2300</v>
      </c>
      <c r="D2244" s="5" t="s">
        <v>78</v>
      </c>
      <c r="E2244" s="5" t="s">
        <v>80</v>
      </c>
      <c r="F2244" s="6">
        <v>42370</v>
      </c>
      <c r="G2244">
        <v>0</v>
      </c>
    </row>
    <row r="2245" spans="1:7" x14ac:dyDescent="0.25">
      <c r="A2245" s="5" t="s">
        <v>108</v>
      </c>
      <c r="B2245" s="5" t="s">
        <v>112</v>
      </c>
      <c r="C2245" s="5">
        <v>2300</v>
      </c>
      <c r="D2245" s="5" t="s">
        <v>78</v>
      </c>
      <c r="E2245" s="5" t="s">
        <v>80</v>
      </c>
      <c r="F2245" s="6">
        <v>42736</v>
      </c>
      <c r="G2245">
        <v>0</v>
      </c>
    </row>
    <row r="2246" spans="1:7" x14ac:dyDescent="0.25">
      <c r="A2246" s="5" t="s">
        <v>108</v>
      </c>
      <c r="B2246" s="5" t="s">
        <v>112</v>
      </c>
      <c r="C2246" s="5">
        <v>2300</v>
      </c>
      <c r="D2246" s="5" t="s">
        <v>78</v>
      </c>
      <c r="E2246" s="5" t="s">
        <v>81</v>
      </c>
      <c r="F2246" s="6">
        <v>42370</v>
      </c>
      <c r="G2246">
        <v>772</v>
      </c>
    </row>
    <row r="2247" spans="1:7" x14ac:dyDescent="0.25">
      <c r="A2247" s="5" t="s">
        <v>108</v>
      </c>
      <c r="B2247" s="5" t="s">
        <v>112</v>
      </c>
      <c r="C2247" s="5">
        <v>2300</v>
      </c>
      <c r="D2247" s="5" t="s">
        <v>78</v>
      </c>
      <c r="E2247" s="5" t="s">
        <v>81</v>
      </c>
      <c r="F2247" s="6">
        <v>42736</v>
      </c>
      <c r="G2247">
        <v>1147</v>
      </c>
    </row>
    <row r="2248" spans="1:7" x14ac:dyDescent="0.25">
      <c r="A2248" s="5" t="s">
        <v>108</v>
      </c>
      <c r="B2248" s="5" t="s">
        <v>112</v>
      </c>
      <c r="C2248" s="5">
        <v>2300</v>
      </c>
      <c r="D2248" s="5" t="s">
        <v>78</v>
      </c>
      <c r="E2248" s="5" t="s">
        <v>82</v>
      </c>
      <c r="F2248" s="6">
        <v>42370</v>
      </c>
      <c r="G2248">
        <v>14</v>
      </c>
    </row>
    <row r="2249" spans="1:7" x14ac:dyDescent="0.25">
      <c r="A2249" s="5" t="s">
        <v>108</v>
      </c>
      <c r="B2249" s="5" t="s">
        <v>112</v>
      </c>
      <c r="C2249" s="5">
        <v>2300</v>
      </c>
      <c r="D2249" s="5" t="s">
        <v>78</v>
      </c>
      <c r="E2249" s="5" t="s">
        <v>82</v>
      </c>
      <c r="F2249" s="6">
        <v>42736</v>
      </c>
      <c r="G2249">
        <v>10</v>
      </c>
    </row>
    <row r="2250" spans="1:7" x14ac:dyDescent="0.25">
      <c r="A2250" s="5" t="s">
        <v>108</v>
      </c>
      <c r="B2250" s="5" t="s">
        <v>112</v>
      </c>
      <c r="C2250" s="5">
        <v>2300</v>
      </c>
      <c r="D2250" s="5" t="s">
        <v>78</v>
      </c>
      <c r="E2250" s="5" t="s">
        <v>83</v>
      </c>
      <c r="F2250" s="6">
        <v>42370</v>
      </c>
      <c r="G2250">
        <v>7</v>
      </c>
    </row>
    <row r="2251" spans="1:7" x14ac:dyDescent="0.25">
      <c r="A2251" s="5" t="s">
        <v>108</v>
      </c>
      <c r="B2251" s="5" t="s">
        <v>112</v>
      </c>
      <c r="C2251" s="5">
        <v>2300</v>
      </c>
      <c r="D2251" s="5" t="s">
        <v>78</v>
      </c>
      <c r="E2251" s="5" t="s">
        <v>83</v>
      </c>
      <c r="F2251" s="6">
        <v>42736</v>
      </c>
      <c r="G2251">
        <v>9</v>
      </c>
    </row>
    <row r="2252" spans="1:7" x14ac:dyDescent="0.25">
      <c r="A2252" s="5" t="s">
        <v>108</v>
      </c>
      <c r="B2252" s="5" t="s">
        <v>112</v>
      </c>
      <c r="C2252" s="5">
        <v>2300</v>
      </c>
      <c r="D2252" s="5" t="s">
        <v>78</v>
      </c>
      <c r="E2252" s="5" t="s">
        <v>84</v>
      </c>
      <c r="F2252" s="6">
        <v>42370</v>
      </c>
      <c r="G2252">
        <v>2</v>
      </c>
    </row>
    <row r="2253" spans="1:7" x14ac:dyDescent="0.25">
      <c r="A2253" s="5" t="s">
        <v>108</v>
      </c>
      <c r="B2253" s="5" t="s">
        <v>112</v>
      </c>
      <c r="C2253" s="5">
        <v>2300</v>
      </c>
      <c r="D2253" s="5" t="s">
        <v>78</v>
      </c>
      <c r="E2253" s="5" t="s">
        <v>84</v>
      </c>
      <c r="F2253" s="6">
        <v>42736</v>
      </c>
      <c r="G2253">
        <v>14</v>
      </c>
    </row>
    <row r="2254" spans="1:7" x14ac:dyDescent="0.25">
      <c r="A2254" s="5" t="s">
        <v>108</v>
      </c>
      <c r="B2254" s="5" t="s">
        <v>112</v>
      </c>
      <c r="C2254" s="5">
        <v>2300</v>
      </c>
      <c r="D2254" s="5" t="s">
        <v>78</v>
      </c>
      <c r="E2254" s="5" t="s">
        <v>85</v>
      </c>
      <c r="F2254" s="6">
        <v>42370</v>
      </c>
      <c r="G2254">
        <v>0</v>
      </c>
    </row>
    <row r="2255" spans="1:7" x14ac:dyDescent="0.25">
      <c r="A2255" s="5" t="s">
        <v>108</v>
      </c>
      <c r="B2255" s="5" t="s">
        <v>112</v>
      </c>
      <c r="C2255" s="5">
        <v>2300</v>
      </c>
      <c r="D2255" s="5" t="s">
        <v>78</v>
      </c>
      <c r="E2255" s="5" t="s">
        <v>85</v>
      </c>
      <c r="F2255" s="6">
        <v>42736</v>
      </c>
      <c r="G2255">
        <v>2</v>
      </c>
    </row>
    <row r="2256" spans="1:7" x14ac:dyDescent="0.25">
      <c r="A2256" s="5" t="s">
        <v>108</v>
      </c>
      <c r="B2256" s="5" t="s">
        <v>112</v>
      </c>
      <c r="C2256" s="5">
        <v>2300</v>
      </c>
      <c r="D2256" s="5" t="s">
        <v>78</v>
      </c>
      <c r="E2256" s="5" t="s">
        <v>86</v>
      </c>
      <c r="F2256" s="6">
        <v>42370</v>
      </c>
      <c r="G2256">
        <v>0</v>
      </c>
    </row>
    <row r="2257" spans="1:7" x14ac:dyDescent="0.25">
      <c r="A2257" s="5" t="s">
        <v>108</v>
      </c>
      <c r="B2257" s="5" t="s">
        <v>112</v>
      </c>
      <c r="C2257" s="5">
        <v>2300</v>
      </c>
      <c r="D2257" s="5" t="s">
        <v>78</v>
      </c>
      <c r="E2257" s="5" t="s">
        <v>86</v>
      </c>
      <c r="F2257" s="6">
        <v>42736</v>
      </c>
      <c r="G2257">
        <v>0</v>
      </c>
    </row>
    <row r="2258" spans="1:7" x14ac:dyDescent="0.25">
      <c r="A2258" s="5" t="s">
        <v>108</v>
      </c>
      <c r="B2258" s="5" t="s">
        <v>112</v>
      </c>
      <c r="C2258" s="5">
        <v>2300</v>
      </c>
      <c r="D2258" s="5" t="s">
        <v>78</v>
      </c>
      <c r="E2258" s="5" t="s">
        <v>87</v>
      </c>
      <c r="F2258" s="6">
        <v>42370</v>
      </c>
      <c r="G2258">
        <v>14</v>
      </c>
    </row>
    <row r="2259" spans="1:7" x14ac:dyDescent="0.25">
      <c r="A2259" s="5" t="s">
        <v>108</v>
      </c>
      <c r="B2259" s="5" t="s">
        <v>112</v>
      </c>
      <c r="C2259" s="5">
        <v>2300</v>
      </c>
      <c r="D2259" s="5" t="s">
        <v>78</v>
      </c>
      <c r="E2259" s="5" t="s">
        <v>87</v>
      </c>
      <c r="F2259" s="6">
        <v>42736</v>
      </c>
      <c r="G2259">
        <v>16</v>
      </c>
    </row>
    <row r="2260" spans="1:7" x14ac:dyDescent="0.25">
      <c r="A2260" s="5" t="s">
        <v>108</v>
      </c>
      <c r="B2260" s="5" t="s">
        <v>112</v>
      </c>
      <c r="C2260" s="5">
        <v>2300</v>
      </c>
      <c r="D2260" s="5" t="s">
        <v>78</v>
      </c>
      <c r="E2260" s="5" t="s">
        <v>88</v>
      </c>
      <c r="F2260" s="6">
        <v>42370</v>
      </c>
      <c r="G2260">
        <v>129</v>
      </c>
    </row>
    <row r="2261" spans="1:7" x14ac:dyDescent="0.25">
      <c r="A2261" s="5" t="s">
        <v>108</v>
      </c>
      <c r="B2261" s="5" t="s">
        <v>112</v>
      </c>
      <c r="C2261" s="5">
        <v>2300</v>
      </c>
      <c r="D2261" s="5" t="s">
        <v>78</v>
      </c>
      <c r="E2261" s="5" t="s">
        <v>88</v>
      </c>
      <c r="F2261" s="6">
        <v>42736</v>
      </c>
      <c r="G2261">
        <v>168</v>
      </c>
    </row>
    <row r="2262" spans="1:7" x14ac:dyDescent="0.25">
      <c r="A2262" s="5" t="s">
        <v>108</v>
      </c>
      <c r="B2262" s="5" t="s">
        <v>112</v>
      </c>
      <c r="C2262" s="5">
        <v>2300</v>
      </c>
      <c r="D2262" s="5" t="s">
        <v>78</v>
      </c>
      <c r="E2262" s="5" t="s">
        <v>89</v>
      </c>
      <c r="F2262" s="6">
        <v>42370</v>
      </c>
      <c r="G2262">
        <v>2293</v>
      </c>
    </row>
    <row r="2263" spans="1:7" x14ac:dyDescent="0.25">
      <c r="A2263" s="5" t="s">
        <v>108</v>
      </c>
      <c r="B2263" s="5" t="s">
        <v>112</v>
      </c>
      <c r="C2263" s="5">
        <v>2300</v>
      </c>
      <c r="D2263" s="5" t="s">
        <v>78</v>
      </c>
      <c r="E2263" s="5" t="s">
        <v>89</v>
      </c>
      <c r="F2263" s="6">
        <v>42736</v>
      </c>
      <c r="G2263">
        <v>2749</v>
      </c>
    </row>
    <row r="2264" spans="1:7" x14ac:dyDescent="0.25">
      <c r="A2264" s="5" t="s">
        <v>108</v>
      </c>
      <c r="B2264" s="5" t="s">
        <v>112</v>
      </c>
      <c r="C2264" s="5">
        <v>2300</v>
      </c>
      <c r="D2264" s="5" t="s">
        <v>78</v>
      </c>
      <c r="E2264" s="5" t="s">
        <v>90</v>
      </c>
      <c r="F2264" s="6">
        <v>42370</v>
      </c>
      <c r="G2264">
        <v>0</v>
      </c>
    </row>
    <row r="2265" spans="1:7" x14ac:dyDescent="0.25">
      <c r="A2265" s="5" t="s">
        <v>108</v>
      </c>
      <c r="B2265" s="5" t="s">
        <v>112</v>
      </c>
      <c r="C2265" s="5">
        <v>2300</v>
      </c>
      <c r="D2265" s="5" t="s">
        <v>78</v>
      </c>
      <c r="E2265" s="5" t="s">
        <v>90</v>
      </c>
      <c r="F2265" s="6">
        <v>42736</v>
      </c>
      <c r="G2265">
        <v>0</v>
      </c>
    </row>
    <row r="2266" spans="1:7" x14ac:dyDescent="0.25">
      <c r="A2266" s="5" t="s">
        <v>108</v>
      </c>
      <c r="B2266" s="5" t="s">
        <v>112</v>
      </c>
      <c r="C2266" s="5">
        <v>2300</v>
      </c>
      <c r="D2266" s="5" t="s">
        <v>78</v>
      </c>
      <c r="E2266" s="5" t="s">
        <v>91</v>
      </c>
      <c r="F2266" s="6">
        <v>42370</v>
      </c>
      <c r="G2266">
        <v>53</v>
      </c>
    </row>
    <row r="2267" spans="1:7" x14ac:dyDescent="0.25">
      <c r="A2267" s="5" t="s">
        <v>108</v>
      </c>
      <c r="B2267" s="5" t="s">
        <v>112</v>
      </c>
      <c r="C2267" s="5">
        <v>2300</v>
      </c>
      <c r="D2267" s="5" t="s">
        <v>78</v>
      </c>
      <c r="E2267" s="5" t="s">
        <v>91</v>
      </c>
      <c r="F2267" s="6">
        <v>42736</v>
      </c>
      <c r="G2267">
        <v>70</v>
      </c>
    </row>
    <row r="2268" spans="1:7" x14ac:dyDescent="0.25">
      <c r="A2268" s="5" t="s">
        <v>108</v>
      </c>
      <c r="B2268" s="5" t="s">
        <v>112</v>
      </c>
      <c r="C2268" s="5">
        <v>2300</v>
      </c>
      <c r="D2268" s="5" t="s">
        <v>78</v>
      </c>
      <c r="E2268" s="5" t="s">
        <v>92</v>
      </c>
      <c r="F2268" s="6">
        <v>42370</v>
      </c>
      <c r="G2268">
        <v>8</v>
      </c>
    </row>
    <row r="2269" spans="1:7" x14ac:dyDescent="0.25">
      <c r="A2269" s="5" t="s">
        <v>108</v>
      </c>
      <c r="B2269" s="5" t="s">
        <v>112</v>
      </c>
      <c r="C2269" s="5">
        <v>2300</v>
      </c>
      <c r="D2269" s="5" t="s">
        <v>78</v>
      </c>
      <c r="E2269" s="5" t="s">
        <v>92</v>
      </c>
      <c r="F2269" s="6">
        <v>42736</v>
      </c>
      <c r="G2269">
        <v>7</v>
      </c>
    </row>
    <row r="2270" spans="1:7" x14ac:dyDescent="0.25">
      <c r="A2270" s="5" t="s">
        <v>108</v>
      </c>
      <c r="B2270" s="5" t="s">
        <v>112</v>
      </c>
      <c r="C2270" s="5">
        <v>2300</v>
      </c>
      <c r="D2270" s="5" t="s">
        <v>78</v>
      </c>
      <c r="E2270" s="5" t="s">
        <v>93</v>
      </c>
      <c r="F2270" s="6">
        <v>42370</v>
      </c>
      <c r="G2270">
        <v>36</v>
      </c>
    </row>
    <row r="2271" spans="1:7" x14ac:dyDescent="0.25">
      <c r="A2271" s="5" t="s">
        <v>108</v>
      </c>
      <c r="B2271" s="5" t="s">
        <v>112</v>
      </c>
      <c r="C2271" s="5">
        <v>2300</v>
      </c>
      <c r="D2271" s="5" t="s">
        <v>78</v>
      </c>
      <c r="E2271" s="5" t="s">
        <v>93</v>
      </c>
      <c r="F2271" s="6">
        <v>42736</v>
      </c>
      <c r="G2271">
        <v>51</v>
      </c>
    </row>
    <row r="2272" spans="1:7" x14ac:dyDescent="0.25">
      <c r="A2272" s="5" t="s">
        <v>108</v>
      </c>
      <c r="B2272" s="5" t="s">
        <v>112</v>
      </c>
      <c r="C2272" s="5">
        <v>2300</v>
      </c>
      <c r="D2272" s="5" t="s">
        <v>78</v>
      </c>
      <c r="E2272" s="5" t="s">
        <v>94</v>
      </c>
      <c r="F2272" s="6">
        <v>42370</v>
      </c>
      <c r="G2272">
        <v>69</v>
      </c>
    </row>
    <row r="2273" spans="1:7" x14ac:dyDescent="0.25">
      <c r="A2273" s="5" t="s">
        <v>108</v>
      </c>
      <c r="B2273" s="5" t="s">
        <v>112</v>
      </c>
      <c r="C2273" s="5">
        <v>2300</v>
      </c>
      <c r="D2273" s="5" t="s">
        <v>78</v>
      </c>
      <c r="E2273" s="5" t="s">
        <v>94</v>
      </c>
      <c r="F2273" s="6">
        <v>42736</v>
      </c>
      <c r="G2273">
        <v>152</v>
      </c>
    </row>
    <row r="2274" spans="1:7" x14ac:dyDescent="0.25">
      <c r="A2274" s="5" t="s">
        <v>108</v>
      </c>
      <c r="B2274" s="5" t="s">
        <v>112</v>
      </c>
      <c r="C2274" s="5">
        <v>2300</v>
      </c>
      <c r="D2274" s="5" t="s">
        <v>78</v>
      </c>
      <c r="E2274" s="5" t="s">
        <v>95</v>
      </c>
      <c r="F2274" s="6">
        <v>42370</v>
      </c>
      <c r="G2274">
        <v>0</v>
      </c>
    </row>
    <row r="2275" spans="1:7" x14ac:dyDescent="0.25">
      <c r="A2275" s="5" t="s">
        <v>108</v>
      </c>
      <c r="B2275" s="5" t="s">
        <v>112</v>
      </c>
      <c r="C2275" s="5">
        <v>2300</v>
      </c>
      <c r="D2275" s="5" t="s">
        <v>78</v>
      </c>
      <c r="E2275" s="5" t="s">
        <v>95</v>
      </c>
      <c r="F2275" s="6">
        <v>42736</v>
      </c>
      <c r="G2275">
        <v>18</v>
      </c>
    </row>
    <row r="2276" spans="1:7" x14ac:dyDescent="0.25">
      <c r="A2276" s="5" t="s">
        <v>108</v>
      </c>
      <c r="B2276" s="5" t="s">
        <v>112</v>
      </c>
      <c r="C2276" s="5">
        <v>2300</v>
      </c>
      <c r="D2276" s="5" t="s">
        <v>78</v>
      </c>
      <c r="E2276" s="5" t="s">
        <v>96</v>
      </c>
      <c r="F2276" s="6">
        <v>42370</v>
      </c>
      <c r="G2276">
        <v>7</v>
      </c>
    </row>
    <row r="2277" spans="1:7" x14ac:dyDescent="0.25">
      <c r="A2277" s="5" t="s">
        <v>108</v>
      </c>
      <c r="B2277" s="5" t="s">
        <v>112</v>
      </c>
      <c r="C2277" s="5">
        <v>2300</v>
      </c>
      <c r="D2277" s="5" t="s">
        <v>78</v>
      </c>
      <c r="E2277" s="5" t="s">
        <v>96</v>
      </c>
      <c r="F2277" s="6">
        <v>42736</v>
      </c>
      <c r="G2277">
        <v>9</v>
      </c>
    </row>
    <row r="2278" spans="1:7" x14ac:dyDescent="0.25">
      <c r="A2278" s="5" t="s">
        <v>108</v>
      </c>
      <c r="B2278" s="5" t="s">
        <v>112</v>
      </c>
      <c r="C2278" s="5">
        <v>2300</v>
      </c>
      <c r="D2278" s="5" t="s">
        <v>78</v>
      </c>
      <c r="E2278" s="5" t="s">
        <v>97</v>
      </c>
      <c r="F2278" s="6">
        <v>42370</v>
      </c>
      <c r="G2278">
        <v>49</v>
      </c>
    </row>
    <row r="2279" spans="1:7" x14ac:dyDescent="0.25">
      <c r="A2279" s="5" t="s">
        <v>108</v>
      </c>
      <c r="B2279" s="5" t="s">
        <v>112</v>
      </c>
      <c r="C2279" s="5">
        <v>2300</v>
      </c>
      <c r="D2279" s="5" t="s">
        <v>78</v>
      </c>
      <c r="E2279" s="5" t="s">
        <v>97</v>
      </c>
      <c r="F2279" s="6">
        <v>42736</v>
      </c>
      <c r="G2279">
        <v>170</v>
      </c>
    </row>
    <row r="2280" spans="1:7" x14ac:dyDescent="0.25">
      <c r="A2280" s="5" t="s">
        <v>108</v>
      </c>
      <c r="B2280" s="5" t="s">
        <v>112</v>
      </c>
      <c r="C2280" s="5">
        <v>2300</v>
      </c>
      <c r="D2280" s="5" t="s">
        <v>78</v>
      </c>
      <c r="E2280" s="5" t="s">
        <v>98</v>
      </c>
      <c r="F2280" s="6">
        <v>42370</v>
      </c>
      <c r="G2280">
        <v>94</v>
      </c>
    </row>
    <row r="2281" spans="1:7" x14ac:dyDescent="0.25">
      <c r="A2281" s="5" t="s">
        <v>108</v>
      </c>
      <c r="B2281" s="5" t="s">
        <v>112</v>
      </c>
      <c r="C2281" s="5">
        <v>2300</v>
      </c>
      <c r="D2281" s="5" t="s">
        <v>78</v>
      </c>
      <c r="E2281" s="5" t="s">
        <v>98</v>
      </c>
      <c r="F2281" s="6">
        <v>42736</v>
      </c>
      <c r="G2281">
        <v>98</v>
      </c>
    </row>
    <row r="2282" spans="1:7" x14ac:dyDescent="0.25">
      <c r="A2282" s="5" t="s">
        <v>113</v>
      </c>
      <c r="B2282" s="5" t="s">
        <v>114</v>
      </c>
      <c r="C2282" s="5">
        <v>1330</v>
      </c>
      <c r="D2282" s="5" t="s">
        <v>8</v>
      </c>
      <c r="E2282" s="5" t="s">
        <v>9</v>
      </c>
      <c r="F2282" s="6">
        <v>42370</v>
      </c>
      <c r="G2282">
        <v>0</v>
      </c>
    </row>
    <row r="2283" spans="1:7" x14ac:dyDescent="0.25">
      <c r="A2283" s="5" t="s">
        <v>113</v>
      </c>
      <c r="B2283" s="5" t="s">
        <v>114</v>
      </c>
      <c r="C2283" s="5">
        <v>1330</v>
      </c>
      <c r="D2283" s="5" t="s">
        <v>8</v>
      </c>
      <c r="E2283" s="5" t="s">
        <v>9</v>
      </c>
      <c r="F2283" s="6">
        <v>42736</v>
      </c>
      <c r="G2283">
        <v>0</v>
      </c>
    </row>
    <row r="2284" spans="1:7" x14ac:dyDescent="0.25">
      <c r="A2284" s="5" t="s">
        <v>113</v>
      </c>
      <c r="B2284" s="5" t="s">
        <v>114</v>
      </c>
      <c r="C2284" s="5">
        <v>1330</v>
      </c>
      <c r="D2284" s="5" t="s">
        <v>8</v>
      </c>
      <c r="E2284" s="5" t="s">
        <v>10</v>
      </c>
      <c r="F2284" s="6">
        <v>42370</v>
      </c>
      <c r="G2284">
        <v>0</v>
      </c>
    </row>
    <row r="2285" spans="1:7" x14ac:dyDescent="0.25">
      <c r="A2285" s="5" t="s">
        <v>113</v>
      </c>
      <c r="B2285" s="5" t="s">
        <v>114</v>
      </c>
      <c r="C2285" s="5">
        <v>1330</v>
      </c>
      <c r="D2285" s="5" t="s">
        <v>8</v>
      </c>
      <c r="E2285" s="5" t="s">
        <v>10</v>
      </c>
      <c r="F2285" s="6">
        <v>42736</v>
      </c>
      <c r="G2285">
        <v>0</v>
      </c>
    </row>
    <row r="2286" spans="1:7" x14ac:dyDescent="0.25">
      <c r="A2286" s="5" t="s">
        <v>113</v>
      </c>
      <c r="B2286" s="5" t="s">
        <v>114</v>
      </c>
      <c r="C2286" s="5">
        <v>1330</v>
      </c>
      <c r="D2286" s="5" t="s">
        <v>8</v>
      </c>
      <c r="E2286" s="5" t="s">
        <v>11</v>
      </c>
      <c r="F2286" s="6">
        <v>42370</v>
      </c>
      <c r="G2286">
        <v>0</v>
      </c>
    </row>
    <row r="2287" spans="1:7" x14ac:dyDescent="0.25">
      <c r="A2287" s="5" t="s">
        <v>113</v>
      </c>
      <c r="B2287" s="5" t="s">
        <v>114</v>
      </c>
      <c r="C2287" s="5">
        <v>1330</v>
      </c>
      <c r="D2287" s="5" t="s">
        <v>8</v>
      </c>
      <c r="E2287" s="5" t="s">
        <v>11</v>
      </c>
      <c r="F2287" s="6">
        <v>42736</v>
      </c>
      <c r="G2287">
        <v>0</v>
      </c>
    </row>
    <row r="2288" spans="1:7" x14ac:dyDescent="0.25">
      <c r="A2288" s="5" t="s">
        <v>113</v>
      </c>
      <c r="B2288" s="5" t="s">
        <v>114</v>
      </c>
      <c r="C2288" s="5">
        <v>1330</v>
      </c>
      <c r="D2288" s="5" t="s">
        <v>8</v>
      </c>
      <c r="E2288" s="5" t="s">
        <v>12</v>
      </c>
      <c r="F2288" s="6">
        <v>42370</v>
      </c>
      <c r="G2288">
        <v>0</v>
      </c>
    </row>
    <row r="2289" spans="1:7" x14ac:dyDescent="0.25">
      <c r="A2289" s="5" t="s">
        <v>113</v>
      </c>
      <c r="B2289" s="5" t="s">
        <v>114</v>
      </c>
      <c r="C2289" s="5">
        <v>1330</v>
      </c>
      <c r="D2289" s="5" t="s">
        <v>8</v>
      </c>
      <c r="E2289" s="5" t="s">
        <v>12</v>
      </c>
      <c r="F2289" s="6">
        <v>42736</v>
      </c>
      <c r="G2289">
        <v>0</v>
      </c>
    </row>
    <row r="2290" spans="1:7" x14ac:dyDescent="0.25">
      <c r="A2290" s="5" t="s">
        <v>113</v>
      </c>
      <c r="B2290" s="5" t="s">
        <v>114</v>
      </c>
      <c r="C2290" s="5">
        <v>1330</v>
      </c>
      <c r="D2290" s="5" t="s">
        <v>8</v>
      </c>
      <c r="E2290" s="5" t="s">
        <v>13</v>
      </c>
      <c r="F2290" s="6">
        <v>42370</v>
      </c>
      <c r="G2290">
        <v>0</v>
      </c>
    </row>
    <row r="2291" spans="1:7" x14ac:dyDescent="0.25">
      <c r="A2291" s="5" t="s">
        <v>113</v>
      </c>
      <c r="B2291" s="5" t="s">
        <v>114</v>
      </c>
      <c r="C2291" s="5">
        <v>1330</v>
      </c>
      <c r="D2291" s="5" t="s">
        <v>8</v>
      </c>
      <c r="E2291" s="5" t="s">
        <v>13</v>
      </c>
      <c r="F2291" s="6">
        <v>42736</v>
      </c>
      <c r="G2291">
        <v>0</v>
      </c>
    </row>
    <row r="2292" spans="1:7" x14ac:dyDescent="0.25">
      <c r="A2292" s="5" t="s">
        <v>113</v>
      </c>
      <c r="B2292" s="5" t="s">
        <v>114</v>
      </c>
      <c r="C2292" s="5">
        <v>1330</v>
      </c>
      <c r="D2292" s="5" t="s">
        <v>8</v>
      </c>
      <c r="E2292" s="5" t="s">
        <v>14</v>
      </c>
      <c r="F2292" s="6">
        <v>42370</v>
      </c>
      <c r="G2292">
        <v>0</v>
      </c>
    </row>
    <row r="2293" spans="1:7" x14ac:dyDescent="0.25">
      <c r="A2293" s="5" t="s">
        <v>113</v>
      </c>
      <c r="B2293" s="5" t="s">
        <v>114</v>
      </c>
      <c r="C2293" s="5">
        <v>1330</v>
      </c>
      <c r="D2293" s="5" t="s">
        <v>8</v>
      </c>
      <c r="E2293" s="5" t="s">
        <v>14</v>
      </c>
      <c r="F2293" s="6">
        <v>42736</v>
      </c>
      <c r="G2293">
        <v>0</v>
      </c>
    </row>
    <row r="2294" spans="1:7" x14ac:dyDescent="0.25">
      <c r="A2294" s="5" t="s">
        <v>113</v>
      </c>
      <c r="B2294" s="5" t="s">
        <v>114</v>
      </c>
      <c r="C2294" s="5">
        <v>1330</v>
      </c>
      <c r="D2294" s="5" t="s">
        <v>8</v>
      </c>
      <c r="E2294" s="5" t="s">
        <v>15</v>
      </c>
      <c r="F2294" s="6">
        <v>42370</v>
      </c>
      <c r="G2294">
        <v>0</v>
      </c>
    </row>
    <row r="2295" spans="1:7" x14ac:dyDescent="0.25">
      <c r="A2295" s="5" t="s">
        <v>113</v>
      </c>
      <c r="B2295" s="5" t="s">
        <v>114</v>
      </c>
      <c r="C2295" s="5">
        <v>1330</v>
      </c>
      <c r="D2295" s="5" t="s">
        <v>8</v>
      </c>
      <c r="E2295" s="5" t="s">
        <v>15</v>
      </c>
      <c r="F2295" s="6">
        <v>42736</v>
      </c>
      <c r="G2295">
        <v>0</v>
      </c>
    </row>
    <row r="2296" spans="1:7" x14ac:dyDescent="0.25">
      <c r="A2296" s="5" t="s">
        <v>113</v>
      </c>
      <c r="B2296" s="5" t="s">
        <v>114</v>
      </c>
      <c r="C2296" s="5">
        <v>1330</v>
      </c>
      <c r="D2296" s="5" t="s">
        <v>8</v>
      </c>
      <c r="E2296" s="5" t="s">
        <v>16</v>
      </c>
      <c r="F2296" s="6">
        <v>42370</v>
      </c>
      <c r="G2296">
        <v>0</v>
      </c>
    </row>
    <row r="2297" spans="1:7" x14ac:dyDescent="0.25">
      <c r="A2297" s="5" t="s">
        <v>113</v>
      </c>
      <c r="B2297" s="5" t="s">
        <v>114</v>
      </c>
      <c r="C2297" s="5">
        <v>1330</v>
      </c>
      <c r="D2297" s="5" t="s">
        <v>8</v>
      </c>
      <c r="E2297" s="5" t="s">
        <v>16</v>
      </c>
      <c r="F2297" s="6">
        <v>42736</v>
      </c>
      <c r="G2297">
        <v>0</v>
      </c>
    </row>
    <row r="2298" spans="1:7" x14ac:dyDescent="0.25">
      <c r="A2298" s="5" t="s">
        <v>113</v>
      </c>
      <c r="B2298" s="5" t="s">
        <v>114</v>
      </c>
      <c r="C2298" s="5">
        <v>1330</v>
      </c>
      <c r="D2298" s="5" t="s">
        <v>8</v>
      </c>
      <c r="E2298" s="5" t="s">
        <v>17</v>
      </c>
      <c r="F2298" s="6">
        <v>42370</v>
      </c>
      <c r="G2298">
        <v>0</v>
      </c>
    </row>
    <row r="2299" spans="1:7" x14ac:dyDescent="0.25">
      <c r="A2299" s="5" t="s">
        <v>113</v>
      </c>
      <c r="B2299" s="5" t="s">
        <v>114</v>
      </c>
      <c r="C2299" s="5">
        <v>1330</v>
      </c>
      <c r="D2299" s="5" t="s">
        <v>8</v>
      </c>
      <c r="E2299" s="5" t="s">
        <v>17</v>
      </c>
      <c r="F2299" s="6">
        <v>42736</v>
      </c>
      <c r="G2299">
        <v>0</v>
      </c>
    </row>
    <row r="2300" spans="1:7" x14ac:dyDescent="0.25">
      <c r="A2300" s="5" t="s">
        <v>113</v>
      </c>
      <c r="B2300" s="5" t="s">
        <v>114</v>
      </c>
      <c r="C2300" s="5">
        <v>1330</v>
      </c>
      <c r="D2300" s="5" t="s">
        <v>8</v>
      </c>
      <c r="E2300" s="5" t="s">
        <v>18</v>
      </c>
      <c r="F2300" s="6">
        <v>42370</v>
      </c>
      <c r="G2300">
        <v>0</v>
      </c>
    </row>
    <row r="2301" spans="1:7" x14ac:dyDescent="0.25">
      <c r="A2301" s="5" t="s">
        <v>113</v>
      </c>
      <c r="B2301" s="5" t="s">
        <v>114</v>
      </c>
      <c r="C2301" s="5">
        <v>1330</v>
      </c>
      <c r="D2301" s="5" t="s">
        <v>8</v>
      </c>
      <c r="E2301" s="5" t="s">
        <v>18</v>
      </c>
      <c r="F2301" s="6">
        <v>42736</v>
      </c>
      <c r="G2301">
        <v>0</v>
      </c>
    </row>
    <row r="2302" spans="1:7" x14ac:dyDescent="0.25">
      <c r="A2302" s="5" t="s">
        <v>113</v>
      </c>
      <c r="B2302" s="5" t="s">
        <v>114</v>
      </c>
      <c r="C2302" s="5">
        <v>1330</v>
      </c>
      <c r="D2302" s="5" t="s">
        <v>8</v>
      </c>
      <c r="E2302" s="5" t="s">
        <v>19</v>
      </c>
      <c r="F2302" s="6">
        <v>42370</v>
      </c>
      <c r="G2302">
        <v>0</v>
      </c>
    </row>
    <row r="2303" spans="1:7" x14ac:dyDescent="0.25">
      <c r="A2303" s="5" t="s">
        <v>113</v>
      </c>
      <c r="B2303" s="5" t="s">
        <v>114</v>
      </c>
      <c r="C2303" s="5">
        <v>1330</v>
      </c>
      <c r="D2303" s="5" t="s">
        <v>8</v>
      </c>
      <c r="E2303" s="5" t="s">
        <v>19</v>
      </c>
      <c r="F2303" s="6">
        <v>42736</v>
      </c>
      <c r="G2303">
        <v>0</v>
      </c>
    </row>
    <row r="2304" spans="1:7" x14ac:dyDescent="0.25">
      <c r="A2304" s="5" t="s">
        <v>113</v>
      </c>
      <c r="B2304" s="5" t="s">
        <v>114</v>
      </c>
      <c r="C2304" s="5">
        <v>1330</v>
      </c>
      <c r="D2304" s="5" t="s">
        <v>20</v>
      </c>
      <c r="E2304" s="5" t="s">
        <v>9</v>
      </c>
      <c r="F2304" s="6">
        <v>42370</v>
      </c>
      <c r="G2304">
        <v>0</v>
      </c>
    </row>
    <row r="2305" spans="1:7" x14ac:dyDescent="0.25">
      <c r="A2305" s="5" t="s">
        <v>113</v>
      </c>
      <c r="B2305" s="5" t="s">
        <v>114</v>
      </c>
      <c r="C2305" s="5">
        <v>1330</v>
      </c>
      <c r="D2305" s="5" t="s">
        <v>20</v>
      </c>
      <c r="E2305" s="5" t="s">
        <v>9</v>
      </c>
      <c r="F2305" s="6">
        <v>42736</v>
      </c>
      <c r="G2305">
        <v>1</v>
      </c>
    </row>
    <row r="2306" spans="1:7" x14ac:dyDescent="0.25">
      <c r="A2306" s="5" t="s">
        <v>113</v>
      </c>
      <c r="B2306" s="5" t="s">
        <v>114</v>
      </c>
      <c r="C2306" s="5">
        <v>1330</v>
      </c>
      <c r="D2306" s="5" t="s">
        <v>20</v>
      </c>
      <c r="E2306" s="5" t="s">
        <v>21</v>
      </c>
      <c r="F2306" s="6">
        <v>42370</v>
      </c>
      <c r="G2306">
        <v>0</v>
      </c>
    </row>
    <row r="2307" spans="1:7" x14ac:dyDescent="0.25">
      <c r="A2307" s="5" t="s">
        <v>113</v>
      </c>
      <c r="B2307" s="5" t="s">
        <v>114</v>
      </c>
      <c r="C2307" s="5">
        <v>1330</v>
      </c>
      <c r="D2307" s="5" t="s">
        <v>20</v>
      </c>
      <c r="E2307" s="5" t="s">
        <v>21</v>
      </c>
      <c r="F2307" s="6">
        <v>42736</v>
      </c>
      <c r="G2307">
        <v>0</v>
      </c>
    </row>
    <row r="2308" spans="1:7" x14ac:dyDescent="0.25">
      <c r="A2308" s="5" t="s">
        <v>113</v>
      </c>
      <c r="B2308" s="5" t="s">
        <v>114</v>
      </c>
      <c r="C2308" s="5">
        <v>1330</v>
      </c>
      <c r="D2308" s="5" t="s">
        <v>20</v>
      </c>
      <c r="E2308" s="5" t="s">
        <v>22</v>
      </c>
      <c r="F2308" s="6">
        <v>42370</v>
      </c>
      <c r="G2308">
        <v>0</v>
      </c>
    </row>
    <row r="2309" spans="1:7" x14ac:dyDescent="0.25">
      <c r="A2309" s="5" t="s">
        <v>113</v>
      </c>
      <c r="B2309" s="5" t="s">
        <v>114</v>
      </c>
      <c r="C2309" s="5">
        <v>1330</v>
      </c>
      <c r="D2309" s="5" t="s">
        <v>20</v>
      </c>
      <c r="E2309" s="5" t="s">
        <v>22</v>
      </c>
      <c r="F2309" s="6">
        <v>42736</v>
      </c>
      <c r="G2309">
        <v>1</v>
      </c>
    </row>
    <row r="2310" spans="1:7" x14ac:dyDescent="0.25">
      <c r="A2310" s="5" t="s">
        <v>113</v>
      </c>
      <c r="B2310" s="5" t="s">
        <v>114</v>
      </c>
      <c r="C2310" s="5">
        <v>1330</v>
      </c>
      <c r="D2310" s="5" t="s">
        <v>20</v>
      </c>
      <c r="E2310" s="5" t="s">
        <v>23</v>
      </c>
      <c r="F2310" s="6">
        <v>42370</v>
      </c>
      <c r="G2310">
        <v>0</v>
      </c>
    </row>
    <row r="2311" spans="1:7" x14ac:dyDescent="0.25">
      <c r="A2311" s="5" t="s">
        <v>113</v>
      </c>
      <c r="B2311" s="5" t="s">
        <v>114</v>
      </c>
      <c r="C2311" s="5">
        <v>1330</v>
      </c>
      <c r="D2311" s="5" t="s">
        <v>20</v>
      </c>
      <c r="E2311" s="5" t="s">
        <v>23</v>
      </c>
      <c r="F2311" s="6">
        <v>42736</v>
      </c>
      <c r="G2311">
        <v>0</v>
      </c>
    </row>
    <row r="2312" spans="1:7" x14ac:dyDescent="0.25">
      <c r="A2312" s="5" t="s">
        <v>113</v>
      </c>
      <c r="B2312" s="5" t="s">
        <v>114</v>
      </c>
      <c r="C2312" s="5">
        <v>1330</v>
      </c>
      <c r="D2312" s="5" t="s">
        <v>20</v>
      </c>
      <c r="E2312" s="5" t="s">
        <v>24</v>
      </c>
      <c r="F2312" s="6">
        <v>42370</v>
      </c>
      <c r="G2312">
        <v>0</v>
      </c>
    </row>
    <row r="2313" spans="1:7" x14ac:dyDescent="0.25">
      <c r="A2313" s="5" t="s">
        <v>113</v>
      </c>
      <c r="B2313" s="5" t="s">
        <v>114</v>
      </c>
      <c r="C2313" s="5">
        <v>1330</v>
      </c>
      <c r="D2313" s="5" t="s">
        <v>20</v>
      </c>
      <c r="E2313" s="5" t="s">
        <v>24</v>
      </c>
      <c r="F2313" s="6">
        <v>42736</v>
      </c>
      <c r="G2313">
        <v>0</v>
      </c>
    </row>
    <row r="2314" spans="1:7" x14ac:dyDescent="0.25">
      <c r="A2314" s="5" t="s">
        <v>113</v>
      </c>
      <c r="B2314" s="5" t="s">
        <v>114</v>
      </c>
      <c r="C2314" s="5">
        <v>1330</v>
      </c>
      <c r="D2314" s="5" t="s">
        <v>20</v>
      </c>
      <c r="E2314" s="5" t="s">
        <v>25</v>
      </c>
      <c r="F2314" s="6">
        <v>42370</v>
      </c>
      <c r="G2314">
        <v>0</v>
      </c>
    </row>
    <row r="2315" spans="1:7" x14ac:dyDescent="0.25">
      <c r="A2315" s="5" t="s">
        <v>113</v>
      </c>
      <c r="B2315" s="5" t="s">
        <v>114</v>
      </c>
      <c r="C2315" s="5">
        <v>1330</v>
      </c>
      <c r="D2315" s="5" t="s">
        <v>20</v>
      </c>
      <c r="E2315" s="5" t="s">
        <v>25</v>
      </c>
      <c r="F2315" s="6">
        <v>42736</v>
      </c>
      <c r="G2315">
        <v>0</v>
      </c>
    </row>
    <row r="2316" spans="1:7" x14ac:dyDescent="0.25">
      <c r="A2316" s="5" t="s">
        <v>113</v>
      </c>
      <c r="B2316" s="5" t="s">
        <v>114</v>
      </c>
      <c r="C2316" s="5">
        <v>1330</v>
      </c>
      <c r="D2316" s="5" t="s">
        <v>20</v>
      </c>
      <c r="E2316" s="5" t="s">
        <v>26</v>
      </c>
      <c r="F2316" s="6">
        <v>42370</v>
      </c>
      <c r="G2316">
        <v>27</v>
      </c>
    </row>
    <row r="2317" spans="1:7" x14ac:dyDescent="0.25">
      <c r="A2317" s="5" t="s">
        <v>113</v>
      </c>
      <c r="B2317" s="5" t="s">
        <v>114</v>
      </c>
      <c r="C2317" s="5">
        <v>1330</v>
      </c>
      <c r="D2317" s="5" t="s">
        <v>20</v>
      </c>
      <c r="E2317" s="5" t="s">
        <v>26</v>
      </c>
      <c r="F2317" s="6">
        <v>42736</v>
      </c>
      <c r="G2317">
        <v>40</v>
      </c>
    </row>
    <row r="2318" spans="1:7" x14ac:dyDescent="0.25">
      <c r="A2318" s="5" t="s">
        <v>113</v>
      </c>
      <c r="B2318" s="5" t="s">
        <v>114</v>
      </c>
      <c r="C2318" s="5">
        <v>1330</v>
      </c>
      <c r="D2318" s="5" t="s">
        <v>20</v>
      </c>
      <c r="E2318" s="5" t="s">
        <v>27</v>
      </c>
      <c r="F2318" s="6">
        <v>42370</v>
      </c>
      <c r="G2318">
        <v>0</v>
      </c>
    </row>
    <row r="2319" spans="1:7" x14ac:dyDescent="0.25">
      <c r="A2319" s="5" t="s">
        <v>113</v>
      </c>
      <c r="B2319" s="5" t="s">
        <v>114</v>
      </c>
      <c r="C2319" s="5">
        <v>1330</v>
      </c>
      <c r="D2319" s="5" t="s">
        <v>20</v>
      </c>
      <c r="E2319" s="5" t="s">
        <v>27</v>
      </c>
      <c r="F2319" s="6">
        <v>42736</v>
      </c>
      <c r="G2319">
        <v>0</v>
      </c>
    </row>
    <row r="2320" spans="1:7" x14ac:dyDescent="0.25">
      <c r="A2320" s="5" t="s">
        <v>113</v>
      </c>
      <c r="B2320" s="5" t="s">
        <v>114</v>
      </c>
      <c r="C2320" s="5">
        <v>1330</v>
      </c>
      <c r="D2320" s="5" t="s">
        <v>20</v>
      </c>
      <c r="E2320" s="5" t="s">
        <v>28</v>
      </c>
      <c r="F2320" s="6">
        <v>42370</v>
      </c>
      <c r="G2320">
        <v>0</v>
      </c>
    </row>
    <row r="2321" spans="1:7" x14ac:dyDescent="0.25">
      <c r="A2321" s="5" t="s">
        <v>113</v>
      </c>
      <c r="B2321" s="5" t="s">
        <v>114</v>
      </c>
      <c r="C2321" s="5">
        <v>1330</v>
      </c>
      <c r="D2321" s="5" t="s">
        <v>20</v>
      </c>
      <c r="E2321" s="5" t="s">
        <v>28</v>
      </c>
      <c r="F2321" s="6">
        <v>42736</v>
      </c>
      <c r="G2321">
        <v>0</v>
      </c>
    </row>
    <row r="2322" spans="1:7" x14ac:dyDescent="0.25">
      <c r="A2322" s="5" t="s">
        <v>113</v>
      </c>
      <c r="B2322" s="5" t="s">
        <v>114</v>
      </c>
      <c r="C2322" s="5">
        <v>1330</v>
      </c>
      <c r="D2322" s="5" t="s">
        <v>20</v>
      </c>
      <c r="E2322" s="5" t="s">
        <v>29</v>
      </c>
      <c r="F2322" s="6">
        <v>42370</v>
      </c>
      <c r="G2322">
        <v>33</v>
      </c>
    </row>
    <row r="2323" spans="1:7" x14ac:dyDescent="0.25">
      <c r="A2323" s="5" t="s">
        <v>113</v>
      </c>
      <c r="B2323" s="5" t="s">
        <v>114</v>
      </c>
      <c r="C2323" s="5">
        <v>1330</v>
      </c>
      <c r="D2323" s="5" t="s">
        <v>20</v>
      </c>
      <c r="E2323" s="5" t="s">
        <v>29</v>
      </c>
      <c r="F2323" s="6">
        <v>42736</v>
      </c>
      <c r="G2323">
        <v>43</v>
      </c>
    </row>
    <row r="2324" spans="1:7" x14ac:dyDescent="0.25">
      <c r="A2324" s="5" t="s">
        <v>113</v>
      </c>
      <c r="B2324" s="5" t="s">
        <v>114</v>
      </c>
      <c r="C2324" s="5">
        <v>1330</v>
      </c>
      <c r="D2324" s="5" t="s">
        <v>20</v>
      </c>
      <c r="E2324" s="5" t="s">
        <v>30</v>
      </c>
      <c r="F2324" s="6">
        <v>42370</v>
      </c>
      <c r="G2324">
        <v>28</v>
      </c>
    </row>
    <row r="2325" spans="1:7" x14ac:dyDescent="0.25">
      <c r="A2325" s="5" t="s">
        <v>113</v>
      </c>
      <c r="B2325" s="5" t="s">
        <v>114</v>
      </c>
      <c r="C2325" s="5">
        <v>1330</v>
      </c>
      <c r="D2325" s="5" t="s">
        <v>20</v>
      </c>
      <c r="E2325" s="5" t="s">
        <v>30</v>
      </c>
      <c r="F2325" s="6">
        <v>42736</v>
      </c>
      <c r="G2325">
        <v>42</v>
      </c>
    </row>
    <row r="2326" spans="1:7" x14ac:dyDescent="0.25">
      <c r="A2326" s="5" t="s">
        <v>113</v>
      </c>
      <c r="B2326" s="5" t="s">
        <v>114</v>
      </c>
      <c r="C2326" s="5">
        <v>1330</v>
      </c>
      <c r="D2326" s="5" t="s">
        <v>20</v>
      </c>
      <c r="E2326" s="5" t="s">
        <v>31</v>
      </c>
      <c r="F2326" s="6">
        <v>42370</v>
      </c>
      <c r="G2326">
        <v>55</v>
      </c>
    </row>
    <row r="2327" spans="1:7" x14ac:dyDescent="0.25">
      <c r="A2327" s="5" t="s">
        <v>113</v>
      </c>
      <c r="B2327" s="5" t="s">
        <v>114</v>
      </c>
      <c r="C2327" s="5">
        <v>1330</v>
      </c>
      <c r="D2327" s="5" t="s">
        <v>20</v>
      </c>
      <c r="E2327" s="5" t="s">
        <v>31</v>
      </c>
      <c r="F2327" s="6">
        <v>42736</v>
      </c>
      <c r="G2327">
        <v>92</v>
      </c>
    </row>
    <row r="2328" spans="1:7" x14ac:dyDescent="0.25">
      <c r="A2328" s="5" t="s">
        <v>113</v>
      </c>
      <c r="B2328" s="5" t="s">
        <v>114</v>
      </c>
      <c r="C2328" s="5">
        <v>1330</v>
      </c>
      <c r="D2328" s="5" t="s">
        <v>20</v>
      </c>
      <c r="E2328" s="5" t="s">
        <v>32</v>
      </c>
      <c r="F2328" s="6">
        <v>42370</v>
      </c>
      <c r="G2328">
        <v>26</v>
      </c>
    </row>
    <row r="2329" spans="1:7" x14ac:dyDescent="0.25">
      <c r="A2329" s="5" t="s">
        <v>113</v>
      </c>
      <c r="B2329" s="5" t="s">
        <v>114</v>
      </c>
      <c r="C2329" s="5">
        <v>1330</v>
      </c>
      <c r="D2329" s="5" t="s">
        <v>20</v>
      </c>
      <c r="E2329" s="5" t="s">
        <v>32</v>
      </c>
      <c r="F2329" s="6">
        <v>42736</v>
      </c>
      <c r="G2329">
        <v>33</v>
      </c>
    </row>
    <row r="2330" spans="1:7" x14ac:dyDescent="0.25">
      <c r="A2330" s="5" t="s">
        <v>113</v>
      </c>
      <c r="B2330" s="5" t="s">
        <v>114</v>
      </c>
      <c r="C2330" s="5">
        <v>1330</v>
      </c>
      <c r="D2330" s="5" t="s">
        <v>33</v>
      </c>
      <c r="E2330" s="5" t="s">
        <v>9</v>
      </c>
      <c r="F2330" s="6">
        <v>42370</v>
      </c>
      <c r="G2330">
        <v>0</v>
      </c>
    </row>
    <row r="2331" spans="1:7" x14ac:dyDescent="0.25">
      <c r="A2331" s="5" t="s">
        <v>113</v>
      </c>
      <c r="B2331" s="5" t="s">
        <v>114</v>
      </c>
      <c r="C2331" s="5">
        <v>1330</v>
      </c>
      <c r="D2331" s="5" t="s">
        <v>33</v>
      </c>
      <c r="E2331" s="5" t="s">
        <v>9</v>
      </c>
      <c r="F2331" s="6">
        <v>42736</v>
      </c>
      <c r="G2331">
        <v>0</v>
      </c>
    </row>
    <row r="2332" spans="1:7" x14ac:dyDescent="0.25">
      <c r="A2332" s="5" t="s">
        <v>113</v>
      </c>
      <c r="B2332" s="5" t="s">
        <v>114</v>
      </c>
      <c r="C2332" s="5">
        <v>1330</v>
      </c>
      <c r="D2332" s="5" t="s">
        <v>33</v>
      </c>
      <c r="E2332" s="5" t="s">
        <v>34</v>
      </c>
      <c r="F2332" s="6">
        <v>42370</v>
      </c>
      <c r="G2332">
        <v>0</v>
      </c>
    </row>
    <row r="2333" spans="1:7" x14ac:dyDescent="0.25">
      <c r="A2333" s="5" t="s">
        <v>113</v>
      </c>
      <c r="B2333" s="5" t="s">
        <v>114</v>
      </c>
      <c r="C2333" s="5">
        <v>1330</v>
      </c>
      <c r="D2333" s="5" t="s">
        <v>33</v>
      </c>
      <c r="E2333" s="5" t="s">
        <v>34</v>
      </c>
      <c r="F2333" s="6">
        <v>42736</v>
      </c>
      <c r="G2333">
        <v>0</v>
      </c>
    </row>
    <row r="2334" spans="1:7" x14ac:dyDescent="0.25">
      <c r="A2334" s="5" t="s">
        <v>113</v>
      </c>
      <c r="B2334" s="5" t="s">
        <v>114</v>
      </c>
      <c r="C2334" s="5">
        <v>1330</v>
      </c>
      <c r="D2334" s="5" t="s">
        <v>35</v>
      </c>
      <c r="E2334" s="5" t="s">
        <v>36</v>
      </c>
      <c r="F2334" s="6">
        <v>42370</v>
      </c>
      <c r="G2334">
        <v>0</v>
      </c>
    </row>
    <row r="2335" spans="1:7" x14ac:dyDescent="0.25">
      <c r="A2335" s="5" t="s">
        <v>113</v>
      </c>
      <c r="B2335" s="5" t="s">
        <v>114</v>
      </c>
      <c r="C2335" s="5">
        <v>1330</v>
      </c>
      <c r="D2335" s="5" t="s">
        <v>35</v>
      </c>
      <c r="E2335" s="5" t="s">
        <v>36</v>
      </c>
      <c r="F2335" s="6">
        <v>42736</v>
      </c>
      <c r="G2335">
        <v>0</v>
      </c>
    </row>
    <row r="2336" spans="1:7" x14ac:dyDescent="0.25">
      <c r="A2336" s="5" t="s">
        <v>113</v>
      </c>
      <c r="B2336" s="5" t="s">
        <v>114</v>
      </c>
      <c r="C2336" s="5">
        <v>1330</v>
      </c>
      <c r="D2336" s="5" t="s">
        <v>35</v>
      </c>
      <c r="E2336" s="5" t="s">
        <v>37</v>
      </c>
      <c r="F2336" s="6">
        <v>42370</v>
      </c>
      <c r="G2336">
        <v>0</v>
      </c>
    </row>
    <row r="2337" spans="1:7" x14ac:dyDescent="0.25">
      <c r="A2337" s="5" t="s">
        <v>113</v>
      </c>
      <c r="B2337" s="5" t="s">
        <v>114</v>
      </c>
      <c r="C2337" s="5">
        <v>1330</v>
      </c>
      <c r="D2337" s="5" t="s">
        <v>35</v>
      </c>
      <c r="E2337" s="5" t="s">
        <v>37</v>
      </c>
      <c r="F2337" s="6">
        <v>42736</v>
      </c>
      <c r="G2337">
        <v>0</v>
      </c>
    </row>
    <row r="2338" spans="1:7" x14ac:dyDescent="0.25">
      <c r="A2338" s="5" t="s">
        <v>113</v>
      </c>
      <c r="B2338" s="5" t="s">
        <v>114</v>
      </c>
      <c r="C2338" s="5">
        <v>1330</v>
      </c>
      <c r="D2338" s="5" t="s">
        <v>35</v>
      </c>
      <c r="E2338" s="5" t="s">
        <v>38</v>
      </c>
      <c r="F2338" s="6">
        <v>42370</v>
      </c>
      <c r="G2338">
        <v>0</v>
      </c>
    </row>
    <row r="2339" spans="1:7" x14ac:dyDescent="0.25">
      <c r="A2339" s="5" t="s">
        <v>113</v>
      </c>
      <c r="B2339" s="5" t="s">
        <v>114</v>
      </c>
      <c r="C2339" s="5">
        <v>1330</v>
      </c>
      <c r="D2339" s="5" t="s">
        <v>35</v>
      </c>
      <c r="E2339" s="5" t="s">
        <v>38</v>
      </c>
      <c r="F2339" s="6">
        <v>42736</v>
      </c>
      <c r="G2339">
        <v>0</v>
      </c>
    </row>
    <row r="2340" spans="1:7" x14ac:dyDescent="0.25">
      <c r="A2340" s="5" t="s">
        <v>113</v>
      </c>
      <c r="B2340" s="5" t="s">
        <v>114</v>
      </c>
      <c r="C2340" s="5">
        <v>1330</v>
      </c>
      <c r="D2340" s="5" t="s">
        <v>35</v>
      </c>
      <c r="E2340" s="5" t="s">
        <v>39</v>
      </c>
      <c r="F2340" s="6">
        <v>42370</v>
      </c>
      <c r="G2340">
        <v>0</v>
      </c>
    </row>
    <row r="2341" spans="1:7" x14ac:dyDescent="0.25">
      <c r="A2341" s="5" t="s">
        <v>113</v>
      </c>
      <c r="B2341" s="5" t="s">
        <v>114</v>
      </c>
      <c r="C2341" s="5">
        <v>1330</v>
      </c>
      <c r="D2341" s="5" t="s">
        <v>35</v>
      </c>
      <c r="E2341" s="5" t="s">
        <v>39</v>
      </c>
      <c r="F2341" s="6">
        <v>42736</v>
      </c>
      <c r="G2341">
        <v>0</v>
      </c>
    </row>
    <row r="2342" spans="1:7" x14ac:dyDescent="0.25">
      <c r="A2342" s="5" t="s">
        <v>113</v>
      </c>
      <c r="B2342" s="5" t="s">
        <v>114</v>
      </c>
      <c r="C2342" s="5">
        <v>1330</v>
      </c>
      <c r="D2342" s="5" t="s">
        <v>35</v>
      </c>
      <c r="E2342" s="5" t="s">
        <v>40</v>
      </c>
      <c r="F2342" s="6">
        <v>42370</v>
      </c>
      <c r="G2342">
        <v>0</v>
      </c>
    </row>
    <row r="2343" spans="1:7" x14ac:dyDescent="0.25">
      <c r="A2343" s="5" t="s">
        <v>113</v>
      </c>
      <c r="B2343" s="5" t="s">
        <v>114</v>
      </c>
      <c r="C2343" s="5">
        <v>1330</v>
      </c>
      <c r="D2343" s="5" t="s">
        <v>35</v>
      </c>
      <c r="E2343" s="5" t="s">
        <v>40</v>
      </c>
      <c r="F2343" s="6">
        <v>42736</v>
      </c>
      <c r="G2343">
        <v>0</v>
      </c>
    </row>
    <row r="2344" spans="1:7" x14ac:dyDescent="0.25">
      <c r="A2344" s="5" t="s">
        <v>113</v>
      </c>
      <c r="B2344" s="5" t="s">
        <v>114</v>
      </c>
      <c r="C2344" s="5">
        <v>1330</v>
      </c>
      <c r="D2344" s="5" t="s">
        <v>35</v>
      </c>
      <c r="E2344" s="5" t="s">
        <v>41</v>
      </c>
      <c r="F2344" s="6">
        <v>42370</v>
      </c>
      <c r="G2344">
        <v>0</v>
      </c>
    </row>
    <row r="2345" spans="1:7" x14ac:dyDescent="0.25">
      <c r="A2345" s="5" t="s">
        <v>113</v>
      </c>
      <c r="B2345" s="5" t="s">
        <v>114</v>
      </c>
      <c r="C2345" s="5">
        <v>1330</v>
      </c>
      <c r="D2345" s="5" t="s">
        <v>35</v>
      </c>
      <c r="E2345" s="5" t="s">
        <v>41</v>
      </c>
      <c r="F2345" s="6">
        <v>42736</v>
      </c>
      <c r="G2345">
        <v>0</v>
      </c>
    </row>
    <row r="2346" spans="1:7" x14ac:dyDescent="0.25">
      <c r="A2346" s="5" t="s">
        <v>113</v>
      </c>
      <c r="B2346" s="5" t="s">
        <v>114</v>
      </c>
      <c r="C2346" s="5">
        <v>1330</v>
      </c>
      <c r="D2346" s="5" t="s">
        <v>35</v>
      </c>
      <c r="E2346" s="5" t="s">
        <v>42</v>
      </c>
      <c r="F2346" s="6">
        <v>42370</v>
      </c>
      <c r="G2346">
        <v>0</v>
      </c>
    </row>
    <row r="2347" spans="1:7" x14ac:dyDescent="0.25">
      <c r="A2347" s="5" t="s">
        <v>113</v>
      </c>
      <c r="B2347" s="5" t="s">
        <v>114</v>
      </c>
      <c r="C2347" s="5">
        <v>1330</v>
      </c>
      <c r="D2347" s="5" t="s">
        <v>35</v>
      </c>
      <c r="E2347" s="5" t="s">
        <v>42</v>
      </c>
      <c r="F2347" s="6">
        <v>42736</v>
      </c>
      <c r="G2347">
        <v>0</v>
      </c>
    </row>
    <row r="2348" spans="1:7" x14ac:dyDescent="0.25">
      <c r="A2348" s="5" t="s">
        <v>113</v>
      </c>
      <c r="B2348" s="5" t="s">
        <v>114</v>
      </c>
      <c r="C2348" s="5">
        <v>1330</v>
      </c>
      <c r="D2348" s="5" t="s">
        <v>35</v>
      </c>
      <c r="E2348" s="5" t="s">
        <v>43</v>
      </c>
      <c r="F2348" s="6">
        <v>42370</v>
      </c>
      <c r="G2348">
        <v>0</v>
      </c>
    </row>
    <row r="2349" spans="1:7" x14ac:dyDescent="0.25">
      <c r="A2349" s="5" t="s">
        <v>113</v>
      </c>
      <c r="B2349" s="5" t="s">
        <v>114</v>
      </c>
      <c r="C2349" s="5">
        <v>1330</v>
      </c>
      <c r="D2349" s="5" t="s">
        <v>35</v>
      </c>
      <c r="E2349" s="5" t="s">
        <v>43</v>
      </c>
      <c r="F2349" s="6">
        <v>42736</v>
      </c>
      <c r="G2349">
        <v>0</v>
      </c>
    </row>
    <row r="2350" spans="1:7" x14ac:dyDescent="0.25">
      <c r="A2350" s="5" t="s">
        <v>113</v>
      </c>
      <c r="B2350" s="5" t="s">
        <v>114</v>
      </c>
      <c r="C2350" s="5">
        <v>1330</v>
      </c>
      <c r="D2350" s="5" t="s">
        <v>44</v>
      </c>
      <c r="E2350" s="5" t="s">
        <v>36</v>
      </c>
      <c r="F2350" s="6">
        <v>42370</v>
      </c>
      <c r="G2350">
        <v>0</v>
      </c>
    </row>
    <row r="2351" spans="1:7" x14ac:dyDescent="0.25">
      <c r="A2351" s="5" t="s">
        <v>113</v>
      </c>
      <c r="B2351" s="5" t="s">
        <v>114</v>
      </c>
      <c r="C2351" s="5">
        <v>1330</v>
      </c>
      <c r="D2351" s="5" t="s">
        <v>44</v>
      </c>
      <c r="E2351" s="5" t="s">
        <v>36</v>
      </c>
      <c r="F2351" s="6">
        <v>42736</v>
      </c>
      <c r="G2351">
        <v>0</v>
      </c>
    </row>
    <row r="2352" spans="1:7" x14ac:dyDescent="0.25">
      <c r="A2352" s="5" t="s">
        <v>113</v>
      </c>
      <c r="B2352" s="5" t="s">
        <v>114</v>
      </c>
      <c r="C2352" s="5">
        <v>1330</v>
      </c>
      <c r="D2352" s="5" t="s">
        <v>44</v>
      </c>
      <c r="E2352" s="5" t="s">
        <v>37</v>
      </c>
      <c r="F2352" s="6">
        <v>42370</v>
      </c>
      <c r="G2352">
        <v>0</v>
      </c>
    </row>
    <row r="2353" spans="1:7" x14ac:dyDescent="0.25">
      <c r="A2353" s="5" t="s">
        <v>113</v>
      </c>
      <c r="B2353" s="5" t="s">
        <v>114</v>
      </c>
      <c r="C2353" s="5">
        <v>1330</v>
      </c>
      <c r="D2353" s="5" t="s">
        <v>44</v>
      </c>
      <c r="E2353" s="5" t="s">
        <v>37</v>
      </c>
      <c r="F2353" s="6">
        <v>42736</v>
      </c>
      <c r="G2353">
        <v>0</v>
      </c>
    </row>
    <row r="2354" spans="1:7" x14ac:dyDescent="0.25">
      <c r="A2354" s="5" t="s">
        <v>113</v>
      </c>
      <c r="B2354" s="5" t="s">
        <v>114</v>
      </c>
      <c r="C2354" s="5">
        <v>1330</v>
      </c>
      <c r="D2354" s="5" t="s">
        <v>44</v>
      </c>
      <c r="E2354" s="5" t="s">
        <v>38</v>
      </c>
      <c r="F2354" s="6">
        <v>42370</v>
      </c>
      <c r="G2354">
        <v>0</v>
      </c>
    </row>
    <row r="2355" spans="1:7" x14ac:dyDescent="0.25">
      <c r="A2355" s="5" t="s">
        <v>113</v>
      </c>
      <c r="B2355" s="5" t="s">
        <v>114</v>
      </c>
      <c r="C2355" s="5">
        <v>1330</v>
      </c>
      <c r="D2355" s="5" t="s">
        <v>44</v>
      </c>
      <c r="E2355" s="5" t="s">
        <v>38</v>
      </c>
      <c r="F2355" s="6">
        <v>42736</v>
      </c>
      <c r="G2355">
        <v>0</v>
      </c>
    </row>
    <row r="2356" spans="1:7" x14ac:dyDescent="0.25">
      <c r="A2356" s="5" t="s">
        <v>113</v>
      </c>
      <c r="B2356" s="5" t="s">
        <v>114</v>
      </c>
      <c r="C2356" s="5">
        <v>1330</v>
      </c>
      <c r="D2356" s="5" t="s">
        <v>44</v>
      </c>
      <c r="E2356" s="5" t="s">
        <v>39</v>
      </c>
      <c r="F2356" s="6">
        <v>42370</v>
      </c>
      <c r="G2356">
        <v>0</v>
      </c>
    </row>
    <row r="2357" spans="1:7" x14ac:dyDescent="0.25">
      <c r="A2357" s="5" t="s">
        <v>113</v>
      </c>
      <c r="B2357" s="5" t="s">
        <v>114</v>
      </c>
      <c r="C2357" s="5">
        <v>1330</v>
      </c>
      <c r="D2357" s="5" t="s">
        <v>44</v>
      </c>
      <c r="E2357" s="5" t="s">
        <v>39</v>
      </c>
      <c r="F2357" s="6">
        <v>42736</v>
      </c>
      <c r="G2357">
        <v>0</v>
      </c>
    </row>
    <row r="2358" spans="1:7" x14ac:dyDescent="0.25">
      <c r="A2358" s="5" t="s">
        <v>113</v>
      </c>
      <c r="B2358" s="5" t="s">
        <v>114</v>
      </c>
      <c r="C2358" s="5">
        <v>1330</v>
      </c>
      <c r="D2358" s="5" t="s">
        <v>44</v>
      </c>
      <c r="E2358" s="5" t="s">
        <v>40</v>
      </c>
      <c r="F2358" s="6">
        <v>42370</v>
      </c>
      <c r="G2358">
        <v>0</v>
      </c>
    </row>
    <row r="2359" spans="1:7" x14ac:dyDescent="0.25">
      <c r="A2359" s="5" t="s">
        <v>113</v>
      </c>
      <c r="B2359" s="5" t="s">
        <v>114</v>
      </c>
      <c r="C2359" s="5">
        <v>1330</v>
      </c>
      <c r="D2359" s="5" t="s">
        <v>44</v>
      </c>
      <c r="E2359" s="5" t="s">
        <v>40</v>
      </c>
      <c r="F2359" s="6">
        <v>42736</v>
      </c>
      <c r="G2359">
        <v>0</v>
      </c>
    </row>
    <row r="2360" spans="1:7" x14ac:dyDescent="0.25">
      <c r="A2360" s="5" t="s">
        <v>113</v>
      </c>
      <c r="B2360" s="5" t="s">
        <v>114</v>
      </c>
      <c r="C2360" s="5">
        <v>1330</v>
      </c>
      <c r="D2360" s="5" t="s">
        <v>44</v>
      </c>
      <c r="E2360" s="5" t="s">
        <v>41</v>
      </c>
      <c r="F2360" s="6">
        <v>42370</v>
      </c>
      <c r="G2360">
        <v>0</v>
      </c>
    </row>
    <row r="2361" spans="1:7" x14ac:dyDescent="0.25">
      <c r="A2361" s="5" t="s">
        <v>113</v>
      </c>
      <c r="B2361" s="5" t="s">
        <v>114</v>
      </c>
      <c r="C2361" s="5">
        <v>1330</v>
      </c>
      <c r="D2361" s="5" t="s">
        <v>44</v>
      </c>
      <c r="E2361" s="5" t="s">
        <v>41</v>
      </c>
      <c r="F2361" s="6">
        <v>42736</v>
      </c>
      <c r="G2361">
        <v>0</v>
      </c>
    </row>
    <row r="2362" spans="1:7" x14ac:dyDescent="0.25">
      <c r="A2362" s="5" t="s">
        <v>113</v>
      </c>
      <c r="B2362" s="5" t="s">
        <v>114</v>
      </c>
      <c r="C2362" s="5">
        <v>1330</v>
      </c>
      <c r="D2362" s="5" t="s">
        <v>44</v>
      </c>
      <c r="E2362" s="5" t="s">
        <v>42</v>
      </c>
      <c r="F2362" s="6">
        <v>42370</v>
      </c>
      <c r="G2362">
        <v>0</v>
      </c>
    </row>
    <row r="2363" spans="1:7" x14ac:dyDescent="0.25">
      <c r="A2363" s="5" t="s">
        <v>113</v>
      </c>
      <c r="B2363" s="5" t="s">
        <v>114</v>
      </c>
      <c r="C2363" s="5">
        <v>1330</v>
      </c>
      <c r="D2363" s="5" t="s">
        <v>44</v>
      </c>
      <c r="E2363" s="5" t="s">
        <v>42</v>
      </c>
      <c r="F2363" s="6">
        <v>42736</v>
      </c>
      <c r="G2363">
        <v>0</v>
      </c>
    </row>
    <row r="2364" spans="1:7" x14ac:dyDescent="0.25">
      <c r="A2364" s="5" t="s">
        <v>113</v>
      </c>
      <c r="B2364" s="5" t="s">
        <v>114</v>
      </c>
      <c r="C2364" s="5">
        <v>1330</v>
      </c>
      <c r="D2364" s="5" t="s">
        <v>44</v>
      </c>
      <c r="E2364" s="5" t="s">
        <v>43</v>
      </c>
      <c r="F2364" s="6">
        <v>42370</v>
      </c>
      <c r="G2364">
        <v>0</v>
      </c>
    </row>
    <row r="2365" spans="1:7" x14ac:dyDescent="0.25">
      <c r="A2365" s="5" t="s">
        <v>113</v>
      </c>
      <c r="B2365" s="5" t="s">
        <v>114</v>
      </c>
      <c r="C2365" s="5">
        <v>1330</v>
      </c>
      <c r="D2365" s="5" t="s">
        <v>44</v>
      </c>
      <c r="E2365" s="5" t="s">
        <v>43</v>
      </c>
      <c r="F2365" s="6">
        <v>42736</v>
      </c>
      <c r="G2365">
        <v>0</v>
      </c>
    </row>
    <row r="2366" spans="1:7" x14ac:dyDescent="0.25">
      <c r="A2366" s="5" t="s">
        <v>113</v>
      </c>
      <c r="B2366" s="5" t="s">
        <v>114</v>
      </c>
      <c r="C2366" s="5">
        <v>1330</v>
      </c>
      <c r="D2366" s="5" t="s">
        <v>45</v>
      </c>
      <c r="E2366" s="5" t="s">
        <v>46</v>
      </c>
      <c r="F2366" s="6">
        <v>42370</v>
      </c>
      <c r="G2366">
        <v>0</v>
      </c>
    </row>
    <row r="2367" spans="1:7" x14ac:dyDescent="0.25">
      <c r="A2367" s="5" t="s">
        <v>113</v>
      </c>
      <c r="B2367" s="5" t="s">
        <v>114</v>
      </c>
      <c r="C2367" s="5">
        <v>1330</v>
      </c>
      <c r="D2367" s="5" t="s">
        <v>45</v>
      </c>
      <c r="E2367" s="5" t="s">
        <v>46</v>
      </c>
      <c r="F2367" s="6">
        <v>42736</v>
      </c>
      <c r="G2367">
        <v>0</v>
      </c>
    </row>
    <row r="2368" spans="1:7" x14ac:dyDescent="0.25">
      <c r="A2368" s="5" t="s">
        <v>113</v>
      </c>
      <c r="B2368" s="5" t="s">
        <v>114</v>
      </c>
      <c r="C2368" s="5">
        <v>1330</v>
      </c>
      <c r="D2368" s="5" t="s">
        <v>45</v>
      </c>
      <c r="E2368" s="5" t="s">
        <v>47</v>
      </c>
      <c r="F2368" s="6">
        <v>42370</v>
      </c>
      <c r="G2368">
        <v>0</v>
      </c>
    </row>
    <row r="2369" spans="1:7" x14ac:dyDescent="0.25">
      <c r="A2369" s="5" t="s">
        <v>113</v>
      </c>
      <c r="B2369" s="5" t="s">
        <v>114</v>
      </c>
      <c r="C2369" s="5">
        <v>1330</v>
      </c>
      <c r="D2369" s="5" t="s">
        <v>45</v>
      </c>
      <c r="E2369" s="5" t="s">
        <v>47</v>
      </c>
      <c r="F2369" s="6">
        <v>42736</v>
      </c>
      <c r="G2369">
        <v>6</v>
      </c>
    </row>
    <row r="2370" spans="1:7" x14ac:dyDescent="0.25">
      <c r="A2370" s="5" t="s">
        <v>113</v>
      </c>
      <c r="B2370" s="5" t="s">
        <v>114</v>
      </c>
      <c r="C2370" s="5">
        <v>1330</v>
      </c>
      <c r="D2370" s="5" t="s">
        <v>45</v>
      </c>
      <c r="E2370" s="5" t="s">
        <v>48</v>
      </c>
      <c r="F2370" s="6">
        <v>42370</v>
      </c>
      <c r="G2370">
        <v>8</v>
      </c>
    </row>
    <row r="2371" spans="1:7" x14ac:dyDescent="0.25">
      <c r="A2371" s="5" t="s">
        <v>113</v>
      </c>
      <c r="B2371" s="5" t="s">
        <v>114</v>
      </c>
      <c r="C2371" s="5">
        <v>1330</v>
      </c>
      <c r="D2371" s="5" t="s">
        <v>45</v>
      </c>
      <c r="E2371" s="5" t="s">
        <v>48</v>
      </c>
      <c r="F2371" s="6">
        <v>42736</v>
      </c>
      <c r="G2371">
        <v>15</v>
      </c>
    </row>
    <row r="2372" spans="1:7" x14ac:dyDescent="0.25">
      <c r="A2372" s="5" t="s">
        <v>113</v>
      </c>
      <c r="B2372" s="5" t="s">
        <v>114</v>
      </c>
      <c r="C2372" s="5">
        <v>1330</v>
      </c>
      <c r="D2372" s="5" t="s">
        <v>45</v>
      </c>
      <c r="E2372" s="5" t="s">
        <v>49</v>
      </c>
      <c r="F2372" s="6">
        <v>42370</v>
      </c>
      <c r="G2372">
        <v>6</v>
      </c>
    </row>
    <row r="2373" spans="1:7" x14ac:dyDescent="0.25">
      <c r="A2373" s="5" t="s">
        <v>113</v>
      </c>
      <c r="B2373" s="5" t="s">
        <v>114</v>
      </c>
      <c r="C2373" s="5">
        <v>1330</v>
      </c>
      <c r="D2373" s="5" t="s">
        <v>45</v>
      </c>
      <c r="E2373" s="5" t="s">
        <v>49</v>
      </c>
      <c r="F2373" s="6">
        <v>42736</v>
      </c>
      <c r="G2373">
        <v>6</v>
      </c>
    </row>
    <row r="2374" spans="1:7" x14ac:dyDescent="0.25">
      <c r="A2374" s="5" t="s">
        <v>113</v>
      </c>
      <c r="B2374" s="5" t="s">
        <v>114</v>
      </c>
      <c r="C2374" s="5">
        <v>1330</v>
      </c>
      <c r="D2374" s="5" t="s">
        <v>45</v>
      </c>
      <c r="E2374" s="5" t="s">
        <v>50</v>
      </c>
      <c r="F2374" s="6">
        <v>42370</v>
      </c>
      <c r="G2374">
        <v>0</v>
      </c>
    </row>
    <row r="2375" spans="1:7" x14ac:dyDescent="0.25">
      <c r="A2375" s="5" t="s">
        <v>113</v>
      </c>
      <c r="B2375" s="5" t="s">
        <v>114</v>
      </c>
      <c r="C2375" s="5">
        <v>1330</v>
      </c>
      <c r="D2375" s="5" t="s">
        <v>45</v>
      </c>
      <c r="E2375" s="5" t="s">
        <v>50</v>
      </c>
      <c r="F2375" s="6">
        <v>42736</v>
      </c>
      <c r="G2375">
        <v>0</v>
      </c>
    </row>
    <row r="2376" spans="1:7" x14ac:dyDescent="0.25">
      <c r="A2376" s="5" t="s">
        <v>113</v>
      </c>
      <c r="B2376" s="5" t="s">
        <v>114</v>
      </c>
      <c r="C2376" s="5">
        <v>1330</v>
      </c>
      <c r="D2376" s="5" t="s">
        <v>45</v>
      </c>
      <c r="E2376" s="5" t="s">
        <v>51</v>
      </c>
      <c r="F2376" s="6">
        <v>42370</v>
      </c>
      <c r="G2376">
        <v>0</v>
      </c>
    </row>
    <row r="2377" spans="1:7" x14ac:dyDescent="0.25">
      <c r="A2377" s="5" t="s">
        <v>113</v>
      </c>
      <c r="B2377" s="5" t="s">
        <v>114</v>
      </c>
      <c r="C2377" s="5">
        <v>1330</v>
      </c>
      <c r="D2377" s="5" t="s">
        <v>45</v>
      </c>
      <c r="E2377" s="5" t="s">
        <v>51</v>
      </c>
      <c r="F2377" s="6">
        <v>42736</v>
      </c>
      <c r="G2377">
        <v>0</v>
      </c>
    </row>
    <row r="2378" spans="1:7" x14ac:dyDescent="0.25">
      <c r="A2378" s="5" t="s">
        <v>113</v>
      </c>
      <c r="B2378" s="5" t="s">
        <v>114</v>
      </c>
      <c r="C2378" s="5">
        <v>1330</v>
      </c>
      <c r="D2378" s="5" t="s">
        <v>45</v>
      </c>
      <c r="E2378" s="5" t="s">
        <v>52</v>
      </c>
      <c r="F2378" s="6">
        <v>42370</v>
      </c>
      <c r="G2378">
        <v>0</v>
      </c>
    </row>
    <row r="2379" spans="1:7" x14ac:dyDescent="0.25">
      <c r="A2379" s="5" t="s">
        <v>113</v>
      </c>
      <c r="B2379" s="5" t="s">
        <v>114</v>
      </c>
      <c r="C2379" s="5">
        <v>1330</v>
      </c>
      <c r="D2379" s="5" t="s">
        <v>45</v>
      </c>
      <c r="E2379" s="5" t="s">
        <v>52</v>
      </c>
      <c r="F2379" s="6">
        <v>42736</v>
      </c>
      <c r="G2379">
        <v>0</v>
      </c>
    </row>
    <row r="2380" spans="1:7" x14ac:dyDescent="0.25">
      <c r="A2380" s="5" t="s">
        <v>113</v>
      </c>
      <c r="B2380" s="5" t="s">
        <v>114</v>
      </c>
      <c r="C2380" s="5">
        <v>1330</v>
      </c>
      <c r="D2380" s="5" t="s">
        <v>45</v>
      </c>
      <c r="E2380" s="5" t="s">
        <v>53</v>
      </c>
      <c r="F2380" s="6">
        <v>42370</v>
      </c>
      <c r="G2380">
        <v>0</v>
      </c>
    </row>
    <row r="2381" spans="1:7" x14ac:dyDescent="0.25">
      <c r="A2381" s="5" t="s">
        <v>113</v>
      </c>
      <c r="B2381" s="5" t="s">
        <v>114</v>
      </c>
      <c r="C2381" s="5">
        <v>1330</v>
      </c>
      <c r="D2381" s="5" t="s">
        <v>45</v>
      </c>
      <c r="E2381" s="5" t="s">
        <v>53</v>
      </c>
      <c r="F2381" s="6">
        <v>42736</v>
      </c>
      <c r="G2381">
        <v>4</v>
      </c>
    </row>
    <row r="2382" spans="1:7" x14ac:dyDescent="0.25">
      <c r="A2382" s="5" t="s">
        <v>113</v>
      </c>
      <c r="B2382" s="5" t="s">
        <v>114</v>
      </c>
      <c r="C2382" s="5">
        <v>1330</v>
      </c>
      <c r="D2382" s="5" t="s">
        <v>45</v>
      </c>
      <c r="E2382" s="5" t="s">
        <v>54</v>
      </c>
      <c r="F2382" s="6">
        <v>42370</v>
      </c>
      <c r="G2382">
        <v>0</v>
      </c>
    </row>
    <row r="2383" spans="1:7" x14ac:dyDescent="0.25">
      <c r="A2383" s="5" t="s">
        <v>113</v>
      </c>
      <c r="B2383" s="5" t="s">
        <v>114</v>
      </c>
      <c r="C2383" s="5">
        <v>1330</v>
      </c>
      <c r="D2383" s="5" t="s">
        <v>45</v>
      </c>
      <c r="E2383" s="5" t="s">
        <v>54</v>
      </c>
      <c r="F2383" s="6">
        <v>42736</v>
      </c>
      <c r="G2383">
        <v>0</v>
      </c>
    </row>
    <row r="2384" spans="1:7" x14ac:dyDescent="0.25">
      <c r="A2384" s="5" t="s">
        <v>113</v>
      </c>
      <c r="B2384" s="5" t="s">
        <v>114</v>
      </c>
      <c r="C2384" s="5">
        <v>1330</v>
      </c>
      <c r="D2384" s="5" t="s">
        <v>45</v>
      </c>
      <c r="E2384" s="5" t="s">
        <v>55</v>
      </c>
      <c r="F2384" s="6">
        <v>42370</v>
      </c>
      <c r="G2384">
        <v>0</v>
      </c>
    </row>
    <row r="2385" spans="1:7" x14ac:dyDescent="0.25">
      <c r="A2385" s="5" t="s">
        <v>113</v>
      </c>
      <c r="B2385" s="5" t="s">
        <v>114</v>
      </c>
      <c r="C2385" s="5">
        <v>1330</v>
      </c>
      <c r="D2385" s="5" t="s">
        <v>45</v>
      </c>
      <c r="E2385" s="5" t="s">
        <v>55</v>
      </c>
      <c r="F2385" s="6">
        <v>42736</v>
      </c>
      <c r="G2385">
        <v>0</v>
      </c>
    </row>
    <row r="2386" spans="1:7" x14ac:dyDescent="0.25">
      <c r="A2386" s="5" t="s">
        <v>113</v>
      </c>
      <c r="B2386" s="5" t="s">
        <v>114</v>
      </c>
      <c r="C2386" s="5">
        <v>1330</v>
      </c>
      <c r="D2386" s="5" t="s">
        <v>45</v>
      </c>
      <c r="E2386" s="5" t="s">
        <v>56</v>
      </c>
      <c r="F2386" s="6">
        <v>42370</v>
      </c>
      <c r="G2386">
        <v>1</v>
      </c>
    </row>
    <row r="2387" spans="1:7" x14ac:dyDescent="0.25">
      <c r="A2387" s="5" t="s">
        <v>113</v>
      </c>
      <c r="B2387" s="5" t="s">
        <v>114</v>
      </c>
      <c r="C2387" s="5">
        <v>1330</v>
      </c>
      <c r="D2387" s="5" t="s">
        <v>45</v>
      </c>
      <c r="E2387" s="5" t="s">
        <v>56</v>
      </c>
      <c r="F2387" s="6">
        <v>42736</v>
      </c>
      <c r="G2387">
        <v>1</v>
      </c>
    </row>
    <row r="2388" spans="1:7" x14ac:dyDescent="0.25">
      <c r="A2388" s="5" t="s">
        <v>113</v>
      </c>
      <c r="B2388" s="5" t="s">
        <v>114</v>
      </c>
      <c r="C2388" s="5">
        <v>1330</v>
      </c>
      <c r="D2388" s="5" t="s">
        <v>45</v>
      </c>
      <c r="E2388" s="5" t="s">
        <v>57</v>
      </c>
      <c r="F2388" s="6">
        <v>42370</v>
      </c>
      <c r="G2388">
        <v>0</v>
      </c>
    </row>
    <row r="2389" spans="1:7" x14ac:dyDescent="0.25">
      <c r="A2389" s="5" t="s">
        <v>113</v>
      </c>
      <c r="B2389" s="5" t="s">
        <v>114</v>
      </c>
      <c r="C2389" s="5">
        <v>1330</v>
      </c>
      <c r="D2389" s="5" t="s">
        <v>45</v>
      </c>
      <c r="E2389" s="5" t="s">
        <v>57</v>
      </c>
      <c r="F2389" s="6">
        <v>42736</v>
      </c>
      <c r="G2389">
        <v>0</v>
      </c>
    </row>
    <row r="2390" spans="1:7" x14ac:dyDescent="0.25">
      <c r="A2390" s="5" t="s">
        <v>113</v>
      </c>
      <c r="B2390" s="5" t="s">
        <v>114</v>
      </c>
      <c r="C2390" s="5">
        <v>1330</v>
      </c>
      <c r="D2390" s="5" t="s">
        <v>45</v>
      </c>
      <c r="E2390" s="5" t="s">
        <v>58</v>
      </c>
      <c r="F2390" s="6">
        <v>42370</v>
      </c>
      <c r="G2390">
        <v>0</v>
      </c>
    </row>
    <row r="2391" spans="1:7" x14ac:dyDescent="0.25">
      <c r="A2391" s="5" t="s">
        <v>113</v>
      </c>
      <c r="B2391" s="5" t="s">
        <v>114</v>
      </c>
      <c r="C2391" s="5">
        <v>1330</v>
      </c>
      <c r="D2391" s="5" t="s">
        <v>45</v>
      </c>
      <c r="E2391" s="5" t="s">
        <v>58</v>
      </c>
      <c r="F2391" s="6">
        <v>42736</v>
      </c>
      <c r="G2391">
        <v>0</v>
      </c>
    </row>
    <row r="2392" spans="1:7" x14ac:dyDescent="0.25">
      <c r="A2392" s="5" t="s">
        <v>113</v>
      </c>
      <c r="B2392" s="5" t="s">
        <v>114</v>
      </c>
      <c r="C2392" s="5">
        <v>1330</v>
      </c>
      <c r="D2392" s="5" t="s">
        <v>45</v>
      </c>
      <c r="E2392" s="5" t="s">
        <v>59</v>
      </c>
      <c r="F2392" s="6">
        <v>42370</v>
      </c>
      <c r="G2392">
        <v>0</v>
      </c>
    </row>
    <row r="2393" spans="1:7" x14ac:dyDescent="0.25">
      <c r="A2393" s="5" t="s">
        <v>113</v>
      </c>
      <c r="B2393" s="5" t="s">
        <v>114</v>
      </c>
      <c r="C2393" s="5">
        <v>1330</v>
      </c>
      <c r="D2393" s="5" t="s">
        <v>45</v>
      </c>
      <c r="E2393" s="5" t="s">
        <v>59</v>
      </c>
      <c r="F2393" s="6">
        <v>42736</v>
      </c>
      <c r="G2393">
        <v>0</v>
      </c>
    </row>
    <row r="2394" spans="1:7" x14ac:dyDescent="0.25">
      <c r="A2394" s="5" t="s">
        <v>113</v>
      </c>
      <c r="B2394" s="5" t="s">
        <v>114</v>
      </c>
      <c r="C2394" s="5">
        <v>1330</v>
      </c>
      <c r="D2394" s="5" t="s">
        <v>45</v>
      </c>
      <c r="E2394" s="5" t="s">
        <v>60</v>
      </c>
      <c r="F2394" s="6">
        <v>42370</v>
      </c>
      <c r="G2394">
        <v>0</v>
      </c>
    </row>
    <row r="2395" spans="1:7" x14ac:dyDescent="0.25">
      <c r="A2395" s="5" t="s">
        <v>113</v>
      </c>
      <c r="B2395" s="5" t="s">
        <v>114</v>
      </c>
      <c r="C2395" s="5">
        <v>1330</v>
      </c>
      <c r="D2395" s="5" t="s">
        <v>45</v>
      </c>
      <c r="E2395" s="5" t="s">
        <v>60</v>
      </c>
      <c r="F2395" s="6">
        <v>42736</v>
      </c>
      <c r="G2395">
        <v>0</v>
      </c>
    </row>
    <row r="2396" spans="1:7" x14ac:dyDescent="0.25">
      <c r="A2396" s="5" t="s">
        <v>113</v>
      </c>
      <c r="B2396" s="5" t="s">
        <v>114</v>
      </c>
      <c r="C2396" s="5">
        <v>1330</v>
      </c>
      <c r="D2396" s="5" t="s">
        <v>45</v>
      </c>
      <c r="E2396" s="5" t="s">
        <v>61</v>
      </c>
      <c r="F2396" s="6">
        <v>42370</v>
      </c>
      <c r="G2396">
        <v>5</v>
      </c>
    </row>
    <row r="2397" spans="1:7" x14ac:dyDescent="0.25">
      <c r="A2397" s="5" t="s">
        <v>113</v>
      </c>
      <c r="B2397" s="5" t="s">
        <v>114</v>
      </c>
      <c r="C2397" s="5">
        <v>1330</v>
      </c>
      <c r="D2397" s="5" t="s">
        <v>45</v>
      </c>
      <c r="E2397" s="5" t="s">
        <v>61</v>
      </c>
      <c r="F2397" s="6">
        <v>42736</v>
      </c>
      <c r="G2397">
        <v>0</v>
      </c>
    </row>
    <row r="2398" spans="1:7" x14ac:dyDescent="0.25">
      <c r="A2398" s="5" t="s">
        <v>113</v>
      </c>
      <c r="B2398" s="5" t="s">
        <v>114</v>
      </c>
      <c r="C2398" s="5">
        <v>1330</v>
      </c>
      <c r="D2398" s="5" t="s">
        <v>62</v>
      </c>
      <c r="E2398" s="5" t="s">
        <v>63</v>
      </c>
      <c r="F2398" s="6">
        <v>42370</v>
      </c>
      <c r="G2398">
        <v>0</v>
      </c>
    </row>
    <row r="2399" spans="1:7" x14ac:dyDescent="0.25">
      <c r="A2399" s="5" t="s">
        <v>113</v>
      </c>
      <c r="B2399" s="5" t="s">
        <v>114</v>
      </c>
      <c r="C2399" s="5">
        <v>1330</v>
      </c>
      <c r="D2399" s="5" t="s">
        <v>62</v>
      </c>
      <c r="E2399" s="5" t="s">
        <v>63</v>
      </c>
      <c r="F2399" s="6">
        <v>42736</v>
      </c>
      <c r="G2399">
        <v>0</v>
      </c>
    </row>
    <row r="2400" spans="1:7" x14ac:dyDescent="0.25">
      <c r="A2400" s="5" t="s">
        <v>113</v>
      </c>
      <c r="B2400" s="5" t="s">
        <v>114</v>
      </c>
      <c r="C2400" s="5">
        <v>1330</v>
      </c>
      <c r="D2400" s="5" t="s">
        <v>62</v>
      </c>
      <c r="E2400" s="5" t="s">
        <v>64</v>
      </c>
      <c r="F2400" s="6">
        <v>42370</v>
      </c>
      <c r="G2400">
        <v>0</v>
      </c>
    </row>
    <row r="2401" spans="1:7" x14ac:dyDescent="0.25">
      <c r="A2401" s="5" t="s">
        <v>113</v>
      </c>
      <c r="B2401" s="5" t="s">
        <v>114</v>
      </c>
      <c r="C2401" s="5">
        <v>1330</v>
      </c>
      <c r="D2401" s="5" t="s">
        <v>62</v>
      </c>
      <c r="E2401" s="5" t="s">
        <v>64</v>
      </c>
      <c r="F2401" s="6">
        <v>42736</v>
      </c>
      <c r="G2401">
        <v>0</v>
      </c>
    </row>
    <row r="2402" spans="1:7" x14ac:dyDescent="0.25">
      <c r="A2402" s="5" t="s">
        <v>113</v>
      </c>
      <c r="B2402" s="5" t="s">
        <v>114</v>
      </c>
      <c r="C2402" s="5">
        <v>1330</v>
      </c>
      <c r="D2402" s="5" t="s">
        <v>62</v>
      </c>
      <c r="E2402" s="5" t="s">
        <v>9</v>
      </c>
      <c r="F2402" s="6">
        <v>42370</v>
      </c>
      <c r="G2402">
        <v>0</v>
      </c>
    </row>
    <row r="2403" spans="1:7" x14ac:dyDescent="0.25">
      <c r="A2403" s="5" t="s">
        <v>113</v>
      </c>
      <c r="B2403" s="5" t="s">
        <v>114</v>
      </c>
      <c r="C2403" s="5">
        <v>1330</v>
      </c>
      <c r="D2403" s="5" t="s">
        <v>62</v>
      </c>
      <c r="E2403" s="5" t="s">
        <v>9</v>
      </c>
      <c r="F2403" s="6">
        <v>42736</v>
      </c>
      <c r="G2403">
        <v>0</v>
      </c>
    </row>
    <row r="2404" spans="1:7" x14ac:dyDescent="0.25">
      <c r="A2404" s="5" t="s">
        <v>113</v>
      </c>
      <c r="B2404" s="5" t="s">
        <v>114</v>
      </c>
      <c r="C2404" s="5">
        <v>1330</v>
      </c>
      <c r="D2404" s="5" t="s">
        <v>62</v>
      </c>
      <c r="E2404" s="5" t="s">
        <v>65</v>
      </c>
      <c r="F2404" s="6">
        <v>42370</v>
      </c>
      <c r="G2404">
        <v>0</v>
      </c>
    </row>
    <row r="2405" spans="1:7" x14ac:dyDescent="0.25">
      <c r="A2405" s="5" t="s">
        <v>113</v>
      </c>
      <c r="B2405" s="5" t="s">
        <v>114</v>
      </c>
      <c r="C2405" s="5">
        <v>1330</v>
      </c>
      <c r="D2405" s="5" t="s">
        <v>62</v>
      </c>
      <c r="E2405" s="5" t="s">
        <v>65</v>
      </c>
      <c r="F2405" s="6">
        <v>42736</v>
      </c>
      <c r="G2405">
        <v>0</v>
      </c>
    </row>
    <row r="2406" spans="1:7" x14ac:dyDescent="0.25">
      <c r="A2406" s="5" t="s">
        <v>113</v>
      </c>
      <c r="B2406" s="5" t="s">
        <v>114</v>
      </c>
      <c r="C2406" s="5">
        <v>1330</v>
      </c>
      <c r="D2406" s="5" t="s">
        <v>62</v>
      </c>
      <c r="E2406" s="5" t="s">
        <v>66</v>
      </c>
      <c r="F2406" s="6">
        <v>42370</v>
      </c>
      <c r="G2406">
        <v>0</v>
      </c>
    </row>
    <row r="2407" spans="1:7" x14ac:dyDescent="0.25">
      <c r="A2407" s="5" t="s">
        <v>113</v>
      </c>
      <c r="B2407" s="5" t="s">
        <v>114</v>
      </c>
      <c r="C2407" s="5">
        <v>1330</v>
      </c>
      <c r="D2407" s="5" t="s">
        <v>62</v>
      </c>
      <c r="E2407" s="5" t="s">
        <v>66</v>
      </c>
      <c r="F2407" s="6">
        <v>42736</v>
      </c>
      <c r="G2407">
        <v>0</v>
      </c>
    </row>
    <row r="2408" spans="1:7" x14ac:dyDescent="0.25">
      <c r="A2408" s="5" t="s">
        <v>113</v>
      </c>
      <c r="B2408" s="5" t="s">
        <v>114</v>
      </c>
      <c r="C2408" s="5">
        <v>1330</v>
      </c>
      <c r="D2408" s="5" t="s">
        <v>62</v>
      </c>
      <c r="E2408" s="5" t="s">
        <v>67</v>
      </c>
      <c r="F2408" s="6">
        <v>42370</v>
      </c>
      <c r="G2408">
        <v>0</v>
      </c>
    </row>
    <row r="2409" spans="1:7" x14ac:dyDescent="0.25">
      <c r="A2409" s="5" t="s">
        <v>113</v>
      </c>
      <c r="B2409" s="5" t="s">
        <v>114</v>
      </c>
      <c r="C2409" s="5">
        <v>1330</v>
      </c>
      <c r="D2409" s="5" t="s">
        <v>62</v>
      </c>
      <c r="E2409" s="5" t="s">
        <v>67</v>
      </c>
      <c r="F2409" s="6">
        <v>42736</v>
      </c>
      <c r="G2409">
        <v>0</v>
      </c>
    </row>
    <row r="2410" spans="1:7" x14ac:dyDescent="0.25">
      <c r="A2410" s="5" t="s">
        <v>113</v>
      </c>
      <c r="B2410" s="5" t="s">
        <v>114</v>
      </c>
      <c r="C2410" s="5">
        <v>1330</v>
      </c>
      <c r="D2410" s="5" t="s">
        <v>62</v>
      </c>
      <c r="E2410" s="5" t="s">
        <v>68</v>
      </c>
      <c r="F2410" s="6">
        <v>42370</v>
      </c>
      <c r="G2410">
        <v>0</v>
      </c>
    </row>
    <row r="2411" spans="1:7" x14ac:dyDescent="0.25">
      <c r="A2411" s="5" t="s">
        <v>113</v>
      </c>
      <c r="B2411" s="5" t="s">
        <v>114</v>
      </c>
      <c r="C2411" s="5">
        <v>1330</v>
      </c>
      <c r="D2411" s="5" t="s">
        <v>62</v>
      </c>
      <c r="E2411" s="5" t="s">
        <v>68</v>
      </c>
      <c r="F2411" s="6">
        <v>42736</v>
      </c>
      <c r="G2411">
        <v>0</v>
      </c>
    </row>
    <row r="2412" spans="1:7" x14ac:dyDescent="0.25">
      <c r="A2412" s="5" t="s">
        <v>113</v>
      </c>
      <c r="B2412" s="5" t="s">
        <v>114</v>
      </c>
      <c r="C2412" s="5">
        <v>1330</v>
      </c>
      <c r="D2412" s="5" t="s">
        <v>62</v>
      </c>
      <c r="E2412" s="5" t="s">
        <v>69</v>
      </c>
      <c r="F2412" s="6">
        <v>42370</v>
      </c>
      <c r="G2412">
        <v>0</v>
      </c>
    </row>
    <row r="2413" spans="1:7" x14ac:dyDescent="0.25">
      <c r="A2413" s="5" t="s">
        <v>113</v>
      </c>
      <c r="B2413" s="5" t="s">
        <v>114</v>
      </c>
      <c r="C2413" s="5">
        <v>1330</v>
      </c>
      <c r="D2413" s="5" t="s">
        <v>62</v>
      </c>
      <c r="E2413" s="5" t="s">
        <v>69</v>
      </c>
      <c r="F2413" s="6">
        <v>42736</v>
      </c>
      <c r="G2413">
        <v>0</v>
      </c>
    </row>
    <row r="2414" spans="1:7" x14ac:dyDescent="0.25">
      <c r="A2414" s="5" t="s">
        <v>113</v>
      </c>
      <c r="B2414" s="5" t="s">
        <v>114</v>
      </c>
      <c r="C2414" s="5">
        <v>1330</v>
      </c>
      <c r="D2414" s="5" t="s">
        <v>62</v>
      </c>
      <c r="E2414" s="5" t="s">
        <v>70</v>
      </c>
      <c r="F2414" s="6">
        <v>42370</v>
      </c>
      <c r="G2414">
        <v>0</v>
      </c>
    </row>
    <row r="2415" spans="1:7" x14ac:dyDescent="0.25">
      <c r="A2415" s="5" t="s">
        <v>113</v>
      </c>
      <c r="B2415" s="5" t="s">
        <v>114</v>
      </c>
      <c r="C2415" s="5">
        <v>1330</v>
      </c>
      <c r="D2415" s="5" t="s">
        <v>62</v>
      </c>
      <c r="E2415" s="5" t="s">
        <v>70</v>
      </c>
      <c r="F2415" s="6">
        <v>42736</v>
      </c>
      <c r="G2415">
        <v>0</v>
      </c>
    </row>
    <row r="2416" spans="1:7" x14ac:dyDescent="0.25">
      <c r="A2416" s="5" t="s">
        <v>113</v>
      </c>
      <c r="B2416" s="5" t="s">
        <v>114</v>
      </c>
      <c r="C2416" s="5">
        <v>1330</v>
      </c>
      <c r="D2416" s="5" t="s">
        <v>62</v>
      </c>
      <c r="E2416" s="5" t="s">
        <v>71</v>
      </c>
      <c r="F2416" s="6">
        <v>42370</v>
      </c>
      <c r="G2416">
        <v>0</v>
      </c>
    </row>
    <row r="2417" spans="1:7" x14ac:dyDescent="0.25">
      <c r="A2417" s="5" t="s">
        <v>113</v>
      </c>
      <c r="B2417" s="5" t="s">
        <v>114</v>
      </c>
      <c r="C2417" s="5">
        <v>1330</v>
      </c>
      <c r="D2417" s="5" t="s">
        <v>62</v>
      </c>
      <c r="E2417" s="5" t="s">
        <v>71</v>
      </c>
      <c r="F2417" s="6">
        <v>42736</v>
      </c>
      <c r="G2417">
        <v>0</v>
      </c>
    </row>
    <row r="2418" spans="1:7" x14ac:dyDescent="0.25">
      <c r="A2418" s="5" t="s">
        <v>113</v>
      </c>
      <c r="B2418" s="5" t="s">
        <v>114</v>
      </c>
      <c r="C2418" s="5">
        <v>1330</v>
      </c>
      <c r="D2418" s="5" t="s">
        <v>72</v>
      </c>
      <c r="E2418" s="5" t="s">
        <v>73</v>
      </c>
      <c r="F2418" s="6">
        <v>42370</v>
      </c>
      <c r="G2418">
        <v>0</v>
      </c>
    </row>
    <row r="2419" spans="1:7" x14ac:dyDescent="0.25">
      <c r="A2419" s="5" t="s">
        <v>113</v>
      </c>
      <c r="B2419" s="5" t="s">
        <v>114</v>
      </c>
      <c r="C2419" s="5">
        <v>1330</v>
      </c>
      <c r="D2419" s="5" t="s">
        <v>72</v>
      </c>
      <c r="E2419" s="5" t="s">
        <v>73</v>
      </c>
      <c r="F2419" s="6">
        <v>42736</v>
      </c>
      <c r="G2419">
        <v>0</v>
      </c>
    </row>
    <row r="2420" spans="1:7" x14ac:dyDescent="0.25">
      <c r="A2420" s="5" t="s">
        <v>113</v>
      </c>
      <c r="B2420" s="5" t="s">
        <v>114</v>
      </c>
      <c r="C2420" s="5">
        <v>1330</v>
      </c>
      <c r="D2420" s="5" t="s">
        <v>72</v>
      </c>
      <c r="E2420" s="5" t="s">
        <v>9</v>
      </c>
      <c r="F2420" s="6">
        <v>42370</v>
      </c>
      <c r="G2420">
        <v>0</v>
      </c>
    </row>
    <row r="2421" spans="1:7" x14ac:dyDescent="0.25">
      <c r="A2421" s="5" t="s">
        <v>113</v>
      </c>
      <c r="B2421" s="5" t="s">
        <v>114</v>
      </c>
      <c r="C2421" s="5">
        <v>1330</v>
      </c>
      <c r="D2421" s="5" t="s">
        <v>72</v>
      </c>
      <c r="E2421" s="5" t="s">
        <v>9</v>
      </c>
      <c r="F2421" s="6">
        <v>42736</v>
      </c>
      <c r="G2421">
        <v>0</v>
      </c>
    </row>
    <row r="2422" spans="1:7" x14ac:dyDescent="0.25">
      <c r="A2422" s="5" t="s">
        <v>113</v>
      </c>
      <c r="B2422" s="5" t="s">
        <v>114</v>
      </c>
      <c r="C2422" s="5">
        <v>1330</v>
      </c>
      <c r="D2422" s="5" t="s">
        <v>72</v>
      </c>
      <c r="E2422" s="5" t="s">
        <v>34</v>
      </c>
      <c r="F2422" s="6">
        <v>42370</v>
      </c>
      <c r="G2422">
        <v>0</v>
      </c>
    </row>
    <row r="2423" spans="1:7" x14ac:dyDescent="0.25">
      <c r="A2423" s="5" t="s">
        <v>113</v>
      </c>
      <c r="B2423" s="5" t="s">
        <v>114</v>
      </c>
      <c r="C2423" s="5">
        <v>1330</v>
      </c>
      <c r="D2423" s="5" t="s">
        <v>72</v>
      </c>
      <c r="E2423" s="5" t="s">
        <v>34</v>
      </c>
      <c r="F2423" s="6">
        <v>42736</v>
      </c>
      <c r="G2423">
        <v>0</v>
      </c>
    </row>
    <row r="2424" spans="1:7" x14ac:dyDescent="0.25">
      <c r="A2424" s="5" t="s">
        <v>113</v>
      </c>
      <c r="B2424" s="5" t="s">
        <v>114</v>
      </c>
      <c r="C2424" s="5">
        <v>1330</v>
      </c>
      <c r="D2424" s="5" t="s">
        <v>72</v>
      </c>
      <c r="E2424" s="5" t="s">
        <v>74</v>
      </c>
      <c r="F2424" s="6">
        <v>42370</v>
      </c>
      <c r="G2424">
        <v>0</v>
      </c>
    </row>
    <row r="2425" spans="1:7" x14ac:dyDescent="0.25">
      <c r="A2425" s="5" t="s">
        <v>113</v>
      </c>
      <c r="B2425" s="5" t="s">
        <v>114</v>
      </c>
      <c r="C2425" s="5">
        <v>1330</v>
      </c>
      <c r="D2425" s="5" t="s">
        <v>72</v>
      </c>
      <c r="E2425" s="5" t="s">
        <v>74</v>
      </c>
      <c r="F2425" s="6">
        <v>42736</v>
      </c>
      <c r="G2425">
        <v>0</v>
      </c>
    </row>
    <row r="2426" spans="1:7" x14ac:dyDescent="0.25">
      <c r="A2426" s="5" t="s">
        <v>113</v>
      </c>
      <c r="B2426" s="5" t="s">
        <v>114</v>
      </c>
      <c r="C2426" s="5">
        <v>1330</v>
      </c>
      <c r="D2426" s="5" t="s">
        <v>72</v>
      </c>
      <c r="E2426" s="5" t="s">
        <v>75</v>
      </c>
      <c r="F2426" s="6">
        <v>42370</v>
      </c>
      <c r="G2426">
        <v>0</v>
      </c>
    </row>
    <row r="2427" spans="1:7" x14ac:dyDescent="0.25">
      <c r="A2427" s="5" t="s">
        <v>113</v>
      </c>
      <c r="B2427" s="5" t="s">
        <v>114</v>
      </c>
      <c r="C2427" s="5">
        <v>1330</v>
      </c>
      <c r="D2427" s="5" t="s">
        <v>72</v>
      </c>
      <c r="E2427" s="5" t="s">
        <v>75</v>
      </c>
      <c r="F2427" s="6">
        <v>42736</v>
      </c>
      <c r="G2427">
        <v>0</v>
      </c>
    </row>
    <row r="2428" spans="1:7" x14ac:dyDescent="0.25">
      <c r="A2428" s="5" t="s">
        <v>113</v>
      </c>
      <c r="B2428" s="5" t="s">
        <v>114</v>
      </c>
      <c r="C2428" s="5">
        <v>1330</v>
      </c>
      <c r="D2428" s="5" t="s">
        <v>76</v>
      </c>
      <c r="E2428" s="5" t="s">
        <v>9</v>
      </c>
      <c r="F2428" s="6">
        <v>42370</v>
      </c>
      <c r="G2428">
        <v>0</v>
      </c>
    </row>
    <row r="2429" spans="1:7" x14ac:dyDescent="0.25">
      <c r="A2429" s="5" t="s">
        <v>113</v>
      </c>
      <c r="B2429" s="5" t="s">
        <v>114</v>
      </c>
      <c r="C2429" s="5">
        <v>1330</v>
      </c>
      <c r="D2429" s="5" t="s">
        <v>76</v>
      </c>
      <c r="E2429" s="5" t="s">
        <v>9</v>
      </c>
      <c r="F2429" s="6">
        <v>42736</v>
      </c>
      <c r="G2429">
        <v>0</v>
      </c>
    </row>
    <row r="2430" spans="1:7" x14ac:dyDescent="0.25">
      <c r="A2430" s="5" t="s">
        <v>113</v>
      </c>
      <c r="B2430" s="5" t="s">
        <v>114</v>
      </c>
      <c r="C2430" s="5">
        <v>1330</v>
      </c>
      <c r="D2430" s="5" t="s">
        <v>76</v>
      </c>
      <c r="E2430" s="5" t="s">
        <v>77</v>
      </c>
      <c r="F2430" s="6">
        <v>42370</v>
      </c>
      <c r="G2430">
        <v>0</v>
      </c>
    </row>
    <row r="2431" spans="1:7" x14ac:dyDescent="0.25">
      <c r="A2431" s="5" t="s">
        <v>113</v>
      </c>
      <c r="B2431" s="5" t="s">
        <v>114</v>
      </c>
      <c r="C2431" s="5">
        <v>1330</v>
      </c>
      <c r="D2431" s="5" t="s">
        <v>76</v>
      </c>
      <c r="E2431" s="5" t="s">
        <v>77</v>
      </c>
      <c r="F2431" s="6">
        <v>42736</v>
      </c>
      <c r="G2431">
        <v>0</v>
      </c>
    </row>
    <row r="2432" spans="1:7" x14ac:dyDescent="0.25">
      <c r="A2432" s="5" t="s">
        <v>113</v>
      </c>
      <c r="B2432" s="5" t="s">
        <v>114</v>
      </c>
      <c r="C2432" s="5">
        <v>1330</v>
      </c>
      <c r="D2432" s="5" t="s">
        <v>78</v>
      </c>
      <c r="E2432" s="5" t="s">
        <v>79</v>
      </c>
      <c r="F2432" s="6">
        <v>42370</v>
      </c>
      <c r="G2432">
        <v>4</v>
      </c>
    </row>
    <row r="2433" spans="1:7" x14ac:dyDescent="0.25">
      <c r="A2433" s="5" t="s">
        <v>113</v>
      </c>
      <c r="B2433" s="5" t="s">
        <v>114</v>
      </c>
      <c r="C2433" s="5">
        <v>1330</v>
      </c>
      <c r="D2433" s="5" t="s">
        <v>78</v>
      </c>
      <c r="E2433" s="5" t="s">
        <v>79</v>
      </c>
      <c r="F2433" s="6">
        <v>42736</v>
      </c>
      <c r="G2433">
        <v>5</v>
      </c>
    </row>
    <row r="2434" spans="1:7" x14ac:dyDescent="0.25">
      <c r="A2434" s="5" t="s">
        <v>113</v>
      </c>
      <c r="B2434" s="5" t="s">
        <v>114</v>
      </c>
      <c r="C2434" s="5">
        <v>1330</v>
      </c>
      <c r="D2434" s="5" t="s">
        <v>78</v>
      </c>
      <c r="E2434" s="5" t="s">
        <v>80</v>
      </c>
      <c r="F2434" s="6">
        <v>42370</v>
      </c>
      <c r="G2434">
        <v>6</v>
      </c>
    </row>
    <row r="2435" spans="1:7" x14ac:dyDescent="0.25">
      <c r="A2435" s="5" t="s">
        <v>113</v>
      </c>
      <c r="B2435" s="5" t="s">
        <v>114</v>
      </c>
      <c r="C2435" s="5">
        <v>1330</v>
      </c>
      <c r="D2435" s="5" t="s">
        <v>78</v>
      </c>
      <c r="E2435" s="5" t="s">
        <v>80</v>
      </c>
      <c r="F2435" s="6">
        <v>42736</v>
      </c>
      <c r="G2435">
        <v>0</v>
      </c>
    </row>
    <row r="2436" spans="1:7" x14ac:dyDescent="0.25">
      <c r="A2436" s="5" t="s">
        <v>113</v>
      </c>
      <c r="B2436" s="5" t="s">
        <v>114</v>
      </c>
      <c r="C2436" s="5">
        <v>1330</v>
      </c>
      <c r="D2436" s="5" t="s">
        <v>78</v>
      </c>
      <c r="E2436" s="5" t="s">
        <v>81</v>
      </c>
      <c r="F2436" s="6">
        <v>42370</v>
      </c>
      <c r="G2436">
        <v>151</v>
      </c>
    </row>
    <row r="2437" spans="1:7" x14ac:dyDescent="0.25">
      <c r="A2437" s="5" t="s">
        <v>113</v>
      </c>
      <c r="B2437" s="5" t="s">
        <v>114</v>
      </c>
      <c r="C2437" s="5">
        <v>1330</v>
      </c>
      <c r="D2437" s="5" t="s">
        <v>78</v>
      </c>
      <c r="E2437" s="5" t="s">
        <v>81</v>
      </c>
      <c r="F2437" s="6">
        <v>42736</v>
      </c>
      <c r="G2437">
        <v>203</v>
      </c>
    </row>
    <row r="2438" spans="1:7" x14ac:dyDescent="0.25">
      <c r="A2438" s="5" t="s">
        <v>113</v>
      </c>
      <c r="B2438" s="5" t="s">
        <v>114</v>
      </c>
      <c r="C2438" s="5">
        <v>1330</v>
      </c>
      <c r="D2438" s="5" t="s">
        <v>78</v>
      </c>
      <c r="E2438" s="5" t="s">
        <v>82</v>
      </c>
      <c r="F2438" s="6">
        <v>42370</v>
      </c>
      <c r="G2438">
        <v>3</v>
      </c>
    </row>
    <row r="2439" spans="1:7" x14ac:dyDescent="0.25">
      <c r="A2439" s="5" t="s">
        <v>113</v>
      </c>
      <c r="B2439" s="5" t="s">
        <v>114</v>
      </c>
      <c r="C2439" s="5">
        <v>1330</v>
      </c>
      <c r="D2439" s="5" t="s">
        <v>78</v>
      </c>
      <c r="E2439" s="5" t="s">
        <v>82</v>
      </c>
      <c r="F2439" s="6">
        <v>42736</v>
      </c>
      <c r="G2439">
        <v>4</v>
      </c>
    </row>
    <row r="2440" spans="1:7" x14ac:dyDescent="0.25">
      <c r="A2440" s="5" t="s">
        <v>113</v>
      </c>
      <c r="B2440" s="5" t="s">
        <v>114</v>
      </c>
      <c r="C2440" s="5">
        <v>1330</v>
      </c>
      <c r="D2440" s="5" t="s">
        <v>78</v>
      </c>
      <c r="E2440" s="5" t="s">
        <v>83</v>
      </c>
      <c r="F2440" s="6">
        <v>42370</v>
      </c>
      <c r="G2440">
        <v>0</v>
      </c>
    </row>
    <row r="2441" spans="1:7" x14ac:dyDescent="0.25">
      <c r="A2441" s="5" t="s">
        <v>113</v>
      </c>
      <c r="B2441" s="5" t="s">
        <v>114</v>
      </c>
      <c r="C2441" s="5">
        <v>1330</v>
      </c>
      <c r="D2441" s="5" t="s">
        <v>78</v>
      </c>
      <c r="E2441" s="5" t="s">
        <v>83</v>
      </c>
      <c r="F2441" s="6">
        <v>42736</v>
      </c>
      <c r="G2441">
        <v>0</v>
      </c>
    </row>
    <row r="2442" spans="1:7" x14ac:dyDescent="0.25">
      <c r="A2442" s="5" t="s">
        <v>113</v>
      </c>
      <c r="B2442" s="5" t="s">
        <v>114</v>
      </c>
      <c r="C2442" s="5">
        <v>1330</v>
      </c>
      <c r="D2442" s="5" t="s">
        <v>78</v>
      </c>
      <c r="E2442" s="5" t="s">
        <v>84</v>
      </c>
      <c r="F2442" s="6">
        <v>42370</v>
      </c>
      <c r="G2442">
        <v>0</v>
      </c>
    </row>
    <row r="2443" spans="1:7" x14ac:dyDescent="0.25">
      <c r="A2443" s="5" t="s">
        <v>113</v>
      </c>
      <c r="B2443" s="5" t="s">
        <v>114</v>
      </c>
      <c r="C2443" s="5">
        <v>1330</v>
      </c>
      <c r="D2443" s="5" t="s">
        <v>78</v>
      </c>
      <c r="E2443" s="5" t="s">
        <v>84</v>
      </c>
      <c r="F2443" s="6">
        <v>42736</v>
      </c>
      <c r="G2443">
        <v>0</v>
      </c>
    </row>
    <row r="2444" spans="1:7" x14ac:dyDescent="0.25">
      <c r="A2444" s="5" t="s">
        <v>113</v>
      </c>
      <c r="B2444" s="5" t="s">
        <v>114</v>
      </c>
      <c r="C2444" s="5">
        <v>1330</v>
      </c>
      <c r="D2444" s="5" t="s">
        <v>78</v>
      </c>
      <c r="E2444" s="5" t="s">
        <v>85</v>
      </c>
      <c r="F2444" s="6">
        <v>42370</v>
      </c>
      <c r="G2444">
        <v>0</v>
      </c>
    </row>
    <row r="2445" spans="1:7" x14ac:dyDescent="0.25">
      <c r="A2445" s="5" t="s">
        <v>113</v>
      </c>
      <c r="B2445" s="5" t="s">
        <v>114</v>
      </c>
      <c r="C2445" s="5">
        <v>1330</v>
      </c>
      <c r="D2445" s="5" t="s">
        <v>78</v>
      </c>
      <c r="E2445" s="5" t="s">
        <v>85</v>
      </c>
      <c r="F2445" s="6">
        <v>42736</v>
      </c>
      <c r="G2445">
        <v>0</v>
      </c>
    </row>
    <row r="2446" spans="1:7" x14ac:dyDescent="0.25">
      <c r="A2446" s="5" t="s">
        <v>113</v>
      </c>
      <c r="B2446" s="5" t="s">
        <v>114</v>
      </c>
      <c r="C2446" s="5">
        <v>1330</v>
      </c>
      <c r="D2446" s="5" t="s">
        <v>78</v>
      </c>
      <c r="E2446" s="5" t="s">
        <v>86</v>
      </c>
      <c r="F2446" s="6">
        <v>42370</v>
      </c>
      <c r="G2446">
        <v>0</v>
      </c>
    </row>
    <row r="2447" spans="1:7" x14ac:dyDescent="0.25">
      <c r="A2447" s="5" t="s">
        <v>113</v>
      </c>
      <c r="B2447" s="5" t="s">
        <v>114</v>
      </c>
      <c r="C2447" s="5">
        <v>1330</v>
      </c>
      <c r="D2447" s="5" t="s">
        <v>78</v>
      </c>
      <c r="E2447" s="5" t="s">
        <v>86</v>
      </c>
      <c r="F2447" s="6">
        <v>42736</v>
      </c>
      <c r="G2447">
        <v>0</v>
      </c>
    </row>
    <row r="2448" spans="1:7" x14ac:dyDescent="0.25">
      <c r="A2448" s="5" t="s">
        <v>113</v>
      </c>
      <c r="B2448" s="5" t="s">
        <v>114</v>
      </c>
      <c r="C2448" s="5">
        <v>1330</v>
      </c>
      <c r="D2448" s="5" t="s">
        <v>78</v>
      </c>
      <c r="E2448" s="5" t="s">
        <v>87</v>
      </c>
      <c r="F2448" s="6">
        <v>42370</v>
      </c>
      <c r="G2448">
        <v>6</v>
      </c>
    </row>
    <row r="2449" spans="1:7" x14ac:dyDescent="0.25">
      <c r="A2449" s="5" t="s">
        <v>113</v>
      </c>
      <c r="B2449" s="5" t="s">
        <v>114</v>
      </c>
      <c r="C2449" s="5">
        <v>1330</v>
      </c>
      <c r="D2449" s="5" t="s">
        <v>78</v>
      </c>
      <c r="E2449" s="5" t="s">
        <v>87</v>
      </c>
      <c r="F2449" s="6">
        <v>42736</v>
      </c>
      <c r="G2449">
        <v>7</v>
      </c>
    </row>
    <row r="2450" spans="1:7" x14ac:dyDescent="0.25">
      <c r="A2450" s="5" t="s">
        <v>113</v>
      </c>
      <c r="B2450" s="5" t="s">
        <v>114</v>
      </c>
      <c r="C2450" s="5">
        <v>1330</v>
      </c>
      <c r="D2450" s="5" t="s">
        <v>78</v>
      </c>
      <c r="E2450" s="5" t="s">
        <v>88</v>
      </c>
      <c r="F2450" s="6">
        <v>42370</v>
      </c>
      <c r="G2450">
        <v>32</v>
      </c>
    </row>
    <row r="2451" spans="1:7" x14ac:dyDescent="0.25">
      <c r="A2451" s="5" t="s">
        <v>113</v>
      </c>
      <c r="B2451" s="5" t="s">
        <v>114</v>
      </c>
      <c r="C2451" s="5">
        <v>1330</v>
      </c>
      <c r="D2451" s="5" t="s">
        <v>78</v>
      </c>
      <c r="E2451" s="5" t="s">
        <v>88</v>
      </c>
      <c r="F2451" s="6">
        <v>42736</v>
      </c>
      <c r="G2451">
        <v>54</v>
      </c>
    </row>
    <row r="2452" spans="1:7" x14ac:dyDescent="0.25">
      <c r="A2452" s="5" t="s">
        <v>113</v>
      </c>
      <c r="B2452" s="5" t="s">
        <v>114</v>
      </c>
      <c r="C2452" s="5">
        <v>1330</v>
      </c>
      <c r="D2452" s="5" t="s">
        <v>78</v>
      </c>
      <c r="E2452" s="5" t="s">
        <v>89</v>
      </c>
      <c r="F2452" s="6">
        <v>42370</v>
      </c>
      <c r="G2452">
        <v>636</v>
      </c>
    </row>
    <row r="2453" spans="1:7" x14ac:dyDescent="0.25">
      <c r="A2453" s="5" t="s">
        <v>113</v>
      </c>
      <c r="B2453" s="5" t="s">
        <v>114</v>
      </c>
      <c r="C2453" s="5">
        <v>1330</v>
      </c>
      <c r="D2453" s="5" t="s">
        <v>78</v>
      </c>
      <c r="E2453" s="5" t="s">
        <v>89</v>
      </c>
      <c r="F2453" s="6">
        <v>42736</v>
      </c>
      <c r="G2453">
        <v>594</v>
      </c>
    </row>
    <row r="2454" spans="1:7" x14ac:dyDescent="0.25">
      <c r="A2454" s="5" t="s">
        <v>113</v>
      </c>
      <c r="B2454" s="5" t="s">
        <v>114</v>
      </c>
      <c r="C2454" s="5">
        <v>1330</v>
      </c>
      <c r="D2454" s="5" t="s">
        <v>78</v>
      </c>
      <c r="E2454" s="5" t="s">
        <v>90</v>
      </c>
      <c r="F2454" s="6">
        <v>42370</v>
      </c>
      <c r="G2454">
        <v>0</v>
      </c>
    </row>
    <row r="2455" spans="1:7" x14ac:dyDescent="0.25">
      <c r="A2455" s="5" t="s">
        <v>113</v>
      </c>
      <c r="B2455" s="5" t="s">
        <v>114</v>
      </c>
      <c r="C2455" s="5">
        <v>1330</v>
      </c>
      <c r="D2455" s="5" t="s">
        <v>78</v>
      </c>
      <c r="E2455" s="5" t="s">
        <v>90</v>
      </c>
      <c r="F2455" s="6">
        <v>42736</v>
      </c>
      <c r="G2455">
        <v>0</v>
      </c>
    </row>
    <row r="2456" spans="1:7" x14ac:dyDescent="0.25">
      <c r="A2456" s="5" t="s">
        <v>113</v>
      </c>
      <c r="B2456" s="5" t="s">
        <v>114</v>
      </c>
      <c r="C2456" s="5">
        <v>1330</v>
      </c>
      <c r="D2456" s="5" t="s">
        <v>78</v>
      </c>
      <c r="E2456" s="5" t="s">
        <v>91</v>
      </c>
      <c r="F2456" s="6">
        <v>42370</v>
      </c>
      <c r="G2456">
        <v>0</v>
      </c>
    </row>
    <row r="2457" spans="1:7" x14ac:dyDescent="0.25">
      <c r="A2457" s="5" t="s">
        <v>113</v>
      </c>
      <c r="B2457" s="5" t="s">
        <v>114</v>
      </c>
      <c r="C2457" s="5">
        <v>1330</v>
      </c>
      <c r="D2457" s="5" t="s">
        <v>78</v>
      </c>
      <c r="E2457" s="5" t="s">
        <v>91</v>
      </c>
      <c r="F2457" s="6">
        <v>42736</v>
      </c>
      <c r="G2457">
        <v>0</v>
      </c>
    </row>
    <row r="2458" spans="1:7" x14ac:dyDescent="0.25">
      <c r="A2458" s="5" t="s">
        <v>113</v>
      </c>
      <c r="B2458" s="5" t="s">
        <v>114</v>
      </c>
      <c r="C2458" s="5">
        <v>1330</v>
      </c>
      <c r="D2458" s="5" t="s">
        <v>78</v>
      </c>
      <c r="E2458" s="5" t="s">
        <v>92</v>
      </c>
      <c r="F2458" s="6">
        <v>42370</v>
      </c>
      <c r="G2458">
        <v>0</v>
      </c>
    </row>
    <row r="2459" spans="1:7" x14ac:dyDescent="0.25">
      <c r="A2459" s="5" t="s">
        <v>113</v>
      </c>
      <c r="B2459" s="5" t="s">
        <v>114</v>
      </c>
      <c r="C2459" s="5">
        <v>1330</v>
      </c>
      <c r="D2459" s="5" t="s">
        <v>78</v>
      </c>
      <c r="E2459" s="5" t="s">
        <v>92</v>
      </c>
      <c r="F2459" s="6">
        <v>42736</v>
      </c>
      <c r="G2459">
        <v>0</v>
      </c>
    </row>
    <row r="2460" spans="1:7" x14ac:dyDescent="0.25">
      <c r="A2460" s="5" t="s">
        <v>113</v>
      </c>
      <c r="B2460" s="5" t="s">
        <v>114</v>
      </c>
      <c r="C2460" s="5">
        <v>1330</v>
      </c>
      <c r="D2460" s="5" t="s">
        <v>78</v>
      </c>
      <c r="E2460" s="5" t="s">
        <v>93</v>
      </c>
      <c r="F2460" s="6">
        <v>42370</v>
      </c>
      <c r="G2460">
        <v>0</v>
      </c>
    </row>
    <row r="2461" spans="1:7" x14ac:dyDescent="0.25">
      <c r="A2461" s="5" t="s">
        <v>113</v>
      </c>
      <c r="B2461" s="5" t="s">
        <v>114</v>
      </c>
      <c r="C2461" s="5">
        <v>1330</v>
      </c>
      <c r="D2461" s="5" t="s">
        <v>78</v>
      </c>
      <c r="E2461" s="5" t="s">
        <v>93</v>
      </c>
      <c r="F2461" s="6">
        <v>42736</v>
      </c>
      <c r="G2461">
        <v>0</v>
      </c>
    </row>
    <row r="2462" spans="1:7" x14ac:dyDescent="0.25">
      <c r="A2462" s="5" t="s">
        <v>113</v>
      </c>
      <c r="B2462" s="5" t="s">
        <v>114</v>
      </c>
      <c r="C2462" s="5">
        <v>1330</v>
      </c>
      <c r="D2462" s="5" t="s">
        <v>78</v>
      </c>
      <c r="E2462" s="5" t="s">
        <v>94</v>
      </c>
      <c r="F2462" s="6">
        <v>42370</v>
      </c>
      <c r="G2462">
        <v>0</v>
      </c>
    </row>
    <row r="2463" spans="1:7" x14ac:dyDescent="0.25">
      <c r="A2463" s="5" t="s">
        <v>113</v>
      </c>
      <c r="B2463" s="5" t="s">
        <v>114</v>
      </c>
      <c r="C2463" s="5">
        <v>1330</v>
      </c>
      <c r="D2463" s="5" t="s">
        <v>78</v>
      </c>
      <c r="E2463" s="5" t="s">
        <v>94</v>
      </c>
      <c r="F2463" s="6">
        <v>42736</v>
      </c>
      <c r="G2463">
        <v>0</v>
      </c>
    </row>
    <row r="2464" spans="1:7" x14ac:dyDescent="0.25">
      <c r="A2464" s="5" t="s">
        <v>113</v>
      </c>
      <c r="B2464" s="5" t="s">
        <v>114</v>
      </c>
      <c r="C2464" s="5">
        <v>1330</v>
      </c>
      <c r="D2464" s="5" t="s">
        <v>78</v>
      </c>
      <c r="E2464" s="5" t="s">
        <v>95</v>
      </c>
      <c r="F2464" s="6">
        <v>42370</v>
      </c>
      <c r="G2464">
        <v>0</v>
      </c>
    </row>
    <row r="2465" spans="1:7" x14ac:dyDescent="0.25">
      <c r="A2465" s="5" t="s">
        <v>113</v>
      </c>
      <c r="B2465" s="5" t="s">
        <v>114</v>
      </c>
      <c r="C2465" s="5">
        <v>1330</v>
      </c>
      <c r="D2465" s="5" t="s">
        <v>78</v>
      </c>
      <c r="E2465" s="5" t="s">
        <v>95</v>
      </c>
      <c r="F2465" s="6">
        <v>42736</v>
      </c>
      <c r="G2465">
        <v>0</v>
      </c>
    </row>
    <row r="2466" spans="1:7" x14ac:dyDescent="0.25">
      <c r="A2466" s="5" t="s">
        <v>113</v>
      </c>
      <c r="B2466" s="5" t="s">
        <v>114</v>
      </c>
      <c r="C2466" s="5">
        <v>1330</v>
      </c>
      <c r="D2466" s="5" t="s">
        <v>78</v>
      </c>
      <c r="E2466" s="5" t="s">
        <v>96</v>
      </c>
      <c r="F2466" s="6">
        <v>42370</v>
      </c>
      <c r="G2466">
        <v>0</v>
      </c>
    </row>
    <row r="2467" spans="1:7" x14ac:dyDescent="0.25">
      <c r="A2467" s="5" t="s">
        <v>113</v>
      </c>
      <c r="B2467" s="5" t="s">
        <v>114</v>
      </c>
      <c r="C2467" s="5">
        <v>1330</v>
      </c>
      <c r="D2467" s="5" t="s">
        <v>78</v>
      </c>
      <c r="E2467" s="5" t="s">
        <v>96</v>
      </c>
      <c r="F2467" s="6">
        <v>42736</v>
      </c>
      <c r="G2467">
        <v>0</v>
      </c>
    </row>
    <row r="2468" spans="1:7" x14ac:dyDescent="0.25">
      <c r="A2468" s="5" t="s">
        <v>113</v>
      </c>
      <c r="B2468" s="5" t="s">
        <v>114</v>
      </c>
      <c r="C2468" s="5">
        <v>1330</v>
      </c>
      <c r="D2468" s="5" t="s">
        <v>78</v>
      </c>
      <c r="E2468" s="5" t="s">
        <v>97</v>
      </c>
      <c r="F2468" s="6">
        <v>42370</v>
      </c>
      <c r="G2468">
        <v>0</v>
      </c>
    </row>
    <row r="2469" spans="1:7" x14ac:dyDescent="0.25">
      <c r="A2469" s="5" t="s">
        <v>113</v>
      </c>
      <c r="B2469" s="5" t="s">
        <v>114</v>
      </c>
      <c r="C2469" s="5">
        <v>1330</v>
      </c>
      <c r="D2469" s="5" t="s">
        <v>78</v>
      </c>
      <c r="E2469" s="5" t="s">
        <v>97</v>
      </c>
      <c r="F2469" s="6">
        <v>42736</v>
      </c>
      <c r="G2469">
        <v>0</v>
      </c>
    </row>
    <row r="2470" spans="1:7" x14ac:dyDescent="0.25">
      <c r="A2470" s="5" t="s">
        <v>113</v>
      </c>
      <c r="B2470" s="5" t="s">
        <v>114</v>
      </c>
      <c r="C2470" s="5">
        <v>1330</v>
      </c>
      <c r="D2470" s="5" t="s">
        <v>78</v>
      </c>
      <c r="E2470" s="5" t="s">
        <v>98</v>
      </c>
      <c r="F2470" s="6">
        <v>42370</v>
      </c>
      <c r="G2470">
        <v>5</v>
      </c>
    </row>
    <row r="2471" spans="1:7" x14ac:dyDescent="0.25">
      <c r="A2471" s="5" t="s">
        <v>113</v>
      </c>
      <c r="B2471" s="5" t="s">
        <v>114</v>
      </c>
      <c r="C2471" s="5">
        <v>1330</v>
      </c>
      <c r="D2471" s="5" t="s">
        <v>78</v>
      </c>
      <c r="E2471" s="5" t="s">
        <v>98</v>
      </c>
      <c r="F2471" s="6">
        <v>42736</v>
      </c>
      <c r="G2471">
        <v>18</v>
      </c>
    </row>
    <row r="2472" spans="1:7" x14ac:dyDescent="0.25">
      <c r="A2472" s="5" t="s">
        <v>113</v>
      </c>
      <c r="B2472" s="5" t="s">
        <v>115</v>
      </c>
      <c r="C2472" s="5">
        <v>1300</v>
      </c>
      <c r="D2472" s="5" t="s">
        <v>8</v>
      </c>
      <c r="E2472" s="5" t="s">
        <v>9</v>
      </c>
      <c r="F2472" s="6">
        <v>42370</v>
      </c>
      <c r="G2472">
        <v>0</v>
      </c>
    </row>
    <row r="2473" spans="1:7" x14ac:dyDescent="0.25">
      <c r="A2473" s="5" t="s">
        <v>113</v>
      </c>
      <c r="B2473" s="5" t="s">
        <v>115</v>
      </c>
      <c r="C2473" s="5">
        <v>1300</v>
      </c>
      <c r="D2473" s="5" t="s">
        <v>8</v>
      </c>
      <c r="E2473" s="5" t="s">
        <v>9</v>
      </c>
      <c r="F2473" s="6">
        <v>42736</v>
      </c>
      <c r="G2473">
        <v>0</v>
      </c>
    </row>
    <row r="2474" spans="1:7" x14ac:dyDescent="0.25">
      <c r="A2474" s="5" t="s">
        <v>113</v>
      </c>
      <c r="B2474" s="5" t="s">
        <v>115</v>
      </c>
      <c r="C2474" s="5">
        <v>1300</v>
      </c>
      <c r="D2474" s="5" t="s">
        <v>8</v>
      </c>
      <c r="E2474" s="5" t="s">
        <v>10</v>
      </c>
      <c r="F2474" s="6">
        <v>42370</v>
      </c>
      <c r="G2474">
        <v>211</v>
      </c>
    </row>
    <row r="2475" spans="1:7" x14ac:dyDescent="0.25">
      <c r="A2475" s="5" t="s">
        <v>113</v>
      </c>
      <c r="B2475" s="5" t="s">
        <v>115</v>
      </c>
      <c r="C2475" s="5">
        <v>1300</v>
      </c>
      <c r="D2475" s="5" t="s">
        <v>8</v>
      </c>
      <c r="E2475" s="5" t="s">
        <v>10</v>
      </c>
      <c r="F2475" s="6">
        <v>42736</v>
      </c>
      <c r="G2475">
        <v>323</v>
      </c>
    </row>
    <row r="2476" spans="1:7" x14ac:dyDescent="0.25">
      <c r="A2476" s="5" t="s">
        <v>113</v>
      </c>
      <c r="B2476" s="5" t="s">
        <v>115</v>
      </c>
      <c r="C2476" s="5">
        <v>1300</v>
      </c>
      <c r="D2476" s="5" t="s">
        <v>8</v>
      </c>
      <c r="E2476" s="5" t="s">
        <v>11</v>
      </c>
      <c r="F2476" s="6">
        <v>42370</v>
      </c>
      <c r="G2476">
        <v>43</v>
      </c>
    </row>
    <row r="2477" spans="1:7" x14ac:dyDescent="0.25">
      <c r="A2477" s="5" t="s">
        <v>113</v>
      </c>
      <c r="B2477" s="5" t="s">
        <v>115</v>
      </c>
      <c r="C2477" s="5">
        <v>1300</v>
      </c>
      <c r="D2477" s="5" t="s">
        <v>8</v>
      </c>
      <c r="E2477" s="5" t="s">
        <v>11</v>
      </c>
      <c r="F2477" s="6">
        <v>42736</v>
      </c>
      <c r="G2477">
        <v>108</v>
      </c>
    </row>
    <row r="2478" spans="1:7" x14ac:dyDescent="0.25">
      <c r="A2478" s="5" t="s">
        <v>113</v>
      </c>
      <c r="B2478" s="5" t="s">
        <v>115</v>
      </c>
      <c r="C2478" s="5">
        <v>1300</v>
      </c>
      <c r="D2478" s="5" t="s">
        <v>8</v>
      </c>
      <c r="E2478" s="5" t="s">
        <v>12</v>
      </c>
      <c r="F2478" s="6">
        <v>42370</v>
      </c>
      <c r="G2478">
        <v>0</v>
      </c>
    </row>
    <row r="2479" spans="1:7" x14ac:dyDescent="0.25">
      <c r="A2479" s="5" t="s">
        <v>113</v>
      </c>
      <c r="B2479" s="5" t="s">
        <v>115</v>
      </c>
      <c r="C2479" s="5">
        <v>1300</v>
      </c>
      <c r="D2479" s="5" t="s">
        <v>8</v>
      </c>
      <c r="E2479" s="5" t="s">
        <v>12</v>
      </c>
      <c r="F2479" s="6">
        <v>42736</v>
      </c>
      <c r="G2479">
        <v>0</v>
      </c>
    </row>
    <row r="2480" spans="1:7" x14ac:dyDescent="0.25">
      <c r="A2480" s="5" t="s">
        <v>113</v>
      </c>
      <c r="B2480" s="5" t="s">
        <v>115</v>
      </c>
      <c r="C2480" s="5">
        <v>1300</v>
      </c>
      <c r="D2480" s="5" t="s">
        <v>8</v>
      </c>
      <c r="E2480" s="5" t="s">
        <v>13</v>
      </c>
      <c r="F2480" s="6">
        <v>42370</v>
      </c>
      <c r="G2480">
        <v>0</v>
      </c>
    </row>
    <row r="2481" spans="1:7" x14ac:dyDescent="0.25">
      <c r="A2481" s="5" t="s">
        <v>113</v>
      </c>
      <c r="B2481" s="5" t="s">
        <v>115</v>
      </c>
      <c r="C2481" s="5">
        <v>1300</v>
      </c>
      <c r="D2481" s="5" t="s">
        <v>8</v>
      </c>
      <c r="E2481" s="5" t="s">
        <v>13</v>
      </c>
      <c r="F2481" s="6">
        <v>42736</v>
      </c>
      <c r="G2481">
        <v>0</v>
      </c>
    </row>
    <row r="2482" spans="1:7" x14ac:dyDescent="0.25">
      <c r="A2482" s="5" t="s">
        <v>113</v>
      </c>
      <c r="B2482" s="5" t="s">
        <v>115</v>
      </c>
      <c r="C2482" s="5">
        <v>1300</v>
      </c>
      <c r="D2482" s="5" t="s">
        <v>8</v>
      </c>
      <c r="E2482" s="5" t="s">
        <v>14</v>
      </c>
      <c r="F2482" s="6">
        <v>42370</v>
      </c>
      <c r="G2482">
        <v>0</v>
      </c>
    </row>
    <row r="2483" spans="1:7" x14ac:dyDescent="0.25">
      <c r="A2483" s="5" t="s">
        <v>113</v>
      </c>
      <c r="B2483" s="5" t="s">
        <v>115</v>
      </c>
      <c r="C2483" s="5">
        <v>1300</v>
      </c>
      <c r="D2483" s="5" t="s">
        <v>8</v>
      </c>
      <c r="E2483" s="5" t="s">
        <v>14</v>
      </c>
      <c r="F2483" s="6">
        <v>42736</v>
      </c>
      <c r="G2483">
        <v>0</v>
      </c>
    </row>
    <row r="2484" spans="1:7" x14ac:dyDescent="0.25">
      <c r="A2484" s="5" t="s">
        <v>113</v>
      </c>
      <c r="B2484" s="5" t="s">
        <v>115</v>
      </c>
      <c r="C2484" s="5">
        <v>1300</v>
      </c>
      <c r="D2484" s="5" t="s">
        <v>8</v>
      </c>
      <c r="E2484" s="5" t="s">
        <v>15</v>
      </c>
      <c r="F2484" s="6">
        <v>42370</v>
      </c>
      <c r="G2484">
        <v>0</v>
      </c>
    </row>
    <row r="2485" spans="1:7" x14ac:dyDescent="0.25">
      <c r="A2485" s="5" t="s">
        <v>113</v>
      </c>
      <c r="B2485" s="5" t="s">
        <v>115</v>
      </c>
      <c r="C2485" s="5">
        <v>1300</v>
      </c>
      <c r="D2485" s="5" t="s">
        <v>8</v>
      </c>
      <c r="E2485" s="5" t="s">
        <v>15</v>
      </c>
      <c r="F2485" s="6">
        <v>42736</v>
      </c>
      <c r="G2485">
        <v>0</v>
      </c>
    </row>
    <row r="2486" spans="1:7" x14ac:dyDescent="0.25">
      <c r="A2486" s="5" t="s">
        <v>113</v>
      </c>
      <c r="B2486" s="5" t="s">
        <v>115</v>
      </c>
      <c r="C2486" s="5">
        <v>1300</v>
      </c>
      <c r="D2486" s="5" t="s">
        <v>8</v>
      </c>
      <c r="E2486" s="5" t="s">
        <v>16</v>
      </c>
      <c r="F2486" s="6">
        <v>42370</v>
      </c>
      <c r="G2486">
        <v>42</v>
      </c>
    </row>
    <row r="2487" spans="1:7" x14ac:dyDescent="0.25">
      <c r="A2487" s="5" t="s">
        <v>113</v>
      </c>
      <c r="B2487" s="5" t="s">
        <v>115</v>
      </c>
      <c r="C2487" s="5">
        <v>1300</v>
      </c>
      <c r="D2487" s="5" t="s">
        <v>8</v>
      </c>
      <c r="E2487" s="5" t="s">
        <v>16</v>
      </c>
      <c r="F2487" s="6">
        <v>42736</v>
      </c>
      <c r="G2487">
        <v>63</v>
      </c>
    </row>
    <row r="2488" spans="1:7" x14ac:dyDescent="0.25">
      <c r="A2488" s="5" t="s">
        <v>113</v>
      </c>
      <c r="B2488" s="5" t="s">
        <v>115</v>
      </c>
      <c r="C2488" s="5">
        <v>1300</v>
      </c>
      <c r="D2488" s="5" t="s">
        <v>8</v>
      </c>
      <c r="E2488" s="5" t="s">
        <v>17</v>
      </c>
      <c r="F2488" s="6">
        <v>42370</v>
      </c>
      <c r="G2488">
        <v>0</v>
      </c>
    </row>
    <row r="2489" spans="1:7" x14ac:dyDescent="0.25">
      <c r="A2489" s="5" t="s">
        <v>113</v>
      </c>
      <c r="B2489" s="5" t="s">
        <v>115</v>
      </c>
      <c r="C2489" s="5">
        <v>1300</v>
      </c>
      <c r="D2489" s="5" t="s">
        <v>8</v>
      </c>
      <c r="E2489" s="5" t="s">
        <v>17</v>
      </c>
      <c r="F2489" s="6">
        <v>42736</v>
      </c>
      <c r="G2489">
        <v>0</v>
      </c>
    </row>
    <row r="2490" spans="1:7" x14ac:dyDescent="0.25">
      <c r="A2490" s="5" t="s">
        <v>113</v>
      </c>
      <c r="B2490" s="5" t="s">
        <v>115</v>
      </c>
      <c r="C2490" s="5">
        <v>1300</v>
      </c>
      <c r="D2490" s="5" t="s">
        <v>8</v>
      </c>
      <c r="E2490" s="5" t="s">
        <v>18</v>
      </c>
      <c r="F2490" s="6">
        <v>42370</v>
      </c>
      <c r="G2490">
        <v>10</v>
      </c>
    </row>
    <row r="2491" spans="1:7" x14ac:dyDescent="0.25">
      <c r="A2491" s="5" t="s">
        <v>113</v>
      </c>
      <c r="B2491" s="5" t="s">
        <v>115</v>
      </c>
      <c r="C2491" s="5">
        <v>1300</v>
      </c>
      <c r="D2491" s="5" t="s">
        <v>8</v>
      </c>
      <c r="E2491" s="5" t="s">
        <v>18</v>
      </c>
      <c r="F2491" s="6">
        <v>42736</v>
      </c>
      <c r="G2491">
        <v>7</v>
      </c>
    </row>
    <row r="2492" spans="1:7" x14ac:dyDescent="0.25">
      <c r="A2492" s="5" t="s">
        <v>113</v>
      </c>
      <c r="B2492" s="5" t="s">
        <v>115</v>
      </c>
      <c r="C2492" s="5">
        <v>1300</v>
      </c>
      <c r="D2492" s="5" t="s">
        <v>8</v>
      </c>
      <c r="E2492" s="5" t="s">
        <v>19</v>
      </c>
      <c r="F2492" s="6">
        <v>42370</v>
      </c>
      <c r="G2492">
        <v>0</v>
      </c>
    </row>
    <row r="2493" spans="1:7" x14ac:dyDescent="0.25">
      <c r="A2493" s="5" t="s">
        <v>113</v>
      </c>
      <c r="B2493" s="5" t="s">
        <v>115</v>
      </c>
      <c r="C2493" s="5">
        <v>1300</v>
      </c>
      <c r="D2493" s="5" t="s">
        <v>8</v>
      </c>
      <c r="E2493" s="5" t="s">
        <v>19</v>
      </c>
      <c r="F2493" s="6">
        <v>42736</v>
      </c>
      <c r="G2493">
        <v>0</v>
      </c>
    </row>
    <row r="2494" spans="1:7" x14ac:dyDescent="0.25">
      <c r="A2494" s="5" t="s">
        <v>113</v>
      </c>
      <c r="B2494" s="5" t="s">
        <v>115</v>
      </c>
      <c r="C2494" s="5">
        <v>1300</v>
      </c>
      <c r="D2494" s="5" t="s">
        <v>20</v>
      </c>
      <c r="E2494" s="5" t="s">
        <v>9</v>
      </c>
      <c r="F2494" s="6">
        <v>42370</v>
      </c>
      <c r="G2494">
        <v>16</v>
      </c>
    </row>
    <row r="2495" spans="1:7" x14ac:dyDescent="0.25">
      <c r="A2495" s="5" t="s">
        <v>113</v>
      </c>
      <c r="B2495" s="5" t="s">
        <v>115</v>
      </c>
      <c r="C2495" s="5">
        <v>1300</v>
      </c>
      <c r="D2495" s="5" t="s">
        <v>20</v>
      </c>
      <c r="E2495" s="5" t="s">
        <v>9</v>
      </c>
      <c r="F2495" s="6">
        <v>42736</v>
      </c>
      <c r="G2495">
        <v>24</v>
      </c>
    </row>
    <row r="2496" spans="1:7" x14ac:dyDescent="0.25">
      <c r="A2496" s="5" t="s">
        <v>113</v>
      </c>
      <c r="B2496" s="5" t="s">
        <v>115</v>
      </c>
      <c r="C2496" s="5">
        <v>1300</v>
      </c>
      <c r="D2496" s="5" t="s">
        <v>20</v>
      </c>
      <c r="E2496" s="5" t="s">
        <v>21</v>
      </c>
      <c r="F2496" s="6">
        <v>42370</v>
      </c>
      <c r="G2496">
        <v>10</v>
      </c>
    </row>
    <row r="2497" spans="1:7" x14ac:dyDescent="0.25">
      <c r="A2497" s="5" t="s">
        <v>113</v>
      </c>
      <c r="B2497" s="5" t="s">
        <v>115</v>
      </c>
      <c r="C2497" s="5">
        <v>1300</v>
      </c>
      <c r="D2497" s="5" t="s">
        <v>20</v>
      </c>
      <c r="E2497" s="5" t="s">
        <v>21</v>
      </c>
      <c r="F2497" s="6">
        <v>42736</v>
      </c>
      <c r="G2497">
        <v>1</v>
      </c>
    </row>
    <row r="2498" spans="1:7" x14ac:dyDescent="0.25">
      <c r="A2498" s="5" t="s">
        <v>113</v>
      </c>
      <c r="B2498" s="5" t="s">
        <v>115</v>
      </c>
      <c r="C2498" s="5">
        <v>1300</v>
      </c>
      <c r="D2498" s="5" t="s">
        <v>20</v>
      </c>
      <c r="E2498" s="5" t="s">
        <v>22</v>
      </c>
      <c r="F2498" s="6">
        <v>42370</v>
      </c>
      <c r="G2498">
        <v>0</v>
      </c>
    </row>
    <row r="2499" spans="1:7" x14ac:dyDescent="0.25">
      <c r="A2499" s="5" t="s">
        <v>113</v>
      </c>
      <c r="B2499" s="5" t="s">
        <v>115</v>
      </c>
      <c r="C2499" s="5">
        <v>1300</v>
      </c>
      <c r="D2499" s="5" t="s">
        <v>20</v>
      </c>
      <c r="E2499" s="5" t="s">
        <v>22</v>
      </c>
      <c r="F2499" s="6">
        <v>42736</v>
      </c>
      <c r="G2499">
        <v>2</v>
      </c>
    </row>
    <row r="2500" spans="1:7" x14ac:dyDescent="0.25">
      <c r="A2500" s="5" t="s">
        <v>113</v>
      </c>
      <c r="B2500" s="5" t="s">
        <v>115</v>
      </c>
      <c r="C2500" s="5">
        <v>1300</v>
      </c>
      <c r="D2500" s="5" t="s">
        <v>20</v>
      </c>
      <c r="E2500" s="5" t="s">
        <v>23</v>
      </c>
      <c r="F2500" s="6">
        <v>42370</v>
      </c>
      <c r="G2500">
        <v>1</v>
      </c>
    </row>
    <row r="2501" spans="1:7" x14ac:dyDescent="0.25">
      <c r="A2501" s="5" t="s">
        <v>113</v>
      </c>
      <c r="B2501" s="5" t="s">
        <v>115</v>
      </c>
      <c r="C2501" s="5">
        <v>1300</v>
      </c>
      <c r="D2501" s="5" t="s">
        <v>20</v>
      </c>
      <c r="E2501" s="5" t="s">
        <v>23</v>
      </c>
      <c r="F2501" s="6">
        <v>42736</v>
      </c>
      <c r="G2501">
        <v>2</v>
      </c>
    </row>
    <row r="2502" spans="1:7" x14ac:dyDescent="0.25">
      <c r="A2502" s="5" t="s">
        <v>113</v>
      </c>
      <c r="B2502" s="5" t="s">
        <v>115</v>
      </c>
      <c r="C2502" s="5">
        <v>1300</v>
      </c>
      <c r="D2502" s="5" t="s">
        <v>20</v>
      </c>
      <c r="E2502" s="5" t="s">
        <v>24</v>
      </c>
      <c r="F2502" s="6">
        <v>42370</v>
      </c>
      <c r="G2502">
        <v>0</v>
      </c>
    </row>
    <row r="2503" spans="1:7" x14ac:dyDescent="0.25">
      <c r="A2503" s="5" t="s">
        <v>113</v>
      </c>
      <c r="B2503" s="5" t="s">
        <v>115</v>
      </c>
      <c r="C2503" s="5">
        <v>1300</v>
      </c>
      <c r="D2503" s="5" t="s">
        <v>20</v>
      </c>
      <c r="E2503" s="5" t="s">
        <v>24</v>
      </c>
      <c r="F2503" s="6">
        <v>42736</v>
      </c>
      <c r="G2503">
        <v>0</v>
      </c>
    </row>
    <row r="2504" spans="1:7" x14ac:dyDescent="0.25">
      <c r="A2504" s="5" t="s">
        <v>113</v>
      </c>
      <c r="B2504" s="5" t="s">
        <v>115</v>
      </c>
      <c r="C2504" s="5">
        <v>1300</v>
      </c>
      <c r="D2504" s="5" t="s">
        <v>20</v>
      </c>
      <c r="E2504" s="5" t="s">
        <v>25</v>
      </c>
      <c r="F2504" s="6">
        <v>42370</v>
      </c>
      <c r="G2504">
        <v>0</v>
      </c>
    </row>
    <row r="2505" spans="1:7" x14ac:dyDescent="0.25">
      <c r="A2505" s="5" t="s">
        <v>113</v>
      </c>
      <c r="B2505" s="5" t="s">
        <v>115</v>
      </c>
      <c r="C2505" s="5">
        <v>1300</v>
      </c>
      <c r="D2505" s="5" t="s">
        <v>20</v>
      </c>
      <c r="E2505" s="5" t="s">
        <v>25</v>
      </c>
      <c r="F2505" s="6">
        <v>42736</v>
      </c>
      <c r="G2505">
        <v>0</v>
      </c>
    </row>
    <row r="2506" spans="1:7" x14ac:dyDescent="0.25">
      <c r="A2506" s="5" t="s">
        <v>113</v>
      </c>
      <c r="B2506" s="5" t="s">
        <v>115</v>
      </c>
      <c r="C2506" s="5">
        <v>1300</v>
      </c>
      <c r="D2506" s="5" t="s">
        <v>20</v>
      </c>
      <c r="E2506" s="5" t="s">
        <v>26</v>
      </c>
      <c r="F2506" s="6">
        <v>42370</v>
      </c>
      <c r="G2506">
        <v>118</v>
      </c>
    </row>
    <row r="2507" spans="1:7" x14ac:dyDescent="0.25">
      <c r="A2507" s="5" t="s">
        <v>113</v>
      </c>
      <c r="B2507" s="5" t="s">
        <v>115</v>
      </c>
      <c r="C2507" s="5">
        <v>1300</v>
      </c>
      <c r="D2507" s="5" t="s">
        <v>20</v>
      </c>
      <c r="E2507" s="5" t="s">
        <v>26</v>
      </c>
      <c r="F2507" s="6">
        <v>42736</v>
      </c>
      <c r="G2507">
        <v>204</v>
      </c>
    </row>
    <row r="2508" spans="1:7" x14ac:dyDescent="0.25">
      <c r="A2508" s="5" t="s">
        <v>113</v>
      </c>
      <c r="B2508" s="5" t="s">
        <v>115</v>
      </c>
      <c r="C2508" s="5">
        <v>1300</v>
      </c>
      <c r="D2508" s="5" t="s">
        <v>20</v>
      </c>
      <c r="E2508" s="5" t="s">
        <v>27</v>
      </c>
      <c r="F2508" s="6">
        <v>42370</v>
      </c>
      <c r="G2508">
        <v>0</v>
      </c>
    </row>
    <row r="2509" spans="1:7" x14ac:dyDescent="0.25">
      <c r="A2509" s="5" t="s">
        <v>113</v>
      </c>
      <c r="B2509" s="5" t="s">
        <v>115</v>
      </c>
      <c r="C2509" s="5">
        <v>1300</v>
      </c>
      <c r="D2509" s="5" t="s">
        <v>20</v>
      </c>
      <c r="E2509" s="5" t="s">
        <v>27</v>
      </c>
      <c r="F2509" s="6">
        <v>42736</v>
      </c>
      <c r="G2509">
        <v>2</v>
      </c>
    </row>
    <row r="2510" spans="1:7" x14ac:dyDescent="0.25">
      <c r="A2510" s="5" t="s">
        <v>113</v>
      </c>
      <c r="B2510" s="5" t="s">
        <v>115</v>
      </c>
      <c r="C2510" s="5">
        <v>1300</v>
      </c>
      <c r="D2510" s="5" t="s">
        <v>20</v>
      </c>
      <c r="E2510" s="5" t="s">
        <v>28</v>
      </c>
      <c r="F2510" s="6">
        <v>42370</v>
      </c>
      <c r="G2510">
        <v>0</v>
      </c>
    </row>
    <row r="2511" spans="1:7" x14ac:dyDescent="0.25">
      <c r="A2511" s="5" t="s">
        <v>113</v>
      </c>
      <c r="B2511" s="5" t="s">
        <v>115</v>
      </c>
      <c r="C2511" s="5">
        <v>1300</v>
      </c>
      <c r="D2511" s="5" t="s">
        <v>20</v>
      </c>
      <c r="E2511" s="5" t="s">
        <v>28</v>
      </c>
      <c r="F2511" s="6">
        <v>42736</v>
      </c>
      <c r="G2511">
        <v>0</v>
      </c>
    </row>
    <row r="2512" spans="1:7" x14ac:dyDescent="0.25">
      <c r="A2512" s="5" t="s">
        <v>113</v>
      </c>
      <c r="B2512" s="5" t="s">
        <v>115</v>
      </c>
      <c r="C2512" s="5">
        <v>1300</v>
      </c>
      <c r="D2512" s="5" t="s">
        <v>20</v>
      </c>
      <c r="E2512" s="5" t="s">
        <v>29</v>
      </c>
      <c r="F2512" s="6">
        <v>42370</v>
      </c>
      <c r="G2512">
        <v>117</v>
      </c>
    </row>
    <row r="2513" spans="1:7" x14ac:dyDescent="0.25">
      <c r="A2513" s="5" t="s">
        <v>113</v>
      </c>
      <c r="B2513" s="5" t="s">
        <v>115</v>
      </c>
      <c r="C2513" s="5">
        <v>1300</v>
      </c>
      <c r="D2513" s="5" t="s">
        <v>20</v>
      </c>
      <c r="E2513" s="5" t="s">
        <v>29</v>
      </c>
      <c r="F2513" s="6">
        <v>42736</v>
      </c>
      <c r="G2513">
        <v>210</v>
      </c>
    </row>
    <row r="2514" spans="1:7" x14ac:dyDescent="0.25">
      <c r="A2514" s="5" t="s">
        <v>113</v>
      </c>
      <c r="B2514" s="5" t="s">
        <v>115</v>
      </c>
      <c r="C2514" s="5">
        <v>1300</v>
      </c>
      <c r="D2514" s="5" t="s">
        <v>20</v>
      </c>
      <c r="E2514" s="5" t="s">
        <v>30</v>
      </c>
      <c r="F2514" s="6">
        <v>42370</v>
      </c>
      <c r="G2514">
        <v>123</v>
      </c>
    </row>
    <row r="2515" spans="1:7" x14ac:dyDescent="0.25">
      <c r="A2515" s="5" t="s">
        <v>113</v>
      </c>
      <c r="B2515" s="5" t="s">
        <v>115</v>
      </c>
      <c r="C2515" s="5">
        <v>1300</v>
      </c>
      <c r="D2515" s="5" t="s">
        <v>20</v>
      </c>
      <c r="E2515" s="5" t="s">
        <v>30</v>
      </c>
      <c r="F2515" s="6">
        <v>42736</v>
      </c>
      <c r="G2515">
        <v>210</v>
      </c>
    </row>
    <row r="2516" spans="1:7" x14ac:dyDescent="0.25">
      <c r="A2516" s="5" t="s">
        <v>113</v>
      </c>
      <c r="B2516" s="5" t="s">
        <v>115</v>
      </c>
      <c r="C2516" s="5">
        <v>1300</v>
      </c>
      <c r="D2516" s="5" t="s">
        <v>20</v>
      </c>
      <c r="E2516" s="5" t="s">
        <v>31</v>
      </c>
      <c r="F2516" s="6">
        <v>42370</v>
      </c>
      <c r="G2516">
        <v>304</v>
      </c>
    </row>
    <row r="2517" spans="1:7" x14ac:dyDescent="0.25">
      <c r="A2517" s="5" t="s">
        <v>113</v>
      </c>
      <c r="B2517" s="5" t="s">
        <v>115</v>
      </c>
      <c r="C2517" s="5">
        <v>1300</v>
      </c>
      <c r="D2517" s="5" t="s">
        <v>20</v>
      </c>
      <c r="E2517" s="5" t="s">
        <v>31</v>
      </c>
      <c r="F2517" s="6">
        <v>42736</v>
      </c>
      <c r="G2517">
        <v>432</v>
      </c>
    </row>
    <row r="2518" spans="1:7" x14ac:dyDescent="0.25">
      <c r="A2518" s="5" t="s">
        <v>113</v>
      </c>
      <c r="B2518" s="5" t="s">
        <v>115</v>
      </c>
      <c r="C2518" s="5">
        <v>1300</v>
      </c>
      <c r="D2518" s="5" t="s">
        <v>20</v>
      </c>
      <c r="E2518" s="5" t="s">
        <v>32</v>
      </c>
      <c r="F2518" s="6">
        <v>42370</v>
      </c>
      <c r="G2518">
        <v>129</v>
      </c>
    </row>
    <row r="2519" spans="1:7" x14ac:dyDescent="0.25">
      <c r="A2519" s="5" t="s">
        <v>113</v>
      </c>
      <c r="B2519" s="5" t="s">
        <v>115</v>
      </c>
      <c r="C2519" s="5">
        <v>1300</v>
      </c>
      <c r="D2519" s="5" t="s">
        <v>20</v>
      </c>
      <c r="E2519" s="5" t="s">
        <v>32</v>
      </c>
      <c r="F2519" s="6">
        <v>42736</v>
      </c>
      <c r="G2519">
        <v>208</v>
      </c>
    </row>
    <row r="2520" spans="1:7" x14ac:dyDescent="0.25">
      <c r="A2520" s="5" t="s">
        <v>113</v>
      </c>
      <c r="B2520" s="5" t="s">
        <v>115</v>
      </c>
      <c r="C2520" s="5">
        <v>1300</v>
      </c>
      <c r="D2520" s="5" t="s">
        <v>33</v>
      </c>
      <c r="E2520" s="5" t="s">
        <v>9</v>
      </c>
      <c r="F2520" s="6">
        <v>42370</v>
      </c>
      <c r="G2520">
        <v>0</v>
      </c>
    </row>
    <row r="2521" spans="1:7" x14ac:dyDescent="0.25">
      <c r="A2521" s="5" t="s">
        <v>113</v>
      </c>
      <c r="B2521" s="5" t="s">
        <v>115</v>
      </c>
      <c r="C2521" s="5">
        <v>1300</v>
      </c>
      <c r="D2521" s="5" t="s">
        <v>33</v>
      </c>
      <c r="E2521" s="5" t="s">
        <v>9</v>
      </c>
      <c r="F2521" s="6">
        <v>42736</v>
      </c>
      <c r="G2521">
        <v>0</v>
      </c>
    </row>
    <row r="2522" spans="1:7" x14ac:dyDescent="0.25">
      <c r="A2522" s="5" t="s">
        <v>113</v>
      </c>
      <c r="B2522" s="5" t="s">
        <v>115</v>
      </c>
      <c r="C2522" s="5">
        <v>1300</v>
      </c>
      <c r="D2522" s="5" t="s">
        <v>33</v>
      </c>
      <c r="E2522" s="5" t="s">
        <v>34</v>
      </c>
      <c r="F2522" s="6">
        <v>42370</v>
      </c>
      <c r="G2522">
        <v>0</v>
      </c>
    </row>
    <row r="2523" spans="1:7" x14ac:dyDescent="0.25">
      <c r="A2523" s="5" t="s">
        <v>113</v>
      </c>
      <c r="B2523" s="5" t="s">
        <v>115</v>
      </c>
      <c r="C2523" s="5">
        <v>1300</v>
      </c>
      <c r="D2523" s="5" t="s">
        <v>33</v>
      </c>
      <c r="E2523" s="5" t="s">
        <v>34</v>
      </c>
      <c r="F2523" s="6">
        <v>42736</v>
      </c>
      <c r="G2523">
        <v>0</v>
      </c>
    </row>
    <row r="2524" spans="1:7" x14ac:dyDescent="0.25">
      <c r="A2524" s="5" t="s">
        <v>113</v>
      </c>
      <c r="B2524" s="5" t="s">
        <v>115</v>
      </c>
      <c r="C2524" s="5">
        <v>1300</v>
      </c>
      <c r="D2524" s="5" t="s">
        <v>35</v>
      </c>
      <c r="E2524" s="5" t="s">
        <v>36</v>
      </c>
      <c r="F2524" s="6">
        <v>42370</v>
      </c>
      <c r="G2524">
        <v>0</v>
      </c>
    </row>
    <row r="2525" spans="1:7" x14ac:dyDescent="0.25">
      <c r="A2525" s="5" t="s">
        <v>113</v>
      </c>
      <c r="B2525" s="5" t="s">
        <v>115</v>
      </c>
      <c r="C2525" s="5">
        <v>1300</v>
      </c>
      <c r="D2525" s="5" t="s">
        <v>35</v>
      </c>
      <c r="E2525" s="5" t="s">
        <v>36</v>
      </c>
      <c r="F2525" s="6">
        <v>42736</v>
      </c>
      <c r="G2525">
        <v>0</v>
      </c>
    </row>
    <row r="2526" spans="1:7" x14ac:dyDescent="0.25">
      <c r="A2526" s="5" t="s">
        <v>113</v>
      </c>
      <c r="B2526" s="5" t="s">
        <v>115</v>
      </c>
      <c r="C2526" s="5">
        <v>1300</v>
      </c>
      <c r="D2526" s="5" t="s">
        <v>35</v>
      </c>
      <c r="E2526" s="5" t="s">
        <v>37</v>
      </c>
      <c r="F2526" s="6">
        <v>42370</v>
      </c>
      <c r="G2526">
        <v>0</v>
      </c>
    </row>
    <row r="2527" spans="1:7" x14ac:dyDescent="0.25">
      <c r="A2527" s="5" t="s">
        <v>113</v>
      </c>
      <c r="B2527" s="5" t="s">
        <v>115</v>
      </c>
      <c r="C2527" s="5">
        <v>1300</v>
      </c>
      <c r="D2527" s="5" t="s">
        <v>35</v>
      </c>
      <c r="E2527" s="5" t="s">
        <v>37</v>
      </c>
      <c r="F2527" s="6">
        <v>42736</v>
      </c>
      <c r="G2527">
        <v>0</v>
      </c>
    </row>
    <row r="2528" spans="1:7" x14ac:dyDescent="0.25">
      <c r="A2528" s="5" t="s">
        <v>113</v>
      </c>
      <c r="B2528" s="5" t="s">
        <v>115</v>
      </c>
      <c r="C2528" s="5">
        <v>1300</v>
      </c>
      <c r="D2528" s="5" t="s">
        <v>35</v>
      </c>
      <c r="E2528" s="5" t="s">
        <v>38</v>
      </c>
      <c r="F2528" s="6">
        <v>42370</v>
      </c>
      <c r="G2528">
        <v>0</v>
      </c>
    </row>
    <row r="2529" spans="1:7" x14ac:dyDescent="0.25">
      <c r="A2529" s="5" t="s">
        <v>113</v>
      </c>
      <c r="B2529" s="5" t="s">
        <v>115</v>
      </c>
      <c r="C2529" s="5">
        <v>1300</v>
      </c>
      <c r="D2529" s="5" t="s">
        <v>35</v>
      </c>
      <c r="E2529" s="5" t="s">
        <v>38</v>
      </c>
      <c r="F2529" s="6">
        <v>42736</v>
      </c>
      <c r="G2529">
        <v>0</v>
      </c>
    </row>
    <row r="2530" spans="1:7" x14ac:dyDescent="0.25">
      <c r="A2530" s="5" t="s">
        <v>113</v>
      </c>
      <c r="B2530" s="5" t="s">
        <v>115</v>
      </c>
      <c r="C2530" s="5">
        <v>1300</v>
      </c>
      <c r="D2530" s="5" t="s">
        <v>35</v>
      </c>
      <c r="E2530" s="5" t="s">
        <v>39</v>
      </c>
      <c r="F2530" s="6">
        <v>42370</v>
      </c>
      <c r="G2530">
        <v>0</v>
      </c>
    </row>
    <row r="2531" spans="1:7" x14ac:dyDescent="0.25">
      <c r="A2531" s="5" t="s">
        <v>113</v>
      </c>
      <c r="B2531" s="5" t="s">
        <v>115</v>
      </c>
      <c r="C2531" s="5">
        <v>1300</v>
      </c>
      <c r="D2531" s="5" t="s">
        <v>35</v>
      </c>
      <c r="E2531" s="5" t="s">
        <v>39</v>
      </c>
      <c r="F2531" s="6">
        <v>42736</v>
      </c>
      <c r="G2531">
        <v>0</v>
      </c>
    </row>
    <row r="2532" spans="1:7" x14ac:dyDescent="0.25">
      <c r="A2532" s="5" t="s">
        <v>113</v>
      </c>
      <c r="B2532" s="5" t="s">
        <v>115</v>
      </c>
      <c r="C2532" s="5">
        <v>1300</v>
      </c>
      <c r="D2532" s="5" t="s">
        <v>35</v>
      </c>
      <c r="E2532" s="5" t="s">
        <v>40</v>
      </c>
      <c r="F2532" s="6">
        <v>42370</v>
      </c>
      <c r="G2532">
        <v>0</v>
      </c>
    </row>
    <row r="2533" spans="1:7" x14ac:dyDescent="0.25">
      <c r="A2533" s="5" t="s">
        <v>113</v>
      </c>
      <c r="B2533" s="5" t="s">
        <v>115</v>
      </c>
      <c r="C2533" s="5">
        <v>1300</v>
      </c>
      <c r="D2533" s="5" t="s">
        <v>35</v>
      </c>
      <c r="E2533" s="5" t="s">
        <v>40</v>
      </c>
      <c r="F2533" s="6">
        <v>42736</v>
      </c>
      <c r="G2533">
        <v>0</v>
      </c>
    </row>
    <row r="2534" spans="1:7" x14ac:dyDescent="0.25">
      <c r="A2534" s="5" t="s">
        <v>113</v>
      </c>
      <c r="B2534" s="5" t="s">
        <v>115</v>
      </c>
      <c r="C2534" s="5">
        <v>1300</v>
      </c>
      <c r="D2534" s="5" t="s">
        <v>35</v>
      </c>
      <c r="E2534" s="5" t="s">
        <v>41</v>
      </c>
      <c r="F2534" s="6">
        <v>42370</v>
      </c>
      <c r="G2534">
        <v>0</v>
      </c>
    </row>
    <row r="2535" spans="1:7" x14ac:dyDescent="0.25">
      <c r="A2535" s="5" t="s">
        <v>113</v>
      </c>
      <c r="B2535" s="5" t="s">
        <v>115</v>
      </c>
      <c r="C2535" s="5">
        <v>1300</v>
      </c>
      <c r="D2535" s="5" t="s">
        <v>35</v>
      </c>
      <c r="E2535" s="5" t="s">
        <v>41</v>
      </c>
      <c r="F2535" s="6">
        <v>42736</v>
      </c>
      <c r="G2535">
        <v>1</v>
      </c>
    </row>
    <row r="2536" spans="1:7" x14ac:dyDescent="0.25">
      <c r="A2536" s="5" t="s">
        <v>113</v>
      </c>
      <c r="B2536" s="5" t="s">
        <v>115</v>
      </c>
      <c r="C2536" s="5">
        <v>1300</v>
      </c>
      <c r="D2536" s="5" t="s">
        <v>35</v>
      </c>
      <c r="E2536" s="5" t="s">
        <v>42</v>
      </c>
      <c r="F2536" s="6">
        <v>42370</v>
      </c>
      <c r="G2536">
        <v>0</v>
      </c>
    </row>
    <row r="2537" spans="1:7" x14ac:dyDescent="0.25">
      <c r="A2537" s="5" t="s">
        <v>113</v>
      </c>
      <c r="B2537" s="5" t="s">
        <v>115</v>
      </c>
      <c r="C2537" s="5">
        <v>1300</v>
      </c>
      <c r="D2537" s="5" t="s">
        <v>35</v>
      </c>
      <c r="E2537" s="5" t="s">
        <v>42</v>
      </c>
      <c r="F2537" s="6">
        <v>42736</v>
      </c>
      <c r="G2537">
        <v>0</v>
      </c>
    </row>
    <row r="2538" spans="1:7" x14ac:dyDescent="0.25">
      <c r="A2538" s="5" t="s">
        <v>113</v>
      </c>
      <c r="B2538" s="5" t="s">
        <v>115</v>
      </c>
      <c r="C2538" s="5">
        <v>1300</v>
      </c>
      <c r="D2538" s="5" t="s">
        <v>35</v>
      </c>
      <c r="E2538" s="5" t="s">
        <v>43</v>
      </c>
      <c r="F2538" s="6">
        <v>42370</v>
      </c>
      <c r="G2538">
        <v>0</v>
      </c>
    </row>
    <row r="2539" spans="1:7" x14ac:dyDescent="0.25">
      <c r="A2539" s="5" t="s">
        <v>113</v>
      </c>
      <c r="B2539" s="5" t="s">
        <v>115</v>
      </c>
      <c r="C2539" s="5">
        <v>1300</v>
      </c>
      <c r="D2539" s="5" t="s">
        <v>35</v>
      </c>
      <c r="E2539" s="5" t="s">
        <v>43</v>
      </c>
      <c r="F2539" s="6">
        <v>42736</v>
      </c>
      <c r="G2539">
        <v>1</v>
      </c>
    </row>
    <row r="2540" spans="1:7" x14ac:dyDescent="0.25">
      <c r="A2540" s="5" t="s">
        <v>113</v>
      </c>
      <c r="B2540" s="5" t="s">
        <v>115</v>
      </c>
      <c r="C2540" s="5">
        <v>1300</v>
      </c>
      <c r="D2540" s="5" t="s">
        <v>44</v>
      </c>
      <c r="E2540" s="5" t="s">
        <v>36</v>
      </c>
      <c r="F2540" s="6">
        <v>42370</v>
      </c>
      <c r="G2540">
        <v>0</v>
      </c>
    </row>
    <row r="2541" spans="1:7" x14ac:dyDescent="0.25">
      <c r="A2541" s="5" t="s">
        <v>113</v>
      </c>
      <c r="B2541" s="5" t="s">
        <v>115</v>
      </c>
      <c r="C2541" s="5">
        <v>1300</v>
      </c>
      <c r="D2541" s="5" t="s">
        <v>44</v>
      </c>
      <c r="E2541" s="5" t="s">
        <v>36</v>
      </c>
      <c r="F2541" s="6">
        <v>42736</v>
      </c>
      <c r="G2541">
        <v>0</v>
      </c>
    </row>
    <row r="2542" spans="1:7" x14ac:dyDescent="0.25">
      <c r="A2542" s="5" t="s">
        <v>113</v>
      </c>
      <c r="B2542" s="5" t="s">
        <v>115</v>
      </c>
      <c r="C2542" s="5">
        <v>1300</v>
      </c>
      <c r="D2542" s="5" t="s">
        <v>44</v>
      </c>
      <c r="E2542" s="5" t="s">
        <v>37</v>
      </c>
      <c r="F2542" s="6">
        <v>42370</v>
      </c>
      <c r="G2542">
        <v>0</v>
      </c>
    </row>
    <row r="2543" spans="1:7" x14ac:dyDescent="0.25">
      <c r="A2543" s="5" t="s">
        <v>113</v>
      </c>
      <c r="B2543" s="5" t="s">
        <v>115</v>
      </c>
      <c r="C2543" s="5">
        <v>1300</v>
      </c>
      <c r="D2543" s="5" t="s">
        <v>44</v>
      </c>
      <c r="E2543" s="5" t="s">
        <v>37</v>
      </c>
      <c r="F2543" s="6">
        <v>42736</v>
      </c>
      <c r="G2543">
        <v>0</v>
      </c>
    </row>
    <row r="2544" spans="1:7" x14ac:dyDescent="0.25">
      <c r="A2544" s="5" t="s">
        <v>113</v>
      </c>
      <c r="B2544" s="5" t="s">
        <v>115</v>
      </c>
      <c r="C2544" s="5">
        <v>1300</v>
      </c>
      <c r="D2544" s="5" t="s">
        <v>44</v>
      </c>
      <c r="E2544" s="5" t="s">
        <v>38</v>
      </c>
      <c r="F2544" s="6">
        <v>42370</v>
      </c>
      <c r="G2544">
        <v>0</v>
      </c>
    </row>
    <row r="2545" spans="1:7" x14ac:dyDescent="0.25">
      <c r="A2545" s="5" t="s">
        <v>113</v>
      </c>
      <c r="B2545" s="5" t="s">
        <v>115</v>
      </c>
      <c r="C2545" s="5">
        <v>1300</v>
      </c>
      <c r="D2545" s="5" t="s">
        <v>44</v>
      </c>
      <c r="E2545" s="5" t="s">
        <v>38</v>
      </c>
      <c r="F2545" s="6">
        <v>42736</v>
      </c>
      <c r="G2545">
        <v>0</v>
      </c>
    </row>
    <row r="2546" spans="1:7" x14ac:dyDescent="0.25">
      <c r="A2546" s="5" t="s">
        <v>113</v>
      </c>
      <c r="B2546" s="5" t="s">
        <v>115</v>
      </c>
      <c r="C2546" s="5">
        <v>1300</v>
      </c>
      <c r="D2546" s="5" t="s">
        <v>44</v>
      </c>
      <c r="E2546" s="5" t="s">
        <v>39</v>
      </c>
      <c r="F2546" s="6">
        <v>42370</v>
      </c>
      <c r="G2546">
        <v>0</v>
      </c>
    </row>
    <row r="2547" spans="1:7" x14ac:dyDescent="0.25">
      <c r="A2547" s="5" t="s">
        <v>113</v>
      </c>
      <c r="B2547" s="5" t="s">
        <v>115</v>
      </c>
      <c r="C2547" s="5">
        <v>1300</v>
      </c>
      <c r="D2547" s="5" t="s">
        <v>44</v>
      </c>
      <c r="E2547" s="5" t="s">
        <v>39</v>
      </c>
      <c r="F2547" s="6">
        <v>42736</v>
      </c>
      <c r="G2547">
        <v>0</v>
      </c>
    </row>
    <row r="2548" spans="1:7" x14ac:dyDescent="0.25">
      <c r="A2548" s="5" t="s">
        <v>113</v>
      </c>
      <c r="B2548" s="5" t="s">
        <v>115</v>
      </c>
      <c r="C2548" s="5">
        <v>1300</v>
      </c>
      <c r="D2548" s="5" t="s">
        <v>44</v>
      </c>
      <c r="E2548" s="5" t="s">
        <v>40</v>
      </c>
      <c r="F2548" s="6">
        <v>42370</v>
      </c>
      <c r="G2548">
        <v>0</v>
      </c>
    </row>
    <row r="2549" spans="1:7" x14ac:dyDescent="0.25">
      <c r="A2549" s="5" t="s">
        <v>113</v>
      </c>
      <c r="B2549" s="5" t="s">
        <v>115</v>
      </c>
      <c r="C2549" s="5">
        <v>1300</v>
      </c>
      <c r="D2549" s="5" t="s">
        <v>44</v>
      </c>
      <c r="E2549" s="5" t="s">
        <v>40</v>
      </c>
      <c r="F2549" s="6">
        <v>42736</v>
      </c>
      <c r="G2549">
        <v>0</v>
      </c>
    </row>
    <row r="2550" spans="1:7" x14ac:dyDescent="0.25">
      <c r="A2550" s="5" t="s">
        <v>113</v>
      </c>
      <c r="B2550" s="5" t="s">
        <v>115</v>
      </c>
      <c r="C2550" s="5">
        <v>1300</v>
      </c>
      <c r="D2550" s="5" t="s">
        <v>44</v>
      </c>
      <c r="E2550" s="5" t="s">
        <v>41</v>
      </c>
      <c r="F2550" s="6">
        <v>42370</v>
      </c>
      <c r="G2550">
        <v>0</v>
      </c>
    </row>
    <row r="2551" spans="1:7" x14ac:dyDescent="0.25">
      <c r="A2551" s="5" t="s">
        <v>113</v>
      </c>
      <c r="B2551" s="5" t="s">
        <v>115</v>
      </c>
      <c r="C2551" s="5">
        <v>1300</v>
      </c>
      <c r="D2551" s="5" t="s">
        <v>44</v>
      </c>
      <c r="E2551" s="5" t="s">
        <v>41</v>
      </c>
      <c r="F2551" s="6">
        <v>42736</v>
      </c>
      <c r="G2551">
        <v>0</v>
      </c>
    </row>
    <row r="2552" spans="1:7" x14ac:dyDescent="0.25">
      <c r="A2552" s="5" t="s">
        <v>113</v>
      </c>
      <c r="B2552" s="5" t="s">
        <v>115</v>
      </c>
      <c r="C2552" s="5">
        <v>1300</v>
      </c>
      <c r="D2552" s="5" t="s">
        <v>44</v>
      </c>
      <c r="E2552" s="5" t="s">
        <v>42</v>
      </c>
      <c r="F2552" s="6">
        <v>42370</v>
      </c>
      <c r="G2552">
        <v>0</v>
      </c>
    </row>
    <row r="2553" spans="1:7" x14ac:dyDescent="0.25">
      <c r="A2553" s="5" t="s">
        <v>113</v>
      </c>
      <c r="B2553" s="5" t="s">
        <v>115</v>
      </c>
      <c r="C2553" s="5">
        <v>1300</v>
      </c>
      <c r="D2553" s="5" t="s">
        <v>44</v>
      </c>
      <c r="E2553" s="5" t="s">
        <v>42</v>
      </c>
      <c r="F2553" s="6">
        <v>42736</v>
      </c>
      <c r="G2553">
        <v>0</v>
      </c>
    </row>
    <row r="2554" spans="1:7" x14ac:dyDescent="0.25">
      <c r="A2554" s="5" t="s">
        <v>113</v>
      </c>
      <c r="B2554" s="5" t="s">
        <v>115</v>
      </c>
      <c r="C2554" s="5">
        <v>1300</v>
      </c>
      <c r="D2554" s="5" t="s">
        <v>44</v>
      </c>
      <c r="E2554" s="5" t="s">
        <v>43</v>
      </c>
      <c r="F2554" s="6">
        <v>42370</v>
      </c>
      <c r="G2554">
        <v>0</v>
      </c>
    </row>
    <row r="2555" spans="1:7" x14ac:dyDescent="0.25">
      <c r="A2555" s="5" t="s">
        <v>113</v>
      </c>
      <c r="B2555" s="5" t="s">
        <v>115</v>
      </c>
      <c r="C2555" s="5">
        <v>1300</v>
      </c>
      <c r="D2555" s="5" t="s">
        <v>44</v>
      </c>
      <c r="E2555" s="5" t="s">
        <v>43</v>
      </c>
      <c r="F2555" s="6">
        <v>42736</v>
      </c>
      <c r="G2555">
        <v>0</v>
      </c>
    </row>
    <row r="2556" spans="1:7" x14ac:dyDescent="0.25">
      <c r="A2556" s="5" t="s">
        <v>113</v>
      </c>
      <c r="B2556" s="5" t="s">
        <v>115</v>
      </c>
      <c r="C2556" s="5">
        <v>1300</v>
      </c>
      <c r="D2556" s="5" t="s">
        <v>45</v>
      </c>
      <c r="E2556" s="5" t="s">
        <v>46</v>
      </c>
      <c r="F2556" s="6">
        <v>42370</v>
      </c>
      <c r="G2556">
        <v>0</v>
      </c>
    </row>
    <row r="2557" spans="1:7" x14ac:dyDescent="0.25">
      <c r="A2557" s="5" t="s">
        <v>113</v>
      </c>
      <c r="B2557" s="5" t="s">
        <v>115</v>
      </c>
      <c r="C2557" s="5">
        <v>1300</v>
      </c>
      <c r="D2557" s="5" t="s">
        <v>45</v>
      </c>
      <c r="E2557" s="5" t="s">
        <v>46</v>
      </c>
      <c r="F2557" s="6">
        <v>42736</v>
      </c>
      <c r="G2557">
        <v>0</v>
      </c>
    </row>
    <row r="2558" spans="1:7" x14ac:dyDescent="0.25">
      <c r="A2558" s="5" t="s">
        <v>113</v>
      </c>
      <c r="B2558" s="5" t="s">
        <v>115</v>
      </c>
      <c r="C2558" s="5">
        <v>1300</v>
      </c>
      <c r="D2558" s="5" t="s">
        <v>45</v>
      </c>
      <c r="E2558" s="5" t="s">
        <v>47</v>
      </c>
      <c r="F2558" s="6">
        <v>42370</v>
      </c>
      <c r="G2558">
        <v>0</v>
      </c>
    </row>
    <row r="2559" spans="1:7" x14ac:dyDescent="0.25">
      <c r="A2559" s="5" t="s">
        <v>113</v>
      </c>
      <c r="B2559" s="5" t="s">
        <v>115</v>
      </c>
      <c r="C2559" s="5">
        <v>1300</v>
      </c>
      <c r="D2559" s="5" t="s">
        <v>45</v>
      </c>
      <c r="E2559" s="5" t="s">
        <v>47</v>
      </c>
      <c r="F2559" s="6">
        <v>42736</v>
      </c>
      <c r="G2559">
        <v>1</v>
      </c>
    </row>
    <row r="2560" spans="1:7" x14ac:dyDescent="0.25">
      <c r="A2560" s="5" t="s">
        <v>113</v>
      </c>
      <c r="B2560" s="5" t="s">
        <v>115</v>
      </c>
      <c r="C2560" s="5">
        <v>1300</v>
      </c>
      <c r="D2560" s="5" t="s">
        <v>45</v>
      </c>
      <c r="E2560" s="5" t="s">
        <v>48</v>
      </c>
      <c r="F2560" s="6">
        <v>42370</v>
      </c>
      <c r="G2560">
        <v>56</v>
      </c>
    </row>
    <row r="2561" spans="1:7" x14ac:dyDescent="0.25">
      <c r="A2561" s="5" t="s">
        <v>113</v>
      </c>
      <c r="B2561" s="5" t="s">
        <v>115</v>
      </c>
      <c r="C2561" s="5">
        <v>1300</v>
      </c>
      <c r="D2561" s="5" t="s">
        <v>45</v>
      </c>
      <c r="E2561" s="5" t="s">
        <v>48</v>
      </c>
      <c r="F2561" s="6">
        <v>42736</v>
      </c>
      <c r="G2561">
        <v>74</v>
      </c>
    </row>
    <row r="2562" spans="1:7" x14ac:dyDescent="0.25">
      <c r="A2562" s="5" t="s">
        <v>113</v>
      </c>
      <c r="B2562" s="5" t="s">
        <v>115</v>
      </c>
      <c r="C2562" s="5">
        <v>1300</v>
      </c>
      <c r="D2562" s="5" t="s">
        <v>45</v>
      </c>
      <c r="E2562" s="5" t="s">
        <v>49</v>
      </c>
      <c r="F2562" s="6">
        <v>42370</v>
      </c>
      <c r="G2562">
        <v>30</v>
      </c>
    </row>
    <row r="2563" spans="1:7" x14ac:dyDescent="0.25">
      <c r="A2563" s="5" t="s">
        <v>113</v>
      </c>
      <c r="B2563" s="5" t="s">
        <v>115</v>
      </c>
      <c r="C2563" s="5">
        <v>1300</v>
      </c>
      <c r="D2563" s="5" t="s">
        <v>45</v>
      </c>
      <c r="E2563" s="5" t="s">
        <v>49</v>
      </c>
      <c r="F2563" s="6">
        <v>42736</v>
      </c>
      <c r="G2563">
        <v>40</v>
      </c>
    </row>
    <row r="2564" spans="1:7" x14ac:dyDescent="0.25">
      <c r="A2564" s="5" t="s">
        <v>113</v>
      </c>
      <c r="B2564" s="5" t="s">
        <v>115</v>
      </c>
      <c r="C2564" s="5">
        <v>1300</v>
      </c>
      <c r="D2564" s="5" t="s">
        <v>45</v>
      </c>
      <c r="E2564" s="5" t="s">
        <v>50</v>
      </c>
      <c r="F2564" s="6">
        <v>42370</v>
      </c>
      <c r="G2564">
        <v>1</v>
      </c>
    </row>
    <row r="2565" spans="1:7" x14ac:dyDescent="0.25">
      <c r="A2565" s="5" t="s">
        <v>113</v>
      </c>
      <c r="B2565" s="5" t="s">
        <v>115</v>
      </c>
      <c r="C2565" s="5">
        <v>1300</v>
      </c>
      <c r="D2565" s="5" t="s">
        <v>45</v>
      </c>
      <c r="E2565" s="5" t="s">
        <v>50</v>
      </c>
      <c r="F2565" s="6">
        <v>42736</v>
      </c>
      <c r="G2565">
        <v>0</v>
      </c>
    </row>
    <row r="2566" spans="1:7" x14ac:dyDescent="0.25">
      <c r="A2566" s="5" t="s">
        <v>113</v>
      </c>
      <c r="B2566" s="5" t="s">
        <v>115</v>
      </c>
      <c r="C2566" s="5">
        <v>1300</v>
      </c>
      <c r="D2566" s="5" t="s">
        <v>45</v>
      </c>
      <c r="E2566" s="5" t="s">
        <v>51</v>
      </c>
      <c r="F2566" s="6">
        <v>42370</v>
      </c>
      <c r="G2566">
        <v>0</v>
      </c>
    </row>
    <row r="2567" spans="1:7" x14ac:dyDescent="0.25">
      <c r="A2567" s="5" t="s">
        <v>113</v>
      </c>
      <c r="B2567" s="5" t="s">
        <v>115</v>
      </c>
      <c r="C2567" s="5">
        <v>1300</v>
      </c>
      <c r="D2567" s="5" t="s">
        <v>45</v>
      </c>
      <c r="E2567" s="5" t="s">
        <v>51</v>
      </c>
      <c r="F2567" s="6">
        <v>42736</v>
      </c>
      <c r="G2567">
        <v>0</v>
      </c>
    </row>
    <row r="2568" spans="1:7" x14ac:dyDescent="0.25">
      <c r="A2568" s="5" t="s">
        <v>113</v>
      </c>
      <c r="B2568" s="5" t="s">
        <v>115</v>
      </c>
      <c r="C2568" s="5">
        <v>1300</v>
      </c>
      <c r="D2568" s="5" t="s">
        <v>45</v>
      </c>
      <c r="E2568" s="5" t="s">
        <v>52</v>
      </c>
      <c r="F2568" s="6">
        <v>42370</v>
      </c>
      <c r="G2568">
        <v>0</v>
      </c>
    </row>
    <row r="2569" spans="1:7" x14ac:dyDescent="0.25">
      <c r="A2569" s="5" t="s">
        <v>113</v>
      </c>
      <c r="B2569" s="5" t="s">
        <v>115</v>
      </c>
      <c r="C2569" s="5">
        <v>1300</v>
      </c>
      <c r="D2569" s="5" t="s">
        <v>45</v>
      </c>
      <c r="E2569" s="5" t="s">
        <v>52</v>
      </c>
      <c r="F2569" s="6">
        <v>42736</v>
      </c>
      <c r="G2569">
        <v>0</v>
      </c>
    </row>
    <row r="2570" spans="1:7" x14ac:dyDescent="0.25">
      <c r="A2570" s="5" t="s">
        <v>113</v>
      </c>
      <c r="B2570" s="5" t="s">
        <v>115</v>
      </c>
      <c r="C2570" s="5">
        <v>1300</v>
      </c>
      <c r="D2570" s="5" t="s">
        <v>45</v>
      </c>
      <c r="E2570" s="5" t="s">
        <v>53</v>
      </c>
      <c r="F2570" s="6">
        <v>42370</v>
      </c>
      <c r="G2570">
        <v>51</v>
      </c>
    </row>
    <row r="2571" spans="1:7" x14ac:dyDescent="0.25">
      <c r="A2571" s="5" t="s">
        <v>113</v>
      </c>
      <c r="B2571" s="5" t="s">
        <v>115</v>
      </c>
      <c r="C2571" s="5">
        <v>1300</v>
      </c>
      <c r="D2571" s="5" t="s">
        <v>45</v>
      </c>
      <c r="E2571" s="5" t="s">
        <v>53</v>
      </c>
      <c r="F2571" s="6">
        <v>42736</v>
      </c>
      <c r="G2571">
        <v>99</v>
      </c>
    </row>
    <row r="2572" spans="1:7" x14ac:dyDescent="0.25">
      <c r="A2572" s="5" t="s">
        <v>113</v>
      </c>
      <c r="B2572" s="5" t="s">
        <v>115</v>
      </c>
      <c r="C2572" s="5">
        <v>1300</v>
      </c>
      <c r="D2572" s="5" t="s">
        <v>45</v>
      </c>
      <c r="E2572" s="5" t="s">
        <v>54</v>
      </c>
      <c r="F2572" s="6">
        <v>42370</v>
      </c>
      <c r="G2572">
        <v>0</v>
      </c>
    </row>
    <row r="2573" spans="1:7" x14ac:dyDescent="0.25">
      <c r="A2573" s="5" t="s">
        <v>113</v>
      </c>
      <c r="B2573" s="5" t="s">
        <v>115</v>
      </c>
      <c r="C2573" s="5">
        <v>1300</v>
      </c>
      <c r="D2573" s="5" t="s">
        <v>45</v>
      </c>
      <c r="E2573" s="5" t="s">
        <v>54</v>
      </c>
      <c r="F2573" s="6">
        <v>42736</v>
      </c>
      <c r="G2573">
        <v>0</v>
      </c>
    </row>
    <row r="2574" spans="1:7" x14ac:dyDescent="0.25">
      <c r="A2574" s="5" t="s">
        <v>113</v>
      </c>
      <c r="B2574" s="5" t="s">
        <v>115</v>
      </c>
      <c r="C2574" s="5">
        <v>1300</v>
      </c>
      <c r="D2574" s="5" t="s">
        <v>45</v>
      </c>
      <c r="E2574" s="5" t="s">
        <v>55</v>
      </c>
      <c r="F2574" s="6">
        <v>42370</v>
      </c>
      <c r="G2574">
        <v>0</v>
      </c>
    </row>
    <row r="2575" spans="1:7" x14ac:dyDescent="0.25">
      <c r="A2575" s="5" t="s">
        <v>113</v>
      </c>
      <c r="B2575" s="5" t="s">
        <v>115</v>
      </c>
      <c r="C2575" s="5">
        <v>1300</v>
      </c>
      <c r="D2575" s="5" t="s">
        <v>45</v>
      </c>
      <c r="E2575" s="5" t="s">
        <v>55</v>
      </c>
      <c r="F2575" s="6">
        <v>42736</v>
      </c>
      <c r="G2575">
        <v>0</v>
      </c>
    </row>
    <row r="2576" spans="1:7" x14ac:dyDescent="0.25">
      <c r="A2576" s="5" t="s">
        <v>113</v>
      </c>
      <c r="B2576" s="5" t="s">
        <v>115</v>
      </c>
      <c r="C2576" s="5">
        <v>1300</v>
      </c>
      <c r="D2576" s="5" t="s">
        <v>45</v>
      </c>
      <c r="E2576" s="5" t="s">
        <v>56</v>
      </c>
      <c r="F2576" s="6">
        <v>42370</v>
      </c>
      <c r="G2576">
        <v>3</v>
      </c>
    </row>
    <row r="2577" spans="1:7" x14ac:dyDescent="0.25">
      <c r="A2577" s="5" t="s">
        <v>113</v>
      </c>
      <c r="B2577" s="5" t="s">
        <v>115</v>
      </c>
      <c r="C2577" s="5">
        <v>1300</v>
      </c>
      <c r="D2577" s="5" t="s">
        <v>45</v>
      </c>
      <c r="E2577" s="5" t="s">
        <v>56</v>
      </c>
      <c r="F2577" s="6">
        <v>42736</v>
      </c>
      <c r="G2577">
        <v>1</v>
      </c>
    </row>
    <row r="2578" spans="1:7" x14ac:dyDescent="0.25">
      <c r="A2578" s="5" t="s">
        <v>113</v>
      </c>
      <c r="B2578" s="5" t="s">
        <v>115</v>
      </c>
      <c r="C2578" s="5">
        <v>1300</v>
      </c>
      <c r="D2578" s="5" t="s">
        <v>45</v>
      </c>
      <c r="E2578" s="5" t="s">
        <v>57</v>
      </c>
      <c r="F2578" s="6">
        <v>42370</v>
      </c>
      <c r="G2578">
        <v>1</v>
      </c>
    </row>
    <row r="2579" spans="1:7" x14ac:dyDescent="0.25">
      <c r="A2579" s="5" t="s">
        <v>113</v>
      </c>
      <c r="B2579" s="5" t="s">
        <v>115</v>
      </c>
      <c r="C2579" s="5">
        <v>1300</v>
      </c>
      <c r="D2579" s="5" t="s">
        <v>45</v>
      </c>
      <c r="E2579" s="5" t="s">
        <v>57</v>
      </c>
      <c r="F2579" s="6">
        <v>42736</v>
      </c>
      <c r="G2579">
        <v>0</v>
      </c>
    </row>
    <row r="2580" spans="1:7" x14ac:dyDescent="0.25">
      <c r="A2580" s="5" t="s">
        <v>113</v>
      </c>
      <c r="B2580" s="5" t="s">
        <v>115</v>
      </c>
      <c r="C2580" s="5">
        <v>1300</v>
      </c>
      <c r="D2580" s="5" t="s">
        <v>45</v>
      </c>
      <c r="E2580" s="5" t="s">
        <v>58</v>
      </c>
      <c r="F2580" s="6">
        <v>42370</v>
      </c>
      <c r="G2580">
        <v>0</v>
      </c>
    </row>
    <row r="2581" spans="1:7" x14ac:dyDescent="0.25">
      <c r="A2581" s="5" t="s">
        <v>113</v>
      </c>
      <c r="B2581" s="5" t="s">
        <v>115</v>
      </c>
      <c r="C2581" s="5">
        <v>1300</v>
      </c>
      <c r="D2581" s="5" t="s">
        <v>45</v>
      </c>
      <c r="E2581" s="5" t="s">
        <v>58</v>
      </c>
      <c r="F2581" s="6">
        <v>42736</v>
      </c>
      <c r="G2581">
        <v>0</v>
      </c>
    </row>
    <row r="2582" spans="1:7" x14ac:dyDescent="0.25">
      <c r="A2582" s="5" t="s">
        <v>113</v>
      </c>
      <c r="B2582" s="5" t="s">
        <v>115</v>
      </c>
      <c r="C2582" s="5">
        <v>1300</v>
      </c>
      <c r="D2582" s="5" t="s">
        <v>45</v>
      </c>
      <c r="E2582" s="5" t="s">
        <v>59</v>
      </c>
      <c r="F2582" s="6">
        <v>42370</v>
      </c>
      <c r="G2582">
        <v>0</v>
      </c>
    </row>
    <row r="2583" spans="1:7" x14ac:dyDescent="0.25">
      <c r="A2583" s="5" t="s">
        <v>113</v>
      </c>
      <c r="B2583" s="5" t="s">
        <v>115</v>
      </c>
      <c r="C2583" s="5">
        <v>1300</v>
      </c>
      <c r="D2583" s="5" t="s">
        <v>45</v>
      </c>
      <c r="E2583" s="5" t="s">
        <v>59</v>
      </c>
      <c r="F2583" s="6">
        <v>42736</v>
      </c>
      <c r="G2583">
        <v>0</v>
      </c>
    </row>
    <row r="2584" spans="1:7" x14ac:dyDescent="0.25">
      <c r="A2584" s="5" t="s">
        <v>113</v>
      </c>
      <c r="B2584" s="5" t="s">
        <v>115</v>
      </c>
      <c r="C2584" s="5">
        <v>1300</v>
      </c>
      <c r="D2584" s="5" t="s">
        <v>45</v>
      </c>
      <c r="E2584" s="5" t="s">
        <v>60</v>
      </c>
      <c r="F2584" s="6">
        <v>42370</v>
      </c>
      <c r="G2584">
        <v>5</v>
      </c>
    </row>
    <row r="2585" spans="1:7" x14ac:dyDescent="0.25">
      <c r="A2585" s="5" t="s">
        <v>113</v>
      </c>
      <c r="B2585" s="5" t="s">
        <v>115</v>
      </c>
      <c r="C2585" s="5">
        <v>1300</v>
      </c>
      <c r="D2585" s="5" t="s">
        <v>45</v>
      </c>
      <c r="E2585" s="5" t="s">
        <v>60</v>
      </c>
      <c r="F2585" s="6">
        <v>42736</v>
      </c>
      <c r="G2585">
        <v>8</v>
      </c>
    </row>
    <row r="2586" spans="1:7" x14ac:dyDescent="0.25">
      <c r="A2586" s="5" t="s">
        <v>113</v>
      </c>
      <c r="B2586" s="5" t="s">
        <v>115</v>
      </c>
      <c r="C2586" s="5">
        <v>1300</v>
      </c>
      <c r="D2586" s="5" t="s">
        <v>45</v>
      </c>
      <c r="E2586" s="5" t="s">
        <v>61</v>
      </c>
      <c r="F2586" s="6">
        <v>42370</v>
      </c>
      <c r="G2586">
        <v>0</v>
      </c>
    </row>
    <row r="2587" spans="1:7" x14ac:dyDescent="0.25">
      <c r="A2587" s="5" t="s">
        <v>113</v>
      </c>
      <c r="B2587" s="5" t="s">
        <v>115</v>
      </c>
      <c r="C2587" s="5">
        <v>1300</v>
      </c>
      <c r="D2587" s="5" t="s">
        <v>45</v>
      </c>
      <c r="E2587" s="5" t="s">
        <v>61</v>
      </c>
      <c r="F2587" s="6">
        <v>42736</v>
      </c>
      <c r="G2587">
        <v>0</v>
      </c>
    </row>
    <row r="2588" spans="1:7" x14ac:dyDescent="0.25">
      <c r="A2588" s="5" t="s">
        <v>113</v>
      </c>
      <c r="B2588" s="5" t="s">
        <v>115</v>
      </c>
      <c r="C2588" s="5">
        <v>1300</v>
      </c>
      <c r="D2588" s="5" t="s">
        <v>62</v>
      </c>
      <c r="E2588" s="5" t="s">
        <v>63</v>
      </c>
      <c r="F2588" s="6">
        <v>42370</v>
      </c>
      <c r="G2588">
        <v>0</v>
      </c>
    </row>
    <row r="2589" spans="1:7" x14ac:dyDescent="0.25">
      <c r="A2589" s="5" t="s">
        <v>113</v>
      </c>
      <c r="B2589" s="5" t="s">
        <v>115</v>
      </c>
      <c r="C2589" s="5">
        <v>1300</v>
      </c>
      <c r="D2589" s="5" t="s">
        <v>62</v>
      </c>
      <c r="E2589" s="5" t="s">
        <v>63</v>
      </c>
      <c r="F2589" s="6">
        <v>42736</v>
      </c>
      <c r="G2589">
        <v>0</v>
      </c>
    </row>
    <row r="2590" spans="1:7" x14ac:dyDescent="0.25">
      <c r="A2590" s="5" t="s">
        <v>113</v>
      </c>
      <c r="B2590" s="5" t="s">
        <v>115</v>
      </c>
      <c r="C2590" s="5">
        <v>1300</v>
      </c>
      <c r="D2590" s="5" t="s">
        <v>62</v>
      </c>
      <c r="E2590" s="5" t="s">
        <v>64</v>
      </c>
      <c r="F2590" s="6">
        <v>42370</v>
      </c>
      <c r="G2590">
        <v>0</v>
      </c>
    </row>
    <row r="2591" spans="1:7" x14ac:dyDescent="0.25">
      <c r="A2591" s="5" t="s">
        <v>113</v>
      </c>
      <c r="B2591" s="5" t="s">
        <v>115</v>
      </c>
      <c r="C2591" s="5">
        <v>1300</v>
      </c>
      <c r="D2591" s="5" t="s">
        <v>62</v>
      </c>
      <c r="E2591" s="5" t="s">
        <v>64</v>
      </c>
      <c r="F2591" s="6">
        <v>42736</v>
      </c>
      <c r="G2591">
        <v>0</v>
      </c>
    </row>
    <row r="2592" spans="1:7" x14ac:dyDescent="0.25">
      <c r="A2592" s="5" t="s">
        <v>113</v>
      </c>
      <c r="B2592" s="5" t="s">
        <v>115</v>
      </c>
      <c r="C2592" s="5">
        <v>1300</v>
      </c>
      <c r="D2592" s="5" t="s">
        <v>62</v>
      </c>
      <c r="E2592" s="5" t="s">
        <v>9</v>
      </c>
      <c r="F2592" s="6">
        <v>42370</v>
      </c>
      <c r="G2592">
        <v>0</v>
      </c>
    </row>
    <row r="2593" spans="1:7" x14ac:dyDescent="0.25">
      <c r="A2593" s="5" t="s">
        <v>113</v>
      </c>
      <c r="B2593" s="5" t="s">
        <v>115</v>
      </c>
      <c r="C2593" s="5">
        <v>1300</v>
      </c>
      <c r="D2593" s="5" t="s">
        <v>62</v>
      </c>
      <c r="E2593" s="5" t="s">
        <v>9</v>
      </c>
      <c r="F2593" s="6">
        <v>42736</v>
      </c>
      <c r="G2593">
        <v>0</v>
      </c>
    </row>
    <row r="2594" spans="1:7" x14ac:dyDescent="0.25">
      <c r="A2594" s="5" t="s">
        <v>113</v>
      </c>
      <c r="B2594" s="5" t="s">
        <v>115</v>
      </c>
      <c r="C2594" s="5">
        <v>1300</v>
      </c>
      <c r="D2594" s="5" t="s">
        <v>62</v>
      </c>
      <c r="E2594" s="5" t="s">
        <v>65</v>
      </c>
      <c r="F2594" s="6">
        <v>42370</v>
      </c>
      <c r="G2594">
        <v>0</v>
      </c>
    </row>
    <row r="2595" spans="1:7" x14ac:dyDescent="0.25">
      <c r="A2595" s="5" t="s">
        <v>113</v>
      </c>
      <c r="B2595" s="5" t="s">
        <v>115</v>
      </c>
      <c r="C2595" s="5">
        <v>1300</v>
      </c>
      <c r="D2595" s="5" t="s">
        <v>62</v>
      </c>
      <c r="E2595" s="5" t="s">
        <v>65</v>
      </c>
      <c r="F2595" s="6">
        <v>42736</v>
      </c>
      <c r="G2595">
        <v>0</v>
      </c>
    </row>
    <row r="2596" spans="1:7" x14ac:dyDescent="0.25">
      <c r="A2596" s="5" t="s">
        <v>113</v>
      </c>
      <c r="B2596" s="5" t="s">
        <v>115</v>
      </c>
      <c r="C2596" s="5">
        <v>1300</v>
      </c>
      <c r="D2596" s="5" t="s">
        <v>62</v>
      </c>
      <c r="E2596" s="5" t="s">
        <v>66</v>
      </c>
      <c r="F2596" s="6">
        <v>42370</v>
      </c>
      <c r="G2596">
        <v>0</v>
      </c>
    </row>
    <row r="2597" spans="1:7" x14ac:dyDescent="0.25">
      <c r="A2597" s="5" t="s">
        <v>113</v>
      </c>
      <c r="B2597" s="5" t="s">
        <v>115</v>
      </c>
      <c r="C2597" s="5">
        <v>1300</v>
      </c>
      <c r="D2597" s="5" t="s">
        <v>62</v>
      </c>
      <c r="E2597" s="5" t="s">
        <v>66</v>
      </c>
      <c r="F2597" s="6">
        <v>42736</v>
      </c>
      <c r="G2597">
        <v>0</v>
      </c>
    </row>
    <row r="2598" spans="1:7" x14ac:dyDescent="0.25">
      <c r="A2598" s="5" t="s">
        <v>113</v>
      </c>
      <c r="B2598" s="5" t="s">
        <v>115</v>
      </c>
      <c r="C2598" s="5">
        <v>1300</v>
      </c>
      <c r="D2598" s="5" t="s">
        <v>62</v>
      </c>
      <c r="E2598" s="5" t="s">
        <v>67</v>
      </c>
      <c r="F2598" s="6">
        <v>42370</v>
      </c>
      <c r="G2598">
        <v>0</v>
      </c>
    </row>
    <row r="2599" spans="1:7" x14ac:dyDescent="0.25">
      <c r="A2599" s="5" t="s">
        <v>113</v>
      </c>
      <c r="B2599" s="5" t="s">
        <v>115</v>
      </c>
      <c r="C2599" s="5">
        <v>1300</v>
      </c>
      <c r="D2599" s="5" t="s">
        <v>62</v>
      </c>
      <c r="E2599" s="5" t="s">
        <v>67</v>
      </c>
      <c r="F2599" s="6">
        <v>42736</v>
      </c>
      <c r="G2599">
        <v>0</v>
      </c>
    </row>
    <row r="2600" spans="1:7" x14ac:dyDescent="0.25">
      <c r="A2600" s="5" t="s">
        <v>113</v>
      </c>
      <c r="B2600" s="5" t="s">
        <v>115</v>
      </c>
      <c r="C2600" s="5">
        <v>1300</v>
      </c>
      <c r="D2600" s="5" t="s">
        <v>62</v>
      </c>
      <c r="E2600" s="5" t="s">
        <v>68</v>
      </c>
      <c r="F2600" s="6">
        <v>42370</v>
      </c>
      <c r="G2600">
        <v>0</v>
      </c>
    </row>
    <row r="2601" spans="1:7" x14ac:dyDescent="0.25">
      <c r="A2601" s="5" t="s">
        <v>113</v>
      </c>
      <c r="B2601" s="5" t="s">
        <v>115</v>
      </c>
      <c r="C2601" s="5">
        <v>1300</v>
      </c>
      <c r="D2601" s="5" t="s">
        <v>62</v>
      </c>
      <c r="E2601" s="5" t="s">
        <v>68</v>
      </c>
      <c r="F2601" s="6">
        <v>42736</v>
      </c>
      <c r="G2601">
        <v>0</v>
      </c>
    </row>
    <row r="2602" spans="1:7" x14ac:dyDescent="0.25">
      <c r="A2602" s="5" t="s">
        <v>113</v>
      </c>
      <c r="B2602" s="5" t="s">
        <v>115</v>
      </c>
      <c r="C2602" s="5">
        <v>1300</v>
      </c>
      <c r="D2602" s="5" t="s">
        <v>62</v>
      </c>
      <c r="E2602" s="5" t="s">
        <v>69</v>
      </c>
      <c r="F2602" s="6">
        <v>42370</v>
      </c>
      <c r="G2602">
        <v>0</v>
      </c>
    </row>
    <row r="2603" spans="1:7" x14ac:dyDescent="0.25">
      <c r="A2603" s="5" t="s">
        <v>113</v>
      </c>
      <c r="B2603" s="5" t="s">
        <v>115</v>
      </c>
      <c r="C2603" s="5">
        <v>1300</v>
      </c>
      <c r="D2603" s="5" t="s">
        <v>62</v>
      </c>
      <c r="E2603" s="5" t="s">
        <v>69</v>
      </c>
      <c r="F2603" s="6">
        <v>42736</v>
      </c>
      <c r="G2603">
        <v>0</v>
      </c>
    </row>
    <row r="2604" spans="1:7" x14ac:dyDescent="0.25">
      <c r="A2604" s="5" t="s">
        <v>113</v>
      </c>
      <c r="B2604" s="5" t="s">
        <v>115</v>
      </c>
      <c r="C2604" s="5">
        <v>1300</v>
      </c>
      <c r="D2604" s="5" t="s">
        <v>62</v>
      </c>
      <c r="E2604" s="5" t="s">
        <v>70</v>
      </c>
      <c r="F2604" s="6">
        <v>42370</v>
      </c>
      <c r="G2604">
        <v>0</v>
      </c>
    </row>
    <row r="2605" spans="1:7" x14ac:dyDescent="0.25">
      <c r="A2605" s="5" t="s">
        <v>113</v>
      </c>
      <c r="B2605" s="5" t="s">
        <v>115</v>
      </c>
      <c r="C2605" s="5">
        <v>1300</v>
      </c>
      <c r="D2605" s="5" t="s">
        <v>62</v>
      </c>
      <c r="E2605" s="5" t="s">
        <v>70</v>
      </c>
      <c r="F2605" s="6">
        <v>42736</v>
      </c>
      <c r="G2605">
        <v>0</v>
      </c>
    </row>
    <row r="2606" spans="1:7" x14ac:dyDescent="0.25">
      <c r="A2606" s="5" t="s">
        <v>113</v>
      </c>
      <c r="B2606" s="5" t="s">
        <v>115</v>
      </c>
      <c r="C2606" s="5">
        <v>1300</v>
      </c>
      <c r="D2606" s="5" t="s">
        <v>62</v>
      </c>
      <c r="E2606" s="5" t="s">
        <v>71</v>
      </c>
      <c r="F2606" s="6">
        <v>42370</v>
      </c>
      <c r="G2606">
        <v>0</v>
      </c>
    </row>
    <row r="2607" spans="1:7" x14ac:dyDescent="0.25">
      <c r="A2607" s="5" t="s">
        <v>113</v>
      </c>
      <c r="B2607" s="5" t="s">
        <v>115</v>
      </c>
      <c r="C2607" s="5">
        <v>1300</v>
      </c>
      <c r="D2607" s="5" t="s">
        <v>62</v>
      </c>
      <c r="E2607" s="5" t="s">
        <v>71</v>
      </c>
      <c r="F2607" s="6">
        <v>42736</v>
      </c>
      <c r="G2607">
        <v>0</v>
      </c>
    </row>
    <row r="2608" spans="1:7" x14ac:dyDescent="0.25">
      <c r="A2608" s="5" t="s">
        <v>113</v>
      </c>
      <c r="B2608" s="5" t="s">
        <v>115</v>
      </c>
      <c r="C2608" s="5">
        <v>1300</v>
      </c>
      <c r="D2608" s="5" t="s">
        <v>72</v>
      </c>
      <c r="E2608" s="5" t="s">
        <v>73</v>
      </c>
      <c r="F2608" s="6">
        <v>42370</v>
      </c>
      <c r="G2608">
        <v>0</v>
      </c>
    </row>
    <row r="2609" spans="1:7" x14ac:dyDescent="0.25">
      <c r="A2609" s="5" t="s">
        <v>113</v>
      </c>
      <c r="B2609" s="5" t="s">
        <v>115</v>
      </c>
      <c r="C2609" s="5">
        <v>1300</v>
      </c>
      <c r="D2609" s="5" t="s">
        <v>72</v>
      </c>
      <c r="E2609" s="5" t="s">
        <v>73</v>
      </c>
      <c r="F2609" s="6">
        <v>42736</v>
      </c>
      <c r="G2609">
        <v>0</v>
      </c>
    </row>
    <row r="2610" spans="1:7" x14ac:dyDescent="0.25">
      <c r="A2610" s="5" t="s">
        <v>113</v>
      </c>
      <c r="B2610" s="5" t="s">
        <v>115</v>
      </c>
      <c r="C2610" s="5">
        <v>1300</v>
      </c>
      <c r="D2610" s="5" t="s">
        <v>72</v>
      </c>
      <c r="E2610" s="5" t="s">
        <v>9</v>
      </c>
      <c r="F2610" s="6">
        <v>42370</v>
      </c>
      <c r="G2610">
        <v>0</v>
      </c>
    </row>
    <row r="2611" spans="1:7" x14ac:dyDescent="0.25">
      <c r="A2611" s="5" t="s">
        <v>113</v>
      </c>
      <c r="B2611" s="5" t="s">
        <v>115</v>
      </c>
      <c r="C2611" s="5">
        <v>1300</v>
      </c>
      <c r="D2611" s="5" t="s">
        <v>72</v>
      </c>
      <c r="E2611" s="5" t="s">
        <v>9</v>
      </c>
      <c r="F2611" s="6">
        <v>42736</v>
      </c>
      <c r="G2611">
        <v>0</v>
      </c>
    </row>
    <row r="2612" spans="1:7" x14ac:dyDescent="0.25">
      <c r="A2612" s="5" t="s">
        <v>113</v>
      </c>
      <c r="B2612" s="5" t="s">
        <v>115</v>
      </c>
      <c r="C2612" s="5">
        <v>1300</v>
      </c>
      <c r="D2612" s="5" t="s">
        <v>72</v>
      </c>
      <c r="E2612" s="5" t="s">
        <v>34</v>
      </c>
      <c r="F2612" s="6">
        <v>42370</v>
      </c>
      <c r="G2612">
        <v>0</v>
      </c>
    </row>
    <row r="2613" spans="1:7" x14ac:dyDescent="0.25">
      <c r="A2613" s="5" t="s">
        <v>113</v>
      </c>
      <c r="B2613" s="5" t="s">
        <v>115</v>
      </c>
      <c r="C2613" s="5">
        <v>1300</v>
      </c>
      <c r="D2613" s="5" t="s">
        <v>72</v>
      </c>
      <c r="E2613" s="5" t="s">
        <v>34</v>
      </c>
      <c r="F2613" s="6">
        <v>42736</v>
      </c>
      <c r="G2613">
        <v>0</v>
      </c>
    </row>
    <row r="2614" spans="1:7" x14ac:dyDescent="0.25">
      <c r="A2614" s="5" t="s">
        <v>113</v>
      </c>
      <c r="B2614" s="5" t="s">
        <v>115</v>
      </c>
      <c r="C2614" s="5">
        <v>1300</v>
      </c>
      <c r="D2614" s="5" t="s">
        <v>72</v>
      </c>
      <c r="E2614" s="5" t="s">
        <v>74</v>
      </c>
      <c r="F2614" s="6">
        <v>42370</v>
      </c>
      <c r="G2614">
        <v>0</v>
      </c>
    </row>
    <row r="2615" spans="1:7" x14ac:dyDescent="0.25">
      <c r="A2615" s="5" t="s">
        <v>113</v>
      </c>
      <c r="B2615" s="5" t="s">
        <v>115</v>
      </c>
      <c r="C2615" s="5">
        <v>1300</v>
      </c>
      <c r="D2615" s="5" t="s">
        <v>72</v>
      </c>
      <c r="E2615" s="5" t="s">
        <v>74</v>
      </c>
      <c r="F2615" s="6">
        <v>42736</v>
      </c>
      <c r="G2615">
        <v>0</v>
      </c>
    </row>
    <row r="2616" spans="1:7" x14ac:dyDescent="0.25">
      <c r="A2616" s="5" t="s">
        <v>113</v>
      </c>
      <c r="B2616" s="5" t="s">
        <v>115</v>
      </c>
      <c r="C2616" s="5">
        <v>1300</v>
      </c>
      <c r="D2616" s="5" t="s">
        <v>72</v>
      </c>
      <c r="E2616" s="5" t="s">
        <v>75</v>
      </c>
      <c r="F2616" s="6">
        <v>42370</v>
      </c>
      <c r="G2616">
        <v>26</v>
      </c>
    </row>
    <row r="2617" spans="1:7" x14ac:dyDescent="0.25">
      <c r="A2617" s="5" t="s">
        <v>113</v>
      </c>
      <c r="B2617" s="5" t="s">
        <v>115</v>
      </c>
      <c r="C2617" s="5">
        <v>1300</v>
      </c>
      <c r="D2617" s="5" t="s">
        <v>72</v>
      </c>
      <c r="E2617" s="5" t="s">
        <v>75</v>
      </c>
      <c r="F2617" s="6">
        <v>42736</v>
      </c>
      <c r="G2617">
        <v>45</v>
      </c>
    </row>
    <row r="2618" spans="1:7" x14ac:dyDescent="0.25">
      <c r="A2618" s="5" t="s">
        <v>113</v>
      </c>
      <c r="B2618" s="5" t="s">
        <v>115</v>
      </c>
      <c r="C2618" s="5">
        <v>1300</v>
      </c>
      <c r="D2618" s="5" t="s">
        <v>76</v>
      </c>
      <c r="E2618" s="5" t="s">
        <v>9</v>
      </c>
      <c r="F2618" s="6">
        <v>42370</v>
      </c>
      <c r="G2618">
        <v>0</v>
      </c>
    </row>
    <row r="2619" spans="1:7" x14ac:dyDescent="0.25">
      <c r="A2619" s="5" t="s">
        <v>113</v>
      </c>
      <c r="B2619" s="5" t="s">
        <v>115</v>
      </c>
      <c r="C2619" s="5">
        <v>1300</v>
      </c>
      <c r="D2619" s="5" t="s">
        <v>76</v>
      </c>
      <c r="E2619" s="5" t="s">
        <v>9</v>
      </c>
      <c r="F2619" s="6">
        <v>42736</v>
      </c>
      <c r="G2619">
        <v>0</v>
      </c>
    </row>
    <row r="2620" spans="1:7" x14ac:dyDescent="0.25">
      <c r="A2620" s="5" t="s">
        <v>113</v>
      </c>
      <c r="B2620" s="5" t="s">
        <v>115</v>
      </c>
      <c r="C2620" s="5">
        <v>1300</v>
      </c>
      <c r="D2620" s="5" t="s">
        <v>76</v>
      </c>
      <c r="E2620" s="5" t="s">
        <v>77</v>
      </c>
      <c r="F2620" s="6">
        <v>42370</v>
      </c>
      <c r="G2620">
        <v>1</v>
      </c>
    </row>
    <row r="2621" spans="1:7" x14ac:dyDescent="0.25">
      <c r="A2621" s="5" t="s">
        <v>113</v>
      </c>
      <c r="B2621" s="5" t="s">
        <v>115</v>
      </c>
      <c r="C2621" s="5">
        <v>1300</v>
      </c>
      <c r="D2621" s="5" t="s">
        <v>76</v>
      </c>
      <c r="E2621" s="5" t="s">
        <v>77</v>
      </c>
      <c r="F2621" s="6">
        <v>42736</v>
      </c>
      <c r="G2621">
        <v>1</v>
      </c>
    </row>
    <row r="2622" spans="1:7" x14ac:dyDescent="0.25">
      <c r="A2622" s="5" t="s">
        <v>113</v>
      </c>
      <c r="B2622" s="5" t="s">
        <v>115</v>
      </c>
      <c r="C2622" s="5">
        <v>1300</v>
      </c>
      <c r="D2622" s="5" t="s">
        <v>78</v>
      </c>
      <c r="E2622" s="5" t="s">
        <v>79</v>
      </c>
      <c r="F2622" s="6">
        <v>42370</v>
      </c>
      <c r="G2622">
        <v>218</v>
      </c>
    </row>
    <row r="2623" spans="1:7" x14ac:dyDescent="0.25">
      <c r="A2623" s="5" t="s">
        <v>113</v>
      </c>
      <c r="B2623" s="5" t="s">
        <v>115</v>
      </c>
      <c r="C2623" s="5">
        <v>1300</v>
      </c>
      <c r="D2623" s="5" t="s">
        <v>78</v>
      </c>
      <c r="E2623" s="5" t="s">
        <v>79</v>
      </c>
      <c r="F2623" s="6">
        <v>42736</v>
      </c>
      <c r="G2623">
        <v>272</v>
      </c>
    </row>
    <row r="2624" spans="1:7" x14ac:dyDescent="0.25">
      <c r="A2624" s="5" t="s">
        <v>113</v>
      </c>
      <c r="B2624" s="5" t="s">
        <v>115</v>
      </c>
      <c r="C2624" s="5">
        <v>1300</v>
      </c>
      <c r="D2624" s="5" t="s">
        <v>78</v>
      </c>
      <c r="E2624" s="5" t="s">
        <v>80</v>
      </c>
      <c r="F2624" s="6">
        <v>42370</v>
      </c>
      <c r="G2624">
        <v>34</v>
      </c>
    </row>
    <row r="2625" spans="1:7" x14ac:dyDescent="0.25">
      <c r="A2625" s="5" t="s">
        <v>113</v>
      </c>
      <c r="B2625" s="5" t="s">
        <v>115</v>
      </c>
      <c r="C2625" s="5">
        <v>1300</v>
      </c>
      <c r="D2625" s="5" t="s">
        <v>78</v>
      </c>
      <c r="E2625" s="5" t="s">
        <v>80</v>
      </c>
      <c r="F2625" s="6">
        <v>42736</v>
      </c>
      <c r="G2625">
        <v>34</v>
      </c>
    </row>
    <row r="2626" spans="1:7" x14ac:dyDescent="0.25">
      <c r="A2626" s="5" t="s">
        <v>113</v>
      </c>
      <c r="B2626" s="5" t="s">
        <v>115</v>
      </c>
      <c r="C2626" s="5">
        <v>1300</v>
      </c>
      <c r="D2626" s="5" t="s">
        <v>78</v>
      </c>
      <c r="E2626" s="5" t="s">
        <v>81</v>
      </c>
      <c r="F2626" s="6">
        <v>42370</v>
      </c>
      <c r="G2626">
        <v>1036</v>
      </c>
    </row>
    <row r="2627" spans="1:7" x14ac:dyDescent="0.25">
      <c r="A2627" s="5" t="s">
        <v>113</v>
      </c>
      <c r="B2627" s="5" t="s">
        <v>115</v>
      </c>
      <c r="C2627" s="5">
        <v>1300</v>
      </c>
      <c r="D2627" s="5" t="s">
        <v>78</v>
      </c>
      <c r="E2627" s="5" t="s">
        <v>81</v>
      </c>
      <c r="F2627" s="6">
        <v>42736</v>
      </c>
      <c r="G2627">
        <v>1285</v>
      </c>
    </row>
    <row r="2628" spans="1:7" x14ac:dyDescent="0.25">
      <c r="A2628" s="5" t="s">
        <v>113</v>
      </c>
      <c r="B2628" s="5" t="s">
        <v>115</v>
      </c>
      <c r="C2628" s="5">
        <v>1300</v>
      </c>
      <c r="D2628" s="5" t="s">
        <v>78</v>
      </c>
      <c r="E2628" s="5" t="s">
        <v>82</v>
      </c>
      <c r="F2628" s="6">
        <v>42370</v>
      </c>
      <c r="G2628">
        <v>27</v>
      </c>
    </row>
    <row r="2629" spans="1:7" x14ac:dyDescent="0.25">
      <c r="A2629" s="5" t="s">
        <v>113</v>
      </c>
      <c r="B2629" s="5" t="s">
        <v>115</v>
      </c>
      <c r="C2629" s="5">
        <v>1300</v>
      </c>
      <c r="D2629" s="5" t="s">
        <v>78</v>
      </c>
      <c r="E2629" s="5" t="s">
        <v>82</v>
      </c>
      <c r="F2629" s="6">
        <v>42736</v>
      </c>
      <c r="G2629">
        <v>55</v>
      </c>
    </row>
    <row r="2630" spans="1:7" x14ac:dyDescent="0.25">
      <c r="A2630" s="5" t="s">
        <v>113</v>
      </c>
      <c r="B2630" s="5" t="s">
        <v>115</v>
      </c>
      <c r="C2630" s="5">
        <v>1300</v>
      </c>
      <c r="D2630" s="5" t="s">
        <v>78</v>
      </c>
      <c r="E2630" s="5" t="s">
        <v>83</v>
      </c>
      <c r="F2630" s="6">
        <v>42370</v>
      </c>
      <c r="G2630">
        <v>27</v>
      </c>
    </row>
    <row r="2631" spans="1:7" x14ac:dyDescent="0.25">
      <c r="A2631" s="5" t="s">
        <v>113</v>
      </c>
      <c r="B2631" s="5" t="s">
        <v>115</v>
      </c>
      <c r="C2631" s="5">
        <v>1300</v>
      </c>
      <c r="D2631" s="5" t="s">
        <v>78</v>
      </c>
      <c r="E2631" s="5" t="s">
        <v>83</v>
      </c>
      <c r="F2631" s="6">
        <v>42736</v>
      </c>
      <c r="G2631">
        <v>44</v>
      </c>
    </row>
    <row r="2632" spans="1:7" x14ac:dyDescent="0.25">
      <c r="A2632" s="5" t="s">
        <v>113</v>
      </c>
      <c r="B2632" s="5" t="s">
        <v>115</v>
      </c>
      <c r="C2632" s="5">
        <v>1300</v>
      </c>
      <c r="D2632" s="5" t="s">
        <v>78</v>
      </c>
      <c r="E2632" s="5" t="s">
        <v>84</v>
      </c>
      <c r="F2632" s="6">
        <v>42370</v>
      </c>
      <c r="G2632">
        <v>7</v>
      </c>
    </row>
    <row r="2633" spans="1:7" x14ac:dyDescent="0.25">
      <c r="A2633" s="5" t="s">
        <v>113</v>
      </c>
      <c r="B2633" s="5" t="s">
        <v>115</v>
      </c>
      <c r="C2633" s="5">
        <v>1300</v>
      </c>
      <c r="D2633" s="5" t="s">
        <v>78</v>
      </c>
      <c r="E2633" s="5" t="s">
        <v>84</v>
      </c>
      <c r="F2633" s="6">
        <v>42736</v>
      </c>
      <c r="G2633">
        <v>7</v>
      </c>
    </row>
    <row r="2634" spans="1:7" x14ac:dyDescent="0.25">
      <c r="A2634" s="5" t="s">
        <v>113</v>
      </c>
      <c r="B2634" s="5" t="s">
        <v>115</v>
      </c>
      <c r="C2634" s="5">
        <v>1300</v>
      </c>
      <c r="D2634" s="5" t="s">
        <v>78</v>
      </c>
      <c r="E2634" s="5" t="s">
        <v>85</v>
      </c>
      <c r="F2634" s="6">
        <v>42370</v>
      </c>
      <c r="G2634">
        <v>3</v>
      </c>
    </row>
    <row r="2635" spans="1:7" x14ac:dyDescent="0.25">
      <c r="A2635" s="5" t="s">
        <v>113</v>
      </c>
      <c r="B2635" s="5" t="s">
        <v>115</v>
      </c>
      <c r="C2635" s="5">
        <v>1300</v>
      </c>
      <c r="D2635" s="5" t="s">
        <v>78</v>
      </c>
      <c r="E2635" s="5" t="s">
        <v>85</v>
      </c>
      <c r="F2635" s="6">
        <v>42736</v>
      </c>
      <c r="G2635">
        <v>4</v>
      </c>
    </row>
    <row r="2636" spans="1:7" x14ac:dyDescent="0.25">
      <c r="A2636" s="5" t="s">
        <v>113</v>
      </c>
      <c r="B2636" s="5" t="s">
        <v>115</v>
      </c>
      <c r="C2636" s="5">
        <v>1300</v>
      </c>
      <c r="D2636" s="5" t="s">
        <v>78</v>
      </c>
      <c r="E2636" s="5" t="s">
        <v>86</v>
      </c>
      <c r="F2636" s="6">
        <v>42370</v>
      </c>
      <c r="G2636">
        <v>43</v>
      </c>
    </row>
    <row r="2637" spans="1:7" x14ac:dyDescent="0.25">
      <c r="A2637" s="5" t="s">
        <v>113</v>
      </c>
      <c r="B2637" s="5" t="s">
        <v>115</v>
      </c>
      <c r="C2637" s="5">
        <v>1300</v>
      </c>
      <c r="D2637" s="5" t="s">
        <v>78</v>
      </c>
      <c r="E2637" s="5" t="s">
        <v>86</v>
      </c>
      <c r="F2637" s="6">
        <v>42736</v>
      </c>
      <c r="G2637">
        <v>80</v>
      </c>
    </row>
    <row r="2638" spans="1:7" x14ac:dyDescent="0.25">
      <c r="A2638" s="5" t="s">
        <v>113</v>
      </c>
      <c r="B2638" s="5" t="s">
        <v>115</v>
      </c>
      <c r="C2638" s="5">
        <v>1300</v>
      </c>
      <c r="D2638" s="5" t="s">
        <v>78</v>
      </c>
      <c r="E2638" s="5" t="s">
        <v>87</v>
      </c>
      <c r="F2638" s="6">
        <v>42370</v>
      </c>
      <c r="G2638">
        <v>155</v>
      </c>
    </row>
    <row r="2639" spans="1:7" x14ac:dyDescent="0.25">
      <c r="A2639" s="5" t="s">
        <v>113</v>
      </c>
      <c r="B2639" s="5" t="s">
        <v>115</v>
      </c>
      <c r="C2639" s="5">
        <v>1300</v>
      </c>
      <c r="D2639" s="5" t="s">
        <v>78</v>
      </c>
      <c r="E2639" s="5" t="s">
        <v>87</v>
      </c>
      <c r="F2639" s="6">
        <v>42736</v>
      </c>
      <c r="G2639">
        <v>112</v>
      </c>
    </row>
    <row r="2640" spans="1:7" x14ac:dyDescent="0.25">
      <c r="A2640" s="5" t="s">
        <v>113</v>
      </c>
      <c r="B2640" s="5" t="s">
        <v>115</v>
      </c>
      <c r="C2640" s="5">
        <v>1300</v>
      </c>
      <c r="D2640" s="5" t="s">
        <v>78</v>
      </c>
      <c r="E2640" s="5" t="s">
        <v>88</v>
      </c>
      <c r="F2640" s="6">
        <v>42370</v>
      </c>
      <c r="G2640">
        <v>191</v>
      </c>
    </row>
    <row r="2641" spans="1:7" x14ac:dyDescent="0.25">
      <c r="A2641" s="5" t="s">
        <v>113</v>
      </c>
      <c r="B2641" s="5" t="s">
        <v>115</v>
      </c>
      <c r="C2641" s="5">
        <v>1300</v>
      </c>
      <c r="D2641" s="5" t="s">
        <v>78</v>
      </c>
      <c r="E2641" s="5" t="s">
        <v>88</v>
      </c>
      <c r="F2641" s="6">
        <v>42736</v>
      </c>
      <c r="G2641">
        <v>264</v>
      </c>
    </row>
    <row r="2642" spans="1:7" x14ac:dyDescent="0.25">
      <c r="A2642" s="5" t="s">
        <v>113</v>
      </c>
      <c r="B2642" s="5" t="s">
        <v>115</v>
      </c>
      <c r="C2642" s="5">
        <v>1300</v>
      </c>
      <c r="D2642" s="5" t="s">
        <v>78</v>
      </c>
      <c r="E2642" s="5" t="s">
        <v>89</v>
      </c>
      <c r="F2642" s="6">
        <v>42370</v>
      </c>
      <c r="G2642">
        <v>3949</v>
      </c>
    </row>
    <row r="2643" spans="1:7" x14ac:dyDescent="0.25">
      <c r="A2643" s="5" t="s">
        <v>113</v>
      </c>
      <c r="B2643" s="5" t="s">
        <v>115</v>
      </c>
      <c r="C2643" s="5">
        <v>1300</v>
      </c>
      <c r="D2643" s="5" t="s">
        <v>78</v>
      </c>
      <c r="E2643" s="5" t="s">
        <v>89</v>
      </c>
      <c r="F2643" s="6">
        <v>42736</v>
      </c>
      <c r="G2643">
        <v>3481</v>
      </c>
    </row>
    <row r="2644" spans="1:7" x14ac:dyDescent="0.25">
      <c r="A2644" s="5" t="s">
        <v>113</v>
      </c>
      <c r="B2644" s="5" t="s">
        <v>115</v>
      </c>
      <c r="C2644" s="5">
        <v>1300</v>
      </c>
      <c r="D2644" s="5" t="s">
        <v>78</v>
      </c>
      <c r="E2644" s="5" t="s">
        <v>90</v>
      </c>
      <c r="F2644" s="6">
        <v>42370</v>
      </c>
      <c r="G2644">
        <v>0</v>
      </c>
    </row>
    <row r="2645" spans="1:7" x14ac:dyDescent="0.25">
      <c r="A2645" s="5" t="s">
        <v>113</v>
      </c>
      <c r="B2645" s="5" t="s">
        <v>115</v>
      </c>
      <c r="C2645" s="5">
        <v>1300</v>
      </c>
      <c r="D2645" s="5" t="s">
        <v>78</v>
      </c>
      <c r="E2645" s="5" t="s">
        <v>90</v>
      </c>
      <c r="F2645" s="6">
        <v>42736</v>
      </c>
      <c r="G2645">
        <v>1</v>
      </c>
    </row>
    <row r="2646" spans="1:7" x14ac:dyDescent="0.25">
      <c r="A2646" s="5" t="s">
        <v>113</v>
      </c>
      <c r="B2646" s="5" t="s">
        <v>115</v>
      </c>
      <c r="C2646" s="5">
        <v>1300</v>
      </c>
      <c r="D2646" s="5" t="s">
        <v>78</v>
      </c>
      <c r="E2646" s="5" t="s">
        <v>91</v>
      </c>
      <c r="F2646" s="6">
        <v>42370</v>
      </c>
      <c r="G2646">
        <v>29</v>
      </c>
    </row>
    <row r="2647" spans="1:7" x14ac:dyDescent="0.25">
      <c r="A2647" s="5" t="s">
        <v>113</v>
      </c>
      <c r="B2647" s="5" t="s">
        <v>115</v>
      </c>
      <c r="C2647" s="5">
        <v>1300</v>
      </c>
      <c r="D2647" s="5" t="s">
        <v>78</v>
      </c>
      <c r="E2647" s="5" t="s">
        <v>91</v>
      </c>
      <c r="F2647" s="6">
        <v>42736</v>
      </c>
      <c r="G2647">
        <v>69</v>
      </c>
    </row>
    <row r="2648" spans="1:7" x14ac:dyDescent="0.25">
      <c r="A2648" s="5" t="s">
        <v>113</v>
      </c>
      <c r="B2648" s="5" t="s">
        <v>115</v>
      </c>
      <c r="C2648" s="5">
        <v>1300</v>
      </c>
      <c r="D2648" s="5" t="s">
        <v>78</v>
      </c>
      <c r="E2648" s="5" t="s">
        <v>92</v>
      </c>
      <c r="F2648" s="6">
        <v>42370</v>
      </c>
      <c r="G2648">
        <v>6</v>
      </c>
    </row>
    <row r="2649" spans="1:7" x14ac:dyDescent="0.25">
      <c r="A2649" s="5" t="s">
        <v>113</v>
      </c>
      <c r="B2649" s="5" t="s">
        <v>115</v>
      </c>
      <c r="C2649" s="5">
        <v>1300</v>
      </c>
      <c r="D2649" s="5" t="s">
        <v>78</v>
      </c>
      <c r="E2649" s="5" t="s">
        <v>92</v>
      </c>
      <c r="F2649" s="6">
        <v>42736</v>
      </c>
      <c r="G2649">
        <v>14</v>
      </c>
    </row>
    <row r="2650" spans="1:7" x14ac:dyDescent="0.25">
      <c r="A2650" s="5" t="s">
        <v>113</v>
      </c>
      <c r="B2650" s="5" t="s">
        <v>115</v>
      </c>
      <c r="C2650" s="5">
        <v>1300</v>
      </c>
      <c r="D2650" s="5" t="s">
        <v>78</v>
      </c>
      <c r="E2650" s="5" t="s">
        <v>93</v>
      </c>
      <c r="F2650" s="6">
        <v>42370</v>
      </c>
      <c r="G2650">
        <v>44</v>
      </c>
    </row>
    <row r="2651" spans="1:7" x14ac:dyDescent="0.25">
      <c r="A2651" s="5" t="s">
        <v>113</v>
      </c>
      <c r="B2651" s="5" t="s">
        <v>115</v>
      </c>
      <c r="C2651" s="5">
        <v>1300</v>
      </c>
      <c r="D2651" s="5" t="s">
        <v>78</v>
      </c>
      <c r="E2651" s="5" t="s">
        <v>93</v>
      </c>
      <c r="F2651" s="6">
        <v>42736</v>
      </c>
      <c r="G2651">
        <v>68</v>
      </c>
    </row>
    <row r="2652" spans="1:7" x14ac:dyDescent="0.25">
      <c r="A2652" s="5" t="s">
        <v>113</v>
      </c>
      <c r="B2652" s="5" t="s">
        <v>115</v>
      </c>
      <c r="C2652" s="5">
        <v>1300</v>
      </c>
      <c r="D2652" s="5" t="s">
        <v>78</v>
      </c>
      <c r="E2652" s="5" t="s">
        <v>94</v>
      </c>
      <c r="F2652" s="6">
        <v>42370</v>
      </c>
      <c r="G2652">
        <v>92</v>
      </c>
    </row>
    <row r="2653" spans="1:7" x14ac:dyDescent="0.25">
      <c r="A2653" s="5" t="s">
        <v>113</v>
      </c>
      <c r="B2653" s="5" t="s">
        <v>115</v>
      </c>
      <c r="C2653" s="5">
        <v>1300</v>
      </c>
      <c r="D2653" s="5" t="s">
        <v>78</v>
      </c>
      <c r="E2653" s="5" t="s">
        <v>94</v>
      </c>
      <c r="F2653" s="6">
        <v>42736</v>
      </c>
      <c r="G2653">
        <v>202</v>
      </c>
    </row>
    <row r="2654" spans="1:7" x14ac:dyDescent="0.25">
      <c r="A2654" s="5" t="s">
        <v>113</v>
      </c>
      <c r="B2654" s="5" t="s">
        <v>115</v>
      </c>
      <c r="C2654" s="5">
        <v>1300</v>
      </c>
      <c r="D2654" s="5" t="s">
        <v>78</v>
      </c>
      <c r="E2654" s="5" t="s">
        <v>95</v>
      </c>
      <c r="F2654" s="6">
        <v>42370</v>
      </c>
      <c r="G2654">
        <v>12</v>
      </c>
    </row>
    <row r="2655" spans="1:7" x14ac:dyDescent="0.25">
      <c r="A2655" s="5" t="s">
        <v>113</v>
      </c>
      <c r="B2655" s="5" t="s">
        <v>115</v>
      </c>
      <c r="C2655" s="5">
        <v>1300</v>
      </c>
      <c r="D2655" s="5" t="s">
        <v>78</v>
      </c>
      <c r="E2655" s="5" t="s">
        <v>95</v>
      </c>
      <c r="F2655" s="6">
        <v>42736</v>
      </c>
      <c r="G2655">
        <v>27</v>
      </c>
    </row>
    <row r="2656" spans="1:7" x14ac:dyDescent="0.25">
      <c r="A2656" s="5" t="s">
        <v>113</v>
      </c>
      <c r="B2656" s="5" t="s">
        <v>115</v>
      </c>
      <c r="C2656" s="5">
        <v>1300</v>
      </c>
      <c r="D2656" s="5" t="s">
        <v>78</v>
      </c>
      <c r="E2656" s="5" t="s">
        <v>96</v>
      </c>
      <c r="F2656" s="6">
        <v>42370</v>
      </c>
      <c r="G2656">
        <v>27</v>
      </c>
    </row>
    <row r="2657" spans="1:7" x14ac:dyDescent="0.25">
      <c r="A2657" s="5" t="s">
        <v>113</v>
      </c>
      <c r="B2657" s="5" t="s">
        <v>115</v>
      </c>
      <c r="C2657" s="5">
        <v>1300</v>
      </c>
      <c r="D2657" s="5" t="s">
        <v>78</v>
      </c>
      <c r="E2657" s="5" t="s">
        <v>96</v>
      </c>
      <c r="F2657" s="6">
        <v>42736</v>
      </c>
      <c r="G2657">
        <v>44</v>
      </c>
    </row>
    <row r="2658" spans="1:7" x14ac:dyDescent="0.25">
      <c r="A2658" s="5" t="s">
        <v>113</v>
      </c>
      <c r="B2658" s="5" t="s">
        <v>115</v>
      </c>
      <c r="C2658" s="5">
        <v>1300</v>
      </c>
      <c r="D2658" s="5" t="s">
        <v>78</v>
      </c>
      <c r="E2658" s="5" t="s">
        <v>97</v>
      </c>
      <c r="F2658" s="6">
        <v>42370</v>
      </c>
      <c r="G2658">
        <v>50</v>
      </c>
    </row>
    <row r="2659" spans="1:7" x14ac:dyDescent="0.25">
      <c r="A2659" s="5" t="s">
        <v>113</v>
      </c>
      <c r="B2659" s="5" t="s">
        <v>115</v>
      </c>
      <c r="C2659" s="5">
        <v>1300</v>
      </c>
      <c r="D2659" s="5" t="s">
        <v>78</v>
      </c>
      <c r="E2659" s="5" t="s">
        <v>97</v>
      </c>
      <c r="F2659" s="6">
        <v>42736</v>
      </c>
      <c r="G2659">
        <v>181</v>
      </c>
    </row>
    <row r="2660" spans="1:7" x14ac:dyDescent="0.25">
      <c r="A2660" s="5" t="s">
        <v>113</v>
      </c>
      <c r="B2660" s="5" t="s">
        <v>115</v>
      </c>
      <c r="C2660" s="5">
        <v>1300</v>
      </c>
      <c r="D2660" s="5" t="s">
        <v>78</v>
      </c>
      <c r="E2660" s="5" t="s">
        <v>98</v>
      </c>
      <c r="F2660" s="6">
        <v>42370</v>
      </c>
      <c r="G2660">
        <v>13</v>
      </c>
    </row>
    <row r="2661" spans="1:7" x14ac:dyDescent="0.25">
      <c r="A2661" s="5" t="s">
        <v>113</v>
      </c>
      <c r="B2661" s="5" t="s">
        <v>115</v>
      </c>
      <c r="C2661" s="5">
        <v>1300</v>
      </c>
      <c r="D2661" s="5" t="s">
        <v>78</v>
      </c>
      <c r="E2661" s="5" t="s">
        <v>98</v>
      </c>
      <c r="F2661" s="6">
        <v>42736</v>
      </c>
      <c r="G2661">
        <v>0</v>
      </c>
    </row>
    <row r="2662" spans="1:7" x14ac:dyDescent="0.25">
      <c r="A2662" s="5" t="s">
        <v>116</v>
      </c>
      <c r="B2662" s="5" t="s">
        <v>117</v>
      </c>
      <c r="C2662" s="5">
        <v>1250</v>
      </c>
      <c r="D2662" s="5" t="s">
        <v>8</v>
      </c>
      <c r="E2662" s="5" t="s">
        <v>9</v>
      </c>
      <c r="F2662" s="6">
        <v>42370</v>
      </c>
      <c r="G2662">
        <v>0</v>
      </c>
    </row>
    <row r="2663" spans="1:7" x14ac:dyDescent="0.25">
      <c r="A2663" s="5" t="s">
        <v>116</v>
      </c>
      <c r="B2663" s="5" t="s">
        <v>117</v>
      </c>
      <c r="C2663" s="5">
        <v>1250</v>
      </c>
      <c r="D2663" s="5" t="s">
        <v>8</v>
      </c>
      <c r="E2663" s="5" t="s">
        <v>9</v>
      </c>
      <c r="F2663" s="6">
        <v>42736</v>
      </c>
      <c r="G2663">
        <v>0</v>
      </c>
    </row>
    <row r="2664" spans="1:7" x14ac:dyDescent="0.25">
      <c r="A2664" s="5" t="s">
        <v>116</v>
      </c>
      <c r="B2664" s="5" t="s">
        <v>117</v>
      </c>
      <c r="C2664" s="5">
        <v>1250</v>
      </c>
      <c r="D2664" s="5" t="s">
        <v>8</v>
      </c>
      <c r="E2664" s="5" t="s">
        <v>10</v>
      </c>
      <c r="F2664" s="6">
        <v>42370</v>
      </c>
      <c r="G2664">
        <v>8</v>
      </c>
    </row>
    <row r="2665" spans="1:7" x14ac:dyDescent="0.25">
      <c r="A2665" s="5" t="s">
        <v>116</v>
      </c>
      <c r="B2665" s="5" t="s">
        <v>117</v>
      </c>
      <c r="C2665" s="5">
        <v>1250</v>
      </c>
      <c r="D2665" s="5" t="s">
        <v>8</v>
      </c>
      <c r="E2665" s="5" t="s">
        <v>10</v>
      </c>
      <c r="F2665" s="6">
        <v>42736</v>
      </c>
      <c r="G2665">
        <v>17</v>
      </c>
    </row>
    <row r="2666" spans="1:7" x14ac:dyDescent="0.25">
      <c r="A2666" s="5" t="s">
        <v>116</v>
      </c>
      <c r="B2666" s="5" t="s">
        <v>117</v>
      </c>
      <c r="C2666" s="5">
        <v>1250</v>
      </c>
      <c r="D2666" s="5" t="s">
        <v>8</v>
      </c>
      <c r="E2666" s="5" t="s">
        <v>11</v>
      </c>
      <c r="F2666" s="6">
        <v>42370</v>
      </c>
      <c r="G2666">
        <v>2</v>
      </c>
    </row>
    <row r="2667" spans="1:7" x14ac:dyDescent="0.25">
      <c r="A2667" s="5" t="s">
        <v>116</v>
      </c>
      <c r="B2667" s="5" t="s">
        <v>117</v>
      </c>
      <c r="C2667" s="5">
        <v>1250</v>
      </c>
      <c r="D2667" s="5" t="s">
        <v>8</v>
      </c>
      <c r="E2667" s="5" t="s">
        <v>11</v>
      </c>
      <c r="F2667" s="6">
        <v>42736</v>
      </c>
      <c r="G2667">
        <v>7</v>
      </c>
    </row>
    <row r="2668" spans="1:7" x14ac:dyDescent="0.25">
      <c r="A2668" s="5" t="s">
        <v>116</v>
      </c>
      <c r="B2668" s="5" t="s">
        <v>117</v>
      </c>
      <c r="C2668" s="5">
        <v>1250</v>
      </c>
      <c r="D2668" s="5" t="s">
        <v>8</v>
      </c>
      <c r="E2668" s="5" t="s">
        <v>12</v>
      </c>
      <c r="F2668" s="6">
        <v>42370</v>
      </c>
      <c r="G2668">
        <v>0</v>
      </c>
    </row>
    <row r="2669" spans="1:7" x14ac:dyDescent="0.25">
      <c r="A2669" s="5" t="s">
        <v>116</v>
      </c>
      <c r="B2669" s="5" t="s">
        <v>117</v>
      </c>
      <c r="C2669" s="5">
        <v>1250</v>
      </c>
      <c r="D2669" s="5" t="s">
        <v>8</v>
      </c>
      <c r="E2669" s="5" t="s">
        <v>12</v>
      </c>
      <c r="F2669" s="6">
        <v>42736</v>
      </c>
      <c r="G2669">
        <v>0</v>
      </c>
    </row>
    <row r="2670" spans="1:7" x14ac:dyDescent="0.25">
      <c r="A2670" s="5" t="s">
        <v>116</v>
      </c>
      <c r="B2670" s="5" t="s">
        <v>117</v>
      </c>
      <c r="C2670" s="5">
        <v>1250</v>
      </c>
      <c r="D2670" s="5" t="s">
        <v>8</v>
      </c>
      <c r="E2670" s="5" t="s">
        <v>13</v>
      </c>
      <c r="F2670" s="6">
        <v>42370</v>
      </c>
      <c r="G2670">
        <v>0</v>
      </c>
    </row>
    <row r="2671" spans="1:7" x14ac:dyDescent="0.25">
      <c r="A2671" s="5" t="s">
        <v>116</v>
      </c>
      <c r="B2671" s="5" t="s">
        <v>117</v>
      </c>
      <c r="C2671" s="5">
        <v>1250</v>
      </c>
      <c r="D2671" s="5" t="s">
        <v>8</v>
      </c>
      <c r="E2671" s="5" t="s">
        <v>13</v>
      </c>
      <c r="F2671" s="6">
        <v>42736</v>
      </c>
      <c r="G2671">
        <v>0</v>
      </c>
    </row>
    <row r="2672" spans="1:7" x14ac:dyDescent="0.25">
      <c r="A2672" s="5" t="s">
        <v>116</v>
      </c>
      <c r="B2672" s="5" t="s">
        <v>117</v>
      </c>
      <c r="C2672" s="5">
        <v>1250</v>
      </c>
      <c r="D2672" s="5" t="s">
        <v>8</v>
      </c>
      <c r="E2672" s="5" t="s">
        <v>14</v>
      </c>
      <c r="F2672" s="6">
        <v>42370</v>
      </c>
      <c r="G2672">
        <v>0</v>
      </c>
    </row>
    <row r="2673" spans="1:7" x14ac:dyDescent="0.25">
      <c r="A2673" s="5" t="s">
        <v>116</v>
      </c>
      <c r="B2673" s="5" t="s">
        <v>117</v>
      </c>
      <c r="C2673" s="5">
        <v>1250</v>
      </c>
      <c r="D2673" s="5" t="s">
        <v>8</v>
      </c>
      <c r="E2673" s="5" t="s">
        <v>14</v>
      </c>
      <c r="F2673" s="6">
        <v>42736</v>
      </c>
      <c r="G2673">
        <v>0</v>
      </c>
    </row>
    <row r="2674" spans="1:7" x14ac:dyDescent="0.25">
      <c r="A2674" s="5" t="s">
        <v>116</v>
      </c>
      <c r="B2674" s="5" t="s">
        <v>117</v>
      </c>
      <c r="C2674" s="5">
        <v>1250</v>
      </c>
      <c r="D2674" s="5" t="s">
        <v>8</v>
      </c>
      <c r="E2674" s="5" t="s">
        <v>15</v>
      </c>
      <c r="F2674" s="6">
        <v>42370</v>
      </c>
      <c r="G2674">
        <v>0</v>
      </c>
    </row>
    <row r="2675" spans="1:7" x14ac:dyDescent="0.25">
      <c r="A2675" s="5" t="s">
        <v>116</v>
      </c>
      <c r="B2675" s="5" t="s">
        <v>117</v>
      </c>
      <c r="C2675" s="5">
        <v>1250</v>
      </c>
      <c r="D2675" s="5" t="s">
        <v>8</v>
      </c>
      <c r="E2675" s="5" t="s">
        <v>15</v>
      </c>
      <c r="F2675" s="6">
        <v>42736</v>
      </c>
      <c r="G2675">
        <v>0</v>
      </c>
    </row>
    <row r="2676" spans="1:7" x14ac:dyDescent="0.25">
      <c r="A2676" s="5" t="s">
        <v>116</v>
      </c>
      <c r="B2676" s="5" t="s">
        <v>117</v>
      </c>
      <c r="C2676" s="5">
        <v>1250</v>
      </c>
      <c r="D2676" s="5" t="s">
        <v>8</v>
      </c>
      <c r="E2676" s="5" t="s">
        <v>16</v>
      </c>
      <c r="F2676" s="6">
        <v>42370</v>
      </c>
      <c r="G2676">
        <v>6</v>
      </c>
    </row>
    <row r="2677" spans="1:7" x14ac:dyDescent="0.25">
      <c r="A2677" s="5" t="s">
        <v>116</v>
      </c>
      <c r="B2677" s="5" t="s">
        <v>117</v>
      </c>
      <c r="C2677" s="5">
        <v>1250</v>
      </c>
      <c r="D2677" s="5" t="s">
        <v>8</v>
      </c>
      <c r="E2677" s="5" t="s">
        <v>16</v>
      </c>
      <c r="F2677" s="6">
        <v>42736</v>
      </c>
      <c r="G2677">
        <v>2</v>
      </c>
    </row>
    <row r="2678" spans="1:7" x14ac:dyDescent="0.25">
      <c r="A2678" s="5" t="s">
        <v>116</v>
      </c>
      <c r="B2678" s="5" t="s">
        <v>117</v>
      </c>
      <c r="C2678" s="5">
        <v>1250</v>
      </c>
      <c r="D2678" s="5" t="s">
        <v>8</v>
      </c>
      <c r="E2678" s="5" t="s">
        <v>17</v>
      </c>
      <c r="F2678" s="6">
        <v>42370</v>
      </c>
      <c r="G2678">
        <v>0</v>
      </c>
    </row>
    <row r="2679" spans="1:7" x14ac:dyDescent="0.25">
      <c r="A2679" s="5" t="s">
        <v>116</v>
      </c>
      <c r="B2679" s="5" t="s">
        <v>117</v>
      </c>
      <c r="C2679" s="5">
        <v>1250</v>
      </c>
      <c r="D2679" s="5" t="s">
        <v>8</v>
      </c>
      <c r="E2679" s="5" t="s">
        <v>17</v>
      </c>
      <c r="F2679" s="6">
        <v>42736</v>
      </c>
      <c r="G2679">
        <v>0</v>
      </c>
    </row>
    <row r="2680" spans="1:7" x14ac:dyDescent="0.25">
      <c r="A2680" s="5" t="s">
        <v>116</v>
      </c>
      <c r="B2680" s="5" t="s">
        <v>117</v>
      </c>
      <c r="C2680" s="5">
        <v>1250</v>
      </c>
      <c r="D2680" s="5" t="s">
        <v>8</v>
      </c>
      <c r="E2680" s="5" t="s">
        <v>18</v>
      </c>
      <c r="F2680" s="6">
        <v>42370</v>
      </c>
      <c r="G2680">
        <v>1</v>
      </c>
    </row>
    <row r="2681" spans="1:7" x14ac:dyDescent="0.25">
      <c r="A2681" s="5" t="s">
        <v>116</v>
      </c>
      <c r="B2681" s="5" t="s">
        <v>117</v>
      </c>
      <c r="C2681" s="5">
        <v>1250</v>
      </c>
      <c r="D2681" s="5" t="s">
        <v>8</v>
      </c>
      <c r="E2681" s="5" t="s">
        <v>18</v>
      </c>
      <c r="F2681" s="6">
        <v>42736</v>
      </c>
      <c r="G2681">
        <v>0</v>
      </c>
    </row>
    <row r="2682" spans="1:7" x14ac:dyDescent="0.25">
      <c r="A2682" s="5" t="s">
        <v>116</v>
      </c>
      <c r="B2682" s="5" t="s">
        <v>117</v>
      </c>
      <c r="C2682" s="5">
        <v>1250</v>
      </c>
      <c r="D2682" s="5" t="s">
        <v>8</v>
      </c>
      <c r="E2682" s="5" t="s">
        <v>19</v>
      </c>
      <c r="F2682" s="6">
        <v>42370</v>
      </c>
      <c r="G2682">
        <v>0</v>
      </c>
    </row>
    <row r="2683" spans="1:7" x14ac:dyDescent="0.25">
      <c r="A2683" s="5" t="s">
        <v>116</v>
      </c>
      <c r="B2683" s="5" t="s">
        <v>117</v>
      </c>
      <c r="C2683" s="5">
        <v>1250</v>
      </c>
      <c r="D2683" s="5" t="s">
        <v>8</v>
      </c>
      <c r="E2683" s="5" t="s">
        <v>19</v>
      </c>
      <c r="F2683" s="6">
        <v>42736</v>
      </c>
      <c r="G2683">
        <v>0</v>
      </c>
    </row>
    <row r="2684" spans="1:7" x14ac:dyDescent="0.25">
      <c r="A2684" s="5" t="s">
        <v>116</v>
      </c>
      <c r="B2684" s="5" t="s">
        <v>117</v>
      </c>
      <c r="C2684" s="5">
        <v>1250</v>
      </c>
      <c r="D2684" s="5" t="s">
        <v>20</v>
      </c>
      <c r="E2684" s="5" t="s">
        <v>9</v>
      </c>
      <c r="F2684" s="6">
        <v>42370</v>
      </c>
      <c r="G2684">
        <v>0</v>
      </c>
    </row>
    <row r="2685" spans="1:7" x14ac:dyDescent="0.25">
      <c r="A2685" s="5" t="s">
        <v>116</v>
      </c>
      <c r="B2685" s="5" t="s">
        <v>117</v>
      </c>
      <c r="C2685" s="5">
        <v>1250</v>
      </c>
      <c r="D2685" s="5" t="s">
        <v>20</v>
      </c>
      <c r="E2685" s="5" t="s">
        <v>9</v>
      </c>
      <c r="F2685" s="6">
        <v>42736</v>
      </c>
      <c r="G2685">
        <v>1</v>
      </c>
    </row>
    <row r="2686" spans="1:7" x14ac:dyDescent="0.25">
      <c r="A2686" s="5" t="s">
        <v>116</v>
      </c>
      <c r="B2686" s="5" t="s">
        <v>117</v>
      </c>
      <c r="C2686" s="5">
        <v>1250</v>
      </c>
      <c r="D2686" s="5" t="s">
        <v>20</v>
      </c>
      <c r="E2686" s="5" t="s">
        <v>21</v>
      </c>
      <c r="F2686" s="6">
        <v>42370</v>
      </c>
      <c r="G2686">
        <v>0</v>
      </c>
    </row>
    <row r="2687" spans="1:7" x14ac:dyDescent="0.25">
      <c r="A2687" s="5" t="s">
        <v>116</v>
      </c>
      <c r="B2687" s="5" t="s">
        <v>117</v>
      </c>
      <c r="C2687" s="5">
        <v>1250</v>
      </c>
      <c r="D2687" s="5" t="s">
        <v>20</v>
      </c>
      <c r="E2687" s="5" t="s">
        <v>21</v>
      </c>
      <c r="F2687" s="6">
        <v>42736</v>
      </c>
      <c r="G2687">
        <v>0</v>
      </c>
    </row>
    <row r="2688" spans="1:7" x14ac:dyDescent="0.25">
      <c r="A2688" s="5" t="s">
        <v>116</v>
      </c>
      <c r="B2688" s="5" t="s">
        <v>117</v>
      </c>
      <c r="C2688" s="5">
        <v>1250</v>
      </c>
      <c r="D2688" s="5" t="s">
        <v>20</v>
      </c>
      <c r="E2688" s="5" t="s">
        <v>22</v>
      </c>
      <c r="F2688" s="6">
        <v>42370</v>
      </c>
      <c r="G2688">
        <v>0</v>
      </c>
    </row>
    <row r="2689" spans="1:7" x14ac:dyDescent="0.25">
      <c r="A2689" s="5" t="s">
        <v>116</v>
      </c>
      <c r="B2689" s="5" t="s">
        <v>117</v>
      </c>
      <c r="C2689" s="5">
        <v>1250</v>
      </c>
      <c r="D2689" s="5" t="s">
        <v>20</v>
      </c>
      <c r="E2689" s="5" t="s">
        <v>22</v>
      </c>
      <c r="F2689" s="6">
        <v>42736</v>
      </c>
      <c r="G2689">
        <v>0</v>
      </c>
    </row>
    <row r="2690" spans="1:7" x14ac:dyDescent="0.25">
      <c r="A2690" s="5" t="s">
        <v>116</v>
      </c>
      <c r="B2690" s="5" t="s">
        <v>117</v>
      </c>
      <c r="C2690" s="5">
        <v>1250</v>
      </c>
      <c r="D2690" s="5" t="s">
        <v>20</v>
      </c>
      <c r="E2690" s="5" t="s">
        <v>23</v>
      </c>
      <c r="F2690" s="6">
        <v>42370</v>
      </c>
      <c r="G2690">
        <v>0</v>
      </c>
    </row>
    <row r="2691" spans="1:7" x14ac:dyDescent="0.25">
      <c r="A2691" s="5" t="s">
        <v>116</v>
      </c>
      <c r="B2691" s="5" t="s">
        <v>117</v>
      </c>
      <c r="C2691" s="5">
        <v>1250</v>
      </c>
      <c r="D2691" s="5" t="s">
        <v>20</v>
      </c>
      <c r="E2691" s="5" t="s">
        <v>23</v>
      </c>
      <c r="F2691" s="6">
        <v>42736</v>
      </c>
      <c r="G2691">
        <v>0</v>
      </c>
    </row>
    <row r="2692" spans="1:7" x14ac:dyDescent="0.25">
      <c r="A2692" s="5" t="s">
        <v>116</v>
      </c>
      <c r="B2692" s="5" t="s">
        <v>117</v>
      </c>
      <c r="C2692" s="5">
        <v>1250</v>
      </c>
      <c r="D2692" s="5" t="s">
        <v>20</v>
      </c>
      <c r="E2692" s="5" t="s">
        <v>24</v>
      </c>
      <c r="F2692" s="6">
        <v>42370</v>
      </c>
      <c r="G2692">
        <v>0</v>
      </c>
    </row>
    <row r="2693" spans="1:7" x14ac:dyDescent="0.25">
      <c r="A2693" s="5" t="s">
        <v>116</v>
      </c>
      <c r="B2693" s="5" t="s">
        <v>117</v>
      </c>
      <c r="C2693" s="5">
        <v>1250</v>
      </c>
      <c r="D2693" s="5" t="s">
        <v>20</v>
      </c>
      <c r="E2693" s="5" t="s">
        <v>24</v>
      </c>
      <c r="F2693" s="6">
        <v>42736</v>
      </c>
      <c r="G2693">
        <v>0</v>
      </c>
    </row>
    <row r="2694" spans="1:7" x14ac:dyDescent="0.25">
      <c r="A2694" s="5" t="s">
        <v>116</v>
      </c>
      <c r="B2694" s="5" t="s">
        <v>117</v>
      </c>
      <c r="C2694" s="5">
        <v>1250</v>
      </c>
      <c r="D2694" s="5" t="s">
        <v>20</v>
      </c>
      <c r="E2694" s="5" t="s">
        <v>25</v>
      </c>
      <c r="F2694" s="6">
        <v>42370</v>
      </c>
      <c r="G2694">
        <v>0</v>
      </c>
    </row>
    <row r="2695" spans="1:7" x14ac:dyDescent="0.25">
      <c r="A2695" s="5" t="s">
        <v>116</v>
      </c>
      <c r="B2695" s="5" t="s">
        <v>117</v>
      </c>
      <c r="C2695" s="5">
        <v>1250</v>
      </c>
      <c r="D2695" s="5" t="s">
        <v>20</v>
      </c>
      <c r="E2695" s="5" t="s">
        <v>25</v>
      </c>
      <c r="F2695" s="6">
        <v>42736</v>
      </c>
      <c r="G2695">
        <v>0</v>
      </c>
    </row>
    <row r="2696" spans="1:7" x14ac:dyDescent="0.25">
      <c r="A2696" s="5" t="s">
        <v>116</v>
      </c>
      <c r="B2696" s="5" t="s">
        <v>117</v>
      </c>
      <c r="C2696" s="5">
        <v>1250</v>
      </c>
      <c r="D2696" s="5" t="s">
        <v>20</v>
      </c>
      <c r="E2696" s="5" t="s">
        <v>26</v>
      </c>
      <c r="F2696" s="6">
        <v>42370</v>
      </c>
      <c r="G2696">
        <v>16</v>
      </c>
    </row>
    <row r="2697" spans="1:7" x14ac:dyDescent="0.25">
      <c r="A2697" s="5" t="s">
        <v>116</v>
      </c>
      <c r="B2697" s="5" t="s">
        <v>117</v>
      </c>
      <c r="C2697" s="5">
        <v>1250</v>
      </c>
      <c r="D2697" s="5" t="s">
        <v>20</v>
      </c>
      <c r="E2697" s="5" t="s">
        <v>26</v>
      </c>
      <c r="F2697" s="6">
        <v>42736</v>
      </c>
      <c r="G2697">
        <v>32</v>
      </c>
    </row>
    <row r="2698" spans="1:7" x14ac:dyDescent="0.25">
      <c r="A2698" s="5" t="s">
        <v>116</v>
      </c>
      <c r="B2698" s="5" t="s">
        <v>117</v>
      </c>
      <c r="C2698" s="5">
        <v>1250</v>
      </c>
      <c r="D2698" s="5" t="s">
        <v>20</v>
      </c>
      <c r="E2698" s="5" t="s">
        <v>27</v>
      </c>
      <c r="F2698" s="6">
        <v>42370</v>
      </c>
      <c r="G2698">
        <v>0</v>
      </c>
    </row>
    <row r="2699" spans="1:7" x14ac:dyDescent="0.25">
      <c r="A2699" s="5" t="s">
        <v>116</v>
      </c>
      <c r="B2699" s="5" t="s">
        <v>117</v>
      </c>
      <c r="C2699" s="5">
        <v>1250</v>
      </c>
      <c r="D2699" s="5" t="s">
        <v>20</v>
      </c>
      <c r="E2699" s="5" t="s">
        <v>27</v>
      </c>
      <c r="F2699" s="6">
        <v>42736</v>
      </c>
      <c r="G2699">
        <v>0</v>
      </c>
    </row>
    <row r="2700" spans="1:7" x14ac:dyDescent="0.25">
      <c r="A2700" s="5" t="s">
        <v>116</v>
      </c>
      <c r="B2700" s="5" t="s">
        <v>117</v>
      </c>
      <c r="C2700" s="5">
        <v>1250</v>
      </c>
      <c r="D2700" s="5" t="s">
        <v>20</v>
      </c>
      <c r="E2700" s="5" t="s">
        <v>28</v>
      </c>
      <c r="F2700" s="6">
        <v>42370</v>
      </c>
      <c r="G2700">
        <v>0</v>
      </c>
    </row>
    <row r="2701" spans="1:7" x14ac:dyDescent="0.25">
      <c r="A2701" s="5" t="s">
        <v>116</v>
      </c>
      <c r="B2701" s="5" t="s">
        <v>117</v>
      </c>
      <c r="C2701" s="5">
        <v>1250</v>
      </c>
      <c r="D2701" s="5" t="s">
        <v>20</v>
      </c>
      <c r="E2701" s="5" t="s">
        <v>28</v>
      </c>
      <c r="F2701" s="6">
        <v>42736</v>
      </c>
      <c r="G2701">
        <v>0</v>
      </c>
    </row>
    <row r="2702" spans="1:7" x14ac:dyDescent="0.25">
      <c r="A2702" s="5" t="s">
        <v>116</v>
      </c>
      <c r="B2702" s="5" t="s">
        <v>117</v>
      </c>
      <c r="C2702" s="5">
        <v>1250</v>
      </c>
      <c r="D2702" s="5" t="s">
        <v>20</v>
      </c>
      <c r="E2702" s="5" t="s">
        <v>29</v>
      </c>
      <c r="F2702" s="6">
        <v>42370</v>
      </c>
      <c r="G2702">
        <v>17</v>
      </c>
    </row>
    <row r="2703" spans="1:7" x14ac:dyDescent="0.25">
      <c r="A2703" s="5" t="s">
        <v>116</v>
      </c>
      <c r="B2703" s="5" t="s">
        <v>117</v>
      </c>
      <c r="C2703" s="5">
        <v>1250</v>
      </c>
      <c r="D2703" s="5" t="s">
        <v>20</v>
      </c>
      <c r="E2703" s="5" t="s">
        <v>29</v>
      </c>
      <c r="F2703" s="6">
        <v>42736</v>
      </c>
      <c r="G2703">
        <v>34</v>
      </c>
    </row>
    <row r="2704" spans="1:7" x14ac:dyDescent="0.25">
      <c r="A2704" s="5" t="s">
        <v>116</v>
      </c>
      <c r="B2704" s="5" t="s">
        <v>117</v>
      </c>
      <c r="C2704" s="5">
        <v>1250</v>
      </c>
      <c r="D2704" s="5" t="s">
        <v>20</v>
      </c>
      <c r="E2704" s="5" t="s">
        <v>30</v>
      </c>
      <c r="F2704" s="6">
        <v>42370</v>
      </c>
      <c r="G2704">
        <v>16</v>
      </c>
    </row>
    <row r="2705" spans="1:7" x14ac:dyDescent="0.25">
      <c r="A2705" s="5" t="s">
        <v>116</v>
      </c>
      <c r="B2705" s="5" t="s">
        <v>117</v>
      </c>
      <c r="C2705" s="5">
        <v>1250</v>
      </c>
      <c r="D2705" s="5" t="s">
        <v>20</v>
      </c>
      <c r="E2705" s="5" t="s">
        <v>30</v>
      </c>
      <c r="F2705" s="6">
        <v>42736</v>
      </c>
      <c r="G2705">
        <v>32</v>
      </c>
    </row>
    <row r="2706" spans="1:7" x14ac:dyDescent="0.25">
      <c r="A2706" s="5" t="s">
        <v>116</v>
      </c>
      <c r="B2706" s="5" t="s">
        <v>117</v>
      </c>
      <c r="C2706" s="5">
        <v>1250</v>
      </c>
      <c r="D2706" s="5" t="s">
        <v>20</v>
      </c>
      <c r="E2706" s="5" t="s">
        <v>31</v>
      </c>
      <c r="F2706" s="6">
        <v>42370</v>
      </c>
      <c r="G2706">
        <v>31</v>
      </c>
    </row>
    <row r="2707" spans="1:7" x14ac:dyDescent="0.25">
      <c r="A2707" s="5" t="s">
        <v>116</v>
      </c>
      <c r="B2707" s="5" t="s">
        <v>117</v>
      </c>
      <c r="C2707" s="5">
        <v>1250</v>
      </c>
      <c r="D2707" s="5" t="s">
        <v>20</v>
      </c>
      <c r="E2707" s="5" t="s">
        <v>31</v>
      </c>
      <c r="F2707" s="6">
        <v>42736</v>
      </c>
      <c r="G2707">
        <v>66</v>
      </c>
    </row>
    <row r="2708" spans="1:7" x14ac:dyDescent="0.25">
      <c r="A2708" s="5" t="s">
        <v>116</v>
      </c>
      <c r="B2708" s="5" t="s">
        <v>117</v>
      </c>
      <c r="C2708" s="5">
        <v>1250</v>
      </c>
      <c r="D2708" s="5" t="s">
        <v>20</v>
      </c>
      <c r="E2708" s="5" t="s">
        <v>32</v>
      </c>
      <c r="F2708" s="6">
        <v>42370</v>
      </c>
      <c r="G2708">
        <v>17</v>
      </c>
    </row>
    <row r="2709" spans="1:7" x14ac:dyDescent="0.25">
      <c r="A2709" s="5" t="s">
        <v>116</v>
      </c>
      <c r="B2709" s="5" t="s">
        <v>117</v>
      </c>
      <c r="C2709" s="5">
        <v>1250</v>
      </c>
      <c r="D2709" s="5" t="s">
        <v>20</v>
      </c>
      <c r="E2709" s="5" t="s">
        <v>32</v>
      </c>
      <c r="F2709" s="6">
        <v>42736</v>
      </c>
      <c r="G2709">
        <v>33</v>
      </c>
    </row>
    <row r="2710" spans="1:7" x14ac:dyDescent="0.25">
      <c r="A2710" s="5" t="s">
        <v>116</v>
      </c>
      <c r="B2710" s="5" t="s">
        <v>117</v>
      </c>
      <c r="C2710" s="5">
        <v>1250</v>
      </c>
      <c r="D2710" s="5" t="s">
        <v>33</v>
      </c>
      <c r="E2710" s="5" t="s">
        <v>9</v>
      </c>
      <c r="F2710" s="6">
        <v>42370</v>
      </c>
      <c r="G2710">
        <v>0</v>
      </c>
    </row>
    <row r="2711" spans="1:7" x14ac:dyDescent="0.25">
      <c r="A2711" s="5" t="s">
        <v>116</v>
      </c>
      <c r="B2711" s="5" t="s">
        <v>117</v>
      </c>
      <c r="C2711" s="5">
        <v>1250</v>
      </c>
      <c r="D2711" s="5" t="s">
        <v>33</v>
      </c>
      <c r="E2711" s="5" t="s">
        <v>9</v>
      </c>
      <c r="F2711" s="6">
        <v>42736</v>
      </c>
      <c r="G2711">
        <v>0</v>
      </c>
    </row>
    <row r="2712" spans="1:7" x14ac:dyDescent="0.25">
      <c r="A2712" s="5" t="s">
        <v>116</v>
      </c>
      <c r="B2712" s="5" t="s">
        <v>117</v>
      </c>
      <c r="C2712" s="5">
        <v>1250</v>
      </c>
      <c r="D2712" s="5" t="s">
        <v>33</v>
      </c>
      <c r="E2712" s="5" t="s">
        <v>34</v>
      </c>
      <c r="F2712" s="6">
        <v>42370</v>
      </c>
      <c r="G2712">
        <v>0</v>
      </c>
    </row>
    <row r="2713" spans="1:7" x14ac:dyDescent="0.25">
      <c r="A2713" s="5" t="s">
        <v>116</v>
      </c>
      <c r="B2713" s="5" t="s">
        <v>117</v>
      </c>
      <c r="C2713" s="5">
        <v>1250</v>
      </c>
      <c r="D2713" s="5" t="s">
        <v>33</v>
      </c>
      <c r="E2713" s="5" t="s">
        <v>34</v>
      </c>
      <c r="F2713" s="6">
        <v>42736</v>
      </c>
      <c r="G2713">
        <v>0</v>
      </c>
    </row>
    <row r="2714" spans="1:7" x14ac:dyDescent="0.25">
      <c r="A2714" s="5" t="s">
        <v>116</v>
      </c>
      <c r="B2714" s="5" t="s">
        <v>117</v>
      </c>
      <c r="C2714" s="5">
        <v>1250</v>
      </c>
      <c r="D2714" s="5" t="s">
        <v>35</v>
      </c>
      <c r="E2714" s="5" t="s">
        <v>36</v>
      </c>
      <c r="F2714" s="6">
        <v>42370</v>
      </c>
      <c r="G2714">
        <v>0</v>
      </c>
    </row>
    <row r="2715" spans="1:7" x14ac:dyDescent="0.25">
      <c r="A2715" s="5" t="s">
        <v>116</v>
      </c>
      <c r="B2715" s="5" t="s">
        <v>117</v>
      </c>
      <c r="C2715" s="5">
        <v>1250</v>
      </c>
      <c r="D2715" s="5" t="s">
        <v>35</v>
      </c>
      <c r="E2715" s="5" t="s">
        <v>36</v>
      </c>
      <c r="F2715" s="6">
        <v>42736</v>
      </c>
      <c r="G2715">
        <v>0</v>
      </c>
    </row>
    <row r="2716" spans="1:7" x14ac:dyDescent="0.25">
      <c r="A2716" s="5" t="s">
        <v>116</v>
      </c>
      <c r="B2716" s="5" t="s">
        <v>117</v>
      </c>
      <c r="C2716" s="5">
        <v>1250</v>
      </c>
      <c r="D2716" s="5" t="s">
        <v>35</v>
      </c>
      <c r="E2716" s="5" t="s">
        <v>37</v>
      </c>
      <c r="F2716" s="6">
        <v>42370</v>
      </c>
      <c r="G2716">
        <v>0</v>
      </c>
    </row>
    <row r="2717" spans="1:7" x14ac:dyDescent="0.25">
      <c r="A2717" s="5" t="s">
        <v>116</v>
      </c>
      <c r="B2717" s="5" t="s">
        <v>117</v>
      </c>
      <c r="C2717" s="5">
        <v>1250</v>
      </c>
      <c r="D2717" s="5" t="s">
        <v>35</v>
      </c>
      <c r="E2717" s="5" t="s">
        <v>37</v>
      </c>
      <c r="F2717" s="6">
        <v>42736</v>
      </c>
      <c r="G2717">
        <v>0</v>
      </c>
    </row>
    <row r="2718" spans="1:7" x14ac:dyDescent="0.25">
      <c r="A2718" s="5" t="s">
        <v>116</v>
      </c>
      <c r="B2718" s="5" t="s">
        <v>117</v>
      </c>
      <c r="C2718" s="5">
        <v>1250</v>
      </c>
      <c r="D2718" s="5" t="s">
        <v>35</v>
      </c>
      <c r="E2718" s="5" t="s">
        <v>38</v>
      </c>
      <c r="F2718" s="6">
        <v>42370</v>
      </c>
      <c r="G2718">
        <v>0</v>
      </c>
    </row>
    <row r="2719" spans="1:7" x14ac:dyDescent="0.25">
      <c r="A2719" s="5" t="s">
        <v>116</v>
      </c>
      <c r="B2719" s="5" t="s">
        <v>117</v>
      </c>
      <c r="C2719" s="5">
        <v>1250</v>
      </c>
      <c r="D2719" s="5" t="s">
        <v>35</v>
      </c>
      <c r="E2719" s="5" t="s">
        <v>38</v>
      </c>
      <c r="F2719" s="6">
        <v>42736</v>
      </c>
      <c r="G2719">
        <v>0</v>
      </c>
    </row>
    <row r="2720" spans="1:7" x14ac:dyDescent="0.25">
      <c r="A2720" s="5" t="s">
        <v>116</v>
      </c>
      <c r="B2720" s="5" t="s">
        <v>117</v>
      </c>
      <c r="C2720" s="5">
        <v>1250</v>
      </c>
      <c r="D2720" s="5" t="s">
        <v>35</v>
      </c>
      <c r="E2720" s="5" t="s">
        <v>39</v>
      </c>
      <c r="F2720" s="6">
        <v>42370</v>
      </c>
      <c r="G2720">
        <v>0</v>
      </c>
    </row>
    <row r="2721" spans="1:7" x14ac:dyDescent="0.25">
      <c r="A2721" s="5" t="s">
        <v>116</v>
      </c>
      <c r="B2721" s="5" t="s">
        <v>117</v>
      </c>
      <c r="C2721" s="5">
        <v>1250</v>
      </c>
      <c r="D2721" s="5" t="s">
        <v>35</v>
      </c>
      <c r="E2721" s="5" t="s">
        <v>39</v>
      </c>
      <c r="F2721" s="6">
        <v>42736</v>
      </c>
      <c r="G2721">
        <v>0</v>
      </c>
    </row>
    <row r="2722" spans="1:7" x14ac:dyDescent="0.25">
      <c r="A2722" s="5" t="s">
        <v>116</v>
      </c>
      <c r="B2722" s="5" t="s">
        <v>117</v>
      </c>
      <c r="C2722" s="5">
        <v>1250</v>
      </c>
      <c r="D2722" s="5" t="s">
        <v>35</v>
      </c>
      <c r="E2722" s="5" t="s">
        <v>40</v>
      </c>
      <c r="F2722" s="6">
        <v>42370</v>
      </c>
      <c r="G2722">
        <v>0</v>
      </c>
    </row>
    <row r="2723" spans="1:7" x14ac:dyDescent="0.25">
      <c r="A2723" s="5" t="s">
        <v>116</v>
      </c>
      <c r="B2723" s="5" t="s">
        <v>117</v>
      </c>
      <c r="C2723" s="5">
        <v>1250</v>
      </c>
      <c r="D2723" s="5" t="s">
        <v>35</v>
      </c>
      <c r="E2723" s="5" t="s">
        <v>40</v>
      </c>
      <c r="F2723" s="6">
        <v>42736</v>
      </c>
      <c r="G2723">
        <v>0</v>
      </c>
    </row>
    <row r="2724" spans="1:7" x14ac:dyDescent="0.25">
      <c r="A2724" s="5" t="s">
        <v>116</v>
      </c>
      <c r="B2724" s="5" t="s">
        <v>117</v>
      </c>
      <c r="C2724" s="5">
        <v>1250</v>
      </c>
      <c r="D2724" s="5" t="s">
        <v>35</v>
      </c>
      <c r="E2724" s="5" t="s">
        <v>41</v>
      </c>
      <c r="F2724" s="6">
        <v>42370</v>
      </c>
      <c r="G2724">
        <v>0</v>
      </c>
    </row>
    <row r="2725" spans="1:7" x14ac:dyDescent="0.25">
      <c r="A2725" s="5" t="s">
        <v>116</v>
      </c>
      <c r="B2725" s="5" t="s">
        <v>117</v>
      </c>
      <c r="C2725" s="5">
        <v>1250</v>
      </c>
      <c r="D2725" s="5" t="s">
        <v>35</v>
      </c>
      <c r="E2725" s="5" t="s">
        <v>41</v>
      </c>
      <c r="F2725" s="6">
        <v>42736</v>
      </c>
      <c r="G2725">
        <v>0</v>
      </c>
    </row>
    <row r="2726" spans="1:7" x14ac:dyDescent="0.25">
      <c r="A2726" s="5" t="s">
        <v>116</v>
      </c>
      <c r="B2726" s="5" t="s">
        <v>117</v>
      </c>
      <c r="C2726" s="5">
        <v>1250</v>
      </c>
      <c r="D2726" s="5" t="s">
        <v>35</v>
      </c>
      <c r="E2726" s="5" t="s">
        <v>42</v>
      </c>
      <c r="F2726" s="6">
        <v>42370</v>
      </c>
      <c r="G2726">
        <v>0</v>
      </c>
    </row>
    <row r="2727" spans="1:7" x14ac:dyDescent="0.25">
      <c r="A2727" s="5" t="s">
        <v>116</v>
      </c>
      <c r="B2727" s="5" t="s">
        <v>117</v>
      </c>
      <c r="C2727" s="5">
        <v>1250</v>
      </c>
      <c r="D2727" s="5" t="s">
        <v>35</v>
      </c>
      <c r="E2727" s="5" t="s">
        <v>42</v>
      </c>
      <c r="F2727" s="6">
        <v>42736</v>
      </c>
      <c r="G2727">
        <v>0</v>
      </c>
    </row>
    <row r="2728" spans="1:7" x14ac:dyDescent="0.25">
      <c r="A2728" s="5" t="s">
        <v>116</v>
      </c>
      <c r="B2728" s="5" t="s">
        <v>117</v>
      </c>
      <c r="C2728" s="5">
        <v>1250</v>
      </c>
      <c r="D2728" s="5" t="s">
        <v>35</v>
      </c>
      <c r="E2728" s="5" t="s">
        <v>43</v>
      </c>
      <c r="F2728" s="6">
        <v>42370</v>
      </c>
      <c r="G2728">
        <v>0</v>
      </c>
    </row>
    <row r="2729" spans="1:7" x14ac:dyDescent="0.25">
      <c r="A2729" s="5" t="s">
        <v>116</v>
      </c>
      <c r="B2729" s="5" t="s">
        <v>117</v>
      </c>
      <c r="C2729" s="5">
        <v>1250</v>
      </c>
      <c r="D2729" s="5" t="s">
        <v>35</v>
      </c>
      <c r="E2729" s="5" t="s">
        <v>43</v>
      </c>
      <c r="F2729" s="6">
        <v>42736</v>
      </c>
      <c r="G2729">
        <v>0</v>
      </c>
    </row>
    <row r="2730" spans="1:7" x14ac:dyDescent="0.25">
      <c r="A2730" s="5" t="s">
        <v>116</v>
      </c>
      <c r="B2730" s="5" t="s">
        <v>117</v>
      </c>
      <c r="C2730" s="5">
        <v>1250</v>
      </c>
      <c r="D2730" s="5" t="s">
        <v>44</v>
      </c>
      <c r="E2730" s="5" t="s">
        <v>36</v>
      </c>
      <c r="F2730" s="6">
        <v>42370</v>
      </c>
      <c r="G2730">
        <v>0</v>
      </c>
    </row>
    <row r="2731" spans="1:7" x14ac:dyDescent="0.25">
      <c r="A2731" s="5" t="s">
        <v>116</v>
      </c>
      <c r="B2731" s="5" t="s">
        <v>117</v>
      </c>
      <c r="C2731" s="5">
        <v>1250</v>
      </c>
      <c r="D2731" s="5" t="s">
        <v>44</v>
      </c>
      <c r="E2731" s="5" t="s">
        <v>36</v>
      </c>
      <c r="F2731" s="6">
        <v>42736</v>
      </c>
      <c r="G2731">
        <v>0</v>
      </c>
    </row>
    <row r="2732" spans="1:7" x14ac:dyDescent="0.25">
      <c r="A2732" s="5" t="s">
        <v>116</v>
      </c>
      <c r="B2732" s="5" t="s">
        <v>117</v>
      </c>
      <c r="C2732" s="5">
        <v>1250</v>
      </c>
      <c r="D2732" s="5" t="s">
        <v>44</v>
      </c>
      <c r="E2732" s="5" t="s">
        <v>37</v>
      </c>
      <c r="F2732" s="6">
        <v>42370</v>
      </c>
      <c r="G2732">
        <v>0</v>
      </c>
    </row>
    <row r="2733" spans="1:7" x14ac:dyDescent="0.25">
      <c r="A2733" s="5" t="s">
        <v>116</v>
      </c>
      <c r="B2733" s="5" t="s">
        <v>117</v>
      </c>
      <c r="C2733" s="5">
        <v>1250</v>
      </c>
      <c r="D2733" s="5" t="s">
        <v>44</v>
      </c>
      <c r="E2733" s="5" t="s">
        <v>37</v>
      </c>
      <c r="F2733" s="6">
        <v>42736</v>
      </c>
      <c r="G2733">
        <v>0</v>
      </c>
    </row>
    <row r="2734" spans="1:7" x14ac:dyDescent="0.25">
      <c r="A2734" s="5" t="s">
        <v>116</v>
      </c>
      <c r="B2734" s="5" t="s">
        <v>117</v>
      </c>
      <c r="C2734" s="5">
        <v>1250</v>
      </c>
      <c r="D2734" s="5" t="s">
        <v>44</v>
      </c>
      <c r="E2734" s="5" t="s">
        <v>38</v>
      </c>
      <c r="F2734" s="6">
        <v>42370</v>
      </c>
      <c r="G2734">
        <v>0</v>
      </c>
    </row>
    <row r="2735" spans="1:7" x14ac:dyDescent="0.25">
      <c r="A2735" s="5" t="s">
        <v>116</v>
      </c>
      <c r="B2735" s="5" t="s">
        <v>117</v>
      </c>
      <c r="C2735" s="5">
        <v>1250</v>
      </c>
      <c r="D2735" s="5" t="s">
        <v>44</v>
      </c>
      <c r="E2735" s="5" t="s">
        <v>38</v>
      </c>
      <c r="F2735" s="6">
        <v>42736</v>
      </c>
      <c r="G2735">
        <v>0</v>
      </c>
    </row>
    <row r="2736" spans="1:7" x14ac:dyDescent="0.25">
      <c r="A2736" s="5" t="s">
        <v>116</v>
      </c>
      <c r="B2736" s="5" t="s">
        <v>117</v>
      </c>
      <c r="C2736" s="5">
        <v>1250</v>
      </c>
      <c r="D2736" s="5" t="s">
        <v>44</v>
      </c>
      <c r="E2736" s="5" t="s">
        <v>39</v>
      </c>
      <c r="F2736" s="6">
        <v>42370</v>
      </c>
      <c r="G2736">
        <v>0</v>
      </c>
    </row>
    <row r="2737" spans="1:7" x14ac:dyDescent="0.25">
      <c r="A2737" s="5" t="s">
        <v>116</v>
      </c>
      <c r="B2737" s="5" t="s">
        <v>117</v>
      </c>
      <c r="C2737" s="5">
        <v>1250</v>
      </c>
      <c r="D2737" s="5" t="s">
        <v>44</v>
      </c>
      <c r="E2737" s="5" t="s">
        <v>39</v>
      </c>
      <c r="F2737" s="6">
        <v>42736</v>
      </c>
      <c r="G2737">
        <v>0</v>
      </c>
    </row>
    <row r="2738" spans="1:7" x14ac:dyDescent="0.25">
      <c r="A2738" s="5" t="s">
        <v>116</v>
      </c>
      <c r="B2738" s="5" t="s">
        <v>117</v>
      </c>
      <c r="C2738" s="5">
        <v>1250</v>
      </c>
      <c r="D2738" s="5" t="s">
        <v>44</v>
      </c>
      <c r="E2738" s="5" t="s">
        <v>40</v>
      </c>
      <c r="F2738" s="6">
        <v>42370</v>
      </c>
      <c r="G2738">
        <v>0</v>
      </c>
    </row>
    <row r="2739" spans="1:7" x14ac:dyDescent="0.25">
      <c r="A2739" s="5" t="s">
        <v>116</v>
      </c>
      <c r="B2739" s="5" t="s">
        <v>117</v>
      </c>
      <c r="C2739" s="5">
        <v>1250</v>
      </c>
      <c r="D2739" s="5" t="s">
        <v>44</v>
      </c>
      <c r="E2739" s="5" t="s">
        <v>40</v>
      </c>
      <c r="F2739" s="6">
        <v>42736</v>
      </c>
      <c r="G2739">
        <v>0</v>
      </c>
    </row>
    <row r="2740" spans="1:7" x14ac:dyDescent="0.25">
      <c r="A2740" s="5" t="s">
        <v>116</v>
      </c>
      <c r="B2740" s="5" t="s">
        <v>117</v>
      </c>
      <c r="C2740" s="5">
        <v>1250</v>
      </c>
      <c r="D2740" s="5" t="s">
        <v>44</v>
      </c>
      <c r="E2740" s="5" t="s">
        <v>41</v>
      </c>
      <c r="F2740" s="6">
        <v>42370</v>
      </c>
      <c r="G2740">
        <v>0</v>
      </c>
    </row>
    <row r="2741" spans="1:7" x14ac:dyDescent="0.25">
      <c r="A2741" s="5" t="s">
        <v>116</v>
      </c>
      <c r="B2741" s="5" t="s">
        <v>117</v>
      </c>
      <c r="C2741" s="5">
        <v>1250</v>
      </c>
      <c r="D2741" s="5" t="s">
        <v>44</v>
      </c>
      <c r="E2741" s="5" t="s">
        <v>41</v>
      </c>
      <c r="F2741" s="6">
        <v>42736</v>
      </c>
      <c r="G2741">
        <v>0</v>
      </c>
    </row>
    <row r="2742" spans="1:7" x14ac:dyDescent="0.25">
      <c r="A2742" s="5" t="s">
        <v>116</v>
      </c>
      <c r="B2742" s="5" t="s">
        <v>117</v>
      </c>
      <c r="C2742" s="5">
        <v>1250</v>
      </c>
      <c r="D2742" s="5" t="s">
        <v>44</v>
      </c>
      <c r="E2742" s="5" t="s">
        <v>42</v>
      </c>
      <c r="F2742" s="6">
        <v>42370</v>
      </c>
      <c r="G2742">
        <v>0</v>
      </c>
    </row>
    <row r="2743" spans="1:7" x14ac:dyDescent="0.25">
      <c r="A2743" s="5" t="s">
        <v>116</v>
      </c>
      <c r="B2743" s="5" t="s">
        <v>117</v>
      </c>
      <c r="C2743" s="5">
        <v>1250</v>
      </c>
      <c r="D2743" s="5" t="s">
        <v>44</v>
      </c>
      <c r="E2743" s="5" t="s">
        <v>42</v>
      </c>
      <c r="F2743" s="6">
        <v>42736</v>
      </c>
      <c r="G2743">
        <v>0</v>
      </c>
    </row>
    <row r="2744" spans="1:7" x14ac:dyDescent="0.25">
      <c r="A2744" s="5" t="s">
        <v>116</v>
      </c>
      <c r="B2744" s="5" t="s">
        <v>117</v>
      </c>
      <c r="C2744" s="5">
        <v>1250</v>
      </c>
      <c r="D2744" s="5" t="s">
        <v>44</v>
      </c>
      <c r="E2744" s="5" t="s">
        <v>43</v>
      </c>
      <c r="F2744" s="6">
        <v>42370</v>
      </c>
      <c r="G2744">
        <v>0</v>
      </c>
    </row>
    <row r="2745" spans="1:7" x14ac:dyDescent="0.25">
      <c r="A2745" s="5" t="s">
        <v>116</v>
      </c>
      <c r="B2745" s="5" t="s">
        <v>117</v>
      </c>
      <c r="C2745" s="5">
        <v>1250</v>
      </c>
      <c r="D2745" s="5" t="s">
        <v>44</v>
      </c>
      <c r="E2745" s="5" t="s">
        <v>43</v>
      </c>
      <c r="F2745" s="6">
        <v>42736</v>
      </c>
      <c r="G2745">
        <v>0</v>
      </c>
    </row>
    <row r="2746" spans="1:7" x14ac:dyDescent="0.25">
      <c r="A2746" s="5" t="s">
        <v>116</v>
      </c>
      <c r="B2746" s="5" t="s">
        <v>117</v>
      </c>
      <c r="C2746" s="5">
        <v>1250</v>
      </c>
      <c r="D2746" s="5" t="s">
        <v>45</v>
      </c>
      <c r="E2746" s="5" t="s">
        <v>46</v>
      </c>
      <c r="F2746" s="6">
        <v>42370</v>
      </c>
      <c r="G2746">
        <v>0</v>
      </c>
    </row>
    <row r="2747" spans="1:7" x14ac:dyDescent="0.25">
      <c r="A2747" s="5" t="s">
        <v>116</v>
      </c>
      <c r="B2747" s="5" t="s">
        <v>117</v>
      </c>
      <c r="C2747" s="5">
        <v>1250</v>
      </c>
      <c r="D2747" s="5" t="s">
        <v>45</v>
      </c>
      <c r="E2747" s="5" t="s">
        <v>46</v>
      </c>
      <c r="F2747" s="6">
        <v>42736</v>
      </c>
      <c r="G2747">
        <v>0</v>
      </c>
    </row>
    <row r="2748" spans="1:7" x14ac:dyDescent="0.25">
      <c r="A2748" s="5" t="s">
        <v>116</v>
      </c>
      <c r="B2748" s="5" t="s">
        <v>117</v>
      </c>
      <c r="C2748" s="5">
        <v>1250</v>
      </c>
      <c r="D2748" s="5" t="s">
        <v>45</v>
      </c>
      <c r="E2748" s="5" t="s">
        <v>47</v>
      </c>
      <c r="F2748" s="6">
        <v>42370</v>
      </c>
      <c r="G2748">
        <v>2</v>
      </c>
    </row>
    <row r="2749" spans="1:7" x14ac:dyDescent="0.25">
      <c r="A2749" s="5" t="s">
        <v>116</v>
      </c>
      <c r="B2749" s="5" t="s">
        <v>117</v>
      </c>
      <c r="C2749" s="5">
        <v>1250</v>
      </c>
      <c r="D2749" s="5" t="s">
        <v>45</v>
      </c>
      <c r="E2749" s="5" t="s">
        <v>47</v>
      </c>
      <c r="F2749" s="6">
        <v>42736</v>
      </c>
      <c r="G2749">
        <v>1</v>
      </c>
    </row>
    <row r="2750" spans="1:7" x14ac:dyDescent="0.25">
      <c r="A2750" s="5" t="s">
        <v>116</v>
      </c>
      <c r="B2750" s="5" t="s">
        <v>117</v>
      </c>
      <c r="C2750" s="5">
        <v>1250</v>
      </c>
      <c r="D2750" s="5" t="s">
        <v>45</v>
      </c>
      <c r="E2750" s="5" t="s">
        <v>48</v>
      </c>
      <c r="F2750" s="6">
        <v>42370</v>
      </c>
      <c r="G2750">
        <v>13</v>
      </c>
    </row>
    <row r="2751" spans="1:7" x14ac:dyDescent="0.25">
      <c r="A2751" s="5" t="s">
        <v>116</v>
      </c>
      <c r="B2751" s="5" t="s">
        <v>117</v>
      </c>
      <c r="C2751" s="5">
        <v>1250</v>
      </c>
      <c r="D2751" s="5" t="s">
        <v>45</v>
      </c>
      <c r="E2751" s="5" t="s">
        <v>48</v>
      </c>
      <c r="F2751" s="6">
        <v>42736</v>
      </c>
      <c r="G2751">
        <v>19</v>
      </c>
    </row>
    <row r="2752" spans="1:7" x14ac:dyDescent="0.25">
      <c r="A2752" s="5" t="s">
        <v>116</v>
      </c>
      <c r="B2752" s="5" t="s">
        <v>117</v>
      </c>
      <c r="C2752" s="5">
        <v>1250</v>
      </c>
      <c r="D2752" s="5" t="s">
        <v>45</v>
      </c>
      <c r="E2752" s="5" t="s">
        <v>49</v>
      </c>
      <c r="F2752" s="6">
        <v>42370</v>
      </c>
      <c r="G2752">
        <v>1</v>
      </c>
    </row>
    <row r="2753" spans="1:7" x14ac:dyDescent="0.25">
      <c r="A2753" s="5" t="s">
        <v>116</v>
      </c>
      <c r="B2753" s="5" t="s">
        <v>117</v>
      </c>
      <c r="C2753" s="5">
        <v>1250</v>
      </c>
      <c r="D2753" s="5" t="s">
        <v>45</v>
      </c>
      <c r="E2753" s="5" t="s">
        <v>49</v>
      </c>
      <c r="F2753" s="6">
        <v>42736</v>
      </c>
      <c r="G2753">
        <v>4</v>
      </c>
    </row>
    <row r="2754" spans="1:7" x14ac:dyDescent="0.25">
      <c r="A2754" s="5" t="s">
        <v>116</v>
      </c>
      <c r="B2754" s="5" t="s">
        <v>117</v>
      </c>
      <c r="C2754" s="5">
        <v>1250</v>
      </c>
      <c r="D2754" s="5" t="s">
        <v>45</v>
      </c>
      <c r="E2754" s="5" t="s">
        <v>50</v>
      </c>
      <c r="F2754" s="6">
        <v>42370</v>
      </c>
      <c r="G2754">
        <v>0</v>
      </c>
    </row>
    <row r="2755" spans="1:7" x14ac:dyDescent="0.25">
      <c r="A2755" s="5" t="s">
        <v>116</v>
      </c>
      <c r="B2755" s="5" t="s">
        <v>117</v>
      </c>
      <c r="C2755" s="5">
        <v>1250</v>
      </c>
      <c r="D2755" s="5" t="s">
        <v>45</v>
      </c>
      <c r="E2755" s="5" t="s">
        <v>50</v>
      </c>
      <c r="F2755" s="6">
        <v>42736</v>
      </c>
      <c r="G2755">
        <v>0</v>
      </c>
    </row>
    <row r="2756" spans="1:7" x14ac:dyDescent="0.25">
      <c r="A2756" s="5" t="s">
        <v>116</v>
      </c>
      <c r="B2756" s="5" t="s">
        <v>117</v>
      </c>
      <c r="C2756" s="5">
        <v>1250</v>
      </c>
      <c r="D2756" s="5" t="s">
        <v>45</v>
      </c>
      <c r="E2756" s="5" t="s">
        <v>51</v>
      </c>
      <c r="F2756" s="6">
        <v>42370</v>
      </c>
      <c r="G2756">
        <v>0</v>
      </c>
    </row>
    <row r="2757" spans="1:7" x14ac:dyDescent="0.25">
      <c r="A2757" s="5" t="s">
        <v>116</v>
      </c>
      <c r="B2757" s="5" t="s">
        <v>117</v>
      </c>
      <c r="C2757" s="5">
        <v>1250</v>
      </c>
      <c r="D2757" s="5" t="s">
        <v>45</v>
      </c>
      <c r="E2757" s="5" t="s">
        <v>51</v>
      </c>
      <c r="F2757" s="6">
        <v>42736</v>
      </c>
      <c r="G2757">
        <v>0</v>
      </c>
    </row>
    <row r="2758" spans="1:7" x14ac:dyDescent="0.25">
      <c r="A2758" s="5" t="s">
        <v>116</v>
      </c>
      <c r="B2758" s="5" t="s">
        <v>117</v>
      </c>
      <c r="C2758" s="5">
        <v>1250</v>
      </c>
      <c r="D2758" s="5" t="s">
        <v>45</v>
      </c>
      <c r="E2758" s="5" t="s">
        <v>52</v>
      </c>
      <c r="F2758" s="6">
        <v>42370</v>
      </c>
      <c r="G2758">
        <v>0</v>
      </c>
    </row>
    <row r="2759" spans="1:7" x14ac:dyDescent="0.25">
      <c r="A2759" s="5" t="s">
        <v>116</v>
      </c>
      <c r="B2759" s="5" t="s">
        <v>117</v>
      </c>
      <c r="C2759" s="5">
        <v>1250</v>
      </c>
      <c r="D2759" s="5" t="s">
        <v>45</v>
      </c>
      <c r="E2759" s="5" t="s">
        <v>52</v>
      </c>
      <c r="F2759" s="6">
        <v>42736</v>
      </c>
      <c r="G2759">
        <v>0</v>
      </c>
    </row>
    <row r="2760" spans="1:7" x14ac:dyDescent="0.25">
      <c r="A2760" s="5" t="s">
        <v>116</v>
      </c>
      <c r="B2760" s="5" t="s">
        <v>117</v>
      </c>
      <c r="C2760" s="5">
        <v>1250</v>
      </c>
      <c r="D2760" s="5" t="s">
        <v>45</v>
      </c>
      <c r="E2760" s="5" t="s">
        <v>53</v>
      </c>
      <c r="F2760" s="6">
        <v>42370</v>
      </c>
      <c r="G2760">
        <v>1</v>
      </c>
    </row>
    <row r="2761" spans="1:7" x14ac:dyDescent="0.25">
      <c r="A2761" s="5" t="s">
        <v>116</v>
      </c>
      <c r="B2761" s="5" t="s">
        <v>117</v>
      </c>
      <c r="C2761" s="5">
        <v>1250</v>
      </c>
      <c r="D2761" s="5" t="s">
        <v>45</v>
      </c>
      <c r="E2761" s="5" t="s">
        <v>53</v>
      </c>
      <c r="F2761" s="6">
        <v>42736</v>
      </c>
      <c r="G2761">
        <v>4</v>
      </c>
    </row>
    <row r="2762" spans="1:7" x14ac:dyDescent="0.25">
      <c r="A2762" s="5" t="s">
        <v>116</v>
      </c>
      <c r="B2762" s="5" t="s">
        <v>117</v>
      </c>
      <c r="C2762" s="5">
        <v>1250</v>
      </c>
      <c r="D2762" s="5" t="s">
        <v>45</v>
      </c>
      <c r="E2762" s="5" t="s">
        <v>54</v>
      </c>
      <c r="F2762" s="6">
        <v>42370</v>
      </c>
      <c r="G2762">
        <v>0</v>
      </c>
    </row>
    <row r="2763" spans="1:7" x14ac:dyDescent="0.25">
      <c r="A2763" s="5" t="s">
        <v>116</v>
      </c>
      <c r="B2763" s="5" t="s">
        <v>117</v>
      </c>
      <c r="C2763" s="5">
        <v>1250</v>
      </c>
      <c r="D2763" s="5" t="s">
        <v>45</v>
      </c>
      <c r="E2763" s="5" t="s">
        <v>54</v>
      </c>
      <c r="F2763" s="6">
        <v>42736</v>
      </c>
      <c r="G2763">
        <v>1</v>
      </c>
    </row>
    <row r="2764" spans="1:7" x14ac:dyDescent="0.25">
      <c r="A2764" s="5" t="s">
        <v>116</v>
      </c>
      <c r="B2764" s="5" t="s">
        <v>117</v>
      </c>
      <c r="C2764" s="5">
        <v>1250</v>
      </c>
      <c r="D2764" s="5" t="s">
        <v>45</v>
      </c>
      <c r="E2764" s="5" t="s">
        <v>55</v>
      </c>
      <c r="F2764" s="6">
        <v>42370</v>
      </c>
      <c r="G2764">
        <v>0</v>
      </c>
    </row>
    <row r="2765" spans="1:7" x14ac:dyDescent="0.25">
      <c r="A2765" s="5" t="s">
        <v>116</v>
      </c>
      <c r="B2765" s="5" t="s">
        <v>117</v>
      </c>
      <c r="C2765" s="5">
        <v>1250</v>
      </c>
      <c r="D2765" s="5" t="s">
        <v>45</v>
      </c>
      <c r="E2765" s="5" t="s">
        <v>55</v>
      </c>
      <c r="F2765" s="6">
        <v>42736</v>
      </c>
      <c r="G2765">
        <v>0</v>
      </c>
    </row>
    <row r="2766" spans="1:7" x14ac:dyDescent="0.25">
      <c r="A2766" s="5" t="s">
        <v>116</v>
      </c>
      <c r="B2766" s="5" t="s">
        <v>117</v>
      </c>
      <c r="C2766" s="5">
        <v>1250</v>
      </c>
      <c r="D2766" s="5" t="s">
        <v>45</v>
      </c>
      <c r="E2766" s="5" t="s">
        <v>56</v>
      </c>
      <c r="F2766" s="6">
        <v>42370</v>
      </c>
      <c r="G2766">
        <v>0</v>
      </c>
    </row>
    <row r="2767" spans="1:7" x14ac:dyDescent="0.25">
      <c r="A2767" s="5" t="s">
        <v>116</v>
      </c>
      <c r="B2767" s="5" t="s">
        <v>117</v>
      </c>
      <c r="C2767" s="5">
        <v>1250</v>
      </c>
      <c r="D2767" s="5" t="s">
        <v>45</v>
      </c>
      <c r="E2767" s="5" t="s">
        <v>56</v>
      </c>
      <c r="F2767" s="6">
        <v>42736</v>
      </c>
      <c r="G2767">
        <v>0</v>
      </c>
    </row>
    <row r="2768" spans="1:7" x14ac:dyDescent="0.25">
      <c r="A2768" s="5" t="s">
        <v>116</v>
      </c>
      <c r="B2768" s="5" t="s">
        <v>117</v>
      </c>
      <c r="C2768" s="5">
        <v>1250</v>
      </c>
      <c r="D2768" s="5" t="s">
        <v>45</v>
      </c>
      <c r="E2768" s="5" t="s">
        <v>57</v>
      </c>
      <c r="F2768" s="6">
        <v>42370</v>
      </c>
      <c r="G2768">
        <v>0</v>
      </c>
    </row>
    <row r="2769" spans="1:7" x14ac:dyDescent="0.25">
      <c r="A2769" s="5" t="s">
        <v>116</v>
      </c>
      <c r="B2769" s="5" t="s">
        <v>117</v>
      </c>
      <c r="C2769" s="5">
        <v>1250</v>
      </c>
      <c r="D2769" s="5" t="s">
        <v>45</v>
      </c>
      <c r="E2769" s="5" t="s">
        <v>57</v>
      </c>
      <c r="F2769" s="6">
        <v>42736</v>
      </c>
      <c r="G2769">
        <v>0</v>
      </c>
    </row>
    <row r="2770" spans="1:7" x14ac:dyDescent="0.25">
      <c r="A2770" s="5" t="s">
        <v>116</v>
      </c>
      <c r="B2770" s="5" t="s">
        <v>117</v>
      </c>
      <c r="C2770" s="5">
        <v>1250</v>
      </c>
      <c r="D2770" s="5" t="s">
        <v>45</v>
      </c>
      <c r="E2770" s="5" t="s">
        <v>58</v>
      </c>
      <c r="F2770" s="6">
        <v>42370</v>
      </c>
      <c r="G2770">
        <v>0</v>
      </c>
    </row>
    <row r="2771" spans="1:7" x14ac:dyDescent="0.25">
      <c r="A2771" s="5" t="s">
        <v>116</v>
      </c>
      <c r="B2771" s="5" t="s">
        <v>117</v>
      </c>
      <c r="C2771" s="5">
        <v>1250</v>
      </c>
      <c r="D2771" s="5" t="s">
        <v>45</v>
      </c>
      <c r="E2771" s="5" t="s">
        <v>58</v>
      </c>
      <c r="F2771" s="6">
        <v>42736</v>
      </c>
      <c r="G2771">
        <v>0</v>
      </c>
    </row>
    <row r="2772" spans="1:7" x14ac:dyDescent="0.25">
      <c r="A2772" s="5" t="s">
        <v>116</v>
      </c>
      <c r="B2772" s="5" t="s">
        <v>117</v>
      </c>
      <c r="C2772" s="5">
        <v>1250</v>
      </c>
      <c r="D2772" s="5" t="s">
        <v>45</v>
      </c>
      <c r="E2772" s="5" t="s">
        <v>59</v>
      </c>
      <c r="F2772" s="6">
        <v>42370</v>
      </c>
      <c r="G2772">
        <v>0</v>
      </c>
    </row>
    <row r="2773" spans="1:7" x14ac:dyDescent="0.25">
      <c r="A2773" s="5" t="s">
        <v>116</v>
      </c>
      <c r="B2773" s="5" t="s">
        <v>117</v>
      </c>
      <c r="C2773" s="5">
        <v>1250</v>
      </c>
      <c r="D2773" s="5" t="s">
        <v>45</v>
      </c>
      <c r="E2773" s="5" t="s">
        <v>59</v>
      </c>
      <c r="F2773" s="6">
        <v>42736</v>
      </c>
      <c r="G2773">
        <v>0</v>
      </c>
    </row>
    <row r="2774" spans="1:7" x14ac:dyDescent="0.25">
      <c r="A2774" s="5" t="s">
        <v>116</v>
      </c>
      <c r="B2774" s="5" t="s">
        <v>117</v>
      </c>
      <c r="C2774" s="5">
        <v>1250</v>
      </c>
      <c r="D2774" s="5" t="s">
        <v>45</v>
      </c>
      <c r="E2774" s="5" t="s">
        <v>60</v>
      </c>
      <c r="F2774" s="6">
        <v>42370</v>
      </c>
      <c r="G2774">
        <v>0</v>
      </c>
    </row>
    <row r="2775" spans="1:7" x14ac:dyDescent="0.25">
      <c r="A2775" s="5" t="s">
        <v>116</v>
      </c>
      <c r="B2775" s="5" t="s">
        <v>117</v>
      </c>
      <c r="C2775" s="5">
        <v>1250</v>
      </c>
      <c r="D2775" s="5" t="s">
        <v>45</v>
      </c>
      <c r="E2775" s="5" t="s">
        <v>60</v>
      </c>
      <c r="F2775" s="6">
        <v>42736</v>
      </c>
      <c r="G2775">
        <v>0</v>
      </c>
    </row>
    <row r="2776" spans="1:7" x14ac:dyDescent="0.25">
      <c r="A2776" s="5" t="s">
        <v>116</v>
      </c>
      <c r="B2776" s="5" t="s">
        <v>117</v>
      </c>
      <c r="C2776" s="5">
        <v>1250</v>
      </c>
      <c r="D2776" s="5" t="s">
        <v>45</v>
      </c>
      <c r="E2776" s="5" t="s">
        <v>61</v>
      </c>
      <c r="F2776" s="6">
        <v>42370</v>
      </c>
      <c r="G2776">
        <v>1</v>
      </c>
    </row>
    <row r="2777" spans="1:7" x14ac:dyDescent="0.25">
      <c r="A2777" s="5" t="s">
        <v>116</v>
      </c>
      <c r="B2777" s="5" t="s">
        <v>117</v>
      </c>
      <c r="C2777" s="5">
        <v>1250</v>
      </c>
      <c r="D2777" s="5" t="s">
        <v>45</v>
      </c>
      <c r="E2777" s="5" t="s">
        <v>61</v>
      </c>
      <c r="F2777" s="6">
        <v>42736</v>
      </c>
      <c r="G2777">
        <v>0</v>
      </c>
    </row>
    <row r="2778" spans="1:7" x14ac:dyDescent="0.25">
      <c r="A2778" s="5" t="s">
        <v>116</v>
      </c>
      <c r="B2778" s="5" t="s">
        <v>117</v>
      </c>
      <c r="C2778" s="5">
        <v>1250</v>
      </c>
      <c r="D2778" s="5" t="s">
        <v>62</v>
      </c>
      <c r="E2778" s="5" t="s">
        <v>63</v>
      </c>
      <c r="F2778" s="6">
        <v>42370</v>
      </c>
      <c r="G2778">
        <v>0</v>
      </c>
    </row>
    <row r="2779" spans="1:7" x14ac:dyDescent="0.25">
      <c r="A2779" s="5" t="s">
        <v>116</v>
      </c>
      <c r="B2779" s="5" t="s">
        <v>117</v>
      </c>
      <c r="C2779" s="5">
        <v>1250</v>
      </c>
      <c r="D2779" s="5" t="s">
        <v>62</v>
      </c>
      <c r="E2779" s="5" t="s">
        <v>63</v>
      </c>
      <c r="F2779" s="6">
        <v>42736</v>
      </c>
      <c r="G2779">
        <v>0</v>
      </c>
    </row>
    <row r="2780" spans="1:7" x14ac:dyDescent="0.25">
      <c r="A2780" s="5" t="s">
        <v>116</v>
      </c>
      <c r="B2780" s="5" t="s">
        <v>117</v>
      </c>
      <c r="C2780" s="5">
        <v>1250</v>
      </c>
      <c r="D2780" s="5" t="s">
        <v>62</v>
      </c>
      <c r="E2780" s="5" t="s">
        <v>64</v>
      </c>
      <c r="F2780" s="6">
        <v>42370</v>
      </c>
      <c r="G2780">
        <v>0</v>
      </c>
    </row>
    <row r="2781" spans="1:7" x14ac:dyDescent="0.25">
      <c r="A2781" s="5" t="s">
        <v>116</v>
      </c>
      <c r="B2781" s="5" t="s">
        <v>117</v>
      </c>
      <c r="C2781" s="5">
        <v>1250</v>
      </c>
      <c r="D2781" s="5" t="s">
        <v>62</v>
      </c>
      <c r="E2781" s="5" t="s">
        <v>64</v>
      </c>
      <c r="F2781" s="6">
        <v>42736</v>
      </c>
      <c r="G2781">
        <v>0</v>
      </c>
    </row>
    <row r="2782" spans="1:7" x14ac:dyDescent="0.25">
      <c r="A2782" s="5" t="s">
        <v>116</v>
      </c>
      <c r="B2782" s="5" t="s">
        <v>117</v>
      </c>
      <c r="C2782" s="5">
        <v>1250</v>
      </c>
      <c r="D2782" s="5" t="s">
        <v>62</v>
      </c>
      <c r="E2782" s="5" t="s">
        <v>9</v>
      </c>
      <c r="F2782" s="6">
        <v>42370</v>
      </c>
      <c r="G2782">
        <v>0</v>
      </c>
    </row>
    <row r="2783" spans="1:7" x14ac:dyDescent="0.25">
      <c r="A2783" s="5" t="s">
        <v>116</v>
      </c>
      <c r="B2783" s="5" t="s">
        <v>117</v>
      </c>
      <c r="C2783" s="5">
        <v>1250</v>
      </c>
      <c r="D2783" s="5" t="s">
        <v>62</v>
      </c>
      <c r="E2783" s="5" t="s">
        <v>9</v>
      </c>
      <c r="F2783" s="6">
        <v>42736</v>
      </c>
      <c r="G2783">
        <v>0</v>
      </c>
    </row>
    <row r="2784" spans="1:7" x14ac:dyDescent="0.25">
      <c r="A2784" s="5" t="s">
        <v>116</v>
      </c>
      <c r="B2784" s="5" t="s">
        <v>117</v>
      </c>
      <c r="C2784" s="5">
        <v>1250</v>
      </c>
      <c r="D2784" s="5" t="s">
        <v>62</v>
      </c>
      <c r="E2784" s="5" t="s">
        <v>65</v>
      </c>
      <c r="F2784" s="6">
        <v>42370</v>
      </c>
      <c r="G2784">
        <v>0</v>
      </c>
    </row>
    <row r="2785" spans="1:7" x14ac:dyDescent="0.25">
      <c r="A2785" s="5" t="s">
        <v>116</v>
      </c>
      <c r="B2785" s="5" t="s">
        <v>117</v>
      </c>
      <c r="C2785" s="5">
        <v>1250</v>
      </c>
      <c r="D2785" s="5" t="s">
        <v>62</v>
      </c>
      <c r="E2785" s="5" t="s">
        <v>65</v>
      </c>
      <c r="F2785" s="6">
        <v>42736</v>
      </c>
      <c r="G2785">
        <v>0</v>
      </c>
    </row>
    <row r="2786" spans="1:7" x14ac:dyDescent="0.25">
      <c r="A2786" s="5" t="s">
        <v>116</v>
      </c>
      <c r="B2786" s="5" t="s">
        <v>117</v>
      </c>
      <c r="C2786" s="5">
        <v>1250</v>
      </c>
      <c r="D2786" s="5" t="s">
        <v>62</v>
      </c>
      <c r="E2786" s="5" t="s">
        <v>66</v>
      </c>
      <c r="F2786" s="6">
        <v>42370</v>
      </c>
      <c r="G2786">
        <v>0</v>
      </c>
    </row>
    <row r="2787" spans="1:7" x14ac:dyDescent="0.25">
      <c r="A2787" s="5" t="s">
        <v>116</v>
      </c>
      <c r="B2787" s="5" t="s">
        <v>117</v>
      </c>
      <c r="C2787" s="5">
        <v>1250</v>
      </c>
      <c r="D2787" s="5" t="s">
        <v>62</v>
      </c>
      <c r="E2787" s="5" t="s">
        <v>66</v>
      </c>
      <c r="F2787" s="6">
        <v>42736</v>
      </c>
      <c r="G2787">
        <v>0</v>
      </c>
    </row>
    <row r="2788" spans="1:7" x14ac:dyDescent="0.25">
      <c r="A2788" s="5" t="s">
        <v>116</v>
      </c>
      <c r="B2788" s="5" t="s">
        <v>117</v>
      </c>
      <c r="C2788" s="5">
        <v>1250</v>
      </c>
      <c r="D2788" s="5" t="s">
        <v>62</v>
      </c>
      <c r="E2788" s="5" t="s">
        <v>67</v>
      </c>
      <c r="F2788" s="6">
        <v>42370</v>
      </c>
      <c r="G2788">
        <v>0</v>
      </c>
    </row>
    <row r="2789" spans="1:7" x14ac:dyDescent="0.25">
      <c r="A2789" s="5" t="s">
        <v>116</v>
      </c>
      <c r="B2789" s="5" t="s">
        <v>117</v>
      </c>
      <c r="C2789" s="5">
        <v>1250</v>
      </c>
      <c r="D2789" s="5" t="s">
        <v>62</v>
      </c>
      <c r="E2789" s="5" t="s">
        <v>67</v>
      </c>
      <c r="F2789" s="6">
        <v>42736</v>
      </c>
      <c r="G2789">
        <v>0</v>
      </c>
    </row>
    <row r="2790" spans="1:7" x14ac:dyDescent="0.25">
      <c r="A2790" s="5" t="s">
        <v>116</v>
      </c>
      <c r="B2790" s="5" t="s">
        <v>117</v>
      </c>
      <c r="C2790" s="5">
        <v>1250</v>
      </c>
      <c r="D2790" s="5" t="s">
        <v>62</v>
      </c>
      <c r="E2790" s="5" t="s">
        <v>68</v>
      </c>
      <c r="F2790" s="6">
        <v>42370</v>
      </c>
      <c r="G2790">
        <v>0</v>
      </c>
    </row>
    <row r="2791" spans="1:7" x14ac:dyDescent="0.25">
      <c r="A2791" s="5" t="s">
        <v>116</v>
      </c>
      <c r="B2791" s="5" t="s">
        <v>117</v>
      </c>
      <c r="C2791" s="5">
        <v>1250</v>
      </c>
      <c r="D2791" s="5" t="s">
        <v>62</v>
      </c>
      <c r="E2791" s="5" t="s">
        <v>68</v>
      </c>
      <c r="F2791" s="6">
        <v>42736</v>
      </c>
      <c r="G2791">
        <v>0</v>
      </c>
    </row>
    <row r="2792" spans="1:7" x14ac:dyDescent="0.25">
      <c r="A2792" s="5" t="s">
        <v>116</v>
      </c>
      <c r="B2792" s="5" t="s">
        <v>117</v>
      </c>
      <c r="C2792" s="5">
        <v>1250</v>
      </c>
      <c r="D2792" s="5" t="s">
        <v>62</v>
      </c>
      <c r="E2792" s="5" t="s">
        <v>69</v>
      </c>
      <c r="F2792" s="6">
        <v>42370</v>
      </c>
      <c r="G2792">
        <v>0</v>
      </c>
    </row>
    <row r="2793" spans="1:7" x14ac:dyDescent="0.25">
      <c r="A2793" s="5" t="s">
        <v>116</v>
      </c>
      <c r="B2793" s="5" t="s">
        <v>117</v>
      </c>
      <c r="C2793" s="5">
        <v>1250</v>
      </c>
      <c r="D2793" s="5" t="s">
        <v>62</v>
      </c>
      <c r="E2793" s="5" t="s">
        <v>69</v>
      </c>
      <c r="F2793" s="6">
        <v>42736</v>
      </c>
      <c r="G2793">
        <v>0</v>
      </c>
    </row>
    <row r="2794" spans="1:7" x14ac:dyDescent="0.25">
      <c r="A2794" s="5" t="s">
        <v>116</v>
      </c>
      <c r="B2794" s="5" t="s">
        <v>117</v>
      </c>
      <c r="C2794" s="5">
        <v>1250</v>
      </c>
      <c r="D2794" s="5" t="s">
        <v>62</v>
      </c>
      <c r="E2794" s="5" t="s">
        <v>70</v>
      </c>
      <c r="F2794" s="6">
        <v>42370</v>
      </c>
      <c r="G2794">
        <v>0</v>
      </c>
    </row>
    <row r="2795" spans="1:7" x14ac:dyDescent="0.25">
      <c r="A2795" s="5" t="s">
        <v>116</v>
      </c>
      <c r="B2795" s="5" t="s">
        <v>117</v>
      </c>
      <c r="C2795" s="5">
        <v>1250</v>
      </c>
      <c r="D2795" s="5" t="s">
        <v>62</v>
      </c>
      <c r="E2795" s="5" t="s">
        <v>70</v>
      </c>
      <c r="F2795" s="6">
        <v>42736</v>
      </c>
      <c r="G2795">
        <v>0</v>
      </c>
    </row>
    <row r="2796" spans="1:7" x14ac:dyDescent="0.25">
      <c r="A2796" s="5" t="s">
        <v>116</v>
      </c>
      <c r="B2796" s="5" t="s">
        <v>117</v>
      </c>
      <c r="C2796" s="5">
        <v>1250</v>
      </c>
      <c r="D2796" s="5" t="s">
        <v>62</v>
      </c>
      <c r="E2796" s="5" t="s">
        <v>71</v>
      </c>
      <c r="F2796" s="6">
        <v>42370</v>
      </c>
      <c r="G2796">
        <v>0</v>
      </c>
    </row>
    <row r="2797" spans="1:7" x14ac:dyDescent="0.25">
      <c r="A2797" s="5" t="s">
        <v>116</v>
      </c>
      <c r="B2797" s="5" t="s">
        <v>117</v>
      </c>
      <c r="C2797" s="5">
        <v>1250</v>
      </c>
      <c r="D2797" s="5" t="s">
        <v>62</v>
      </c>
      <c r="E2797" s="5" t="s">
        <v>71</v>
      </c>
      <c r="F2797" s="6">
        <v>42736</v>
      </c>
      <c r="G2797">
        <v>0</v>
      </c>
    </row>
    <row r="2798" spans="1:7" x14ac:dyDescent="0.25">
      <c r="A2798" s="5" t="s">
        <v>116</v>
      </c>
      <c r="B2798" s="5" t="s">
        <v>117</v>
      </c>
      <c r="C2798" s="5">
        <v>1250</v>
      </c>
      <c r="D2798" s="5" t="s">
        <v>72</v>
      </c>
      <c r="E2798" s="5" t="s">
        <v>73</v>
      </c>
      <c r="F2798" s="6">
        <v>42370</v>
      </c>
      <c r="G2798">
        <v>0</v>
      </c>
    </row>
    <row r="2799" spans="1:7" x14ac:dyDescent="0.25">
      <c r="A2799" s="5" t="s">
        <v>116</v>
      </c>
      <c r="B2799" s="5" t="s">
        <v>117</v>
      </c>
      <c r="C2799" s="5">
        <v>1250</v>
      </c>
      <c r="D2799" s="5" t="s">
        <v>72</v>
      </c>
      <c r="E2799" s="5" t="s">
        <v>73</v>
      </c>
      <c r="F2799" s="6">
        <v>42736</v>
      </c>
      <c r="G2799">
        <v>0</v>
      </c>
    </row>
    <row r="2800" spans="1:7" x14ac:dyDescent="0.25">
      <c r="A2800" s="5" t="s">
        <v>116</v>
      </c>
      <c r="B2800" s="5" t="s">
        <v>117</v>
      </c>
      <c r="C2800" s="5">
        <v>1250</v>
      </c>
      <c r="D2800" s="5" t="s">
        <v>72</v>
      </c>
      <c r="E2800" s="5" t="s">
        <v>9</v>
      </c>
      <c r="F2800" s="6">
        <v>42370</v>
      </c>
      <c r="G2800">
        <v>0</v>
      </c>
    </row>
    <row r="2801" spans="1:7" x14ac:dyDescent="0.25">
      <c r="A2801" s="5" t="s">
        <v>116</v>
      </c>
      <c r="B2801" s="5" t="s">
        <v>117</v>
      </c>
      <c r="C2801" s="5">
        <v>1250</v>
      </c>
      <c r="D2801" s="5" t="s">
        <v>72</v>
      </c>
      <c r="E2801" s="5" t="s">
        <v>9</v>
      </c>
      <c r="F2801" s="6">
        <v>42736</v>
      </c>
      <c r="G2801">
        <v>0</v>
      </c>
    </row>
    <row r="2802" spans="1:7" x14ac:dyDescent="0.25">
      <c r="A2802" s="5" t="s">
        <v>116</v>
      </c>
      <c r="B2802" s="5" t="s">
        <v>117</v>
      </c>
      <c r="C2802" s="5">
        <v>1250</v>
      </c>
      <c r="D2802" s="5" t="s">
        <v>72</v>
      </c>
      <c r="E2802" s="5" t="s">
        <v>34</v>
      </c>
      <c r="F2802" s="6">
        <v>42370</v>
      </c>
      <c r="G2802">
        <v>0</v>
      </c>
    </row>
    <row r="2803" spans="1:7" x14ac:dyDescent="0.25">
      <c r="A2803" s="5" t="s">
        <v>116</v>
      </c>
      <c r="B2803" s="5" t="s">
        <v>117</v>
      </c>
      <c r="C2803" s="5">
        <v>1250</v>
      </c>
      <c r="D2803" s="5" t="s">
        <v>72</v>
      </c>
      <c r="E2803" s="5" t="s">
        <v>34</v>
      </c>
      <c r="F2803" s="6">
        <v>42736</v>
      </c>
      <c r="G2803">
        <v>0</v>
      </c>
    </row>
    <row r="2804" spans="1:7" x14ac:dyDescent="0.25">
      <c r="A2804" s="5" t="s">
        <v>116</v>
      </c>
      <c r="B2804" s="5" t="s">
        <v>117</v>
      </c>
      <c r="C2804" s="5">
        <v>1250</v>
      </c>
      <c r="D2804" s="5" t="s">
        <v>72</v>
      </c>
      <c r="E2804" s="5" t="s">
        <v>74</v>
      </c>
      <c r="F2804" s="6">
        <v>42370</v>
      </c>
      <c r="G2804">
        <v>0</v>
      </c>
    </row>
    <row r="2805" spans="1:7" x14ac:dyDescent="0.25">
      <c r="A2805" s="5" t="s">
        <v>116</v>
      </c>
      <c r="B2805" s="5" t="s">
        <v>117</v>
      </c>
      <c r="C2805" s="5">
        <v>1250</v>
      </c>
      <c r="D2805" s="5" t="s">
        <v>72</v>
      </c>
      <c r="E2805" s="5" t="s">
        <v>74</v>
      </c>
      <c r="F2805" s="6">
        <v>42736</v>
      </c>
      <c r="G2805">
        <v>0</v>
      </c>
    </row>
    <row r="2806" spans="1:7" x14ac:dyDescent="0.25">
      <c r="A2806" s="5" t="s">
        <v>116</v>
      </c>
      <c r="B2806" s="5" t="s">
        <v>117</v>
      </c>
      <c r="C2806" s="5">
        <v>1250</v>
      </c>
      <c r="D2806" s="5" t="s">
        <v>72</v>
      </c>
      <c r="E2806" s="5" t="s">
        <v>75</v>
      </c>
      <c r="F2806" s="6">
        <v>42370</v>
      </c>
      <c r="G2806">
        <v>0</v>
      </c>
    </row>
    <row r="2807" spans="1:7" x14ac:dyDescent="0.25">
      <c r="A2807" s="5" t="s">
        <v>116</v>
      </c>
      <c r="B2807" s="5" t="s">
        <v>117</v>
      </c>
      <c r="C2807" s="5">
        <v>1250</v>
      </c>
      <c r="D2807" s="5" t="s">
        <v>72</v>
      </c>
      <c r="E2807" s="5" t="s">
        <v>75</v>
      </c>
      <c r="F2807" s="6">
        <v>42736</v>
      </c>
      <c r="G2807">
        <v>0</v>
      </c>
    </row>
    <row r="2808" spans="1:7" x14ac:dyDescent="0.25">
      <c r="A2808" s="5" t="s">
        <v>116</v>
      </c>
      <c r="B2808" s="5" t="s">
        <v>117</v>
      </c>
      <c r="C2808" s="5">
        <v>1250</v>
      </c>
      <c r="D2808" s="5" t="s">
        <v>76</v>
      </c>
      <c r="E2808" s="5" t="s">
        <v>9</v>
      </c>
      <c r="F2808" s="6">
        <v>42370</v>
      </c>
      <c r="G2808">
        <v>0</v>
      </c>
    </row>
    <row r="2809" spans="1:7" x14ac:dyDescent="0.25">
      <c r="A2809" s="5" t="s">
        <v>116</v>
      </c>
      <c r="B2809" s="5" t="s">
        <v>117</v>
      </c>
      <c r="C2809" s="5">
        <v>1250</v>
      </c>
      <c r="D2809" s="5" t="s">
        <v>76</v>
      </c>
      <c r="E2809" s="5" t="s">
        <v>9</v>
      </c>
      <c r="F2809" s="6">
        <v>42736</v>
      </c>
      <c r="G2809">
        <v>0</v>
      </c>
    </row>
    <row r="2810" spans="1:7" x14ac:dyDescent="0.25">
      <c r="A2810" s="5" t="s">
        <v>116</v>
      </c>
      <c r="B2810" s="5" t="s">
        <v>117</v>
      </c>
      <c r="C2810" s="5">
        <v>1250</v>
      </c>
      <c r="D2810" s="5" t="s">
        <v>76</v>
      </c>
      <c r="E2810" s="5" t="s">
        <v>77</v>
      </c>
      <c r="F2810" s="6">
        <v>42370</v>
      </c>
      <c r="G2810">
        <v>0</v>
      </c>
    </row>
    <row r="2811" spans="1:7" x14ac:dyDescent="0.25">
      <c r="A2811" s="5" t="s">
        <v>116</v>
      </c>
      <c r="B2811" s="5" t="s">
        <v>117</v>
      </c>
      <c r="C2811" s="5">
        <v>1250</v>
      </c>
      <c r="D2811" s="5" t="s">
        <v>76</v>
      </c>
      <c r="E2811" s="5" t="s">
        <v>77</v>
      </c>
      <c r="F2811" s="6">
        <v>42736</v>
      </c>
      <c r="G2811">
        <v>0</v>
      </c>
    </row>
    <row r="2812" spans="1:7" x14ac:dyDescent="0.25">
      <c r="A2812" s="5" t="s">
        <v>116</v>
      </c>
      <c r="B2812" s="5" t="s">
        <v>117</v>
      </c>
      <c r="C2812" s="5">
        <v>1250</v>
      </c>
      <c r="D2812" s="5" t="s">
        <v>78</v>
      </c>
      <c r="E2812" s="5" t="s">
        <v>79</v>
      </c>
      <c r="F2812" s="6">
        <v>42370</v>
      </c>
      <c r="G2812">
        <v>0</v>
      </c>
    </row>
    <row r="2813" spans="1:7" x14ac:dyDescent="0.25">
      <c r="A2813" s="5" t="s">
        <v>116</v>
      </c>
      <c r="B2813" s="5" t="s">
        <v>117</v>
      </c>
      <c r="C2813" s="5">
        <v>1250</v>
      </c>
      <c r="D2813" s="5" t="s">
        <v>78</v>
      </c>
      <c r="E2813" s="5" t="s">
        <v>79</v>
      </c>
      <c r="F2813" s="6">
        <v>42736</v>
      </c>
      <c r="G2813">
        <v>0</v>
      </c>
    </row>
    <row r="2814" spans="1:7" x14ac:dyDescent="0.25">
      <c r="A2814" s="5" t="s">
        <v>116</v>
      </c>
      <c r="B2814" s="5" t="s">
        <v>117</v>
      </c>
      <c r="C2814" s="5">
        <v>1250</v>
      </c>
      <c r="D2814" s="5" t="s">
        <v>78</v>
      </c>
      <c r="E2814" s="5" t="s">
        <v>80</v>
      </c>
      <c r="F2814" s="6">
        <v>42370</v>
      </c>
      <c r="G2814">
        <v>0</v>
      </c>
    </row>
    <row r="2815" spans="1:7" x14ac:dyDescent="0.25">
      <c r="A2815" s="5" t="s">
        <v>116</v>
      </c>
      <c r="B2815" s="5" t="s">
        <v>117</v>
      </c>
      <c r="C2815" s="5">
        <v>1250</v>
      </c>
      <c r="D2815" s="5" t="s">
        <v>78</v>
      </c>
      <c r="E2815" s="5" t="s">
        <v>80</v>
      </c>
      <c r="F2815" s="6">
        <v>42736</v>
      </c>
      <c r="G2815">
        <v>0</v>
      </c>
    </row>
    <row r="2816" spans="1:7" x14ac:dyDescent="0.25">
      <c r="A2816" s="5" t="s">
        <v>116</v>
      </c>
      <c r="B2816" s="5" t="s">
        <v>117</v>
      </c>
      <c r="C2816" s="5">
        <v>1250</v>
      </c>
      <c r="D2816" s="5" t="s">
        <v>78</v>
      </c>
      <c r="E2816" s="5" t="s">
        <v>81</v>
      </c>
      <c r="F2816" s="6">
        <v>42370</v>
      </c>
      <c r="G2816">
        <v>126</v>
      </c>
    </row>
    <row r="2817" spans="1:7" x14ac:dyDescent="0.25">
      <c r="A2817" s="5" t="s">
        <v>116</v>
      </c>
      <c r="B2817" s="5" t="s">
        <v>117</v>
      </c>
      <c r="C2817" s="5">
        <v>1250</v>
      </c>
      <c r="D2817" s="5" t="s">
        <v>78</v>
      </c>
      <c r="E2817" s="5" t="s">
        <v>81</v>
      </c>
      <c r="F2817" s="6">
        <v>42736</v>
      </c>
      <c r="G2817">
        <v>316</v>
      </c>
    </row>
    <row r="2818" spans="1:7" x14ac:dyDescent="0.25">
      <c r="A2818" s="5" t="s">
        <v>116</v>
      </c>
      <c r="B2818" s="5" t="s">
        <v>117</v>
      </c>
      <c r="C2818" s="5">
        <v>1250</v>
      </c>
      <c r="D2818" s="5" t="s">
        <v>78</v>
      </c>
      <c r="E2818" s="5" t="s">
        <v>82</v>
      </c>
      <c r="F2818" s="6">
        <v>42370</v>
      </c>
      <c r="G2818">
        <v>0</v>
      </c>
    </row>
    <row r="2819" spans="1:7" x14ac:dyDescent="0.25">
      <c r="A2819" s="5" t="s">
        <v>116</v>
      </c>
      <c r="B2819" s="5" t="s">
        <v>117</v>
      </c>
      <c r="C2819" s="5">
        <v>1250</v>
      </c>
      <c r="D2819" s="5" t="s">
        <v>78</v>
      </c>
      <c r="E2819" s="5" t="s">
        <v>82</v>
      </c>
      <c r="F2819" s="6">
        <v>42736</v>
      </c>
      <c r="G2819">
        <v>0</v>
      </c>
    </row>
    <row r="2820" spans="1:7" x14ac:dyDescent="0.25">
      <c r="A2820" s="5" t="s">
        <v>116</v>
      </c>
      <c r="B2820" s="5" t="s">
        <v>117</v>
      </c>
      <c r="C2820" s="5">
        <v>1250</v>
      </c>
      <c r="D2820" s="5" t="s">
        <v>78</v>
      </c>
      <c r="E2820" s="5" t="s">
        <v>83</v>
      </c>
      <c r="F2820" s="6">
        <v>42370</v>
      </c>
      <c r="G2820">
        <v>0</v>
      </c>
    </row>
    <row r="2821" spans="1:7" x14ac:dyDescent="0.25">
      <c r="A2821" s="5" t="s">
        <v>116</v>
      </c>
      <c r="B2821" s="5" t="s">
        <v>117</v>
      </c>
      <c r="C2821" s="5">
        <v>1250</v>
      </c>
      <c r="D2821" s="5" t="s">
        <v>78</v>
      </c>
      <c r="E2821" s="5" t="s">
        <v>83</v>
      </c>
      <c r="F2821" s="6">
        <v>42736</v>
      </c>
      <c r="G2821">
        <v>0</v>
      </c>
    </row>
    <row r="2822" spans="1:7" x14ac:dyDescent="0.25">
      <c r="A2822" s="5" t="s">
        <v>116</v>
      </c>
      <c r="B2822" s="5" t="s">
        <v>117</v>
      </c>
      <c r="C2822" s="5">
        <v>1250</v>
      </c>
      <c r="D2822" s="5" t="s">
        <v>78</v>
      </c>
      <c r="E2822" s="5" t="s">
        <v>84</v>
      </c>
      <c r="F2822" s="6">
        <v>42370</v>
      </c>
      <c r="G2822">
        <v>0</v>
      </c>
    </row>
    <row r="2823" spans="1:7" x14ac:dyDescent="0.25">
      <c r="A2823" s="5" t="s">
        <v>116</v>
      </c>
      <c r="B2823" s="5" t="s">
        <v>117</v>
      </c>
      <c r="C2823" s="5">
        <v>1250</v>
      </c>
      <c r="D2823" s="5" t="s">
        <v>78</v>
      </c>
      <c r="E2823" s="5" t="s">
        <v>84</v>
      </c>
      <c r="F2823" s="6">
        <v>42736</v>
      </c>
      <c r="G2823">
        <v>0</v>
      </c>
    </row>
    <row r="2824" spans="1:7" x14ac:dyDescent="0.25">
      <c r="A2824" s="5" t="s">
        <v>116</v>
      </c>
      <c r="B2824" s="5" t="s">
        <v>117</v>
      </c>
      <c r="C2824" s="5">
        <v>1250</v>
      </c>
      <c r="D2824" s="5" t="s">
        <v>78</v>
      </c>
      <c r="E2824" s="5" t="s">
        <v>85</v>
      </c>
      <c r="F2824" s="6">
        <v>42370</v>
      </c>
      <c r="G2824">
        <v>0</v>
      </c>
    </row>
    <row r="2825" spans="1:7" x14ac:dyDescent="0.25">
      <c r="A2825" s="5" t="s">
        <v>116</v>
      </c>
      <c r="B2825" s="5" t="s">
        <v>117</v>
      </c>
      <c r="C2825" s="5">
        <v>1250</v>
      </c>
      <c r="D2825" s="5" t="s">
        <v>78</v>
      </c>
      <c r="E2825" s="5" t="s">
        <v>85</v>
      </c>
      <c r="F2825" s="6">
        <v>42736</v>
      </c>
      <c r="G2825">
        <v>0</v>
      </c>
    </row>
    <row r="2826" spans="1:7" x14ac:dyDescent="0.25">
      <c r="A2826" s="5" t="s">
        <v>116</v>
      </c>
      <c r="B2826" s="5" t="s">
        <v>117</v>
      </c>
      <c r="C2826" s="5">
        <v>1250</v>
      </c>
      <c r="D2826" s="5" t="s">
        <v>78</v>
      </c>
      <c r="E2826" s="5" t="s">
        <v>86</v>
      </c>
      <c r="F2826" s="6">
        <v>42370</v>
      </c>
      <c r="G2826">
        <v>0</v>
      </c>
    </row>
    <row r="2827" spans="1:7" x14ac:dyDescent="0.25">
      <c r="A2827" s="5" t="s">
        <v>116</v>
      </c>
      <c r="B2827" s="5" t="s">
        <v>117</v>
      </c>
      <c r="C2827" s="5">
        <v>1250</v>
      </c>
      <c r="D2827" s="5" t="s">
        <v>78</v>
      </c>
      <c r="E2827" s="5" t="s">
        <v>86</v>
      </c>
      <c r="F2827" s="6">
        <v>42736</v>
      </c>
      <c r="G2827">
        <v>0</v>
      </c>
    </row>
    <row r="2828" spans="1:7" x14ac:dyDescent="0.25">
      <c r="A2828" s="5" t="s">
        <v>116</v>
      </c>
      <c r="B2828" s="5" t="s">
        <v>117</v>
      </c>
      <c r="C2828" s="5">
        <v>1250</v>
      </c>
      <c r="D2828" s="5" t="s">
        <v>78</v>
      </c>
      <c r="E2828" s="5" t="s">
        <v>87</v>
      </c>
      <c r="F2828" s="6">
        <v>42370</v>
      </c>
      <c r="G2828">
        <v>0</v>
      </c>
    </row>
    <row r="2829" spans="1:7" x14ac:dyDescent="0.25">
      <c r="A2829" s="5" t="s">
        <v>116</v>
      </c>
      <c r="B2829" s="5" t="s">
        <v>117</v>
      </c>
      <c r="C2829" s="5">
        <v>1250</v>
      </c>
      <c r="D2829" s="5" t="s">
        <v>78</v>
      </c>
      <c r="E2829" s="5" t="s">
        <v>87</v>
      </c>
      <c r="F2829" s="6">
        <v>42736</v>
      </c>
      <c r="G2829">
        <v>0</v>
      </c>
    </row>
    <row r="2830" spans="1:7" x14ac:dyDescent="0.25">
      <c r="A2830" s="5" t="s">
        <v>116</v>
      </c>
      <c r="B2830" s="5" t="s">
        <v>117</v>
      </c>
      <c r="C2830" s="5">
        <v>1250</v>
      </c>
      <c r="D2830" s="5" t="s">
        <v>78</v>
      </c>
      <c r="E2830" s="5" t="s">
        <v>88</v>
      </c>
      <c r="F2830" s="6">
        <v>42370</v>
      </c>
      <c r="G2830">
        <v>25</v>
      </c>
    </row>
    <row r="2831" spans="1:7" x14ac:dyDescent="0.25">
      <c r="A2831" s="5" t="s">
        <v>116</v>
      </c>
      <c r="B2831" s="5" t="s">
        <v>117</v>
      </c>
      <c r="C2831" s="5">
        <v>1250</v>
      </c>
      <c r="D2831" s="5" t="s">
        <v>78</v>
      </c>
      <c r="E2831" s="5" t="s">
        <v>88</v>
      </c>
      <c r="F2831" s="6">
        <v>42736</v>
      </c>
      <c r="G2831">
        <v>41</v>
      </c>
    </row>
    <row r="2832" spans="1:7" x14ac:dyDescent="0.25">
      <c r="A2832" s="5" t="s">
        <v>116</v>
      </c>
      <c r="B2832" s="5" t="s">
        <v>117</v>
      </c>
      <c r="C2832" s="5">
        <v>1250</v>
      </c>
      <c r="D2832" s="5" t="s">
        <v>78</v>
      </c>
      <c r="E2832" s="5" t="s">
        <v>89</v>
      </c>
      <c r="F2832" s="6">
        <v>42370</v>
      </c>
      <c r="G2832">
        <v>602</v>
      </c>
    </row>
    <row r="2833" spans="1:7" x14ac:dyDescent="0.25">
      <c r="A2833" s="5" t="s">
        <v>116</v>
      </c>
      <c r="B2833" s="5" t="s">
        <v>117</v>
      </c>
      <c r="C2833" s="5">
        <v>1250</v>
      </c>
      <c r="D2833" s="5" t="s">
        <v>78</v>
      </c>
      <c r="E2833" s="5" t="s">
        <v>89</v>
      </c>
      <c r="F2833" s="6">
        <v>42736</v>
      </c>
      <c r="G2833">
        <v>657</v>
      </c>
    </row>
    <row r="2834" spans="1:7" x14ac:dyDescent="0.25">
      <c r="A2834" s="5" t="s">
        <v>116</v>
      </c>
      <c r="B2834" s="5" t="s">
        <v>117</v>
      </c>
      <c r="C2834" s="5">
        <v>1250</v>
      </c>
      <c r="D2834" s="5" t="s">
        <v>78</v>
      </c>
      <c r="E2834" s="5" t="s">
        <v>90</v>
      </c>
      <c r="F2834" s="6">
        <v>42370</v>
      </c>
      <c r="G2834">
        <v>0</v>
      </c>
    </row>
    <row r="2835" spans="1:7" x14ac:dyDescent="0.25">
      <c r="A2835" s="5" t="s">
        <v>116</v>
      </c>
      <c r="B2835" s="5" t="s">
        <v>117</v>
      </c>
      <c r="C2835" s="5">
        <v>1250</v>
      </c>
      <c r="D2835" s="5" t="s">
        <v>78</v>
      </c>
      <c r="E2835" s="5" t="s">
        <v>90</v>
      </c>
      <c r="F2835" s="6">
        <v>42736</v>
      </c>
      <c r="G2835">
        <v>0</v>
      </c>
    </row>
    <row r="2836" spans="1:7" x14ac:dyDescent="0.25">
      <c r="A2836" s="5" t="s">
        <v>116</v>
      </c>
      <c r="B2836" s="5" t="s">
        <v>117</v>
      </c>
      <c r="C2836" s="5">
        <v>1250</v>
      </c>
      <c r="D2836" s="5" t="s">
        <v>78</v>
      </c>
      <c r="E2836" s="5" t="s">
        <v>91</v>
      </c>
      <c r="F2836" s="6">
        <v>42370</v>
      </c>
      <c r="G2836">
        <v>0</v>
      </c>
    </row>
    <row r="2837" spans="1:7" x14ac:dyDescent="0.25">
      <c r="A2837" s="5" t="s">
        <v>116</v>
      </c>
      <c r="B2837" s="5" t="s">
        <v>117</v>
      </c>
      <c r="C2837" s="5">
        <v>1250</v>
      </c>
      <c r="D2837" s="5" t="s">
        <v>78</v>
      </c>
      <c r="E2837" s="5" t="s">
        <v>91</v>
      </c>
      <c r="F2837" s="6">
        <v>42736</v>
      </c>
      <c r="G2837">
        <v>0</v>
      </c>
    </row>
    <row r="2838" spans="1:7" x14ac:dyDescent="0.25">
      <c r="A2838" s="5" t="s">
        <v>116</v>
      </c>
      <c r="B2838" s="5" t="s">
        <v>117</v>
      </c>
      <c r="C2838" s="5">
        <v>1250</v>
      </c>
      <c r="D2838" s="5" t="s">
        <v>78</v>
      </c>
      <c r="E2838" s="5" t="s">
        <v>92</v>
      </c>
      <c r="F2838" s="6">
        <v>42370</v>
      </c>
      <c r="G2838">
        <v>0</v>
      </c>
    </row>
    <row r="2839" spans="1:7" x14ac:dyDescent="0.25">
      <c r="A2839" s="5" t="s">
        <v>116</v>
      </c>
      <c r="B2839" s="5" t="s">
        <v>117</v>
      </c>
      <c r="C2839" s="5">
        <v>1250</v>
      </c>
      <c r="D2839" s="5" t="s">
        <v>78</v>
      </c>
      <c r="E2839" s="5" t="s">
        <v>92</v>
      </c>
      <c r="F2839" s="6">
        <v>42736</v>
      </c>
      <c r="G2839">
        <v>0</v>
      </c>
    </row>
    <row r="2840" spans="1:7" x14ac:dyDescent="0.25">
      <c r="A2840" s="5" t="s">
        <v>116</v>
      </c>
      <c r="B2840" s="5" t="s">
        <v>117</v>
      </c>
      <c r="C2840" s="5">
        <v>1250</v>
      </c>
      <c r="D2840" s="5" t="s">
        <v>78</v>
      </c>
      <c r="E2840" s="5" t="s">
        <v>93</v>
      </c>
      <c r="F2840" s="6">
        <v>42370</v>
      </c>
      <c r="G2840">
        <v>0</v>
      </c>
    </row>
    <row r="2841" spans="1:7" x14ac:dyDescent="0.25">
      <c r="A2841" s="5" t="s">
        <v>116</v>
      </c>
      <c r="B2841" s="5" t="s">
        <v>117</v>
      </c>
      <c r="C2841" s="5">
        <v>1250</v>
      </c>
      <c r="D2841" s="5" t="s">
        <v>78</v>
      </c>
      <c r="E2841" s="5" t="s">
        <v>93</v>
      </c>
      <c r="F2841" s="6">
        <v>42736</v>
      </c>
      <c r="G2841">
        <v>0</v>
      </c>
    </row>
    <row r="2842" spans="1:7" x14ac:dyDescent="0.25">
      <c r="A2842" s="5" t="s">
        <v>116</v>
      </c>
      <c r="B2842" s="5" t="s">
        <v>117</v>
      </c>
      <c r="C2842" s="5">
        <v>1250</v>
      </c>
      <c r="D2842" s="5" t="s">
        <v>78</v>
      </c>
      <c r="E2842" s="5" t="s">
        <v>94</v>
      </c>
      <c r="F2842" s="6">
        <v>42370</v>
      </c>
      <c r="G2842">
        <v>0</v>
      </c>
    </row>
    <row r="2843" spans="1:7" x14ac:dyDescent="0.25">
      <c r="A2843" s="5" t="s">
        <v>116</v>
      </c>
      <c r="B2843" s="5" t="s">
        <v>117</v>
      </c>
      <c r="C2843" s="5">
        <v>1250</v>
      </c>
      <c r="D2843" s="5" t="s">
        <v>78</v>
      </c>
      <c r="E2843" s="5" t="s">
        <v>94</v>
      </c>
      <c r="F2843" s="6">
        <v>42736</v>
      </c>
      <c r="G2843">
        <v>0</v>
      </c>
    </row>
    <row r="2844" spans="1:7" x14ac:dyDescent="0.25">
      <c r="A2844" s="5" t="s">
        <v>116</v>
      </c>
      <c r="B2844" s="5" t="s">
        <v>117</v>
      </c>
      <c r="C2844" s="5">
        <v>1250</v>
      </c>
      <c r="D2844" s="5" t="s">
        <v>78</v>
      </c>
      <c r="E2844" s="5" t="s">
        <v>95</v>
      </c>
      <c r="F2844" s="6">
        <v>42370</v>
      </c>
      <c r="G2844">
        <v>0</v>
      </c>
    </row>
    <row r="2845" spans="1:7" x14ac:dyDescent="0.25">
      <c r="A2845" s="5" t="s">
        <v>116</v>
      </c>
      <c r="B2845" s="5" t="s">
        <v>117</v>
      </c>
      <c r="C2845" s="5">
        <v>1250</v>
      </c>
      <c r="D2845" s="5" t="s">
        <v>78</v>
      </c>
      <c r="E2845" s="5" t="s">
        <v>95</v>
      </c>
      <c r="F2845" s="6">
        <v>42736</v>
      </c>
      <c r="G2845">
        <v>0</v>
      </c>
    </row>
    <row r="2846" spans="1:7" x14ac:dyDescent="0.25">
      <c r="A2846" s="5" t="s">
        <v>116</v>
      </c>
      <c r="B2846" s="5" t="s">
        <v>117</v>
      </c>
      <c r="C2846" s="5">
        <v>1250</v>
      </c>
      <c r="D2846" s="5" t="s">
        <v>78</v>
      </c>
      <c r="E2846" s="5" t="s">
        <v>96</v>
      </c>
      <c r="F2846" s="6">
        <v>42370</v>
      </c>
      <c r="G2846">
        <v>0</v>
      </c>
    </row>
    <row r="2847" spans="1:7" x14ac:dyDescent="0.25">
      <c r="A2847" s="5" t="s">
        <v>116</v>
      </c>
      <c r="B2847" s="5" t="s">
        <v>117</v>
      </c>
      <c r="C2847" s="5">
        <v>1250</v>
      </c>
      <c r="D2847" s="5" t="s">
        <v>78</v>
      </c>
      <c r="E2847" s="5" t="s">
        <v>96</v>
      </c>
      <c r="F2847" s="6">
        <v>42736</v>
      </c>
      <c r="G2847">
        <v>0</v>
      </c>
    </row>
    <row r="2848" spans="1:7" x14ac:dyDescent="0.25">
      <c r="A2848" s="5" t="s">
        <v>116</v>
      </c>
      <c r="B2848" s="5" t="s">
        <v>117</v>
      </c>
      <c r="C2848" s="5">
        <v>1250</v>
      </c>
      <c r="D2848" s="5" t="s">
        <v>78</v>
      </c>
      <c r="E2848" s="5" t="s">
        <v>97</v>
      </c>
      <c r="F2848" s="6">
        <v>42370</v>
      </c>
      <c r="G2848">
        <v>0</v>
      </c>
    </row>
    <row r="2849" spans="1:7" x14ac:dyDescent="0.25">
      <c r="A2849" s="5" t="s">
        <v>116</v>
      </c>
      <c r="B2849" s="5" t="s">
        <v>117</v>
      </c>
      <c r="C2849" s="5">
        <v>1250</v>
      </c>
      <c r="D2849" s="5" t="s">
        <v>78</v>
      </c>
      <c r="E2849" s="5" t="s">
        <v>97</v>
      </c>
      <c r="F2849" s="6">
        <v>42736</v>
      </c>
      <c r="G2849">
        <v>0</v>
      </c>
    </row>
    <row r="2850" spans="1:7" x14ac:dyDescent="0.25">
      <c r="A2850" s="5" t="s">
        <v>116</v>
      </c>
      <c r="B2850" s="5" t="s">
        <v>117</v>
      </c>
      <c r="C2850" s="5">
        <v>1250</v>
      </c>
      <c r="D2850" s="5" t="s">
        <v>78</v>
      </c>
      <c r="E2850" s="5" t="s">
        <v>98</v>
      </c>
      <c r="F2850" s="6">
        <v>42370</v>
      </c>
      <c r="G2850">
        <v>0</v>
      </c>
    </row>
    <row r="2851" spans="1:7" x14ac:dyDescent="0.25">
      <c r="A2851" s="5" t="s">
        <v>116</v>
      </c>
      <c r="B2851" s="5" t="s">
        <v>117</v>
      </c>
      <c r="C2851" s="5">
        <v>1250</v>
      </c>
      <c r="D2851" s="5" t="s">
        <v>78</v>
      </c>
      <c r="E2851" s="5" t="s">
        <v>98</v>
      </c>
      <c r="F2851" s="6">
        <v>42736</v>
      </c>
      <c r="G2851">
        <v>0</v>
      </c>
    </row>
    <row r="2852" spans="1:7" x14ac:dyDescent="0.25">
      <c r="A2852" s="5" t="s">
        <v>116</v>
      </c>
      <c r="B2852" s="5" t="s">
        <v>118</v>
      </c>
      <c r="C2852" s="5">
        <v>6000</v>
      </c>
      <c r="D2852" s="5" t="s">
        <v>8</v>
      </c>
      <c r="E2852" s="5" t="s">
        <v>9</v>
      </c>
      <c r="F2852" s="6">
        <v>42370</v>
      </c>
      <c r="G2852">
        <v>0</v>
      </c>
    </row>
    <row r="2853" spans="1:7" x14ac:dyDescent="0.25">
      <c r="A2853" s="5" t="s">
        <v>116</v>
      </c>
      <c r="B2853" s="5" t="s">
        <v>118</v>
      </c>
      <c r="C2853" s="5">
        <v>6000</v>
      </c>
      <c r="D2853" s="5" t="s">
        <v>8</v>
      </c>
      <c r="E2853" s="5" t="s">
        <v>9</v>
      </c>
      <c r="F2853" s="6">
        <v>42736</v>
      </c>
      <c r="G2853">
        <v>0</v>
      </c>
    </row>
    <row r="2854" spans="1:7" x14ac:dyDescent="0.25">
      <c r="A2854" s="5" t="s">
        <v>116</v>
      </c>
      <c r="B2854" s="5" t="s">
        <v>118</v>
      </c>
      <c r="C2854" s="5">
        <v>6000</v>
      </c>
      <c r="D2854" s="5" t="s">
        <v>8</v>
      </c>
      <c r="E2854" s="5" t="s">
        <v>10</v>
      </c>
      <c r="F2854" s="6">
        <v>42370</v>
      </c>
      <c r="G2854">
        <v>131</v>
      </c>
    </row>
    <row r="2855" spans="1:7" x14ac:dyDescent="0.25">
      <c r="A2855" s="5" t="s">
        <v>116</v>
      </c>
      <c r="B2855" s="5" t="s">
        <v>118</v>
      </c>
      <c r="C2855" s="5">
        <v>6000</v>
      </c>
      <c r="D2855" s="5" t="s">
        <v>8</v>
      </c>
      <c r="E2855" s="5" t="s">
        <v>10</v>
      </c>
      <c r="F2855" s="6">
        <v>42736</v>
      </c>
      <c r="G2855">
        <v>152</v>
      </c>
    </row>
    <row r="2856" spans="1:7" x14ac:dyDescent="0.25">
      <c r="A2856" s="5" t="s">
        <v>116</v>
      </c>
      <c r="B2856" s="5" t="s">
        <v>118</v>
      </c>
      <c r="C2856" s="5">
        <v>6000</v>
      </c>
      <c r="D2856" s="5" t="s">
        <v>8</v>
      </c>
      <c r="E2856" s="5" t="s">
        <v>11</v>
      </c>
      <c r="F2856" s="6">
        <v>42370</v>
      </c>
      <c r="G2856">
        <v>30</v>
      </c>
    </row>
    <row r="2857" spans="1:7" x14ac:dyDescent="0.25">
      <c r="A2857" s="5" t="s">
        <v>116</v>
      </c>
      <c r="B2857" s="5" t="s">
        <v>118</v>
      </c>
      <c r="C2857" s="5">
        <v>6000</v>
      </c>
      <c r="D2857" s="5" t="s">
        <v>8</v>
      </c>
      <c r="E2857" s="5" t="s">
        <v>11</v>
      </c>
      <c r="F2857" s="6">
        <v>42736</v>
      </c>
      <c r="G2857">
        <v>88</v>
      </c>
    </row>
    <row r="2858" spans="1:7" x14ac:dyDescent="0.25">
      <c r="A2858" s="5" t="s">
        <v>116</v>
      </c>
      <c r="B2858" s="5" t="s">
        <v>118</v>
      </c>
      <c r="C2858" s="5">
        <v>6000</v>
      </c>
      <c r="D2858" s="5" t="s">
        <v>8</v>
      </c>
      <c r="E2858" s="5" t="s">
        <v>12</v>
      </c>
      <c r="F2858" s="6">
        <v>42370</v>
      </c>
      <c r="G2858">
        <v>0</v>
      </c>
    </row>
    <row r="2859" spans="1:7" x14ac:dyDescent="0.25">
      <c r="A2859" s="5" t="s">
        <v>116</v>
      </c>
      <c r="B2859" s="5" t="s">
        <v>118</v>
      </c>
      <c r="C2859" s="5">
        <v>6000</v>
      </c>
      <c r="D2859" s="5" t="s">
        <v>8</v>
      </c>
      <c r="E2859" s="5" t="s">
        <v>12</v>
      </c>
      <c r="F2859" s="6">
        <v>42736</v>
      </c>
      <c r="G2859">
        <v>0</v>
      </c>
    </row>
    <row r="2860" spans="1:7" x14ac:dyDescent="0.25">
      <c r="A2860" s="5" t="s">
        <v>116</v>
      </c>
      <c r="B2860" s="5" t="s">
        <v>118</v>
      </c>
      <c r="C2860" s="5">
        <v>6000</v>
      </c>
      <c r="D2860" s="5" t="s">
        <v>8</v>
      </c>
      <c r="E2860" s="5" t="s">
        <v>13</v>
      </c>
      <c r="F2860" s="6">
        <v>42370</v>
      </c>
      <c r="G2860">
        <v>0</v>
      </c>
    </row>
    <row r="2861" spans="1:7" x14ac:dyDescent="0.25">
      <c r="A2861" s="5" t="s">
        <v>116</v>
      </c>
      <c r="B2861" s="5" t="s">
        <v>118</v>
      </c>
      <c r="C2861" s="5">
        <v>6000</v>
      </c>
      <c r="D2861" s="5" t="s">
        <v>8</v>
      </c>
      <c r="E2861" s="5" t="s">
        <v>13</v>
      </c>
      <c r="F2861" s="6">
        <v>42736</v>
      </c>
      <c r="G2861">
        <v>0</v>
      </c>
    </row>
    <row r="2862" spans="1:7" x14ac:dyDescent="0.25">
      <c r="A2862" s="5" t="s">
        <v>116</v>
      </c>
      <c r="B2862" s="5" t="s">
        <v>118</v>
      </c>
      <c r="C2862" s="5">
        <v>6000</v>
      </c>
      <c r="D2862" s="5" t="s">
        <v>8</v>
      </c>
      <c r="E2862" s="5" t="s">
        <v>14</v>
      </c>
      <c r="F2862" s="6">
        <v>42370</v>
      </c>
      <c r="G2862">
        <v>0</v>
      </c>
    </row>
    <row r="2863" spans="1:7" x14ac:dyDescent="0.25">
      <c r="A2863" s="5" t="s">
        <v>116</v>
      </c>
      <c r="B2863" s="5" t="s">
        <v>118</v>
      </c>
      <c r="C2863" s="5">
        <v>6000</v>
      </c>
      <c r="D2863" s="5" t="s">
        <v>8</v>
      </c>
      <c r="E2863" s="5" t="s">
        <v>14</v>
      </c>
      <c r="F2863" s="6">
        <v>42736</v>
      </c>
      <c r="G2863">
        <v>0</v>
      </c>
    </row>
    <row r="2864" spans="1:7" x14ac:dyDescent="0.25">
      <c r="A2864" s="5" t="s">
        <v>116</v>
      </c>
      <c r="B2864" s="5" t="s">
        <v>118</v>
      </c>
      <c r="C2864" s="5">
        <v>6000</v>
      </c>
      <c r="D2864" s="5" t="s">
        <v>8</v>
      </c>
      <c r="E2864" s="5" t="s">
        <v>15</v>
      </c>
      <c r="F2864" s="6">
        <v>42370</v>
      </c>
      <c r="G2864">
        <v>0</v>
      </c>
    </row>
    <row r="2865" spans="1:7" x14ac:dyDescent="0.25">
      <c r="A2865" s="5" t="s">
        <v>116</v>
      </c>
      <c r="B2865" s="5" t="s">
        <v>118</v>
      </c>
      <c r="C2865" s="5">
        <v>6000</v>
      </c>
      <c r="D2865" s="5" t="s">
        <v>8</v>
      </c>
      <c r="E2865" s="5" t="s">
        <v>15</v>
      </c>
      <c r="F2865" s="6">
        <v>42736</v>
      </c>
      <c r="G2865">
        <v>0</v>
      </c>
    </row>
    <row r="2866" spans="1:7" x14ac:dyDescent="0.25">
      <c r="A2866" s="5" t="s">
        <v>116</v>
      </c>
      <c r="B2866" s="5" t="s">
        <v>118</v>
      </c>
      <c r="C2866" s="5">
        <v>6000</v>
      </c>
      <c r="D2866" s="5" t="s">
        <v>8</v>
      </c>
      <c r="E2866" s="5" t="s">
        <v>16</v>
      </c>
      <c r="F2866" s="6">
        <v>42370</v>
      </c>
      <c r="G2866">
        <v>23</v>
      </c>
    </row>
    <row r="2867" spans="1:7" x14ac:dyDescent="0.25">
      <c r="A2867" s="5" t="s">
        <v>116</v>
      </c>
      <c r="B2867" s="5" t="s">
        <v>118</v>
      </c>
      <c r="C2867" s="5">
        <v>6000</v>
      </c>
      <c r="D2867" s="5" t="s">
        <v>8</v>
      </c>
      <c r="E2867" s="5" t="s">
        <v>16</v>
      </c>
      <c r="F2867" s="6">
        <v>42736</v>
      </c>
      <c r="G2867">
        <v>29</v>
      </c>
    </row>
    <row r="2868" spans="1:7" x14ac:dyDescent="0.25">
      <c r="A2868" s="5" t="s">
        <v>116</v>
      </c>
      <c r="B2868" s="5" t="s">
        <v>118</v>
      </c>
      <c r="C2868" s="5">
        <v>6000</v>
      </c>
      <c r="D2868" s="5" t="s">
        <v>8</v>
      </c>
      <c r="E2868" s="5" t="s">
        <v>17</v>
      </c>
      <c r="F2868" s="6">
        <v>42370</v>
      </c>
      <c r="G2868">
        <v>0</v>
      </c>
    </row>
    <row r="2869" spans="1:7" x14ac:dyDescent="0.25">
      <c r="A2869" s="5" t="s">
        <v>116</v>
      </c>
      <c r="B2869" s="5" t="s">
        <v>118</v>
      </c>
      <c r="C2869" s="5">
        <v>6000</v>
      </c>
      <c r="D2869" s="5" t="s">
        <v>8</v>
      </c>
      <c r="E2869" s="5" t="s">
        <v>17</v>
      </c>
      <c r="F2869" s="6">
        <v>42736</v>
      </c>
      <c r="G2869">
        <v>0</v>
      </c>
    </row>
    <row r="2870" spans="1:7" x14ac:dyDescent="0.25">
      <c r="A2870" s="5" t="s">
        <v>116</v>
      </c>
      <c r="B2870" s="5" t="s">
        <v>118</v>
      </c>
      <c r="C2870" s="5">
        <v>6000</v>
      </c>
      <c r="D2870" s="5" t="s">
        <v>8</v>
      </c>
      <c r="E2870" s="5" t="s">
        <v>18</v>
      </c>
      <c r="F2870" s="6">
        <v>42370</v>
      </c>
      <c r="G2870">
        <v>15</v>
      </c>
    </row>
    <row r="2871" spans="1:7" x14ac:dyDescent="0.25">
      <c r="A2871" s="5" t="s">
        <v>116</v>
      </c>
      <c r="B2871" s="5" t="s">
        <v>118</v>
      </c>
      <c r="C2871" s="5">
        <v>6000</v>
      </c>
      <c r="D2871" s="5" t="s">
        <v>8</v>
      </c>
      <c r="E2871" s="5" t="s">
        <v>18</v>
      </c>
      <c r="F2871" s="6">
        <v>42736</v>
      </c>
      <c r="G2871">
        <v>23</v>
      </c>
    </row>
    <row r="2872" spans="1:7" x14ac:dyDescent="0.25">
      <c r="A2872" s="5" t="s">
        <v>116</v>
      </c>
      <c r="B2872" s="5" t="s">
        <v>118</v>
      </c>
      <c r="C2872" s="5">
        <v>6000</v>
      </c>
      <c r="D2872" s="5" t="s">
        <v>8</v>
      </c>
      <c r="E2872" s="5" t="s">
        <v>19</v>
      </c>
      <c r="F2872" s="6">
        <v>42370</v>
      </c>
      <c r="G2872">
        <v>0</v>
      </c>
    </row>
    <row r="2873" spans="1:7" x14ac:dyDescent="0.25">
      <c r="A2873" s="5" t="s">
        <v>116</v>
      </c>
      <c r="B2873" s="5" t="s">
        <v>118</v>
      </c>
      <c r="C2873" s="5">
        <v>6000</v>
      </c>
      <c r="D2873" s="5" t="s">
        <v>8</v>
      </c>
      <c r="E2873" s="5" t="s">
        <v>19</v>
      </c>
      <c r="F2873" s="6">
        <v>42736</v>
      </c>
      <c r="G2873">
        <v>0</v>
      </c>
    </row>
    <row r="2874" spans="1:7" x14ac:dyDescent="0.25">
      <c r="A2874" s="5" t="s">
        <v>116</v>
      </c>
      <c r="B2874" s="5" t="s">
        <v>118</v>
      </c>
      <c r="C2874" s="5">
        <v>6000</v>
      </c>
      <c r="D2874" s="5" t="s">
        <v>20</v>
      </c>
      <c r="E2874" s="5" t="s">
        <v>9</v>
      </c>
      <c r="F2874" s="6">
        <v>42370</v>
      </c>
      <c r="G2874">
        <v>30</v>
      </c>
    </row>
    <row r="2875" spans="1:7" x14ac:dyDescent="0.25">
      <c r="A2875" s="5" t="s">
        <v>116</v>
      </c>
      <c r="B2875" s="5" t="s">
        <v>118</v>
      </c>
      <c r="C2875" s="5">
        <v>6000</v>
      </c>
      <c r="D2875" s="5" t="s">
        <v>20</v>
      </c>
      <c r="E2875" s="5" t="s">
        <v>9</v>
      </c>
      <c r="F2875" s="6">
        <v>42736</v>
      </c>
      <c r="G2875">
        <v>56</v>
      </c>
    </row>
    <row r="2876" spans="1:7" x14ac:dyDescent="0.25">
      <c r="A2876" s="5" t="s">
        <v>116</v>
      </c>
      <c r="B2876" s="5" t="s">
        <v>118</v>
      </c>
      <c r="C2876" s="5">
        <v>6000</v>
      </c>
      <c r="D2876" s="5" t="s">
        <v>20</v>
      </c>
      <c r="E2876" s="5" t="s">
        <v>21</v>
      </c>
      <c r="F2876" s="6">
        <v>42370</v>
      </c>
      <c r="G2876">
        <v>0</v>
      </c>
    </row>
    <row r="2877" spans="1:7" x14ac:dyDescent="0.25">
      <c r="A2877" s="5" t="s">
        <v>116</v>
      </c>
      <c r="B2877" s="5" t="s">
        <v>118</v>
      </c>
      <c r="C2877" s="5">
        <v>6000</v>
      </c>
      <c r="D2877" s="5" t="s">
        <v>20</v>
      </c>
      <c r="E2877" s="5" t="s">
        <v>21</v>
      </c>
      <c r="F2877" s="6">
        <v>42736</v>
      </c>
      <c r="G2877">
        <v>0</v>
      </c>
    </row>
    <row r="2878" spans="1:7" x14ac:dyDescent="0.25">
      <c r="A2878" s="5" t="s">
        <v>116</v>
      </c>
      <c r="B2878" s="5" t="s">
        <v>118</v>
      </c>
      <c r="C2878" s="5">
        <v>6000</v>
      </c>
      <c r="D2878" s="5" t="s">
        <v>20</v>
      </c>
      <c r="E2878" s="5" t="s">
        <v>22</v>
      </c>
      <c r="F2878" s="6">
        <v>42370</v>
      </c>
      <c r="G2878">
        <v>0</v>
      </c>
    </row>
    <row r="2879" spans="1:7" x14ac:dyDescent="0.25">
      <c r="A2879" s="5" t="s">
        <v>116</v>
      </c>
      <c r="B2879" s="5" t="s">
        <v>118</v>
      </c>
      <c r="C2879" s="5">
        <v>6000</v>
      </c>
      <c r="D2879" s="5" t="s">
        <v>20</v>
      </c>
      <c r="E2879" s="5" t="s">
        <v>22</v>
      </c>
      <c r="F2879" s="6">
        <v>42736</v>
      </c>
      <c r="G2879">
        <v>2</v>
      </c>
    </row>
    <row r="2880" spans="1:7" x14ac:dyDescent="0.25">
      <c r="A2880" s="5" t="s">
        <v>116</v>
      </c>
      <c r="B2880" s="5" t="s">
        <v>118</v>
      </c>
      <c r="C2880" s="5">
        <v>6000</v>
      </c>
      <c r="D2880" s="5" t="s">
        <v>20</v>
      </c>
      <c r="E2880" s="5" t="s">
        <v>23</v>
      </c>
      <c r="F2880" s="6">
        <v>42370</v>
      </c>
      <c r="G2880">
        <v>2</v>
      </c>
    </row>
    <row r="2881" spans="1:7" x14ac:dyDescent="0.25">
      <c r="A2881" s="5" t="s">
        <v>116</v>
      </c>
      <c r="B2881" s="5" t="s">
        <v>118</v>
      </c>
      <c r="C2881" s="5">
        <v>6000</v>
      </c>
      <c r="D2881" s="5" t="s">
        <v>20</v>
      </c>
      <c r="E2881" s="5" t="s">
        <v>23</v>
      </c>
      <c r="F2881" s="6">
        <v>42736</v>
      </c>
      <c r="G2881">
        <v>3</v>
      </c>
    </row>
    <row r="2882" spans="1:7" x14ac:dyDescent="0.25">
      <c r="A2882" s="5" t="s">
        <v>116</v>
      </c>
      <c r="B2882" s="5" t="s">
        <v>118</v>
      </c>
      <c r="C2882" s="5">
        <v>6000</v>
      </c>
      <c r="D2882" s="5" t="s">
        <v>20</v>
      </c>
      <c r="E2882" s="5" t="s">
        <v>24</v>
      </c>
      <c r="F2882" s="6">
        <v>42370</v>
      </c>
      <c r="G2882">
        <v>0</v>
      </c>
    </row>
    <row r="2883" spans="1:7" x14ac:dyDescent="0.25">
      <c r="A2883" s="5" t="s">
        <v>116</v>
      </c>
      <c r="B2883" s="5" t="s">
        <v>118</v>
      </c>
      <c r="C2883" s="5">
        <v>6000</v>
      </c>
      <c r="D2883" s="5" t="s">
        <v>20</v>
      </c>
      <c r="E2883" s="5" t="s">
        <v>24</v>
      </c>
      <c r="F2883" s="6">
        <v>42736</v>
      </c>
      <c r="G2883">
        <v>1</v>
      </c>
    </row>
    <row r="2884" spans="1:7" x14ac:dyDescent="0.25">
      <c r="A2884" s="5" t="s">
        <v>116</v>
      </c>
      <c r="B2884" s="5" t="s">
        <v>118</v>
      </c>
      <c r="C2884" s="5">
        <v>6000</v>
      </c>
      <c r="D2884" s="5" t="s">
        <v>20</v>
      </c>
      <c r="E2884" s="5" t="s">
        <v>25</v>
      </c>
      <c r="F2884" s="6">
        <v>42370</v>
      </c>
      <c r="G2884">
        <v>0</v>
      </c>
    </row>
    <row r="2885" spans="1:7" x14ac:dyDescent="0.25">
      <c r="A2885" s="5" t="s">
        <v>116</v>
      </c>
      <c r="B2885" s="5" t="s">
        <v>118</v>
      </c>
      <c r="C2885" s="5">
        <v>6000</v>
      </c>
      <c r="D2885" s="5" t="s">
        <v>20</v>
      </c>
      <c r="E2885" s="5" t="s">
        <v>25</v>
      </c>
      <c r="F2885" s="6">
        <v>42736</v>
      </c>
      <c r="G2885">
        <v>1</v>
      </c>
    </row>
    <row r="2886" spans="1:7" x14ac:dyDescent="0.25">
      <c r="A2886" s="5" t="s">
        <v>116</v>
      </c>
      <c r="B2886" s="5" t="s">
        <v>118</v>
      </c>
      <c r="C2886" s="5">
        <v>6000</v>
      </c>
      <c r="D2886" s="5" t="s">
        <v>20</v>
      </c>
      <c r="E2886" s="5" t="s">
        <v>26</v>
      </c>
      <c r="F2886" s="6">
        <v>42370</v>
      </c>
      <c r="G2886">
        <v>151</v>
      </c>
    </row>
    <row r="2887" spans="1:7" x14ac:dyDescent="0.25">
      <c r="A2887" s="5" t="s">
        <v>116</v>
      </c>
      <c r="B2887" s="5" t="s">
        <v>118</v>
      </c>
      <c r="C2887" s="5">
        <v>6000</v>
      </c>
      <c r="D2887" s="5" t="s">
        <v>20</v>
      </c>
      <c r="E2887" s="5" t="s">
        <v>26</v>
      </c>
      <c r="F2887" s="6">
        <v>42736</v>
      </c>
      <c r="G2887">
        <v>214</v>
      </c>
    </row>
    <row r="2888" spans="1:7" x14ac:dyDescent="0.25">
      <c r="A2888" s="5" t="s">
        <v>116</v>
      </c>
      <c r="B2888" s="5" t="s">
        <v>118</v>
      </c>
      <c r="C2888" s="5">
        <v>6000</v>
      </c>
      <c r="D2888" s="5" t="s">
        <v>20</v>
      </c>
      <c r="E2888" s="5" t="s">
        <v>27</v>
      </c>
      <c r="F2888" s="6">
        <v>42370</v>
      </c>
      <c r="G2888">
        <v>2</v>
      </c>
    </row>
    <row r="2889" spans="1:7" x14ac:dyDescent="0.25">
      <c r="A2889" s="5" t="s">
        <v>116</v>
      </c>
      <c r="B2889" s="5" t="s">
        <v>118</v>
      </c>
      <c r="C2889" s="5">
        <v>6000</v>
      </c>
      <c r="D2889" s="5" t="s">
        <v>20</v>
      </c>
      <c r="E2889" s="5" t="s">
        <v>27</v>
      </c>
      <c r="F2889" s="6">
        <v>42736</v>
      </c>
      <c r="G2889">
        <v>2</v>
      </c>
    </row>
    <row r="2890" spans="1:7" x14ac:dyDescent="0.25">
      <c r="A2890" s="5" t="s">
        <v>116</v>
      </c>
      <c r="B2890" s="5" t="s">
        <v>118</v>
      </c>
      <c r="C2890" s="5">
        <v>6000</v>
      </c>
      <c r="D2890" s="5" t="s">
        <v>20</v>
      </c>
      <c r="E2890" s="5" t="s">
        <v>28</v>
      </c>
      <c r="F2890" s="6">
        <v>42370</v>
      </c>
      <c r="G2890">
        <v>0</v>
      </c>
    </row>
    <row r="2891" spans="1:7" x14ac:dyDescent="0.25">
      <c r="A2891" s="5" t="s">
        <v>116</v>
      </c>
      <c r="B2891" s="5" t="s">
        <v>118</v>
      </c>
      <c r="C2891" s="5">
        <v>6000</v>
      </c>
      <c r="D2891" s="5" t="s">
        <v>20</v>
      </c>
      <c r="E2891" s="5" t="s">
        <v>28</v>
      </c>
      <c r="F2891" s="6">
        <v>42736</v>
      </c>
      <c r="G2891">
        <v>1</v>
      </c>
    </row>
    <row r="2892" spans="1:7" x14ac:dyDescent="0.25">
      <c r="A2892" s="5" t="s">
        <v>116</v>
      </c>
      <c r="B2892" s="5" t="s">
        <v>118</v>
      </c>
      <c r="C2892" s="5">
        <v>6000</v>
      </c>
      <c r="D2892" s="5" t="s">
        <v>20</v>
      </c>
      <c r="E2892" s="5" t="s">
        <v>29</v>
      </c>
      <c r="F2892" s="6">
        <v>42370</v>
      </c>
      <c r="G2892">
        <v>152</v>
      </c>
    </row>
    <row r="2893" spans="1:7" x14ac:dyDescent="0.25">
      <c r="A2893" s="5" t="s">
        <v>116</v>
      </c>
      <c r="B2893" s="5" t="s">
        <v>118</v>
      </c>
      <c r="C2893" s="5">
        <v>6000</v>
      </c>
      <c r="D2893" s="5" t="s">
        <v>20</v>
      </c>
      <c r="E2893" s="5" t="s">
        <v>29</v>
      </c>
      <c r="F2893" s="6">
        <v>42736</v>
      </c>
      <c r="G2893">
        <v>217</v>
      </c>
    </row>
    <row r="2894" spans="1:7" x14ac:dyDescent="0.25">
      <c r="A2894" s="5" t="s">
        <v>116</v>
      </c>
      <c r="B2894" s="5" t="s">
        <v>118</v>
      </c>
      <c r="C2894" s="5">
        <v>6000</v>
      </c>
      <c r="D2894" s="5" t="s">
        <v>20</v>
      </c>
      <c r="E2894" s="5" t="s">
        <v>30</v>
      </c>
      <c r="F2894" s="6">
        <v>42370</v>
      </c>
      <c r="G2894">
        <v>154</v>
      </c>
    </row>
    <row r="2895" spans="1:7" x14ac:dyDescent="0.25">
      <c r="A2895" s="5" t="s">
        <v>116</v>
      </c>
      <c r="B2895" s="5" t="s">
        <v>118</v>
      </c>
      <c r="C2895" s="5">
        <v>6000</v>
      </c>
      <c r="D2895" s="5" t="s">
        <v>20</v>
      </c>
      <c r="E2895" s="5" t="s">
        <v>30</v>
      </c>
      <c r="F2895" s="6">
        <v>42736</v>
      </c>
      <c r="G2895">
        <v>218</v>
      </c>
    </row>
    <row r="2896" spans="1:7" x14ac:dyDescent="0.25">
      <c r="A2896" s="5" t="s">
        <v>116</v>
      </c>
      <c r="B2896" s="5" t="s">
        <v>118</v>
      </c>
      <c r="C2896" s="5">
        <v>6000</v>
      </c>
      <c r="D2896" s="5" t="s">
        <v>20</v>
      </c>
      <c r="E2896" s="5" t="s">
        <v>31</v>
      </c>
      <c r="F2896" s="6">
        <v>42370</v>
      </c>
      <c r="G2896">
        <v>364</v>
      </c>
    </row>
    <row r="2897" spans="1:7" x14ac:dyDescent="0.25">
      <c r="A2897" s="5" t="s">
        <v>116</v>
      </c>
      <c r="B2897" s="5" t="s">
        <v>118</v>
      </c>
      <c r="C2897" s="5">
        <v>6000</v>
      </c>
      <c r="D2897" s="5" t="s">
        <v>20</v>
      </c>
      <c r="E2897" s="5" t="s">
        <v>31</v>
      </c>
      <c r="F2897" s="6">
        <v>42736</v>
      </c>
      <c r="G2897">
        <v>434</v>
      </c>
    </row>
    <row r="2898" spans="1:7" x14ac:dyDescent="0.25">
      <c r="A2898" s="5" t="s">
        <v>116</v>
      </c>
      <c r="B2898" s="5" t="s">
        <v>118</v>
      </c>
      <c r="C2898" s="5">
        <v>6000</v>
      </c>
      <c r="D2898" s="5" t="s">
        <v>20</v>
      </c>
      <c r="E2898" s="5" t="s">
        <v>32</v>
      </c>
      <c r="F2898" s="6">
        <v>42370</v>
      </c>
      <c r="G2898">
        <v>155</v>
      </c>
    </row>
    <row r="2899" spans="1:7" x14ac:dyDescent="0.25">
      <c r="A2899" s="5" t="s">
        <v>116</v>
      </c>
      <c r="B2899" s="5" t="s">
        <v>118</v>
      </c>
      <c r="C2899" s="5">
        <v>6000</v>
      </c>
      <c r="D2899" s="5" t="s">
        <v>20</v>
      </c>
      <c r="E2899" s="5" t="s">
        <v>32</v>
      </c>
      <c r="F2899" s="6">
        <v>42736</v>
      </c>
      <c r="G2899">
        <v>215</v>
      </c>
    </row>
    <row r="2900" spans="1:7" x14ac:dyDescent="0.25">
      <c r="A2900" s="5" t="s">
        <v>116</v>
      </c>
      <c r="B2900" s="5" t="s">
        <v>118</v>
      </c>
      <c r="C2900" s="5">
        <v>6000</v>
      </c>
      <c r="D2900" s="5" t="s">
        <v>33</v>
      </c>
      <c r="E2900" s="5" t="s">
        <v>9</v>
      </c>
      <c r="F2900" s="6">
        <v>42370</v>
      </c>
      <c r="G2900">
        <v>0</v>
      </c>
    </row>
    <row r="2901" spans="1:7" x14ac:dyDescent="0.25">
      <c r="A2901" s="5" t="s">
        <v>116</v>
      </c>
      <c r="B2901" s="5" t="s">
        <v>118</v>
      </c>
      <c r="C2901" s="5">
        <v>6000</v>
      </c>
      <c r="D2901" s="5" t="s">
        <v>33</v>
      </c>
      <c r="E2901" s="5" t="s">
        <v>9</v>
      </c>
      <c r="F2901" s="6">
        <v>42736</v>
      </c>
      <c r="G2901">
        <v>0</v>
      </c>
    </row>
    <row r="2902" spans="1:7" x14ac:dyDescent="0.25">
      <c r="A2902" s="5" t="s">
        <v>116</v>
      </c>
      <c r="B2902" s="5" t="s">
        <v>118</v>
      </c>
      <c r="C2902" s="5">
        <v>6000</v>
      </c>
      <c r="D2902" s="5" t="s">
        <v>33</v>
      </c>
      <c r="E2902" s="5" t="s">
        <v>34</v>
      </c>
      <c r="F2902" s="6">
        <v>42370</v>
      </c>
      <c r="G2902">
        <v>0</v>
      </c>
    </row>
    <row r="2903" spans="1:7" x14ac:dyDescent="0.25">
      <c r="A2903" s="5" t="s">
        <v>116</v>
      </c>
      <c r="B2903" s="5" t="s">
        <v>118</v>
      </c>
      <c r="C2903" s="5">
        <v>6000</v>
      </c>
      <c r="D2903" s="5" t="s">
        <v>33</v>
      </c>
      <c r="E2903" s="5" t="s">
        <v>34</v>
      </c>
      <c r="F2903" s="6">
        <v>42736</v>
      </c>
      <c r="G2903">
        <v>0</v>
      </c>
    </row>
    <row r="2904" spans="1:7" x14ac:dyDescent="0.25">
      <c r="A2904" s="5" t="s">
        <v>116</v>
      </c>
      <c r="B2904" s="5" t="s">
        <v>118</v>
      </c>
      <c r="C2904" s="5">
        <v>6000</v>
      </c>
      <c r="D2904" s="5" t="s">
        <v>35</v>
      </c>
      <c r="E2904" s="5" t="s">
        <v>36</v>
      </c>
      <c r="F2904" s="6">
        <v>42370</v>
      </c>
      <c r="G2904">
        <v>0</v>
      </c>
    </row>
    <row r="2905" spans="1:7" x14ac:dyDescent="0.25">
      <c r="A2905" s="5" t="s">
        <v>116</v>
      </c>
      <c r="B2905" s="5" t="s">
        <v>118</v>
      </c>
      <c r="C2905" s="5">
        <v>6000</v>
      </c>
      <c r="D2905" s="5" t="s">
        <v>35</v>
      </c>
      <c r="E2905" s="5" t="s">
        <v>36</v>
      </c>
      <c r="F2905" s="6">
        <v>42736</v>
      </c>
      <c r="G2905">
        <v>0</v>
      </c>
    </row>
    <row r="2906" spans="1:7" x14ac:dyDescent="0.25">
      <c r="A2906" s="5" t="s">
        <v>116</v>
      </c>
      <c r="B2906" s="5" t="s">
        <v>118</v>
      </c>
      <c r="C2906" s="5">
        <v>6000</v>
      </c>
      <c r="D2906" s="5" t="s">
        <v>35</v>
      </c>
      <c r="E2906" s="5" t="s">
        <v>37</v>
      </c>
      <c r="F2906" s="6">
        <v>42370</v>
      </c>
      <c r="G2906">
        <v>0</v>
      </c>
    </row>
    <row r="2907" spans="1:7" x14ac:dyDescent="0.25">
      <c r="A2907" s="5" t="s">
        <v>116</v>
      </c>
      <c r="B2907" s="5" t="s">
        <v>118</v>
      </c>
      <c r="C2907" s="5">
        <v>6000</v>
      </c>
      <c r="D2907" s="5" t="s">
        <v>35</v>
      </c>
      <c r="E2907" s="5" t="s">
        <v>37</v>
      </c>
      <c r="F2907" s="6">
        <v>42736</v>
      </c>
      <c r="G2907">
        <v>0</v>
      </c>
    </row>
    <row r="2908" spans="1:7" x14ac:dyDescent="0.25">
      <c r="A2908" s="5" t="s">
        <v>116</v>
      </c>
      <c r="B2908" s="5" t="s">
        <v>118</v>
      </c>
      <c r="C2908" s="5">
        <v>6000</v>
      </c>
      <c r="D2908" s="5" t="s">
        <v>35</v>
      </c>
      <c r="E2908" s="5" t="s">
        <v>38</v>
      </c>
      <c r="F2908" s="6">
        <v>42370</v>
      </c>
      <c r="G2908">
        <v>0</v>
      </c>
    </row>
    <row r="2909" spans="1:7" x14ac:dyDescent="0.25">
      <c r="A2909" s="5" t="s">
        <v>116</v>
      </c>
      <c r="B2909" s="5" t="s">
        <v>118</v>
      </c>
      <c r="C2909" s="5">
        <v>6000</v>
      </c>
      <c r="D2909" s="5" t="s">
        <v>35</v>
      </c>
      <c r="E2909" s="5" t="s">
        <v>38</v>
      </c>
      <c r="F2909" s="6">
        <v>42736</v>
      </c>
      <c r="G2909">
        <v>0</v>
      </c>
    </row>
    <row r="2910" spans="1:7" x14ac:dyDescent="0.25">
      <c r="A2910" s="5" t="s">
        <v>116</v>
      </c>
      <c r="B2910" s="5" t="s">
        <v>118</v>
      </c>
      <c r="C2910" s="5">
        <v>6000</v>
      </c>
      <c r="D2910" s="5" t="s">
        <v>35</v>
      </c>
      <c r="E2910" s="5" t="s">
        <v>39</v>
      </c>
      <c r="F2910" s="6">
        <v>42370</v>
      </c>
      <c r="G2910">
        <v>0</v>
      </c>
    </row>
    <row r="2911" spans="1:7" x14ac:dyDescent="0.25">
      <c r="A2911" s="5" t="s">
        <v>116</v>
      </c>
      <c r="B2911" s="5" t="s">
        <v>118</v>
      </c>
      <c r="C2911" s="5">
        <v>6000</v>
      </c>
      <c r="D2911" s="5" t="s">
        <v>35</v>
      </c>
      <c r="E2911" s="5" t="s">
        <v>39</v>
      </c>
      <c r="F2911" s="6">
        <v>42736</v>
      </c>
      <c r="G2911">
        <v>0</v>
      </c>
    </row>
    <row r="2912" spans="1:7" x14ac:dyDescent="0.25">
      <c r="A2912" s="5" t="s">
        <v>116</v>
      </c>
      <c r="B2912" s="5" t="s">
        <v>118</v>
      </c>
      <c r="C2912" s="5">
        <v>6000</v>
      </c>
      <c r="D2912" s="5" t="s">
        <v>35</v>
      </c>
      <c r="E2912" s="5" t="s">
        <v>40</v>
      </c>
      <c r="F2912" s="6">
        <v>42370</v>
      </c>
      <c r="G2912">
        <v>7</v>
      </c>
    </row>
    <row r="2913" spans="1:7" x14ac:dyDescent="0.25">
      <c r="A2913" s="5" t="s">
        <v>116</v>
      </c>
      <c r="B2913" s="5" t="s">
        <v>118</v>
      </c>
      <c r="C2913" s="5">
        <v>6000</v>
      </c>
      <c r="D2913" s="5" t="s">
        <v>35</v>
      </c>
      <c r="E2913" s="5" t="s">
        <v>40</v>
      </c>
      <c r="F2913" s="6">
        <v>42736</v>
      </c>
      <c r="G2913">
        <v>11</v>
      </c>
    </row>
    <row r="2914" spans="1:7" x14ac:dyDescent="0.25">
      <c r="A2914" s="5" t="s">
        <v>116</v>
      </c>
      <c r="B2914" s="5" t="s">
        <v>118</v>
      </c>
      <c r="C2914" s="5">
        <v>6000</v>
      </c>
      <c r="D2914" s="5" t="s">
        <v>35</v>
      </c>
      <c r="E2914" s="5" t="s">
        <v>41</v>
      </c>
      <c r="F2914" s="6">
        <v>42370</v>
      </c>
      <c r="G2914">
        <v>15</v>
      </c>
    </row>
    <row r="2915" spans="1:7" x14ac:dyDescent="0.25">
      <c r="A2915" s="5" t="s">
        <v>116</v>
      </c>
      <c r="B2915" s="5" t="s">
        <v>118</v>
      </c>
      <c r="C2915" s="5">
        <v>6000</v>
      </c>
      <c r="D2915" s="5" t="s">
        <v>35</v>
      </c>
      <c r="E2915" s="5" t="s">
        <v>41</v>
      </c>
      <c r="F2915" s="6">
        <v>42736</v>
      </c>
      <c r="G2915">
        <v>26</v>
      </c>
    </row>
    <row r="2916" spans="1:7" x14ac:dyDescent="0.25">
      <c r="A2916" s="5" t="s">
        <v>116</v>
      </c>
      <c r="B2916" s="5" t="s">
        <v>118</v>
      </c>
      <c r="C2916" s="5">
        <v>6000</v>
      </c>
      <c r="D2916" s="5" t="s">
        <v>35</v>
      </c>
      <c r="E2916" s="5" t="s">
        <v>42</v>
      </c>
      <c r="F2916" s="6">
        <v>42370</v>
      </c>
      <c r="G2916">
        <v>1</v>
      </c>
    </row>
    <row r="2917" spans="1:7" x14ac:dyDescent="0.25">
      <c r="A2917" s="5" t="s">
        <v>116</v>
      </c>
      <c r="B2917" s="5" t="s">
        <v>118</v>
      </c>
      <c r="C2917" s="5">
        <v>6000</v>
      </c>
      <c r="D2917" s="5" t="s">
        <v>35</v>
      </c>
      <c r="E2917" s="5" t="s">
        <v>42</v>
      </c>
      <c r="F2917" s="6">
        <v>42736</v>
      </c>
      <c r="G2917">
        <v>4</v>
      </c>
    </row>
    <row r="2918" spans="1:7" x14ac:dyDescent="0.25">
      <c r="A2918" s="5" t="s">
        <v>116</v>
      </c>
      <c r="B2918" s="5" t="s">
        <v>118</v>
      </c>
      <c r="C2918" s="5">
        <v>6000</v>
      </c>
      <c r="D2918" s="5" t="s">
        <v>35</v>
      </c>
      <c r="E2918" s="5" t="s">
        <v>43</v>
      </c>
      <c r="F2918" s="6">
        <v>42370</v>
      </c>
      <c r="G2918">
        <v>3</v>
      </c>
    </row>
    <row r="2919" spans="1:7" x14ac:dyDescent="0.25">
      <c r="A2919" s="5" t="s">
        <v>116</v>
      </c>
      <c r="B2919" s="5" t="s">
        <v>118</v>
      </c>
      <c r="C2919" s="5">
        <v>6000</v>
      </c>
      <c r="D2919" s="5" t="s">
        <v>35</v>
      </c>
      <c r="E2919" s="5" t="s">
        <v>43</v>
      </c>
      <c r="F2919" s="6">
        <v>42736</v>
      </c>
      <c r="G2919">
        <v>9</v>
      </c>
    </row>
    <row r="2920" spans="1:7" x14ac:dyDescent="0.25">
      <c r="A2920" s="5" t="s">
        <v>116</v>
      </c>
      <c r="B2920" s="5" t="s">
        <v>118</v>
      </c>
      <c r="C2920" s="5">
        <v>6000</v>
      </c>
      <c r="D2920" s="5" t="s">
        <v>44</v>
      </c>
      <c r="E2920" s="5" t="s">
        <v>36</v>
      </c>
      <c r="F2920" s="6">
        <v>42370</v>
      </c>
      <c r="G2920">
        <v>0</v>
      </c>
    </row>
    <row r="2921" spans="1:7" x14ac:dyDescent="0.25">
      <c r="A2921" s="5" t="s">
        <v>116</v>
      </c>
      <c r="B2921" s="5" t="s">
        <v>118</v>
      </c>
      <c r="C2921" s="5">
        <v>6000</v>
      </c>
      <c r="D2921" s="5" t="s">
        <v>44</v>
      </c>
      <c r="E2921" s="5" t="s">
        <v>36</v>
      </c>
      <c r="F2921" s="6">
        <v>42736</v>
      </c>
      <c r="G2921">
        <v>0</v>
      </c>
    </row>
    <row r="2922" spans="1:7" x14ac:dyDescent="0.25">
      <c r="A2922" s="5" t="s">
        <v>116</v>
      </c>
      <c r="B2922" s="5" t="s">
        <v>118</v>
      </c>
      <c r="C2922" s="5">
        <v>6000</v>
      </c>
      <c r="D2922" s="5" t="s">
        <v>44</v>
      </c>
      <c r="E2922" s="5" t="s">
        <v>37</v>
      </c>
      <c r="F2922" s="6">
        <v>42370</v>
      </c>
      <c r="G2922">
        <v>0</v>
      </c>
    </row>
    <row r="2923" spans="1:7" x14ac:dyDescent="0.25">
      <c r="A2923" s="5" t="s">
        <v>116</v>
      </c>
      <c r="B2923" s="5" t="s">
        <v>118</v>
      </c>
      <c r="C2923" s="5">
        <v>6000</v>
      </c>
      <c r="D2923" s="5" t="s">
        <v>44</v>
      </c>
      <c r="E2923" s="5" t="s">
        <v>37</v>
      </c>
      <c r="F2923" s="6">
        <v>42736</v>
      </c>
      <c r="G2923">
        <v>0</v>
      </c>
    </row>
    <row r="2924" spans="1:7" x14ac:dyDescent="0.25">
      <c r="A2924" s="5" t="s">
        <v>116</v>
      </c>
      <c r="B2924" s="5" t="s">
        <v>118</v>
      </c>
      <c r="C2924" s="5">
        <v>6000</v>
      </c>
      <c r="D2924" s="5" t="s">
        <v>44</v>
      </c>
      <c r="E2924" s="5" t="s">
        <v>38</v>
      </c>
      <c r="F2924" s="6">
        <v>42370</v>
      </c>
      <c r="G2924">
        <v>0</v>
      </c>
    </row>
    <row r="2925" spans="1:7" x14ac:dyDescent="0.25">
      <c r="A2925" s="5" t="s">
        <v>116</v>
      </c>
      <c r="B2925" s="5" t="s">
        <v>118</v>
      </c>
      <c r="C2925" s="5">
        <v>6000</v>
      </c>
      <c r="D2925" s="5" t="s">
        <v>44</v>
      </c>
      <c r="E2925" s="5" t="s">
        <v>38</v>
      </c>
      <c r="F2925" s="6">
        <v>42736</v>
      </c>
      <c r="G2925">
        <v>0</v>
      </c>
    </row>
    <row r="2926" spans="1:7" x14ac:dyDescent="0.25">
      <c r="A2926" s="5" t="s">
        <v>116</v>
      </c>
      <c r="B2926" s="5" t="s">
        <v>118</v>
      </c>
      <c r="C2926" s="5">
        <v>6000</v>
      </c>
      <c r="D2926" s="5" t="s">
        <v>44</v>
      </c>
      <c r="E2926" s="5" t="s">
        <v>39</v>
      </c>
      <c r="F2926" s="6">
        <v>42370</v>
      </c>
      <c r="G2926">
        <v>0</v>
      </c>
    </row>
    <row r="2927" spans="1:7" x14ac:dyDescent="0.25">
      <c r="A2927" s="5" t="s">
        <v>116</v>
      </c>
      <c r="B2927" s="5" t="s">
        <v>118</v>
      </c>
      <c r="C2927" s="5">
        <v>6000</v>
      </c>
      <c r="D2927" s="5" t="s">
        <v>44</v>
      </c>
      <c r="E2927" s="5" t="s">
        <v>39</v>
      </c>
      <c r="F2927" s="6">
        <v>42736</v>
      </c>
      <c r="G2927">
        <v>0</v>
      </c>
    </row>
    <row r="2928" spans="1:7" x14ac:dyDescent="0.25">
      <c r="A2928" s="5" t="s">
        <v>116</v>
      </c>
      <c r="B2928" s="5" t="s">
        <v>118</v>
      </c>
      <c r="C2928" s="5">
        <v>6000</v>
      </c>
      <c r="D2928" s="5" t="s">
        <v>44</v>
      </c>
      <c r="E2928" s="5" t="s">
        <v>40</v>
      </c>
      <c r="F2928" s="6">
        <v>42370</v>
      </c>
      <c r="G2928">
        <v>0</v>
      </c>
    </row>
    <row r="2929" spans="1:7" x14ac:dyDescent="0.25">
      <c r="A2929" s="5" t="s">
        <v>116</v>
      </c>
      <c r="B2929" s="5" t="s">
        <v>118</v>
      </c>
      <c r="C2929" s="5">
        <v>6000</v>
      </c>
      <c r="D2929" s="5" t="s">
        <v>44</v>
      </c>
      <c r="E2929" s="5" t="s">
        <v>40</v>
      </c>
      <c r="F2929" s="6">
        <v>42736</v>
      </c>
      <c r="G2929">
        <v>0</v>
      </c>
    </row>
    <row r="2930" spans="1:7" x14ac:dyDescent="0.25">
      <c r="A2930" s="5" t="s">
        <v>116</v>
      </c>
      <c r="B2930" s="5" t="s">
        <v>118</v>
      </c>
      <c r="C2930" s="5">
        <v>6000</v>
      </c>
      <c r="D2930" s="5" t="s">
        <v>44</v>
      </c>
      <c r="E2930" s="5" t="s">
        <v>41</v>
      </c>
      <c r="F2930" s="6">
        <v>42370</v>
      </c>
      <c r="G2930">
        <v>0</v>
      </c>
    </row>
    <row r="2931" spans="1:7" x14ac:dyDescent="0.25">
      <c r="A2931" s="5" t="s">
        <v>116</v>
      </c>
      <c r="B2931" s="5" t="s">
        <v>118</v>
      </c>
      <c r="C2931" s="5">
        <v>6000</v>
      </c>
      <c r="D2931" s="5" t="s">
        <v>44</v>
      </c>
      <c r="E2931" s="5" t="s">
        <v>41</v>
      </c>
      <c r="F2931" s="6">
        <v>42736</v>
      </c>
      <c r="G2931">
        <v>0</v>
      </c>
    </row>
    <row r="2932" spans="1:7" x14ac:dyDescent="0.25">
      <c r="A2932" s="5" t="s">
        <v>116</v>
      </c>
      <c r="B2932" s="5" t="s">
        <v>118</v>
      </c>
      <c r="C2932" s="5">
        <v>6000</v>
      </c>
      <c r="D2932" s="5" t="s">
        <v>44</v>
      </c>
      <c r="E2932" s="5" t="s">
        <v>42</v>
      </c>
      <c r="F2932" s="6">
        <v>42370</v>
      </c>
      <c r="G2932">
        <v>0</v>
      </c>
    </row>
    <row r="2933" spans="1:7" x14ac:dyDescent="0.25">
      <c r="A2933" s="5" t="s">
        <v>116</v>
      </c>
      <c r="B2933" s="5" t="s">
        <v>118</v>
      </c>
      <c r="C2933" s="5">
        <v>6000</v>
      </c>
      <c r="D2933" s="5" t="s">
        <v>44</v>
      </c>
      <c r="E2933" s="5" t="s">
        <v>42</v>
      </c>
      <c r="F2933" s="6">
        <v>42736</v>
      </c>
      <c r="G2933">
        <v>0</v>
      </c>
    </row>
    <row r="2934" spans="1:7" x14ac:dyDescent="0.25">
      <c r="A2934" s="5" t="s">
        <v>116</v>
      </c>
      <c r="B2934" s="5" t="s">
        <v>118</v>
      </c>
      <c r="C2934" s="5">
        <v>6000</v>
      </c>
      <c r="D2934" s="5" t="s">
        <v>44</v>
      </c>
      <c r="E2934" s="5" t="s">
        <v>43</v>
      </c>
      <c r="F2934" s="6">
        <v>42370</v>
      </c>
      <c r="G2934">
        <v>0</v>
      </c>
    </row>
    <row r="2935" spans="1:7" x14ac:dyDescent="0.25">
      <c r="A2935" s="5" t="s">
        <v>116</v>
      </c>
      <c r="B2935" s="5" t="s">
        <v>118</v>
      </c>
      <c r="C2935" s="5">
        <v>6000</v>
      </c>
      <c r="D2935" s="5" t="s">
        <v>44</v>
      </c>
      <c r="E2935" s="5" t="s">
        <v>43</v>
      </c>
      <c r="F2935" s="6">
        <v>42736</v>
      </c>
      <c r="G2935">
        <v>0</v>
      </c>
    </row>
    <row r="2936" spans="1:7" x14ac:dyDescent="0.25">
      <c r="A2936" s="5" t="s">
        <v>116</v>
      </c>
      <c r="B2936" s="5" t="s">
        <v>118</v>
      </c>
      <c r="C2936" s="5">
        <v>6000</v>
      </c>
      <c r="D2936" s="5" t="s">
        <v>45</v>
      </c>
      <c r="E2936" s="5" t="s">
        <v>46</v>
      </c>
      <c r="F2936" s="6">
        <v>42370</v>
      </c>
      <c r="G2936">
        <v>0</v>
      </c>
    </row>
    <row r="2937" spans="1:7" x14ac:dyDescent="0.25">
      <c r="A2937" s="5" t="s">
        <v>116</v>
      </c>
      <c r="B2937" s="5" t="s">
        <v>118</v>
      </c>
      <c r="C2937" s="5">
        <v>6000</v>
      </c>
      <c r="D2937" s="5" t="s">
        <v>45</v>
      </c>
      <c r="E2937" s="5" t="s">
        <v>46</v>
      </c>
      <c r="F2937" s="6">
        <v>42736</v>
      </c>
      <c r="G2937">
        <v>0</v>
      </c>
    </row>
    <row r="2938" spans="1:7" x14ac:dyDescent="0.25">
      <c r="A2938" s="5" t="s">
        <v>116</v>
      </c>
      <c r="B2938" s="5" t="s">
        <v>118</v>
      </c>
      <c r="C2938" s="5">
        <v>6000</v>
      </c>
      <c r="D2938" s="5" t="s">
        <v>45</v>
      </c>
      <c r="E2938" s="5" t="s">
        <v>47</v>
      </c>
      <c r="F2938" s="6">
        <v>42370</v>
      </c>
      <c r="G2938">
        <v>5</v>
      </c>
    </row>
    <row r="2939" spans="1:7" x14ac:dyDescent="0.25">
      <c r="A2939" s="5" t="s">
        <v>116</v>
      </c>
      <c r="B2939" s="5" t="s">
        <v>118</v>
      </c>
      <c r="C2939" s="5">
        <v>6000</v>
      </c>
      <c r="D2939" s="5" t="s">
        <v>45</v>
      </c>
      <c r="E2939" s="5" t="s">
        <v>47</v>
      </c>
      <c r="F2939" s="6">
        <v>42736</v>
      </c>
      <c r="G2939">
        <v>5</v>
      </c>
    </row>
    <row r="2940" spans="1:7" x14ac:dyDescent="0.25">
      <c r="A2940" s="5" t="s">
        <v>116</v>
      </c>
      <c r="B2940" s="5" t="s">
        <v>118</v>
      </c>
      <c r="C2940" s="5">
        <v>6000</v>
      </c>
      <c r="D2940" s="5" t="s">
        <v>45</v>
      </c>
      <c r="E2940" s="5" t="s">
        <v>48</v>
      </c>
      <c r="F2940" s="6">
        <v>42370</v>
      </c>
      <c r="G2940">
        <v>61</v>
      </c>
    </row>
    <row r="2941" spans="1:7" x14ac:dyDescent="0.25">
      <c r="A2941" s="5" t="s">
        <v>116</v>
      </c>
      <c r="B2941" s="5" t="s">
        <v>118</v>
      </c>
      <c r="C2941" s="5">
        <v>6000</v>
      </c>
      <c r="D2941" s="5" t="s">
        <v>45</v>
      </c>
      <c r="E2941" s="5" t="s">
        <v>48</v>
      </c>
      <c r="F2941" s="6">
        <v>42736</v>
      </c>
      <c r="G2941">
        <v>65</v>
      </c>
    </row>
    <row r="2942" spans="1:7" x14ac:dyDescent="0.25">
      <c r="A2942" s="5" t="s">
        <v>116</v>
      </c>
      <c r="B2942" s="5" t="s">
        <v>118</v>
      </c>
      <c r="C2942" s="5">
        <v>6000</v>
      </c>
      <c r="D2942" s="5" t="s">
        <v>45</v>
      </c>
      <c r="E2942" s="5" t="s">
        <v>49</v>
      </c>
      <c r="F2942" s="6">
        <v>42370</v>
      </c>
      <c r="G2942">
        <v>29</v>
      </c>
    </row>
    <row r="2943" spans="1:7" x14ac:dyDescent="0.25">
      <c r="A2943" s="5" t="s">
        <v>116</v>
      </c>
      <c r="B2943" s="5" t="s">
        <v>118</v>
      </c>
      <c r="C2943" s="5">
        <v>6000</v>
      </c>
      <c r="D2943" s="5" t="s">
        <v>45</v>
      </c>
      <c r="E2943" s="5" t="s">
        <v>49</v>
      </c>
      <c r="F2943" s="6">
        <v>42736</v>
      </c>
      <c r="G2943">
        <v>28</v>
      </c>
    </row>
    <row r="2944" spans="1:7" x14ac:dyDescent="0.25">
      <c r="A2944" s="5" t="s">
        <v>116</v>
      </c>
      <c r="B2944" s="5" t="s">
        <v>118</v>
      </c>
      <c r="C2944" s="5">
        <v>6000</v>
      </c>
      <c r="D2944" s="5" t="s">
        <v>45</v>
      </c>
      <c r="E2944" s="5" t="s">
        <v>50</v>
      </c>
      <c r="F2944" s="6">
        <v>42370</v>
      </c>
      <c r="G2944">
        <v>0</v>
      </c>
    </row>
    <row r="2945" spans="1:7" x14ac:dyDescent="0.25">
      <c r="A2945" s="5" t="s">
        <v>116</v>
      </c>
      <c r="B2945" s="5" t="s">
        <v>118</v>
      </c>
      <c r="C2945" s="5">
        <v>6000</v>
      </c>
      <c r="D2945" s="5" t="s">
        <v>45</v>
      </c>
      <c r="E2945" s="5" t="s">
        <v>50</v>
      </c>
      <c r="F2945" s="6">
        <v>42736</v>
      </c>
      <c r="G2945">
        <v>0</v>
      </c>
    </row>
    <row r="2946" spans="1:7" x14ac:dyDescent="0.25">
      <c r="A2946" s="5" t="s">
        <v>116</v>
      </c>
      <c r="B2946" s="5" t="s">
        <v>118</v>
      </c>
      <c r="C2946" s="5">
        <v>6000</v>
      </c>
      <c r="D2946" s="5" t="s">
        <v>45</v>
      </c>
      <c r="E2946" s="5" t="s">
        <v>51</v>
      </c>
      <c r="F2946" s="6">
        <v>42370</v>
      </c>
      <c r="G2946">
        <v>0</v>
      </c>
    </row>
    <row r="2947" spans="1:7" x14ac:dyDescent="0.25">
      <c r="A2947" s="5" t="s">
        <v>116</v>
      </c>
      <c r="B2947" s="5" t="s">
        <v>118</v>
      </c>
      <c r="C2947" s="5">
        <v>6000</v>
      </c>
      <c r="D2947" s="5" t="s">
        <v>45</v>
      </c>
      <c r="E2947" s="5" t="s">
        <v>51</v>
      </c>
      <c r="F2947" s="6">
        <v>42736</v>
      </c>
      <c r="G2947">
        <v>0</v>
      </c>
    </row>
    <row r="2948" spans="1:7" x14ac:dyDescent="0.25">
      <c r="A2948" s="5" t="s">
        <v>116</v>
      </c>
      <c r="B2948" s="5" t="s">
        <v>118</v>
      </c>
      <c r="C2948" s="5">
        <v>6000</v>
      </c>
      <c r="D2948" s="5" t="s">
        <v>45</v>
      </c>
      <c r="E2948" s="5" t="s">
        <v>52</v>
      </c>
      <c r="F2948" s="6">
        <v>42370</v>
      </c>
      <c r="G2948">
        <v>0</v>
      </c>
    </row>
    <row r="2949" spans="1:7" x14ac:dyDescent="0.25">
      <c r="A2949" s="5" t="s">
        <v>116</v>
      </c>
      <c r="B2949" s="5" t="s">
        <v>118</v>
      </c>
      <c r="C2949" s="5">
        <v>6000</v>
      </c>
      <c r="D2949" s="5" t="s">
        <v>45</v>
      </c>
      <c r="E2949" s="5" t="s">
        <v>52</v>
      </c>
      <c r="F2949" s="6">
        <v>42736</v>
      </c>
      <c r="G2949">
        <v>0</v>
      </c>
    </row>
    <row r="2950" spans="1:7" x14ac:dyDescent="0.25">
      <c r="A2950" s="5" t="s">
        <v>116</v>
      </c>
      <c r="B2950" s="5" t="s">
        <v>118</v>
      </c>
      <c r="C2950" s="5">
        <v>6000</v>
      </c>
      <c r="D2950" s="5" t="s">
        <v>45</v>
      </c>
      <c r="E2950" s="5" t="s">
        <v>53</v>
      </c>
      <c r="F2950" s="6">
        <v>42370</v>
      </c>
      <c r="G2950">
        <v>36</v>
      </c>
    </row>
    <row r="2951" spans="1:7" x14ac:dyDescent="0.25">
      <c r="A2951" s="5" t="s">
        <v>116</v>
      </c>
      <c r="B2951" s="5" t="s">
        <v>118</v>
      </c>
      <c r="C2951" s="5">
        <v>6000</v>
      </c>
      <c r="D2951" s="5" t="s">
        <v>45</v>
      </c>
      <c r="E2951" s="5" t="s">
        <v>53</v>
      </c>
      <c r="F2951" s="6">
        <v>42736</v>
      </c>
      <c r="G2951">
        <v>75</v>
      </c>
    </row>
    <row r="2952" spans="1:7" x14ac:dyDescent="0.25">
      <c r="A2952" s="5" t="s">
        <v>116</v>
      </c>
      <c r="B2952" s="5" t="s">
        <v>118</v>
      </c>
      <c r="C2952" s="5">
        <v>6000</v>
      </c>
      <c r="D2952" s="5" t="s">
        <v>45</v>
      </c>
      <c r="E2952" s="5" t="s">
        <v>54</v>
      </c>
      <c r="F2952" s="6">
        <v>42370</v>
      </c>
      <c r="G2952">
        <v>4</v>
      </c>
    </row>
    <row r="2953" spans="1:7" x14ac:dyDescent="0.25">
      <c r="A2953" s="5" t="s">
        <v>116</v>
      </c>
      <c r="B2953" s="5" t="s">
        <v>118</v>
      </c>
      <c r="C2953" s="5">
        <v>6000</v>
      </c>
      <c r="D2953" s="5" t="s">
        <v>45</v>
      </c>
      <c r="E2953" s="5" t="s">
        <v>54</v>
      </c>
      <c r="F2953" s="6">
        <v>42736</v>
      </c>
      <c r="G2953">
        <v>6</v>
      </c>
    </row>
    <row r="2954" spans="1:7" x14ac:dyDescent="0.25">
      <c r="A2954" s="5" t="s">
        <v>116</v>
      </c>
      <c r="B2954" s="5" t="s">
        <v>118</v>
      </c>
      <c r="C2954" s="5">
        <v>6000</v>
      </c>
      <c r="D2954" s="5" t="s">
        <v>45</v>
      </c>
      <c r="E2954" s="5" t="s">
        <v>55</v>
      </c>
      <c r="F2954" s="6">
        <v>42370</v>
      </c>
      <c r="G2954">
        <v>1</v>
      </c>
    </row>
    <row r="2955" spans="1:7" x14ac:dyDescent="0.25">
      <c r="A2955" s="5" t="s">
        <v>116</v>
      </c>
      <c r="B2955" s="5" t="s">
        <v>118</v>
      </c>
      <c r="C2955" s="5">
        <v>6000</v>
      </c>
      <c r="D2955" s="5" t="s">
        <v>45</v>
      </c>
      <c r="E2955" s="5" t="s">
        <v>55</v>
      </c>
      <c r="F2955" s="6">
        <v>42736</v>
      </c>
      <c r="G2955">
        <v>0</v>
      </c>
    </row>
    <row r="2956" spans="1:7" x14ac:dyDescent="0.25">
      <c r="A2956" s="5" t="s">
        <v>116</v>
      </c>
      <c r="B2956" s="5" t="s">
        <v>118</v>
      </c>
      <c r="C2956" s="5">
        <v>6000</v>
      </c>
      <c r="D2956" s="5" t="s">
        <v>45</v>
      </c>
      <c r="E2956" s="5" t="s">
        <v>56</v>
      </c>
      <c r="F2956" s="6">
        <v>42370</v>
      </c>
      <c r="G2956">
        <v>0</v>
      </c>
    </row>
    <row r="2957" spans="1:7" x14ac:dyDescent="0.25">
      <c r="A2957" s="5" t="s">
        <v>116</v>
      </c>
      <c r="B2957" s="5" t="s">
        <v>118</v>
      </c>
      <c r="C2957" s="5">
        <v>6000</v>
      </c>
      <c r="D2957" s="5" t="s">
        <v>45</v>
      </c>
      <c r="E2957" s="5" t="s">
        <v>56</v>
      </c>
      <c r="F2957" s="6">
        <v>42736</v>
      </c>
      <c r="G2957">
        <v>2</v>
      </c>
    </row>
    <row r="2958" spans="1:7" x14ac:dyDescent="0.25">
      <c r="A2958" s="5" t="s">
        <v>116</v>
      </c>
      <c r="B2958" s="5" t="s">
        <v>118</v>
      </c>
      <c r="C2958" s="5">
        <v>6000</v>
      </c>
      <c r="D2958" s="5" t="s">
        <v>45</v>
      </c>
      <c r="E2958" s="5" t="s">
        <v>57</v>
      </c>
      <c r="F2958" s="6">
        <v>42370</v>
      </c>
      <c r="G2958">
        <v>1</v>
      </c>
    </row>
    <row r="2959" spans="1:7" x14ac:dyDescent="0.25">
      <c r="A2959" s="5" t="s">
        <v>116</v>
      </c>
      <c r="B2959" s="5" t="s">
        <v>118</v>
      </c>
      <c r="C2959" s="5">
        <v>6000</v>
      </c>
      <c r="D2959" s="5" t="s">
        <v>45</v>
      </c>
      <c r="E2959" s="5" t="s">
        <v>57</v>
      </c>
      <c r="F2959" s="6">
        <v>42736</v>
      </c>
      <c r="G2959">
        <v>5</v>
      </c>
    </row>
    <row r="2960" spans="1:7" x14ac:dyDescent="0.25">
      <c r="A2960" s="5" t="s">
        <v>116</v>
      </c>
      <c r="B2960" s="5" t="s">
        <v>118</v>
      </c>
      <c r="C2960" s="5">
        <v>6000</v>
      </c>
      <c r="D2960" s="5" t="s">
        <v>45</v>
      </c>
      <c r="E2960" s="5" t="s">
        <v>58</v>
      </c>
      <c r="F2960" s="6">
        <v>42370</v>
      </c>
      <c r="G2960">
        <v>0</v>
      </c>
    </row>
    <row r="2961" spans="1:7" x14ac:dyDescent="0.25">
      <c r="A2961" s="5" t="s">
        <v>116</v>
      </c>
      <c r="B2961" s="5" t="s">
        <v>118</v>
      </c>
      <c r="C2961" s="5">
        <v>6000</v>
      </c>
      <c r="D2961" s="5" t="s">
        <v>45</v>
      </c>
      <c r="E2961" s="5" t="s">
        <v>58</v>
      </c>
      <c r="F2961" s="6">
        <v>42736</v>
      </c>
      <c r="G2961">
        <v>0</v>
      </c>
    </row>
    <row r="2962" spans="1:7" x14ac:dyDescent="0.25">
      <c r="A2962" s="5" t="s">
        <v>116</v>
      </c>
      <c r="B2962" s="5" t="s">
        <v>118</v>
      </c>
      <c r="C2962" s="5">
        <v>6000</v>
      </c>
      <c r="D2962" s="5" t="s">
        <v>45</v>
      </c>
      <c r="E2962" s="5" t="s">
        <v>59</v>
      </c>
      <c r="F2962" s="6">
        <v>42370</v>
      </c>
      <c r="G2962">
        <v>1</v>
      </c>
    </row>
    <row r="2963" spans="1:7" x14ac:dyDescent="0.25">
      <c r="A2963" s="5" t="s">
        <v>116</v>
      </c>
      <c r="B2963" s="5" t="s">
        <v>118</v>
      </c>
      <c r="C2963" s="5">
        <v>6000</v>
      </c>
      <c r="D2963" s="5" t="s">
        <v>45</v>
      </c>
      <c r="E2963" s="5" t="s">
        <v>59</v>
      </c>
      <c r="F2963" s="6">
        <v>42736</v>
      </c>
      <c r="G2963">
        <v>0</v>
      </c>
    </row>
    <row r="2964" spans="1:7" x14ac:dyDescent="0.25">
      <c r="A2964" s="5" t="s">
        <v>116</v>
      </c>
      <c r="B2964" s="5" t="s">
        <v>118</v>
      </c>
      <c r="C2964" s="5">
        <v>6000</v>
      </c>
      <c r="D2964" s="5" t="s">
        <v>45</v>
      </c>
      <c r="E2964" s="5" t="s">
        <v>60</v>
      </c>
      <c r="F2964" s="6">
        <v>42370</v>
      </c>
      <c r="G2964">
        <v>4</v>
      </c>
    </row>
    <row r="2965" spans="1:7" x14ac:dyDescent="0.25">
      <c r="A2965" s="5" t="s">
        <v>116</v>
      </c>
      <c r="B2965" s="5" t="s">
        <v>118</v>
      </c>
      <c r="C2965" s="5">
        <v>6000</v>
      </c>
      <c r="D2965" s="5" t="s">
        <v>45</v>
      </c>
      <c r="E2965" s="5" t="s">
        <v>60</v>
      </c>
      <c r="F2965" s="6">
        <v>42736</v>
      </c>
      <c r="G2965">
        <v>4</v>
      </c>
    </row>
    <row r="2966" spans="1:7" x14ac:dyDescent="0.25">
      <c r="A2966" s="5" t="s">
        <v>116</v>
      </c>
      <c r="B2966" s="5" t="s">
        <v>118</v>
      </c>
      <c r="C2966" s="5">
        <v>6000</v>
      </c>
      <c r="D2966" s="5" t="s">
        <v>45</v>
      </c>
      <c r="E2966" s="5" t="s">
        <v>61</v>
      </c>
      <c r="F2966" s="6">
        <v>42370</v>
      </c>
      <c r="G2966">
        <v>2</v>
      </c>
    </row>
    <row r="2967" spans="1:7" x14ac:dyDescent="0.25">
      <c r="A2967" s="5" t="s">
        <v>116</v>
      </c>
      <c r="B2967" s="5" t="s">
        <v>118</v>
      </c>
      <c r="C2967" s="5">
        <v>6000</v>
      </c>
      <c r="D2967" s="5" t="s">
        <v>45</v>
      </c>
      <c r="E2967" s="5" t="s">
        <v>61</v>
      </c>
      <c r="F2967" s="6">
        <v>42736</v>
      </c>
      <c r="G2967">
        <v>2</v>
      </c>
    </row>
    <row r="2968" spans="1:7" x14ac:dyDescent="0.25">
      <c r="A2968" s="5" t="s">
        <v>116</v>
      </c>
      <c r="B2968" s="5" t="s">
        <v>118</v>
      </c>
      <c r="C2968" s="5">
        <v>6000</v>
      </c>
      <c r="D2968" s="5" t="s">
        <v>62</v>
      </c>
      <c r="E2968" s="5" t="s">
        <v>63</v>
      </c>
      <c r="F2968" s="6">
        <v>42370</v>
      </c>
      <c r="G2968">
        <v>0</v>
      </c>
    </row>
    <row r="2969" spans="1:7" x14ac:dyDescent="0.25">
      <c r="A2969" s="5" t="s">
        <v>116</v>
      </c>
      <c r="B2969" s="5" t="s">
        <v>118</v>
      </c>
      <c r="C2969" s="5">
        <v>6000</v>
      </c>
      <c r="D2969" s="5" t="s">
        <v>62</v>
      </c>
      <c r="E2969" s="5" t="s">
        <v>63</v>
      </c>
      <c r="F2969" s="6">
        <v>42736</v>
      </c>
      <c r="G2969">
        <v>0</v>
      </c>
    </row>
    <row r="2970" spans="1:7" x14ac:dyDescent="0.25">
      <c r="A2970" s="5" t="s">
        <v>116</v>
      </c>
      <c r="B2970" s="5" t="s">
        <v>118</v>
      </c>
      <c r="C2970" s="5">
        <v>6000</v>
      </c>
      <c r="D2970" s="5" t="s">
        <v>62</v>
      </c>
      <c r="E2970" s="5" t="s">
        <v>64</v>
      </c>
      <c r="F2970" s="6">
        <v>42370</v>
      </c>
      <c r="G2970">
        <v>0</v>
      </c>
    </row>
    <row r="2971" spans="1:7" x14ac:dyDescent="0.25">
      <c r="A2971" s="5" t="s">
        <v>116</v>
      </c>
      <c r="B2971" s="5" t="s">
        <v>118</v>
      </c>
      <c r="C2971" s="5">
        <v>6000</v>
      </c>
      <c r="D2971" s="5" t="s">
        <v>62</v>
      </c>
      <c r="E2971" s="5" t="s">
        <v>64</v>
      </c>
      <c r="F2971" s="6">
        <v>42736</v>
      </c>
      <c r="G2971">
        <v>0</v>
      </c>
    </row>
    <row r="2972" spans="1:7" x14ac:dyDescent="0.25">
      <c r="A2972" s="5" t="s">
        <v>116</v>
      </c>
      <c r="B2972" s="5" t="s">
        <v>118</v>
      </c>
      <c r="C2972" s="5">
        <v>6000</v>
      </c>
      <c r="D2972" s="5" t="s">
        <v>62</v>
      </c>
      <c r="E2972" s="5" t="s">
        <v>9</v>
      </c>
      <c r="F2972" s="6">
        <v>42370</v>
      </c>
      <c r="G2972">
        <v>0</v>
      </c>
    </row>
    <row r="2973" spans="1:7" x14ac:dyDescent="0.25">
      <c r="A2973" s="5" t="s">
        <v>116</v>
      </c>
      <c r="B2973" s="5" t="s">
        <v>118</v>
      </c>
      <c r="C2973" s="5">
        <v>6000</v>
      </c>
      <c r="D2973" s="5" t="s">
        <v>62</v>
      </c>
      <c r="E2973" s="5" t="s">
        <v>9</v>
      </c>
      <c r="F2973" s="6">
        <v>42736</v>
      </c>
      <c r="G2973">
        <v>0</v>
      </c>
    </row>
    <row r="2974" spans="1:7" x14ac:dyDescent="0.25">
      <c r="A2974" s="5" t="s">
        <v>116</v>
      </c>
      <c r="B2974" s="5" t="s">
        <v>118</v>
      </c>
      <c r="C2974" s="5">
        <v>6000</v>
      </c>
      <c r="D2974" s="5" t="s">
        <v>62</v>
      </c>
      <c r="E2974" s="5" t="s">
        <v>65</v>
      </c>
      <c r="F2974" s="6">
        <v>42370</v>
      </c>
      <c r="G2974">
        <v>0</v>
      </c>
    </row>
    <row r="2975" spans="1:7" x14ac:dyDescent="0.25">
      <c r="A2975" s="5" t="s">
        <v>116</v>
      </c>
      <c r="B2975" s="5" t="s">
        <v>118</v>
      </c>
      <c r="C2975" s="5">
        <v>6000</v>
      </c>
      <c r="D2975" s="5" t="s">
        <v>62</v>
      </c>
      <c r="E2975" s="5" t="s">
        <v>65</v>
      </c>
      <c r="F2975" s="6">
        <v>42736</v>
      </c>
      <c r="G2975">
        <v>0</v>
      </c>
    </row>
    <row r="2976" spans="1:7" x14ac:dyDescent="0.25">
      <c r="A2976" s="5" t="s">
        <v>116</v>
      </c>
      <c r="B2976" s="5" t="s">
        <v>118</v>
      </c>
      <c r="C2976" s="5">
        <v>6000</v>
      </c>
      <c r="D2976" s="5" t="s">
        <v>62</v>
      </c>
      <c r="E2976" s="5" t="s">
        <v>66</v>
      </c>
      <c r="F2976" s="6">
        <v>42370</v>
      </c>
      <c r="G2976">
        <v>0</v>
      </c>
    </row>
    <row r="2977" spans="1:7" x14ac:dyDescent="0.25">
      <c r="A2977" s="5" t="s">
        <v>116</v>
      </c>
      <c r="B2977" s="5" t="s">
        <v>118</v>
      </c>
      <c r="C2977" s="5">
        <v>6000</v>
      </c>
      <c r="D2977" s="5" t="s">
        <v>62</v>
      </c>
      <c r="E2977" s="5" t="s">
        <v>66</v>
      </c>
      <c r="F2977" s="6">
        <v>42736</v>
      </c>
      <c r="G2977">
        <v>0</v>
      </c>
    </row>
    <row r="2978" spans="1:7" x14ac:dyDescent="0.25">
      <c r="A2978" s="5" t="s">
        <v>116</v>
      </c>
      <c r="B2978" s="5" t="s">
        <v>118</v>
      </c>
      <c r="C2978" s="5">
        <v>6000</v>
      </c>
      <c r="D2978" s="5" t="s">
        <v>62</v>
      </c>
      <c r="E2978" s="5" t="s">
        <v>67</v>
      </c>
      <c r="F2978" s="6">
        <v>42370</v>
      </c>
      <c r="G2978">
        <v>0</v>
      </c>
    </row>
    <row r="2979" spans="1:7" x14ac:dyDescent="0.25">
      <c r="A2979" s="5" t="s">
        <v>116</v>
      </c>
      <c r="B2979" s="5" t="s">
        <v>118</v>
      </c>
      <c r="C2979" s="5">
        <v>6000</v>
      </c>
      <c r="D2979" s="5" t="s">
        <v>62</v>
      </c>
      <c r="E2979" s="5" t="s">
        <v>67</v>
      </c>
      <c r="F2979" s="6">
        <v>42736</v>
      </c>
      <c r="G2979">
        <v>0</v>
      </c>
    </row>
    <row r="2980" spans="1:7" x14ac:dyDescent="0.25">
      <c r="A2980" s="5" t="s">
        <v>116</v>
      </c>
      <c r="B2980" s="5" t="s">
        <v>118</v>
      </c>
      <c r="C2980" s="5">
        <v>6000</v>
      </c>
      <c r="D2980" s="5" t="s">
        <v>62</v>
      </c>
      <c r="E2980" s="5" t="s">
        <v>68</v>
      </c>
      <c r="F2980" s="6">
        <v>42370</v>
      </c>
      <c r="G2980">
        <v>0</v>
      </c>
    </row>
    <row r="2981" spans="1:7" x14ac:dyDescent="0.25">
      <c r="A2981" s="5" t="s">
        <v>116</v>
      </c>
      <c r="B2981" s="5" t="s">
        <v>118</v>
      </c>
      <c r="C2981" s="5">
        <v>6000</v>
      </c>
      <c r="D2981" s="5" t="s">
        <v>62</v>
      </c>
      <c r="E2981" s="5" t="s">
        <v>68</v>
      </c>
      <c r="F2981" s="6">
        <v>42736</v>
      </c>
      <c r="G2981">
        <v>0</v>
      </c>
    </row>
    <row r="2982" spans="1:7" x14ac:dyDescent="0.25">
      <c r="A2982" s="5" t="s">
        <v>116</v>
      </c>
      <c r="B2982" s="5" t="s">
        <v>118</v>
      </c>
      <c r="C2982" s="5">
        <v>6000</v>
      </c>
      <c r="D2982" s="5" t="s">
        <v>62</v>
      </c>
      <c r="E2982" s="5" t="s">
        <v>69</v>
      </c>
      <c r="F2982" s="6">
        <v>42370</v>
      </c>
      <c r="G2982">
        <v>1</v>
      </c>
    </row>
    <row r="2983" spans="1:7" x14ac:dyDescent="0.25">
      <c r="A2983" s="5" t="s">
        <v>116</v>
      </c>
      <c r="B2983" s="5" t="s">
        <v>118</v>
      </c>
      <c r="C2983" s="5">
        <v>6000</v>
      </c>
      <c r="D2983" s="5" t="s">
        <v>62</v>
      </c>
      <c r="E2983" s="5" t="s">
        <v>69</v>
      </c>
      <c r="F2983" s="6">
        <v>42736</v>
      </c>
      <c r="G2983">
        <v>0</v>
      </c>
    </row>
    <row r="2984" spans="1:7" x14ac:dyDescent="0.25">
      <c r="A2984" s="5" t="s">
        <v>116</v>
      </c>
      <c r="B2984" s="5" t="s">
        <v>118</v>
      </c>
      <c r="C2984" s="5">
        <v>6000</v>
      </c>
      <c r="D2984" s="5" t="s">
        <v>62</v>
      </c>
      <c r="E2984" s="5" t="s">
        <v>70</v>
      </c>
      <c r="F2984" s="6">
        <v>42370</v>
      </c>
      <c r="G2984">
        <v>0</v>
      </c>
    </row>
    <row r="2985" spans="1:7" x14ac:dyDescent="0.25">
      <c r="A2985" s="5" t="s">
        <v>116</v>
      </c>
      <c r="B2985" s="5" t="s">
        <v>118</v>
      </c>
      <c r="C2985" s="5">
        <v>6000</v>
      </c>
      <c r="D2985" s="5" t="s">
        <v>62</v>
      </c>
      <c r="E2985" s="5" t="s">
        <v>70</v>
      </c>
      <c r="F2985" s="6">
        <v>42736</v>
      </c>
      <c r="G2985">
        <v>1</v>
      </c>
    </row>
    <row r="2986" spans="1:7" x14ac:dyDescent="0.25">
      <c r="A2986" s="5" t="s">
        <v>116</v>
      </c>
      <c r="B2986" s="5" t="s">
        <v>118</v>
      </c>
      <c r="C2986" s="5">
        <v>6000</v>
      </c>
      <c r="D2986" s="5" t="s">
        <v>62</v>
      </c>
      <c r="E2986" s="5" t="s">
        <v>71</v>
      </c>
      <c r="F2986" s="6">
        <v>42370</v>
      </c>
      <c r="G2986">
        <v>0</v>
      </c>
    </row>
    <row r="2987" spans="1:7" x14ac:dyDescent="0.25">
      <c r="A2987" s="5" t="s">
        <v>116</v>
      </c>
      <c r="B2987" s="5" t="s">
        <v>118</v>
      </c>
      <c r="C2987" s="5">
        <v>6000</v>
      </c>
      <c r="D2987" s="5" t="s">
        <v>62</v>
      </c>
      <c r="E2987" s="5" t="s">
        <v>71</v>
      </c>
      <c r="F2987" s="6">
        <v>42736</v>
      </c>
      <c r="G2987">
        <v>0</v>
      </c>
    </row>
    <row r="2988" spans="1:7" x14ac:dyDescent="0.25">
      <c r="A2988" s="5" t="s">
        <v>116</v>
      </c>
      <c r="B2988" s="5" t="s">
        <v>118</v>
      </c>
      <c r="C2988" s="5">
        <v>6000</v>
      </c>
      <c r="D2988" s="5" t="s">
        <v>72</v>
      </c>
      <c r="E2988" s="5" t="s">
        <v>73</v>
      </c>
      <c r="F2988" s="6">
        <v>42370</v>
      </c>
      <c r="G2988">
        <v>0</v>
      </c>
    </row>
    <row r="2989" spans="1:7" x14ac:dyDescent="0.25">
      <c r="A2989" s="5" t="s">
        <v>116</v>
      </c>
      <c r="B2989" s="5" t="s">
        <v>118</v>
      </c>
      <c r="C2989" s="5">
        <v>6000</v>
      </c>
      <c r="D2989" s="5" t="s">
        <v>72</v>
      </c>
      <c r="E2989" s="5" t="s">
        <v>73</v>
      </c>
      <c r="F2989" s="6">
        <v>42736</v>
      </c>
      <c r="G2989">
        <v>0</v>
      </c>
    </row>
    <row r="2990" spans="1:7" x14ac:dyDescent="0.25">
      <c r="A2990" s="5" t="s">
        <v>116</v>
      </c>
      <c r="B2990" s="5" t="s">
        <v>118</v>
      </c>
      <c r="C2990" s="5">
        <v>6000</v>
      </c>
      <c r="D2990" s="5" t="s">
        <v>72</v>
      </c>
      <c r="E2990" s="5" t="s">
        <v>9</v>
      </c>
      <c r="F2990" s="6">
        <v>42370</v>
      </c>
      <c r="G2990">
        <v>0</v>
      </c>
    </row>
    <row r="2991" spans="1:7" x14ac:dyDescent="0.25">
      <c r="A2991" s="5" t="s">
        <v>116</v>
      </c>
      <c r="B2991" s="5" t="s">
        <v>118</v>
      </c>
      <c r="C2991" s="5">
        <v>6000</v>
      </c>
      <c r="D2991" s="5" t="s">
        <v>72</v>
      </c>
      <c r="E2991" s="5" t="s">
        <v>9</v>
      </c>
      <c r="F2991" s="6">
        <v>42736</v>
      </c>
      <c r="G2991">
        <v>0</v>
      </c>
    </row>
    <row r="2992" spans="1:7" x14ac:dyDescent="0.25">
      <c r="A2992" s="5" t="s">
        <v>116</v>
      </c>
      <c r="B2992" s="5" t="s">
        <v>118</v>
      </c>
      <c r="C2992" s="5">
        <v>6000</v>
      </c>
      <c r="D2992" s="5" t="s">
        <v>72</v>
      </c>
      <c r="E2992" s="5" t="s">
        <v>34</v>
      </c>
      <c r="F2992" s="6">
        <v>42370</v>
      </c>
      <c r="G2992">
        <v>0</v>
      </c>
    </row>
    <row r="2993" spans="1:7" x14ac:dyDescent="0.25">
      <c r="A2993" s="5" t="s">
        <v>116</v>
      </c>
      <c r="B2993" s="5" t="s">
        <v>118</v>
      </c>
      <c r="C2993" s="5">
        <v>6000</v>
      </c>
      <c r="D2993" s="5" t="s">
        <v>72</v>
      </c>
      <c r="E2993" s="5" t="s">
        <v>34</v>
      </c>
      <c r="F2993" s="6">
        <v>42736</v>
      </c>
      <c r="G2993">
        <v>0</v>
      </c>
    </row>
    <row r="2994" spans="1:7" x14ac:dyDescent="0.25">
      <c r="A2994" s="5" t="s">
        <v>116</v>
      </c>
      <c r="B2994" s="5" t="s">
        <v>118</v>
      </c>
      <c r="C2994" s="5">
        <v>6000</v>
      </c>
      <c r="D2994" s="5" t="s">
        <v>72</v>
      </c>
      <c r="E2994" s="5" t="s">
        <v>74</v>
      </c>
      <c r="F2994" s="6">
        <v>42370</v>
      </c>
      <c r="G2994">
        <v>0</v>
      </c>
    </row>
    <row r="2995" spans="1:7" x14ac:dyDescent="0.25">
      <c r="A2995" s="5" t="s">
        <v>116</v>
      </c>
      <c r="B2995" s="5" t="s">
        <v>118</v>
      </c>
      <c r="C2995" s="5">
        <v>6000</v>
      </c>
      <c r="D2995" s="5" t="s">
        <v>72</v>
      </c>
      <c r="E2995" s="5" t="s">
        <v>74</v>
      </c>
      <c r="F2995" s="6">
        <v>42736</v>
      </c>
      <c r="G2995">
        <v>0</v>
      </c>
    </row>
    <row r="2996" spans="1:7" x14ac:dyDescent="0.25">
      <c r="A2996" s="5" t="s">
        <v>116</v>
      </c>
      <c r="B2996" s="5" t="s">
        <v>118</v>
      </c>
      <c r="C2996" s="5">
        <v>6000</v>
      </c>
      <c r="D2996" s="5" t="s">
        <v>72</v>
      </c>
      <c r="E2996" s="5" t="s">
        <v>75</v>
      </c>
      <c r="F2996" s="6">
        <v>42370</v>
      </c>
      <c r="G2996">
        <v>1</v>
      </c>
    </row>
    <row r="2997" spans="1:7" x14ac:dyDescent="0.25">
      <c r="A2997" s="5" t="s">
        <v>116</v>
      </c>
      <c r="B2997" s="5" t="s">
        <v>118</v>
      </c>
      <c r="C2997" s="5">
        <v>6000</v>
      </c>
      <c r="D2997" s="5" t="s">
        <v>72</v>
      </c>
      <c r="E2997" s="5" t="s">
        <v>75</v>
      </c>
      <c r="F2997" s="6">
        <v>42736</v>
      </c>
      <c r="G2997">
        <v>15</v>
      </c>
    </row>
    <row r="2998" spans="1:7" x14ac:dyDescent="0.25">
      <c r="A2998" s="5" t="s">
        <v>116</v>
      </c>
      <c r="B2998" s="5" t="s">
        <v>118</v>
      </c>
      <c r="C2998" s="5">
        <v>6000</v>
      </c>
      <c r="D2998" s="5" t="s">
        <v>76</v>
      </c>
      <c r="E2998" s="5" t="s">
        <v>9</v>
      </c>
      <c r="F2998" s="6">
        <v>42370</v>
      </c>
      <c r="G2998">
        <v>0</v>
      </c>
    </row>
    <row r="2999" spans="1:7" x14ac:dyDescent="0.25">
      <c r="A2999" s="5" t="s">
        <v>116</v>
      </c>
      <c r="B2999" s="5" t="s">
        <v>118</v>
      </c>
      <c r="C2999" s="5">
        <v>6000</v>
      </c>
      <c r="D2999" s="5" t="s">
        <v>76</v>
      </c>
      <c r="E2999" s="5" t="s">
        <v>9</v>
      </c>
      <c r="F2999" s="6">
        <v>42736</v>
      </c>
      <c r="G2999">
        <v>0</v>
      </c>
    </row>
    <row r="3000" spans="1:7" x14ac:dyDescent="0.25">
      <c r="A3000" s="5" t="s">
        <v>116</v>
      </c>
      <c r="B3000" s="5" t="s">
        <v>118</v>
      </c>
      <c r="C3000" s="5">
        <v>6000</v>
      </c>
      <c r="D3000" s="5" t="s">
        <v>76</v>
      </c>
      <c r="E3000" s="5" t="s">
        <v>77</v>
      </c>
      <c r="F3000" s="6">
        <v>42370</v>
      </c>
      <c r="G3000">
        <v>0</v>
      </c>
    </row>
    <row r="3001" spans="1:7" x14ac:dyDescent="0.25">
      <c r="A3001" s="5" t="s">
        <v>116</v>
      </c>
      <c r="B3001" s="5" t="s">
        <v>118</v>
      </c>
      <c r="C3001" s="5">
        <v>6000</v>
      </c>
      <c r="D3001" s="5" t="s">
        <v>76</v>
      </c>
      <c r="E3001" s="5" t="s">
        <v>77</v>
      </c>
      <c r="F3001" s="6">
        <v>42736</v>
      </c>
      <c r="G3001">
        <v>0</v>
      </c>
    </row>
    <row r="3002" spans="1:7" x14ac:dyDescent="0.25">
      <c r="A3002" s="5" t="s">
        <v>116</v>
      </c>
      <c r="B3002" s="5" t="s">
        <v>118</v>
      </c>
      <c r="C3002" s="5">
        <v>6000</v>
      </c>
      <c r="D3002" s="5" t="s">
        <v>78</v>
      </c>
      <c r="E3002" s="5" t="s">
        <v>79</v>
      </c>
      <c r="F3002" s="6">
        <v>42370</v>
      </c>
      <c r="G3002">
        <v>121</v>
      </c>
    </row>
    <row r="3003" spans="1:7" x14ac:dyDescent="0.25">
      <c r="A3003" s="5" t="s">
        <v>116</v>
      </c>
      <c r="B3003" s="5" t="s">
        <v>118</v>
      </c>
      <c r="C3003" s="5">
        <v>6000</v>
      </c>
      <c r="D3003" s="5" t="s">
        <v>78</v>
      </c>
      <c r="E3003" s="5" t="s">
        <v>79</v>
      </c>
      <c r="F3003" s="6">
        <v>42736</v>
      </c>
      <c r="G3003">
        <v>94</v>
      </c>
    </row>
    <row r="3004" spans="1:7" x14ac:dyDescent="0.25">
      <c r="A3004" s="5" t="s">
        <v>116</v>
      </c>
      <c r="B3004" s="5" t="s">
        <v>118</v>
      </c>
      <c r="C3004" s="5">
        <v>6000</v>
      </c>
      <c r="D3004" s="5" t="s">
        <v>78</v>
      </c>
      <c r="E3004" s="5" t="s">
        <v>80</v>
      </c>
      <c r="F3004" s="6">
        <v>42370</v>
      </c>
      <c r="G3004">
        <v>5</v>
      </c>
    </row>
    <row r="3005" spans="1:7" x14ac:dyDescent="0.25">
      <c r="A3005" s="5" t="s">
        <v>116</v>
      </c>
      <c r="B3005" s="5" t="s">
        <v>118</v>
      </c>
      <c r="C3005" s="5">
        <v>6000</v>
      </c>
      <c r="D3005" s="5" t="s">
        <v>78</v>
      </c>
      <c r="E3005" s="5" t="s">
        <v>80</v>
      </c>
      <c r="F3005" s="6">
        <v>42736</v>
      </c>
      <c r="G3005">
        <v>14</v>
      </c>
    </row>
    <row r="3006" spans="1:7" x14ac:dyDescent="0.25">
      <c r="A3006" s="5" t="s">
        <v>116</v>
      </c>
      <c r="B3006" s="5" t="s">
        <v>118</v>
      </c>
      <c r="C3006" s="5">
        <v>6000</v>
      </c>
      <c r="D3006" s="5" t="s">
        <v>78</v>
      </c>
      <c r="E3006" s="5" t="s">
        <v>81</v>
      </c>
      <c r="F3006" s="6">
        <v>42370</v>
      </c>
      <c r="G3006">
        <v>1182</v>
      </c>
    </row>
    <row r="3007" spans="1:7" x14ac:dyDescent="0.25">
      <c r="A3007" s="5" t="s">
        <v>116</v>
      </c>
      <c r="B3007" s="5" t="s">
        <v>118</v>
      </c>
      <c r="C3007" s="5">
        <v>6000</v>
      </c>
      <c r="D3007" s="5" t="s">
        <v>78</v>
      </c>
      <c r="E3007" s="5" t="s">
        <v>81</v>
      </c>
      <c r="F3007" s="6">
        <v>42736</v>
      </c>
      <c r="G3007">
        <v>1412</v>
      </c>
    </row>
    <row r="3008" spans="1:7" x14ac:dyDescent="0.25">
      <c r="A3008" s="5" t="s">
        <v>116</v>
      </c>
      <c r="B3008" s="5" t="s">
        <v>118</v>
      </c>
      <c r="C3008" s="5">
        <v>6000</v>
      </c>
      <c r="D3008" s="5" t="s">
        <v>78</v>
      </c>
      <c r="E3008" s="5" t="s">
        <v>82</v>
      </c>
      <c r="F3008" s="6">
        <v>42370</v>
      </c>
      <c r="G3008">
        <v>28</v>
      </c>
    </row>
    <row r="3009" spans="1:7" x14ac:dyDescent="0.25">
      <c r="A3009" s="5" t="s">
        <v>116</v>
      </c>
      <c r="B3009" s="5" t="s">
        <v>118</v>
      </c>
      <c r="C3009" s="5">
        <v>6000</v>
      </c>
      <c r="D3009" s="5" t="s">
        <v>78</v>
      </c>
      <c r="E3009" s="5" t="s">
        <v>82</v>
      </c>
      <c r="F3009" s="6">
        <v>42736</v>
      </c>
      <c r="G3009">
        <v>41</v>
      </c>
    </row>
    <row r="3010" spans="1:7" x14ac:dyDescent="0.25">
      <c r="A3010" s="5" t="s">
        <v>116</v>
      </c>
      <c r="B3010" s="5" t="s">
        <v>118</v>
      </c>
      <c r="C3010" s="5">
        <v>6000</v>
      </c>
      <c r="D3010" s="5" t="s">
        <v>78</v>
      </c>
      <c r="E3010" s="5" t="s">
        <v>83</v>
      </c>
      <c r="F3010" s="6">
        <v>42370</v>
      </c>
      <c r="G3010">
        <v>28</v>
      </c>
    </row>
    <row r="3011" spans="1:7" x14ac:dyDescent="0.25">
      <c r="A3011" s="5" t="s">
        <v>116</v>
      </c>
      <c r="B3011" s="5" t="s">
        <v>118</v>
      </c>
      <c r="C3011" s="5">
        <v>6000</v>
      </c>
      <c r="D3011" s="5" t="s">
        <v>78</v>
      </c>
      <c r="E3011" s="5" t="s">
        <v>83</v>
      </c>
      <c r="F3011" s="6">
        <v>42736</v>
      </c>
      <c r="G3011">
        <v>33</v>
      </c>
    </row>
    <row r="3012" spans="1:7" x14ac:dyDescent="0.25">
      <c r="A3012" s="5" t="s">
        <v>116</v>
      </c>
      <c r="B3012" s="5" t="s">
        <v>118</v>
      </c>
      <c r="C3012" s="5">
        <v>6000</v>
      </c>
      <c r="D3012" s="5" t="s">
        <v>78</v>
      </c>
      <c r="E3012" s="5" t="s">
        <v>84</v>
      </c>
      <c r="F3012" s="6">
        <v>42370</v>
      </c>
      <c r="G3012">
        <v>1</v>
      </c>
    </row>
    <row r="3013" spans="1:7" x14ac:dyDescent="0.25">
      <c r="A3013" s="5" t="s">
        <v>116</v>
      </c>
      <c r="B3013" s="5" t="s">
        <v>118</v>
      </c>
      <c r="C3013" s="5">
        <v>6000</v>
      </c>
      <c r="D3013" s="5" t="s">
        <v>78</v>
      </c>
      <c r="E3013" s="5" t="s">
        <v>84</v>
      </c>
      <c r="F3013" s="6">
        <v>42736</v>
      </c>
      <c r="G3013">
        <v>3</v>
      </c>
    </row>
    <row r="3014" spans="1:7" x14ac:dyDescent="0.25">
      <c r="A3014" s="5" t="s">
        <v>116</v>
      </c>
      <c r="B3014" s="5" t="s">
        <v>118</v>
      </c>
      <c r="C3014" s="5">
        <v>6000</v>
      </c>
      <c r="D3014" s="5" t="s">
        <v>78</v>
      </c>
      <c r="E3014" s="5" t="s">
        <v>85</v>
      </c>
      <c r="F3014" s="6">
        <v>42370</v>
      </c>
      <c r="G3014">
        <v>0</v>
      </c>
    </row>
    <row r="3015" spans="1:7" x14ac:dyDescent="0.25">
      <c r="A3015" s="5" t="s">
        <v>116</v>
      </c>
      <c r="B3015" s="5" t="s">
        <v>118</v>
      </c>
      <c r="C3015" s="5">
        <v>6000</v>
      </c>
      <c r="D3015" s="5" t="s">
        <v>78</v>
      </c>
      <c r="E3015" s="5" t="s">
        <v>85</v>
      </c>
      <c r="F3015" s="6">
        <v>42736</v>
      </c>
      <c r="G3015">
        <v>1</v>
      </c>
    </row>
    <row r="3016" spans="1:7" x14ac:dyDescent="0.25">
      <c r="A3016" s="5" t="s">
        <v>116</v>
      </c>
      <c r="B3016" s="5" t="s">
        <v>118</v>
      </c>
      <c r="C3016" s="5">
        <v>6000</v>
      </c>
      <c r="D3016" s="5" t="s">
        <v>78</v>
      </c>
      <c r="E3016" s="5" t="s">
        <v>86</v>
      </c>
      <c r="F3016" s="6">
        <v>42370</v>
      </c>
      <c r="G3016">
        <v>0</v>
      </c>
    </row>
    <row r="3017" spans="1:7" x14ac:dyDescent="0.25">
      <c r="A3017" s="5" t="s">
        <v>116</v>
      </c>
      <c r="B3017" s="5" t="s">
        <v>118</v>
      </c>
      <c r="C3017" s="5">
        <v>6000</v>
      </c>
      <c r="D3017" s="5" t="s">
        <v>78</v>
      </c>
      <c r="E3017" s="5" t="s">
        <v>86</v>
      </c>
      <c r="F3017" s="6">
        <v>42736</v>
      </c>
      <c r="G3017">
        <v>0</v>
      </c>
    </row>
    <row r="3018" spans="1:7" x14ac:dyDescent="0.25">
      <c r="A3018" s="5" t="s">
        <v>116</v>
      </c>
      <c r="B3018" s="5" t="s">
        <v>118</v>
      </c>
      <c r="C3018" s="5">
        <v>6000</v>
      </c>
      <c r="D3018" s="5" t="s">
        <v>78</v>
      </c>
      <c r="E3018" s="5" t="s">
        <v>87</v>
      </c>
      <c r="F3018" s="6">
        <v>42370</v>
      </c>
      <c r="G3018">
        <v>61</v>
      </c>
    </row>
    <row r="3019" spans="1:7" x14ac:dyDescent="0.25">
      <c r="A3019" s="5" t="s">
        <v>116</v>
      </c>
      <c r="B3019" s="5" t="s">
        <v>118</v>
      </c>
      <c r="C3019" s="5">
        <v>6000</v>
      </c>
      <c r="D3019" s="5" t="s">
        <v>78</v>
      </c>
      <c r="E3019" s="5" t="s">
        <v>87</v>
      </c>
      <c r="F3019" s="6">
        <v>42736</v>
      </c>
      <c r="G3019">
        <v>52</v>
      </c>
    </row>
    <row r="3020" spans="1:7" x14ac:dyDescent="0.25">
      <c r="A3020" s="5" t="s">
        <v>116</v>
      </c>
      <c r="B3020" s="5" t="s">
        <v>118</v>
      </c>
      <c r="C3020" s="5">
        <v>6000</v>
      </c>
      <c r="D3020" s="5" t="s">
        <v>78</v>
      </c>
      <c r="E3020" s="5" t="s">
        <v>88</v>
      </c>
      <c r="F3020" s="6">
        <v>42370</v>
      </c>
      <c r="G3020">
        <v>229</v>
      </c>
    </row>
    <row r="3021" spans="1:7" x14ac:dyDescent="0.25">
      <c r="A3021" s="5" t="s">
        <v>116</v>
      </c>
      <c r="B3021" s="5" t="s">
        <v>118</v>
      </c>
      <c r="C3021" s="5">
        <v>6000</v>
      </c>
      <c r="D3021" s="5" t="s">
        <v>78</v>
      </c>
      <c r="E3021" s="5" t="s">
        <v>88</v>
      </c>
      <c r="F3021" s="6">
        <v>42736</v>
      </c>
      <c r="G3021">
        <v>309</v>
      </c>
    </row>
    <row r="3022" spans="1:7" x14ac:dyDescent="0.25">
      <c r="A3022" s="5" t="s">
        <v>116</v>
      </c>
      <c r="B3022" s="5" t="s">
        <v>118</v>
      </c>
      <c r="C3022" s="5">
        <v>6000</v>
      </c>
      <c r="D3022" s="5" t="s">
        <v>78</v>
      </c>
      <c r="E3022" s="5" t="s">
        <v>89</v>
      </c>
      <c r="F3022" s="6">
        <v>42370</v>
      </c>
      <c r="G3022">
        <v>3445</v>
      </c>
    </row>
    <row r="3023" spans="1:7" x14ac:dyDescent="0.25">
      <c r="A3023" s="5" t="s">
        <v>116</v>
      </c>
      <c r="B3023" s="5" t="s">
        <v>118</v>
      </c>
      <c r="C3023" s="5">
        <v>6000</v>
      </c>
      <c r="D3023" s="5" t="s">
        <v>78</v>
      </c>
      <c r="E3023" s="5" t="s">
        <v>89</v>
      </c>
      <c r="F3023" s="6">
        <v>42736</v>
      </c>
      <c r="G3023">
        <v>4462</v>
      </c>
    </row>
    <row r="3024" spans="1:7" x14ac:dyDescent="0.25">
      <c r="A3024" s="5" t="s">
        <v>116</v>
      </c>
      <c r="B3024" s="5" t="s">
        <v>118</v>
      </c>
      <c r="C3024" s="5">
        <v>6000</v>
      </c>
      <c r="D3024" s="5" t="s">
        <v>78</v>
      </c>
      <c r="E3024" s="5" t="s">
        <v>90</v>
      </c>
      <c r="F3024" s="6">
        <v>42370</v>
      </c>
      <c r="G3024">
        <v>0</v>
      </c>
    </row>
    <row r="3025" spans="1:7" x14ac:dyDescent="0.25">
      <c r="A3025" s="5" t="s">
        <v>116</v>
      </c>
      <c r="B3025" s="5" t="s">
        <v>118</v>
      </c>
      <c r="C3025" s="5">
        <v>6000</v>
      </c>
      <c r="D3025" s="5" t="s">
        <v>78</v>
      </c>
      <c r="E3025" s="5" t="s">
        <v>90</v>
      </c>
      <c r="F3025" s="6">
        <v>42736</v>
      </c>
      <c r="G3025">
        <v>0</v>
      </c>
    </row>
    <row r="3026" spans="1:7" x14ac:dyDescent="0.25">
      <c r="A3026" s="5" t="s">
        <v>116</v>
      </c>
      <c r="B3026" s="5" t="s">
        <v>118</v>
      </c>
      <c r="C3026" s="5">
        <v>6000</v>
      </c>
      <c r="D3026" s="5" t="s">
        <v>78</v>
      </c>
      <c r="E3026" s="5" t="s">
        <v>91</v>
      </c>
      <c r="F3026" s="6">
        <v>42370</v>
      </c>
      <c r="G3026">
        <v>139</v>
      </c>
    </row>
    <row r="3027" spans="1:7" x14ac:dyDescent="0.25">
      <c r="A3027" s="5" t="s">
        <v>116</v>
      </c>
      <c r="B3027" s="5" t="s">
        <v>118</v>
      </c>
      <c r="C3027" s="5">
        <v>6000</v>
      </c>
      <c r="D3027" s="5" t="s">
        <v>78</v>
      </c>
      <c r="E3027" s="5" t="s">
        <v>91</v>
      </c>
      <c r="F3027" s="6">
        <v>42736</v>
      </c>
      <c r="G3027">
        <v>205</v>
      </c>
    </row>
    <row r="3028" spans="1:7" x14ac:dyDescent="0.25">
      <c r="A3028" s="5" t="s">
        <v>116</v>
      </c>
      <c r="B3028" s="5" t="s">
        <v>118</v>
      </c>
      <c r="C3028" s="5">
        <v>6000</v>
      </c>
      <c r="D3028" s="5" t="s">
        <v>78</v>
      </c>
      <c r="E3028" s="5" t="s">
        <v>92</v>
      </c>
      <c r="F3028" s="6">
        <v>42370</v>
      </c>
      <c r="G3028">
        <v>3</v>
      </c>
    </row>
    <row r="3029" spans="1:7" x14ac:dyDescent="0.25">
      <c r="A3029" s="5" t="s">
        <v>116</v>
      </c>
      <c r="B3029" s="5" t="s">
        <v>118</v>
      </c>
      <c r="C3029" s="5">
        <v>6000</v>
      </c>
      <c r="D3029" s="5" t="s">
        <v>78</v>
      </c>
      <c r="E3029" s="5" t="s">
        <v>92</v>
      </c>
      <c r="F3029" s="6">
        <v>42736</v>
      </c>
      <c r="G3029">
        <v>8</v>
      </c>
    </row>
    <row r="3030" spans="1:7" x14ac:dyDescent="0.25">
      <c r="A3030" s="5" t="s">
        <v>116</v>
      </c>
      <c r="B3030" s="5" t="s">
        <v>118</v>
      </c>
      <c r="C3030" s="5">
        <v>6000</v>
      </c>
      <c r="D3030" s="5" t="s">
        <v>78</v>
      </c>
      <c r="E3030" s="5" t="s">
        <v>93</v>
      </c>
      <c r="F3030" s="6">
        <v>42370</v>
      </c>
      <c r="G3030">
        <v>53</v>
      </c>
    </row>
    <row r="3031" spans="1:7" x14ac:dyDescent="0.25">
      <c r="A3031" s="5" t="s">
        <v>116</v>
      </c>
      <c r="B3031" s="5" t="s">
        <v>118</v>
      </c>
      <c r="C3031" s="5">
        <v>6000</v>
      </c>
      <c r="D3031" s="5" t="s">
        <v>78</v>
      </c>
      <c r="E3031" s="5" t="s">
        <v>93</v>
      </c>
      <c r="F3031" s="6">
        <v>42736</v>
      </c>
      <c r="G3031">
        <v>93</v>
      </c>
    </row>
    <row r="3032" spans="1:7" x14ac:dyDescent="0.25">
      <c r="A3032" s="5" t="s">
        <v>116</v>
      </c>
      <c r="B3032" s="5" t="s">
        <v>118</v>
      </c>
      <c r="C3032" s="5">
        <v>6000</v>
      </c>
      <c r="D3032" s="5" t="s">
        <v>78</v>
      </c>
      <c r="E3032" s="5" t="s">
        <v>94</v>
      </c>
      <c r="F3032" s="6">
        <v>42370</v>
      </c>
      <c r="G3032">
        <v>63</v>
      </c>
    </row>
    <row r="3033" spans="1:7" x14ac:dyDescent="0.25">
      <c r="A3033" s="5" t="s">
        <v>116</v>
      </c>
      <c r="B3033" s="5" t="s">
        <v>118</v>
      </c>
      <c r="C3033" s="5">
        <v>6000</v>
      </c>
      <c r="D3033" s="5" t="s">
        <v>78</v>
      </c>
      <c r="E3033" s="5" t="s">
        <v>94</v>
      </c>
      <c r="F3033" s="6">
        <v>42736</v>
      </c>
      <c r="G3033">
        <v>225</v>
      </c>
    </row>
    <row r="3034" spans="1:7" x14ac:dyDescent="0.25">
      <c r="A3034" s="5" t="s">
        <v>116</v>
      </c>
      <c r="B3034" s="5" t="s">
        <v>118</v>
      </c>
      <c r="C3034" s="5">
        <v>6000</v>
      </c>
      <c r="D3034" s="5" t="s">
        <v>78</v>
      </c>
      <c r="E3034" s="5" t="s">
        <v>95</v>
      </c>
      <c r="F3034" s="6">
        <v>42370</v>
      </c>
      <c r="G3034">
        <v>28</v>
      </c>
    </row>
    <row r="3035" spans="1:7" x14ac:dyDescent="0.25">
      <c r="A3035" s="5" t="s">
        <v>116</v>
      </c>
      <c r="B3035" s="5" t="s">
        <v>118</v>
      </c>
      <c r="C3035" s="5">
        <v>6000</v>
      </c>
      <c r="D3035" s="5" t="s">
        <v>78</v>
      </c>
      <c r="E3035" s="5" t="s">
        <v>95</v>
      </c>
      <c r="F3035" s="6">
        <v>42736</v>
      </c>
      <c r="G3035">
        <v>48</v>
      </c>
    </row>
    <row r="3036" spans="1:7" x14ac:dyDescent="0.25">
      <c r="A3036" s="5" t="s">
        <v>116</v>
      </c>
      <c r="B3036" s="5" t="s">
        <v>118</v>
      </c>
      <c r="C3036" s="5">
        <v>6000</v>
      </c>
      <c r="D3036" s="5" t="s">
        <v>78</v>
      </c>
      <c r="E3036" s="5" t="s">
        <v>96</v>
      </c>
      <c r="F3036" s="6">
        <v>42370</v>
      </c>
      <c r="G3036">
        <v>30</v>
      </c>
    </row>
    <row r="3037" spans="1:7" x14ac:dyDescent="0.25">
      <c r="A3037" s="5" t="s">
        <v>116</v>
      </c>
      <c r="B3037" s="5" t="s">
        <v>118</v>
      </c>
      <c r="C3037" s="5">
        <v>6000</v>
      </c>
      <c r="D3037" s="5" t="s">
        <v>78</v>
      </c>
      <c r="E3037" s="5" t="s">
        <v>96</v>
      </c>
      <c r="F3037" s="6">
        <v>42736</v>
      </c>
      <c r="G3037">
        <v>35</v>
      </c>
    </row>
    <row r="3038" spans="1:7" x14ac:dyDescent="0.25">
      <c r="A3038" s="5" t="s">
        <v>116</v>
      </c>
      <c r="B3038" s="5" t="s">
        <v>118</v>
      </c>
      <c r="C3038" s="5">
        <v>6000</v>
      </c>
      <c r="D3038" s="5" t="s">
        <v>78</v>
      </c>
      <c r="E3038" s="5" t="s">
        <v>97</v>
      </c>
      <c r="F3038" s="6">
        <v>42370</v>
      </c>
      <c r="G3038">
        <v>224</v>
      </c>
    </row>
    <row r="3039" spans="1:7" x14ac:dyDescent="0.25">
      <c r="A3039" s="5" t="s">
        <v>116</v>
      </c>
      <c r="B3039" s="5" t="s">
        <v>118</v>
      </c>
      <c r="C3039" s="5">
        <v>6000</v>
      </c>
      <c r="D3039" s="5" t="s">
        <v>78</v>
      </c>
      <c r="E3039" s="5" t="s">
        <v>97</v>
      </c>
      <c r="F3039" s="6">
        <v>42736</v>
      </c>
      <c r="G3039">
        <v>535</v>
      </c>
    </row>
    <row r="3040" spans="1:7" x14ac:dyDescent="0.25">
      <c r="A3040" s="5" t="s">
        <v>116</v>
      </c>
      <c r="B3040" s="5" t="s">
        <v>118</v>
      </c>
      <c r="C3040" s="5">
        <v>6000</v>
      </c>
      <c r="D3040" s="5" t="s">
        <v>78</v>
      </c>
      <c r="E3040" s="5" t="s">
        <v>98</v>
      </c>
      <c r="F3040" s="6">
        <v>42370</v>
      </c>
      <c r="G3040">
        <v>75</v>
      </c>
    </row>
    <row r="3041" spans="1:7" x14ac:dyDescent="0.25">
      <c r="A3041" s="5" t="s">
        <v>116</v>
      </c>
      <c r="B3041" s="5" t="s">
        <v>118</v>
      </c>
      <c r="C3041" s="5">
        <v>6000</v>
      </c>
      <c r="D3041" s="5" t="s">
        <v>78</v>
      </c>
      <c r="E3041" s="5" t="s">
        <v>98</v>
      </c>
      <c r="F3041" s="6">
        <v>42736</v>
      </c>
      <c r="G3041">
        <v>140</v>
      </c>
    </row>
    <row r="3042" spans="1:7" x14ac:dyDescent="0.25">
      <c r="A3042" s="5" t="s">
        <v>116</v>
      </c>
      <c r="B3042" s="5" t="s">
        <v>119</v>
      </c>
      <c r="C3042" s="5">
        <v>6330</v>
      </c>
      <c r="D3042" s="5" t="s">
        <v>8</v>
      </c>
      <c r="E3042" s="5" t="s">
        <v>9</v>
      </c>
      <c r="F3042" s="6">
        <v>42370</v>
      </c>
      <c r="G3042">
        <v>0</v>
      </c>
    </row>
    <row r="3043" spans="1:7" x14ac:dyDescent="0.25">
      <c r="A3043" s="5" t="s">
        <v>116</v>
      </c>
      <c r="B3043" s="5" t="s">
        <v>119</v>
      </c>
      <c r="C3043" s="5">
        <v>6330</v>
      </c>
      <c r="D3043" s="5" t="s">
        <v>8</v>
      </c>
      <c r="E3043" s="5" t="s">
        <v>9</v>
      </c>
      <c r="F3043" s="6">
        <v>42736</v>
      </c>
      <c r="G3043">
        <v>0</v>
      </c>
    </row>
    <row r="3044" spans="1:7" x14ac:dyDescent="0.25">
      <c r="A3044" s="5" t="s">
        <v>116</v>
      </c>
      <c r="B3044" s="5" t="s">
        <v>119</v>
      </c>
      <c r="C3044" s="5">
        <v>6330</v>
      </c>
      <c r="D3044" s="5" t="s">
        <v>8</v>
      </c>
      <c r="E3044" s="5" t="s">
        <v>10</v>
      </c>
      <c r="F3044" s="6">
        <v>42370</v>
      </c>
      <c r="G3044">
        <v>38</v>
      </c>
    </row>
    <row r="3045" spans="1:7" x14ac:dyDescent="0.25">
      <c r="A3045" s="5" t="s">
        <v>116</v>
      </c>
      <c r="B3045" s="5" t="s">
        <v>119</v>
      </c>
      <c r="C3045" s="5">
        <v>6330</v>
      </c>
      <c r="D3045" s="5" t="s">
        <v>8</v>
      </c>
      <c r="E3045" s="5" t="s">
        <v>10</v>
      </c>
      <c r="F3045" s="6">
        <v>42736</v>
      </c>
      <c r="G3045">
        <v>73</v>
      </c>
    </row>
    <row r="3046" spans="1:7" x14ac:dyDescent="0.25">
      <c r="A3046" s="5" t="s">
        <v>116</v>
      </c>
      <c r="B3046" s="5" t="s">
        <v>119</v>
      </c>
      <c r="C3046" s="5">
        <v>6330</v>
      </c>
      <c r="D3046" s="5" t="s">
        <v>8</v>
      </c>
      <c r="E3046" s="5" t="s">
        <v>11</v>
      </c>
      <c r="F3046" s="6">
        <v>42370</v>
      </c>
      <c r="G3046">
        <v>14</v>
      </c>
    </row>
    <row r="3047" spans="1:7" x14ac:dyDescent="0.25">
      <c r="A3047" s="5" t="s">
        <v>116</v>
      </c>
      <c r="B3047" s="5" t="s">
        <v>119</v>
      </c>
      <c r="C3047" s="5">
        <v>6330</v>
      </c>
      <c r="D3047" s="5" t="s">
        <v>8</v>
      </c>
      <c r="E3047" s="5" t="s">
        <v>11</v>
      </c>
      <c r="F3047" s="6">
        <v>42736</v>
      </c>
      <c r="G3047">
        <v>22</v>
      </c>
    </row>
    <row r="3048" spans="1:7" x14ac:dyDescent="0.25">
      <c r="A3048" s="5" t="s">
        <v>116</v>
      </c>
      <c r="B3048" s="5" t="s">
        <v>119</v>
      </c>
      <c r="C3048" s="5">
        <v>6330</v>
      </c>
      <c r="D3048" s="5" t="s">
        <v>8</v>
      </c>
      <c r="E3048" s="5" t="s">
        <v>12</v>
      </c>
      <c r="F3048" s="6">
        <v>42370</v>
      </c>
      <c r="G3048">
        <v>0</v>
      </c>
    </row>
    <row r="3049" spans="1:7" x14ac:dyDescent="0.25">
      <c r="A3049" s="5" t="s">
        <v>116</v>
      </c>
      <c r="B3049" s="5" t="s">
        <v>119</v>
      </c>
      <c r="C3049" s="5">
        <v>6330</v>
      </c>
      <c r="D3049" s="5" t="s">
        <v>8</v>
      </c>
      <c r="E3049" s="5" t="s">
        <v>12</v>
      </c>
      <c r="F3049" s="6">
        <v>42736</v>
      </c>
      <c r="G3049">
        <v>0</v>
      </c>
    </row>
    <row r="3050" spans="1:7" x14ac:dyDescent="0.25">
      <c r="A3050" s="5" t="s">
        <v>116</v>
      </c>
      <c r="B3050" s="5" t="s">
        <v>119</v>
      </c>
      <c r="C3050" s="5">
        <v>6330</v>
      </c>
      <c r="D3050" s="5" t="s">
        <v>8</v>
      </c>
      <c r="E3050" s="5" t="s">
        <v>13</v>
      </c>
      <c r="F3050" s="6">
        <v>42370</v>
      </c>
      <c r="G3050">
        <v>0</v>
      </c>
    </row>
    <row r="3051" spans="1:7" x14ac:dyDescent="0.25">
      <c r="A3051" s="5" t="s">
        <v>116</v>
      </c>
      <c r="B3051" s="5" t="s">
        <v>119</v>
      </c>
      <c r="C3051" s="5">
        <v>6330</v>
      </c>
      <c r="D3051" s="5" t="s">
        <v>8</v>
      </c>
      <c r="E3051" s="5" t="s">
        <v>13</v>
      </c>
      <c r="F3051" s="6">
        <v>42736</v>
      </c>
      <c r="G3051">
        <v>0</v>
      </c>
    </row>
    <row r="3052" spans="1:7" x14ac:dyDescent="0.25">
      <c r="A3052" s="5" t="s">
        <v>116</v>
      </c>
      <c r="B3052" s="5" t="s">
        <v>119</v>
      </c>
      <c r="C3052" s="5">
        <v>6330</v>
      </c>
      <c r="D3052" s="5" t="s">
        <v>8</v>
      </c>
      <c r="E3052" s="5" t="s">
        <v>14</v>
      </c>
      <c r="F3052" s="6">
        <v>42370</v>
      </c>
      <c r="G3052">
        <v>0</v>
      </c>
    </row>
    <row r="3053" spans="1:7" x14ac:dyDescent="0.25">
      <c r="A3053" s="5" t="s">
        <v>116</v>
      </c>
      <c r="B3053" s="5" t="s">
        <v>119</v>
      </c>
      <c r="C3053" s="5">
        <v>6330</v>
      </c>
      <c r="D3053" s="5" t="s">
        <v>8</v>
      </c>
      <c r="E3053" s="5" t="s">
        <v>14</v>
      </c>
      <c r="F3053" s="6">
        <v>42736</v>
      </c>
      <c r="G3053">
        <v>0</v>
      </c>
    </row>
    <row r="3054" spans="1:7" x14ac:dyDescent="0.25">
      <c r="A3054" s="5" t="s">
        <v>116</v>
      </c>
      <c r="B3054" s="5" t="s">
        <v>119</v>
      </c>
      <c r="C3054" s="5">
        <v>6330</v>
      </c>
      <c r="D3054" s="5" t="s">
        <v>8</v>
      </c>
      <c r="E3054" s="5" t="s">
        <v>15</v>
      </c>
      <c r="F3054" s="6">
        <v>42370</v>
      </c>
      <c r="G3054">
        <v>0</v>
      </c>
    </row>
    <row r="3055" spans="1:7" x14ac:dyDescent="0.25">
      <c r="A3055" s="5" t="s">
        <v>116</v>
      </c>
      <c r="B3055" s="5" t="s">
        <v>119</v>
      </c>
      <c r="C3055" s="5">
        <v>6330</v>
      </c>
      <c r="D3055" s="5" t="s">
        <v>8</v>
      </c>
      <c r="E3055" s="5" t="s">
        <v>15</v>
      </c>
      <c r="F3055" s="6">
        <v>42736</v>
      </c>
      <c r="G3055">
        <v>0</v>
      </c>
    </row>
    <row r="3056" spans="1:7" x14ac:dyDescent="0.25">
      <c r="A3056" s="5" t="s">
        <v>116</v>
      </c>
      <c r="B3056" s="5" t="s">
        <v>119</v>
      </c>
      <c r="C3056" s="5">
        <v>6330</v>
      </c>
      <c r="D3056" s="5" t="s">
        <v>8</v>
      </c>
      <c r="E3056" s="5" t="s">
        <v>16</v>
      </c>
      <c r="F3056" s="6">
        <v>42370</v>
      </c>
      <c r="G3056">
        <v>16</v>
      </c>
    </row>
    <row r="3057" spans="1:7" x14ac:dyDescent="0.25">
      <c r="A3057" s="5" t="s">
        <v>116</v>
      </c>
      <c r="B3057" s="5" t="s">
        <v>119</v>
      </c>
      <c r="C3057" s="5">
        <v>6330</v>
      </c>
      <c r="D3057" s="5" t="s">
        <v>8</v>
      </c>
      <c r="E3057" s="5" t="s">
        <v>16</v>
      </c>
      <c r="F3057" s="6">
        <v>42736</v>
      </c>
      <c r="G3057">
        <v>9</v>
      </c>
    </row>
    <row r="3058" spans="1:7" x14ac:dyDescent="0.25">
      <c r="A3058" s="5" t="s">
        <v>116</v>
      </c>
      <c r="B3058" s="5" t="s">
        <v>119</v>
      </c>
      <c r="C3058" s="5">
        <v>6330</v>
      </c>
      <c r="D3058" s="5" t="s">
        <v>8</v>
      </c>
      <c r="E3058" s="5" t="s">
        <v>17</v>
      </c>
      <c r="F3058" s="6">
        <v>42370</v>
      </c>
      <c r="G3058">
        <v>0</v>
      </c>
    </row>
    <row r="3059" spans="1:7" x14ac:dyDescent="0.25">
      <c r="A3059" s="5" t="s">
        <v>116</v>
      </c>
      <c r="B3059" s="5" t="s">
        <v>119</v>
      </c>
      <c r="C3059" s="5">
        <v>6330</v>
      </c>
      <c r="D3059" s="5" t="s">
        <v>8</v>
      </c>
      <c r="E3059" s="5" t="s">
        <v>17</v>
      </c>
      <c r="F3059" s="6">
        <v>42736</v>
      </c>
      <c r="G3059">
        <v>0</v>
      </c>
    </row>
    <row r="3060" spans="1:7" x14ac:dyDescent="0.25">
      <c r="A3060" s="5" t="s">
        <v>116</v>
      </c>
      <c r="B3060" s="5" t="s">
        <v>119</v>
      </c>
      <c r="C3060" s="5">
        <v>6330</v>
      </c>
      <c r="D3060" s="5" t="s">
        <v>8</v>
      </c>
      <c r="E3060" s="5" t="s">
        <v>18</v>
      </c>
      <c r="F3060" s="6">
        <v>42370</v>
      </c>
      <c r="G3060">
        <v>2</v>
      </c>
    </row>
    <row r="3061" spans="1:7" x14ac:dyDescent="0.25">
      <c r="A3061" s="5" t="s">
        <v>116</v>
      </c>
      <c r="B3061" s="5" t="s">
        <v>119</v>
      </c>
      <c r="C3061" s="5">
        <v>6330</v>
      </c>
      <c r="D3061" s="5" t="s">
        <v>8</v>
      </c>
      <c r="E3061" s="5" t="s">
        <v>18</v>
      </c>
      <c r="F3061" s="6">
        <v>42736</v>
      </c>
      <c r="G3061">
        <v>0</v>
      </c>
    </row>
    <row r="3062" spans="1:7" x14ac:dyDescent="0.25">
      <c r="A3062" s="5" t="s">
        <v>116</v>
      </c>
      <c r="B3062" s="5" t="s">
        <v>119</v>
      </c>
      <c r="C3062" s="5">
        <v>6330</v>
      </c>
      <c r="D3062" s="5" t="s">
        <v>8</v>
      </c>
      <c r="E3062" s="5" t="s">
        <v>19</v>
      </c>
      <c r="F3062" s="6">
        <v>42370</v>
      </c>
      <c r="G3062">
        <v>0</v>
      </c>
    </row>
    <row r="3063" spans="1:7" x14ac:dyDescent="0.25">
      <c r="A3063" s="5" t="s">
        <v>116</v>
      </c>
      <c r="B3063" s="5" t="s">
        <v>119</v>
      </c>
      <c r="C3063" s="5">
        <v>6330</v>
      </c>
      <c r="D3063" s="5" t="s">
        <v>8</v>
      </c>
      <c r="E3063" s="5" t="s">
        <v>19</v>
      </c>
      <c r="F3063" s="6">
        <v>42736</v>
      </c>
      <c r="G3063">
        <v>0</v>
      </c>
    </row>
    <row r="3064" spans="1:7" x14ac:dyDescent="0.25">
      <c r="A3064" s="5" t="s">
        <v>116</v>
      </c>
      <c r="B3064" s="5" t="s">
        <v>119</v>
      </c>
      <c r="C3064" s="5">
        <v>6330</v>
      </c>
      <c r="D3064" s="5" t="s">
        <v>20</v>
      </c>
      <c r="E3064" s="5" t="s">
        <v>9</v>
      </c>
      <c r="F3064" s="6">
        <v>42370</v>
      </c>
      <c r="G3064">
        <v>0</v>
      </c>
    </row>
    <row r="3065" spans="1:7" x14ac:dyDescent="0.25">
      <c r="A3065" s="5" t="s">
        <v>116</v>
      </c>
      <c r="B3065" s="5" t="s">
        <v>119</v>
      </c>
      <c r="C3065" s="5">
        <v>6330</v>
      </c>
      <c r="D3065" s="5" t="s">
        <v>20</v>
      </c>
      <c r="E3065" s="5" t="s">
        <v>9</v>
      </c>
      <c r="F3065" s="6">
        <v>42736</v>
      </c>
      <c r="G3065">
        <v>6</v>
      </c>
    </row>
    <row r="3066" spans="1:7" x14ac:dyDescent="0.25">
      <c r="A3066" s="5" t="s">
        <v>116</v>
      </c>
      <c r="B3066" s="5" t="s">
        <v>119</v>
      </c>
      <c r="C3066" s="5">
        <v>6330</v>
      </c>
      <c r="D3066" s="5" t="s">
        <v>20</v>
      </c>
      <c r="E3066" s="5" t="s">
        <v>21</v>
      </c>
      <c r="F3066" s="6">
        <v>42370</v>
      </c>
      <c r="G3066">
        <v>0</v>
      </c>
    </row>
    <row r="3067" spans="1:7" x14ac:dyDescent="0.25">
      <c r="A3067" s="5" t="s">
        <v>116</v>
      </c>
      <c r="B3067" s="5" t="s">
        <v>119</v>
      </c>
      <c r="C3067" s="5">
        <v>6330</v>
      </c>
      <c r="D3067" s="5" t="s">
        <v>20</v>
      </c>
      <c r="E3067" s="5" t="s">
        <v>21</v>
      </c>
      <c r="F3067" s="6">
        <v>42736</v>
      </c>
      <c r="G3067">
        <v>0</v>
      </c>
    </row>
    <row r="3068" spans="1:7" x14ac:dyDescent="0.25">
      <c r="A3068" s="5" t="s">
        <v>116</v>
      </c>
      <c r="B3068" s="5" t="s">
        <v>119</v>
      </c>
      <c r="C3068" s="5">
        <v>6330</v>
      </c>
      <c r="D3068" s="5" t="s">
        <v>20</v>
      </c>
      <c r="E3068" s="5" t="s">
        <v>22</v>
      </c>
      <c r="F3068" s="6">
        <v>42370</v>
      </c>
      <c r="G3068">
        <v>0</v>
      </c>
    </row>
    <row r="3069" spans="1:7" x14ac:dyDescent="0.25">
      <c r="A3069" s="5" t="s">
        <v>116</v>
      </c>
      <c r="B3069" s="5" t="s">
        <v>119</v>
      </c>
      <c r="C3069" s="5">
        <v>6330</v>
      </c>
      <c r="D3069" s="5" t="s">
        <v>20</v>
      </c>
      <c r="E3069" s="5" t="s">
        <v>22</v>
      </c>
      <c r="F3069" s="6">
        <v>42736</v>
      </c>
      <c r="G3069">
        <v>0</v>
      </c>
    </row>
    <row r="3070" spans="1:7" x14ac:dyDescent="0.25">
      <c r="A3070" s="5" t="s">
        <v>116</v>
      </c>
      <c r="B3070" s="5" t="s">
        <v>119</v>
      </c>
      <c r="C3070" s="5">
        <v>6330</v>
      </c>
      <c r="D3070" s="5" t="s">
        <v>20</v>
      </c>
      <c r="E3070" s="5" t="s">
        <v>23</v>
      </c>
      <c r="F3070" s="6">
        <v>42370</v>
      </c>
      <c r="G3070">
        <v>0</v>
      </c>
    </row>
    <row r="3071" spans="1:7" x14ac:dyDescent="0.25">
      <c r="A3071" s="5" t="s">
        <v>116</v>
      </c>
      <c r="B3071" s="5" t="s">
        <v>119</v>
      </c>
      <c r="C3071" s="5">
        <v>6330</v>
      </c>
      <c r="D3071" s="5" t="s">
        <v>20</v>
      </c>
      <c r="E3071" s="5" t="s">
        <v>23</v>
      </c>
      <c r="F3071" s="6">
        <v>42736</v>
      </c>
      <c r="G3071">
        <v>0</v>
      </c>
    </row>
    <row r="3072" spans="1:7" x14ac:dyDescent="0.25">
      <c r="A3072" s="5" t="s">
        <v>116</v>
      </c>
      <c r="B3072" s="5" t="s">
        <v>119</v>
      </c>
      <c r="C3072" s="5">
        <v>6330</v>
      </c>
      <c r="D3072" s="5" t="s">
        <v>20</v>
      </c>
      <c r="E3072" s="5" t="s">
        <v>24</v>
      </c>
      <c r="F3072" s="6">
        <v>42370</v>
      </c>
      <c r="G3072">
        <v>0</v>
      </c>
    </row>
    <row r="3073" spans="1:7" x14ac:dyDescent="0.25">
      <c r="A3073" s="5" t="s">
        <v>116</v>
      </c>
      <c r="B3073" s="5" t="s">
        <v>119</v>
      </c>
      <c r="C3073" s="5">
        <v>6330</v>
      </c>
      <c r="D3073" s="5" t="s">
        <v>20</v>
      </c>
      <c r="E3073" s="5" t="s">
        <v>24</v>
      </c>
      <c r="F3073" s="6">
        <v>42736</v>
      </c>
      <c r="G3073">
        <v>0</v>
      </c>
    </row>
    <row r="3074" spans="1:7" x14ac:dyDescent="0.25">
      <c r="A3074" s="5" t="s">
        <v>116</v>
      </c>
      <c r="B3074" s="5" t="s">
        <v>119</v>
      </c>
      <c r="C3074" s="5">
        <v>6330</v>
      </c>
      <c r="D3074" s="5" t="s">
        <v>20</v>
      </c>
      <c r="E3074" s="5" t="s">
        <v>25</v>
      </c>
      <c r="F3074" s="6">
        <v>42370</v>
      </c>
      <c r="G3074">
        <v>0</v>
      </c>
    </row>
    <row r="3075" spans="1:7" x14ac:dyDescent="0.25">
      <c r="A3075" s="5" t="s">
        <v>116</v>
      </c>
      <c r="B3075" s="5" t="s">
        <v>119</v>
      </c>
      <c r="C3075" s="5">
        <v>6330</v>
      </c>
      <c r="D3075" s="5" t="s">
        <v>20</v>
      </c>
      <c r="E3075" s="5" t="s">
        <v>25</v>
      </c>
      <c r="F3075" s="6">
        <v>42736</v>
      </c>
      <c r="G3075">
        <v>0</v>
      </c>
    </row>
    <row r="3076" spans="1:7" x14ac:dyDescent="0.25">
      <c r="A3076" s="5" t="s">
        <v>116</v>
      </c>
      <c r="B3076" s="5" t="s">
        <v>119</v>
      </c>
      <c r="C3076" s="5">
        <v>6330</v>
      </c>
      <c r="D3076" s="5" t="s">
        <v>20</v>
      </c>
      <c r="E3076" s="5" t="s">
        <v>26</v>
      </c>
      <c r="F3076" s="6">
        <v>42370</v>
      </c>
      <c r="G3076">
        <v>119</v>
      </c>
    </row>
    <row r="3077" spans="1:7" x14ac:dyDescent="0.25">
      <c r="A3077" s="5" t="s">
        <v>116</v>
      </c>
      <c r="B3077" s="5" t="s">
        <v>119</v>
      </c>
      <c r="C3077" s="5">
        <v>6330</v>
      </c>
      <c r="D3077" s="5" t="s">
        <v>20</v>
      </c>
      <c r="E3077" s="5" t="s">
        <v>26</v>
      </c>
      <c r="F3077" s="6">
        <v>42736</v>
      </c>
      <c r="G3077">
        <v>169</v>
      </c>
    </row>
    <row r="3078" spans="1:7" x14ac:dyDescent="0.25">
      <c r="A3078" s="5" t="s">
        <v>116</v>
      </c>
      <c r="B3078" s="5" t="s">
        <v>119</v>
      </c>
      <c r="C3078" s="5">
        <v>6330</v>
      </c>
      <c r="D3078" s="5" t="s">
        <v>20</v>
      </c>
      <c r="E3078" s="5" t="s">
        <v>27</v>
      </c>
      <c r="F3078" s="6">
        <v>42370</v>
      </c>
      <c r="G3078">
        <v>0</v>
      </c>
    </row>
    <row r="3079" spans="1:7" x14ac:dyDescent="0.25">
      <c r="A3079" s="5" t="s">
        <v>116</v>
      </c>
      <c r="B3079" s="5" t="s">
        <v>119</v>
      </c>
      <c r="C3079" s="5">
        <v>6330</v>
      </c>
      <c r="D3079" s="5" t="s">
        <v>20</v>
      </c>
      <c r="E3079" s="5" t="s">
        <v>27</v>
      </c>
      <c r="F3079" s="6">
        <v>42736</v>
      </c>
      <c r="G3079">
        <v>0</v>
      </c>
    </row>
    <row r="3080" spans="1:7" x14ac:dyDescent="0.25">
      <c r="A3080" s="5" t="s">
        <v>116</v>
      </c>
      <c r="B3080" s="5" t="s">
        <v>119</v>
      </c>
      <c r="C3080" s="5">
        <v>6330</v>
      </c>
      <c r="D3080" s="5" t="s">
        <v>20</v>
      </c>
      <c r="E3080" s="5" t="s">
        <v>28</v>
      </c>
      <c r="F3080" s="6">
        <v>42370</v>
      </c>
      <c r="G3080">
        <v>0</v>
      </c>
    </row>
    <row r="3081" spans="1:7" x14ac:dyDescent="0.25">
      <c r="A3081" s="5" t="s">
        <v>116</v>
      </c>
      <c r="B3081" s="5" t="s">
        <v>119</v>
      </c>
      <c r="C3081" s="5">
        <v>6330</v>
      </c>
      <c r="D3081" s="5" t="s">
        <v>20</v>
      </c>
      <c r="E3081" s="5" t="s">
        <v>28</v>
      </c>
      <c r="F3081" s="6">
        <v>42736</v>
      </c>
      <c r="G3081">
        <v>0</v>
      </c>
    </row>
    <row r="3082" spans="1:7" x14ac:dyDescent="0.25">
      <c r="A3082" s="5" t="s">
        <v>116</v>
      </c>
      <c r="B3082" s="5" t="s">
        <v>119</v>
      </c>
      <c r="C3082" s="5">
        <v>6330</v>
      </c>
      <c r="D3082" s="5" t="s">
        <v>20</v>
      </c>
      <c r="E3082" s="5" t="s">
        <v>29</v>
      </c>
      <c r="F3082" s="6">
        <v>42370</v>
      </c>
      <c r="G3082">
        <v>117</v>
      </c>
    </row>
    <row r="3083" spans="1:7" x14ac:dyDescent="0.25">
      <c r="A3083" s="5" t="s">
        <v>116</v>
      </c>
      <c r="B3083" s="5" t="s">
        <v>119</v>
      </c>
      <c r="C3083" s="5">
        <v>6330</v>
      </c>
      <c r="D3083" s="5" t="s">
        <v>20</v>
      </c>
      <c r="E3083" s="5" t="s">
        <v>29</v>
      </c>
      <c r="F3083" s="6">
        <v>42736</v>
      </c>
      <c r="G3083">
        <v>168</v>
      </c>
    </row>
    <row r="3084" spans="1:7" x14ac:dyDescent="0.25">
      <c r="A3084" s="5" t="s">
        <v>116</v>
      </c>
      <c r="B3084" s="5" t="s">
        <v>119</v>
      </c>
      <c r="C3084" s="5">
        <v>6330</v>
      </c>
      <c r="D3084" s="5" t="s">
        <v>20</v>
      </c>
      <c r="E3084" s="5" t="s">
        <v>30</v>
      </c>
      <c r="F3084" s="6">
        <v>42370</v>
      </c>
      <c r="G3084">
        <v>121</v>
      </c>
    </row>
    <row r="3085" spans="1:7" x14ac:dyDescent="0.25">
      <c r="A3085" s="5" t="s">
        <v>116</v>
      </c>
      <c r="B3085" s="5" t="s">
        <v>119</v>
      </c>
      <c r="C3085" s="5">
        <v>6330</v>
      </c>
      <c r="D3085" s="5" t="s">
        <v>20</v>
      </c>
      <c r="E3085" s="5" t="s">
        <v>30</v>
      </c>
      <c r="F3085" s="6">
        <v>42736</v>
      </c>
      <c r="G3085">
        <v>168</v>
      </c>
    </row>
    <row r="3086" spans="1:7" x14ac:dyDescent="0.25">
      <c r="A3086" s="5" t="s">
        <v>116</v>
      </c>
      <c r="B3086" s="5" t="s">
        <v>119</v>
      </c>
      <c r="C3086" s="5">
        <v>6330</v>
      </c>
      <c r="D3086" s="5" t="s">
        <v>20</v>
      </c>
      <c r="E3086" s="5" t="s">
        <v>31</v>
      </c>
      <c r="F3086" s="6">
        <v>42370</v>
      </c>
      <c r="G3086">
        <v>223</v>
      </c>
    </row>
    <row r="3087" spans="1:7" x14ac:dyDescent="0.25">
      <c r="A3087" s="5" t="s">
        <v>116</v>
      </c>
      <c r="B3087" s="5" t="s">
        <v>119</v>
      </c>
      <c r="C3087" s="5">
        <v>6330</v>
      </c>
      <c r="D3087" s="5" t="s">
        <v>20</v>
      </c>
      <c r="E3087" s="5" t="s">
        <v>31</v>
      </c>
      <c r="F3087" s="6">
        <v>42736</v>
      </c>
      <c r="G3087">
        <v>337</v>
      </c>
    </row>
    <row r="3088" spans="1:7" x14ac:dyDescent="0.25">
      <c r="A3088" s="5" t="s">
        <v>116</v>
      </c>
      <c r="B3088" s="5" t="s">
        <v>119</v>
      </c>
      <c r="C3088" s="5">
        <v>6330</v>
      </c>
      <c r="D3088" s="5" t="s">
        <v>20</v>
      </c>
      <c r="E3088" s="5" t="s">
        <v>32</v>
      </c>
      <c r="F3088" s="6">
        <v>42370</v>
      </c>
      <c r="G3088">
        <v>120</v>
      </c>
    </row>
    <row r="3089" spans="1:7" x14ac:dyDescent="0.25">
      <c r="A3089" s="5" t="s">
        <v>116</v>
      </c>
      <c r="B3089" s="5" t="s">
        <v>119</v>
      </c>
      <c r="C3089" s="5">
        <v>6330</v>
      </c>
      <c r="D3089" s="5" t="s">
        <v>20</v>
      </c>
      <c r="E3089" s="5" t="s">
        <v>32</v>
      </c>
      <c r="F3089" s="6">
        <v>42736</v>
      </c>
      <c r="G3089">
        <v>173</v>
      </c>
    </row>
    <row r="3090" spans="1:7" x14ac:dyDescent="0.25">
      <c r="A3090" s="5" t="s">
        <v>116</v>
      </c>
      <c r="B3090" s="5" t="s">
        <v>119</v>
      </c>
      <c r="C3090" s="5">
        <v>6330</v>
      </c>
      <c r="D3090" s="5" t="s">
        <v>33</v>
      </c>
      <c r="E3090" s="5" t="s">
        <v>9</v>
      </c>
      <c r="F3090" s="6">
        <v>42370</v>
      </c>
      <c r="G3090">
        <v>0</v>
      </c>
    </row>
    <row r="3091" spans="1:7" x14ac:dyDescent="0.25">
      <c r="A3091" s="5" t="s">
        <v>116</v>
      </c>
      <c r="B3091" s="5" t="s">
        <v>119</v>
      </c>
      <c r="C3091" s="5">
        <v>6330</v>
      </c>
      <c r="D3091" s="5" t="s">
        <v>33</v>
      </c>
      <c r="E3091" s="5" t="s">
        <v>9</v>
      </c>
      <c r="F3091" s="6">
        <v>42736</v>
      </c>
      <c r="G3091">
        <v>0</v>
      </c>
    </row>
    <row r="3092" spans="1:7" x14ac:dyDescent="0.25">
      <c r="A3092" s="5" t="s">
        <v>116</v>
      </c>
      <c r="B3092" s="5" t="s">
        <v>119</v>
      </c>
      <c r="C3092" s="5">
        <v>6330</v>
      </c>
      <c r="D3092" s="5" t="s">
        <v>33</v>
      </c>
      <c r="E3092" s="5" t="s">
        <v>34</v>
      </c>
      <c r="F3092" s="6">
        <v>42370</v>
      </c>
      <c r="G3092">
        <v>0</v>
      </c>
    </row>
    <row r="3093" spans="1:7" x14ac:dyDescent="0.25">
      <c r="A3093" s="5" t="s">
        <v>116</v>
      </c>
      <c r="B3093" s="5" t="s">
        <v>119</v>
      </c>
      <c r="C3093" s="5">
        <v>6330</v>
      </c>
      <c r="D3093" s="5" t="s">
        <v>33</v>
      </c>
      <c r="E3093" s="5" t="s">
        <v>34</v>
      </c>
      <c r="F3093" s="6">
        <v>42736</v>
      </c>
      <c r="G3093">
        <v>0</v>
      </c>
    </row>
    <row r="3094" spans="1:7" x14ac:dyDescent="0.25">
      <c r="A3094" s="5" t="s">
        <v>116</v>
      </c>
      <c r="B3094" s="5" t="s">
        <v>119</v>
      </c>
      <c r="C3094" s="5">
        <v>6330</v>
      </c>
      <c r="D3094" s="5" t="s">
        <v>35</v>
      </c>
      <c r="E3094" s="5" t="s">
        <v>36</v>
      </c>
      <c r="F3094" s="6">
        <v>42370</v>
      </c>
      <c r="G3094">
        <v>0</v>
      </c>
    </row>
    <row r="3095" spans="1:7" x14ac:dyDescent="0.25">
      <c r="A3095" s="5" t="s">
        <v>116</v>
      </c>
      <c r="B3095" s="5" t="s">
        <v>119</v>
      </c>
      <c r="C3095" s="5">
        <v>6330</v>
      </c>
      <c r="D3095" s="5" t="s">
        <v>35</v>
      </c>
      <c r="E3095" s="5" t="s">
        <v>36</v>
      </c>
      <c r="F3095" s="6">
        <v>42736</v>
      </c>
      <c r="G3095">
        <v>0</v>
      </c>
    </row>
    <row r="3096" spans="1:7" x14ac:dyDescent="0.25">
      <c r="A3096" s="5" t="s">
        <v>116</v>
      </c>
      <c r="B3096" s="5" t="s">
        <v>119</v>
      </c>
      <c r="C3096" s="5">
        <v>6330</v>
      </c>
      <c r="D3096" s="5" t="s">
        <v>35</v>
      </c>
      <c r="E3096" s="5" t="s">
        <v>37</v>
      </c>
      <c r="F3096" s="6">
        <v>42370</v>
      </c>
      <c r="G3096">
        <v>0</v>
      </c>
    </row>
    <row r="3097" spans="1:7" x14ac:dyDescent="0.25">
      <c r="A3097" s="5" t="s">
        <v>116</v>
      </c>
      <c r="B3097" s="5" t="s">
        <v>119</v>
      </c>
      <c r="C3097" s="5">
        <v>6330</v>
      </c>
      <c r="D3097" s="5" t="s">
        <v>35</v>
      </c>
      <c r="E3097" s="5" t="s">
        <v>37</v>
      </c>
      <c r="F3097" s="6">
        <v>42736</v>
      </c>
      <c r="G3097">
        <v>0</v>
      </c>
    </row>
    <row r="3098" spans="1:7" x14ac:dyDescent="0.25">
      <c r="A3098" s="5" t="s">
        <v>116</v>
      </c>
      <c r="B3098" s="5" t="s">
        <v>119</v>
      </c>
      <c r="C3098" s="5">
        <v>6330</v>
      </c>
      <c r="D3098" s="5" t="s">
        <v>35</v>
      </c>
      <c r="E3098" s="5" t="s">
        <v>38</v>
      </c>
      <c r="F3098" s="6">
        <v>42370</v>
      </c>
      <c r="G3098">
        <v>0</v>
      </c>
    </row>
    <row r="3099" spans="1:7" x14ac:dyDescent="0.25">
      <c r="A3099" s="5" t="s">
        <v>116</v>
      </c>
      <c r="B3099" s="5" t="s">
        <v>119</v>
      </c>
      <c r="C3099" s="5">
        <v>6330</v>
      </c>
      <c r="D3099" s="5" t="s">
        <v>35</v>
      </c>
      <c r="E3099" s="5" t="s">
        <v>38</v>
      </c>
      <c r="F3099" s="6">
        <v>42736</v>
      </c>
      <c r="G3099">
        <v>0</v>
      </c>
    </row>
    <row r="3100" spans="1:7" x14ac:dyDescent="0.25">
      <c r="A3100" s="5" t="s">
        <v>116</v>
      </c>
      <c r="B3100" s="5" t="s">
        <v>119</v>
      </c>
      <c r="C3100" s="5">
        <v>6330</v>
      </c>
      <c r="D3100" s="5" t="s">
        <v>35</v>
      </c>
      <c r="E3100" s="5" t="s">
        <v>39</v>
      </c>
      <c r="F3100" s="6">
        <v>42370</v>
      </c>
      <c r="G3100">
        <v>0</v>
      </c>
    </row>
    <row r="3101" spans="1:7" x14ac:dyDescent="0.25">
      <c r="A3101" s="5" t="s">
        <v>116</v>
      </c>
      <c r="B3101" s="5" t="s">
        <v>119</v>
      </c>
      <c r="C3101" s="5">
        <v>6330</v>
      </c>
      <c r="D3101" s="5" t="s">
        <v>35</v>
      </c>
      <c r="E3101" s="5" t="s">
        <v>39</v>
      </c>
      <c r="F3101" s="6">
        <v>42736</v>
      </c>
      <c r="G3101">
        <v>0</v>
      </c>
    </row>
    <row r="3102" spans="1:7" x14ac:dyDescent="0.25">
      <c r="A3102" s="5" t="s">
        <v>116</v>
      </c>
      <c r="B3102" s="5" t="s">
        <v>119</v>
      </c>
      <c r="C3102" s="5">
        <v>6330</v>
      </c>
      <c r="D3102" s="5" t="s">
        <v>35</v>
      </c>
      <c r="E3102" s="5" t="s">
        <v>40</v>
      </c>
      <c r="F3102" s="6">
        <v>42370</v>
      </c>
      <c r="G3102">
        <v>0</v>
      </c>
    </row>
    <row r="3103" spans="1:7" x14ac:dyDescent="0.25">
      <c r="A3103" s="5" t="s">
        <v>116</v>
      </c>
      <c r="B3103" s="5" t="s">
        <v>119</v>
      </c>
      <c r="C3103" s="5">
        <v>6330</v>
      </c>
      <c r="D3103" s="5" t="s">
        <v>35</v>
      </c>
      <c r="E3103" s="5" t="s">
        <v>40</v>
      </c>
      <c r="F3103" s="6">
        <v>42736</v>
      </c>
      <c r="G3103">
        <v>0</v>
      </c>
    </row>
    <row r="3104" spans="1:7" x14ac:dyDescent="0.25">
      <c r="A3104" s="5" t="s">
        <v>116</v>
      </c>
      <c r="B3104" s="5" t="s">
        <v>119</v>
      </c>
      <c r="C3104" s="5">
        <v>6330</v>
      </c>
      <c r="D3104" s="5" t="s">
        <v>35</v>
      </c>
      <c r="E3104" s="5" t="s">
        <v>41</v>
      </c>
      <c r="F3104" s="6">
        <v>42370</v>
      </c>
      <c r="G3104">
        <v>0</v>
      </c>
    </row>
    <row r="3105" spans="1:7" x14ac:dyDescent="0.25">
      <c r="A3105" s="5" t="s">
        <v>116</v>
      </c>
      <c r="B3105" s="5" t="s">
        <v>119</v>
      </c>
      <c r="C3105" s="5">
        <v>6330</v>
      </c>
      <c r="D3105" s="5" t="s">
        <v>35</v>
      </c>
      <c r="E3105" s="5" t="s">
        <v>41</v>
      </c>
      <c r="F3105" s="6">
        <v>42736</v>
      </c>
      <c r="G3105">
        <v>0</v>
      </c>
    </row>
    <row r="3106" spans="1:7" x14ac:dyDescent="0.25">
      <c r="A3106" s="5" t="s">
        <v>116</v>
      </c>
      <c r="B3106" s="5" t="s">
        <v>119</v>
      </c>
      <c r="C3106" s="5">
        <v>6330</v>
      </c>
      <c r="D3106" s="5" t="s">
        <v>35</v>
      </c>
      <c r="E3106" s="5" t="s">
        <v>42</v>
      </c>
      <c r="F3106" s="6">
        <v>42370</v>
      </c>
      <c r="G3106">
        <v>0</v>
      </c>
    </row>
    <row r="3107" spans="1:7" x14ac:dyDescent="0.25">
      <c r="A3107" s="5" t="s">
        <v>116</v>
      </c>
      <c r="B3107" s="5" t="s">
        <v>119</v>
      </c>
      <c r="C3107" s="5">
        <v>6330</v>
      </c>
      <c r="D3107" s="5" t="s">
        <v>35</v>
      </c>
      <c r="E3107" s="5" t="s">
        <v>42</v>
      </c>
      <c r="F3107" s="6">
        <v>42736</v>
      </c>
      <c r="G3107">
        <v>0</v>
      </c>
    </row>
    <row r="3108" spans="1:7" x14ac:dyDescent="0.25">
      <c r="A3108" s="5" t="s">
        <v>116</v>
      </c>
      <c r="B3108" s="5" t="s">
        <v>119</v>
      </c>
      <c r="C3108" s="5">
        <v>6330</v>
      </c>
      <c r="D3108" s="5" t="s">
        <v>35</v>
      </c>
      <c r="E3108" s="5" t="s">
        <v>43</v>
      </c>
      <c r="F3108" s="6">
        <v>42370</v>
      </c>
      <c r="G3108">
        <v>0</v>
      </c>
    </row>
    <row r="3109" spans="1:7" x14ac:dyDescent="0.25">
      <c r="A3109" s="5" t="s">
        <v>116</v>
      </c>
      <c r="B3109" s="5" t="s">
        <v>119</v>
      </c>
      <c r="C3109" s="5">
        <v>6330</v>
      </c>
      <c r="D3109" s="5" t="s">
        <v>35</v>
      </c>
      <c r="E3109" s="5" t="s">
        <v>43</v>
      </c>
      <c r="F3109" s="6">
        <v>42736</v>
      </c>
      <c r="G3109">
        <v>0</v>
      </c>
    </row>
    <row r="3110" spans="1:7" x14ac:dyDescent="0.25">
      <c r="A3110" s="5" t="s">
        <v>116</v>
      </c>
      <c r="B3110" s="5" t="s">
        <v>119</v>
      </c>
      <c r="C3110" s="5">
        <v>6330</v>
      </c>
      <c r="D3110" s="5" t="s">
        <v>44</v>
      </c>
      <c r="E3110" s="5" t="s">
        <v>36</v>
      </c>
      <c r="F3110" s="6">
        <v>42370</v>
      </c>
      <c r="G3110">
        <v>0</v>
      </c>
    </row>
    <row r="3111" spans="1:7" x14ac:dyDescent="0.25">
      <c r="A3111" s="5" t="s">
        <v>116</v>
      </c>
      <c r="B3111" s="5" t="s">
        <v>119</v>
      </c>
      <c r="C3111" s="5">
        <v>6330</v>
      </c>
      <c r="D3111" s="5" t="s">
        <v>44</v>
      </c>
      <c r="E3111" s="5" t="s">
        <v>36</v>
      </c>
      <c r="F3111" s="6">
        <v>42736</v>
      </c>
      <c r="G3111">
        <v>0</v>
      </c>
    </row>
    <row r="3112" spans="1:7" x14ac:dyDescent="0.25">
      <c r="A3112" s="5" t="s">
        <v>116</v>
      </c>
      <c r="B3112" s="5" t="s">
        <v>119</v>
      </c>
      <c r="C3112" s="5">
        <v>6330</v>
      </c>
      <c r="D3112" s="5" t="s">
        <v>44</v>
      </c>
      <c r="E3112" s="5" t="s">
        <v>37</v>
      </c>
      <c r="F3112" s="6">
        <v>42370</v>
      </c>
      <c r="G3112">
        <v>0</v>
      </c>
    </row>
    <row r="3113" spans="1:7" x14ac:dyDescent="0.25">
      <c r="A3113" s="5" t="s">
        <v>116</v>
      </c>
      <c r="B3113" s="5" t="s">
        <v>119</v>
      </c>
      <c r="C3113" s="5">
        <v>6330</v>
      </c>
      <c r="D3113" s="5" t="s">
        <v>44</v>
      </c>
      <c r="E3113" s="5" t="s">
        <v>37</v>
      </c>
      <c r="F3113" s="6">
        <v>42736</v>
      </c>
      <c r="G3113">
        <v>0</v>
      </c>
    </row>
    <row r="3114" spans="1:7" x14ac:dyDescent="0.25">
      <c r="A3114" s="5" t="s">
        <v>116</v>
      </c>
      <c r="B3114" s="5" t="s">
        <v>119</v>
      </c>
      <c r="C3114" s="5">
        <v>6330</v>
      </c>
      <c r="D3114" s="5" t="s">
        <v>44</v>
      </c>
      <c r="E3114" s="5" t="s">
        <v>38</v>
      </c>
      <c r="F3114" s="6">
        <v>42370</v>
      </c>
      <c r="G3114">
        <v>0</v>
      </c>
    </row>
    <row r="3115" spans="1:7" x14ac:dyDescent="0.25">
      <c r="A3115" s="5" t="s">
        <v>116</v>
      </c>
      <c r="B3115" s="5" t="s">
        <v>119</v>
      </c>
      <c r="C3115" s="5">
        <v>6330</v>
      </c>
      <c r="D3115" s="5" t="s">
        <v>44</v>
      </c>
      <c r="E3115" s="5" t="s">
        <v>38</v>
      </c>
      <c r="F3115" s="6">
        <v>42736</v>
      </c>
      <c r="G3115">
        <v>0</v>
      </c>
    </row>
    <row r="3116" spans="1:7" x14ac:dyDescent="0.25">
      <c r="A3116" s="5" t="s">
        <v>116</v>
      </c>
      <c r="B3116" s="5" t="s">
        <v>119</v>
      </c>
      <c r="C3116" s="5">
        <v>6330</v>
      </c>
      <c r="D3116" s="5" t="s">
        <v>44</v>
      </c>
      <c r="E3116" s="5" t="s">
        <v>39</v>
      </c>
      <c r="F3116" s="6">
        <v>42370</v>
      </c>
      <c r="G3116">
        <v>0</v>
      </c>
    </row>
    <row r="3117" spans="1:7" x14ac:dyDescent="0.25">
      <c r="A3117" s="5" t="s">
        <v>116</v>
      </c>
      <c r="B3117" s="5" t="s">
        <v>119</v>
      </c>
      <c r="C3117" s="5">
        <v>6330</v>
      </c>
      <c r="D3117" s="5" t="s">
        <v>44</v>
      </c>
      <c r="E3117" s="5" t="s">
        <v>39</v>
      </c>
      <c r="F3117" s="6">
        <v>42736</v>
      </c>
      <c r="G3117">
        <v>0</v>
      </c>
    </row>
    <row r="3118" spans="1:7" x14ac:dyDescent="0.25">
      <c r="A3118" s="5" t="s">
        <v>116</v>
      </c>
      <c r="B3118" s="5" t="s">
        <v>119</v>
      </c>
      <c r="C3118" s="5">
        <v>6330</v>
      </c>
      <c r="D3118" s="5" t="s">
        <v>44</v>
      </c>
      <c r="E3118" s="5" t="s">
        <v>40</v>
      </c>
      <c r="F3118" s="6">
        <v>42370</v>
      </c>
      <c r="G3118">
        <v>0</v>
      </c>
    </row>
    <row r="3119" spans="1:7" x14ac:dyDescent="0.25">
      <c r="A3119" s="5" t="s">
        <v>116</v>
      </c>
      <c r="B3119" s="5" t="s">
        <v>119</v>
      </c>
      <c r="C3119" s="5">
        <v>6330</v>
      </c>
      <c r="D3119" s="5" t="s">
        <v>44</v>
      </c>
      <c r="E3119" s="5" t="s">
        <v>40</v>
      </c>
      <c r="F3119" s="6">
        <v>42736</v>
      </c>
      <c r="G3119">
        <v>0</v>
      </c>
    </row>
    <row r="3120" spans="1:7" x14ac:dyDescent="0.25">
      <c r="A3120" s="5" t="s">
        <v>116</v>
      </c>
      <c r="B3120" s="5" t="s">
        <v>119</v>
      </c>
      <c r="C3120" s="5">
        <v>6330</v>
      </c>
      <c r="D3120" s="5" t="s">
        <v>44</v>
      </c>
      <c r="E3120" s="5" t="s">
        <v>41</v>
      </c>
      <c r="F3120" s="6">
        <v>42370</v>
      </c>
      <c r="G3120">
        <v>0</v>
      </c>
    </row>
    <row r="3121" spans="1:7" x14ac:dyDescent="0.25">
      <c r="A3121" s="5" t="s">
        <v>116</v>
      </c>
      <c r="B3121" s="5" t="s">
        <v>119</v>
      </c>
      <c r="C3121" s="5">
        <v>6330</v>
      </c>
      <c r="D3121" s="5" t="s">
        <v>44</v>
      </c>
      <c r="E3121" s="5" t="s">
        <v>41</v>
      </c>
      <c r="F3121" s="6">
        <v>42736</v>
      </c>
      <c r="G3121">
        <v>0</v>
      </c>
    </row>
    <row r="3122" spans="1:7" x14ac:dyDescent="0.25">
      <c r="A3122" s="5" t="s">
        <v>116</v>
      </c>
      <c r="B3122" s="5" t="s">
        <v>119</v>
      </c>
      <c r="C3122" s="5">
        <v>6330</v>
      </c>
      <c r="D3122" s="5" t="s">
        <v>44</v>
      </c>
      <c r="E3122" s="5" t="s">
        <v>42</v>
      </c>
      <c r="F3122" s="6">
        <v>42370</v>
      </c>
      <c r="G3122">
        <v>0</v>
      </c>
    </row>
    <row r="3123" spans="1:7" x14ac:dyDescent="0.25">
      <c r="A3123" s="5" t="s">
        <v>116</v>
      </c>
      <c r="B3123" s="5" t="s">
        <v>119</v>
      </c>
      <c r="C3123" s="5">
        <v>6330</v>
      </c>
      <c r="D3123" s="5" t="s">
        <v>44</v>
      </c>
      <c r="E3123" s="5" t="s">
        <v>42</v>
      </c>
      <c r="F3123" s="6">
        <v>42736</v>
      </c>
      <c r="G3123">
        <v>0</v>
      </c>
    </row>
    <row r="3124" spans="1:7" x14ac:dyDescent="0.25">
      <c r="A3124" s="5" t="s">
        <v>116</v>
      </c>
      <c r="B3124" s="5" t="s">
        <v>119</v>
      </c>
      <c r="C3124" s="5">
        <v>6330</v>
      </c>
      <c r="D3124" s="5" t="s">
        <v>44</v>
      </c>
      <c r="E3124" s="5" t="s">
        <v>43</v>
      </c>
      <c r="F3124" s="6">
        <v>42370</v>
      </c>
      <c r="G3124">
        <v>0</v>
      </c>
    </row>
    <row r="3125" spans="1:7" x14ac:dyDescent="0.25">
      <c r="A3125" s="5" t="s">
        <v>116</v>
      </c>
      <c r="B3125" s="5" t="s">
        <v>119</v>
      </c>
      <c r="C3125" s="5">
        <v>6330</v>
      </c>
      <c r="D3125" s="5" t="s">
        <v>44</v>
      </c>
      <c r="E3125" s="5" t="s">
        <v>43</v>
      </c>
      <c r="F3125" s="6">
        <v>42736</v>
      </c>
      <c r="G3125">
        <v>0</v>
      </c>
    </row>
    <row r="3126" spans="1:7" x14ac:dyDescent="0.25">
      <c r="A3126" s="5" t="s">
        <v>116</v>
      </c>
      <c r="B3126" s="5" t="s">
        <v>119</v>
      </c>
      <c r="C3126" s="5">
        <v>6330</v>
      </c>
      <c r="D3126" s="5" t="s">
        <v>45</v>
      </c>
      <c r="E3126" s="5" t="s">
        <v>46</v>
      </c>
      <c r="F3126" s="6">
        <v>42370</v>
      </c>
      <c r="G3126">
        <v>0</v>
      </c>
    </row>
    <row r="3127" spans="1:7" x14ac:dyDescent="0.25">
      <c r="A3127" s="5" t="s">
        <v>116</v>
      </c>
      <c r="B3127" s="5" t="s">
        <v>119</v>
      </c>
      <c r="C3127" s="5">
        <v>6330</v>
      </c>
      <c r="D3127" s="5" t="s">
        <v>45</v>
      </c>
      <c r="E3127" s="5" t="s">
        <v>46</v>
      </c>
      <c r="F3127" s="6">
        <v>42736</v>
      </c>
      <c r="G3127">
        <v>0</v>
      </c>
    </row>
    <row r="3128" spans="1:7" x14ac:dyDescent="0.25">
      <c r="A3128" s="5" t="s">
        <v>116</v>
      </c>
      <c r="B3128" s="5" t="s">
        <v>119</v>
      </c>
      <c r="C3128" s="5">
        <v>6330</v>
      </c>
      <c r="D3128" s="5" t="s">
        <v>45</v>
      </c>
      <c r="E3128" s="5" t="s">
        <v>47</v>
      </c>
      <c r="F3128" s="6">
        <v>42370</v>
      </c>
      <c r="G3128">
        <v>6</v>
      </c>
    </row>
    <row r="3129" spans="1:7" x14ac:dyDescent="0.25">
      <c r="A3129" s="5" t="s">
        <v>116</v>
      </c>
      <c r="B3129" s="5" t="s">
        <v>119</v>
      </c>
      <c r="C3129" s="5">
        <v>6330</v>
      </c>
      <c r="D3129" s="5" t="s">
        <v>45</v>
      </c>
      <c r="E3129" s="5" t="s">
        <v>47</v>
      </c>
      <c r="F3129" s="6">
        <v>42736</v>
      </c>
      <c r="G3129">
        <v>12</v>
      </c>
    </row>
    <row r="3130" spans="1:7" x14ac:dyDescent="0.25">
      <c r="A3130" s="5" t="s">
        <v>116</v>
      </c>
      <c r="B3130" s="5" t="s">
        <v>119</v>
      </c>
      <c r="C3130" s="5">
        <v>6330</v>
      </c>
      <c r="D3130" s="5" t="s">
        <v>45</v>
      </c>
      <c r="E3130" s="5" t="s">
        <v>48</v>
      </c>
      <c r="F3130" s="6">
        <v>42370</v>
      </c>
      <c r="G3130">
        <v>32</v>
      </c>
    </row>
    <row r="3131" spans="1:7" x14ac:dyDescent="0.25">
      <c r="A3131" s="5" t="s">
        <v>116</v>
      </c>
      <c r="B3131" s="5" t="s">
        <v>119</v>
      </c>
      <c r="C3131" s="5">
        <v>6330</v>
      </c>
      <c r="D3131" s="5" t="s">
        <v>45</v>
      </c>
      <c r="E3131" s="5" t="s">
        <v>48</v>
      </c>
      <c r="F3131" s="6">
        <v>42736</v>
      </c>
      <c r="G3131">
        <v>43</v>
      </c>
    </row>
    <row r="3132" spans="1:7" x14ac:dyDescent="0.25">
      <c r="A3132" s="5" t="s">
        <v>116</v>
      </c>
      <c r="B3132" s="5" t="s">
        <v>119</v>
      </c>
      <c r="C3132" s="5">
        <v>6330</v>
      </c>
      <c r="D3132" s="5" t="s">
        <v>45</v>
      </c>
      <c r="E3132" s="5" t="s">
        <v>49</v>
      </c>
      <c r="F3132" s="6">
        <v>42370</v>
      </c>
      <c r="G3132">
        <v>17</v>
      </c>
    </row>
    <row r="3133" spans="1:7" x14ac:dyDescent="0.25">
      <c r="A3133" s="5" t="s">
        <v>116</v>
      </c>
      <c r="B3133" s="5" t="s">
        <v>119</v>
      </c>
      <c r="C3133" s="5">
        <v>6330</v>
      </c>
      <c r="D3133" s="5" t="s">
        <v>45</v>
      </c>
      <c r="E3133" s="5" t="s">
        <v>49</v>
      </c>
      <c r="F3133" s="6">
        <v>42736</v>
      </c>
      <c r="G3133">
        <v>14</v>
      </c>
    </row>
    <row r="3134" spans="1:7" x14ac:dyDescent="0.25">
      <c r="A3134" s="5" t="s">
        <v>116</v>
      </c>
      <c r="B3134" s="5" t="s">
        <v>119</v>
      </c>
      <c r="C3134" s="5">
        <v>6330</v>
      </c>
      <c r="D3134" s="5" t="s">
        <v>45</v>
      </c>
      <c r="E3134" s="5" t="s">
        <v>50</v>
      </c>
      <c r="F3134" s="6">
        <v>42370</v>
      </c>
      <c r="G3134">
        <v>0</v>
      </c>
    </row>
    <row r="3135" spans="1:7" x14ac:dyDescent="0.25">
      <c r="A3135" s="5" t="s">
        <v>116</v>
      </c>
      <c r="B3135" s="5" t="s">
        <v>119</v>
      </c>
      <c r="C3135" s="5">
        <v>6330</v>
      </c>
      <c r="D3135" s="5" t="s">
        <v>45</v>
      </c>
      <c r="E3135" s="5" t="s">
        <v>50</v>
      </c>
      <c r="F3135" s="6">
        <v>42736</v>
      </c>
      <c r="G3135">
        <v>0</v>
      </c>
    </row>
    <row r="3136" spans="1:7" x14ac:dyDescent="0.25">
      <c r="A3136" s="5" t="s">
        <v>116</v>
      </c>
      <c r="B3136" s="5" t="s">
        <v>119</v>
      </c>
      <c r="C3136" s="5">
        <v>6330</v>
      </c>
      <c r="D3136" s="5" t="s">
        <v>45</v>
      </c>
      <c r="E3136" s="5" t="s">
        <v>51</v>
      </c>
      <c r="F3136" s="6">
        <v>42370</v>
      </c>
      <c r="G3136">
        <v>0</v>
      </c>
    </row>
    <row r="3137" spans="1:7" x14ac:dyDescent="0.25">
      <c r="A3137" s="5" t="s">
        <v>116</v>
      </c>
      <c r="B3137" s="5" t="s">
        <v>119</v>
      </c>
      <c r="C3137" s="5">
        <v>6330</v>
      </c>
      <c r="D3137" s="5" t="s">
        <v>45</v>
      </c>
      <c r="E3137" s="5" t="s">
        <v>51</v>
      </c>
      <c r="F3137" s="6">
        <v>42736</v>
      </c>
      <c r="G3137">
        <v>0</v>
      </c>
    </row>
    <row r="3138" spans="1:7" x14ac:dyDescent="0.25">
      <c r="A3138" s="5" t="s">
        <v>116</v>
      </c>
      <c r="B3138" s="5" t="s">
        <v>119</v>
      </c>
      <c r="C3138" s="5">
        <v>6330</v>
      </c>
      <c r="D3138" s="5" t="s">
        <v>45</v>
      </c>
      <c r="E3138" s="5" t="s">
        <v>52</v>
      </c>
      <c r="F3138" s="6">
        <v>42370</v>
      </c>
      <c r="G3138">
        <v>0</v>
      </c>
    </row>
    <row r="3139" spans="1:7" x14ac:dyDescent="0.25">
      <c r="A3139" s="5" t="s">
        <v>116</v>
      </c>
      <c r="B3139" s="5" t="s">
        <v>119</v>
      </c>
      <c r="C3139" s="5">
        <v>6330</v>
      </c>
      <c r="D3139" s="5" t="s">
        <v>45</v>
      </c>
      <c r="E3139" s="5" t="s">
        <v>52</v>
      </c>
      <c r="F3139" s="6">
        <v>42736</v>
      </c>
      <c r="G3139">
        <v>0</v>
      </c>
    </row>
    <row r="3140" spans="1:7" x14ac:dyDescent="0.25">
      <c r="A3140" s="5" t="s">
        <v>116</v>
      </c>
      <c r="B3140" s="5" t="s">
        <v>119</v>
      </c>
      <c r="C3140" s="5">
        <v>6330</v>
      </c>
      <c r="D3140" s="5" t="s">
        <v>45</v>
      </c>
      <c r="E3140" s="5" t="s">
        <v>53</v>
      </c>
      <c r="F3140" s="6">
        <v>42370</v>
      </c>
      <c r="G3140">
        <v>14</v>
      </c>
    </row>
    <row r="3141" spans="1:7" x14ac:dyDescent="0.25">
      <c r="A3141" s="5" t="s">
        <v>116</v>
      </c>
      <c r="B3141" s="5" t="s">
        <v>119</v>
      </c>
      <c r="C3141" s="5">
        <v>6330</v>
      </c>
      <c r="D3141" s="5" t="s">
        <v>45</v>
      </c>
      <c r="E3141" s="5" t="s">
        <v>53</v>
      </c>
      <c r="F3141" s="6">
        <v>42736</v>
      </c>
      <c r="G3141">
        <v>11</v>
      </c>
    </row>
    <row r="3142" spans="1:7" x14ac:dyDescent="0.25">
      <c r="A3142" s="5" t="s">
        <v>116</v>
      </c>
      <c r="B3142" s="5" t="s">
        <v>119</v>
      </c>
      <c r="C3142" s="5">
        <v>6330</v>
      </c>
      <c r="D3142" s="5" t="s">
        <v>45</v>
      </c>
      <c r="E3142" s="5" t="s">
        <v>54</v>
      </c>
      <c r="F3142" s="6">
        <v>42370</v>
      </c>
      <c r="G3142">
        <v>2</v>
      </c>
    </row>
    <row r="3143" spans="1:7" x14ac:dyDescent="0.25">
      <c r="A3143" s="5" t="s">
        <v>116</v>
      </c>
      <c r="B3143" s="5" t="s">
        <v>119</v>
      </c>
      <c r="C3143" s="5">
        <v>6330</v>
      </c>
      <c r="D3143" s="5" t="s">
        <v>45</v>
      </c>
      <c r="E3143" s="5" t="s">
        <v>54</v>
      </c>
      <c r="F3143" s="6">
        <v>42736</v>
      </c>
      <c r="G3143">
        <v>3</v>
      </c>
    </row>
    <row r="3144" spans="1:7" x14ac:dyDescent="0.25">
      <c r="A3144" s="5" t="s">
        <v>116</v>
      </c>
      <c r="B3144" s="5" t="s">
        <v>119</v>
      </c>
      <c r="C3144" s="5">
        <v>6330</v>
      </c>
      <c r="D3144" s="5" t="s">
        <v>45</v>
      </c>
      <c r="E3144" s="5" t="s">
        <v>55</v>
      </c>
      <c r="F3144" s="6">
        <v>42370</v>
      </c>
      <c r="G3144">
        <v>0</v>
      </c>
    </row>
    <row r="3145" spans="1:7" x14ac:dyDescent="0.25">
      <c r="A3145" s="5" t="s">
        <v>116</v>
      </c>
      <c r="B3145" s="5" t="s">
        <v>119</v>
      </c>
      <c r="C3145" s="5">
        <v>6330</v>
      </c>
      <c r="D3145" s="5" t="s">
        <v>45</v>
      </c>
      <c r="E3145" s="5" t="s">
        <v>55</v>
      </c>
      <c r="F3145" s="6">
        <v>42736</v>
      </c>
      <c r="G3145">
        <v>0</v>
      </c>
    </row>
    <row r="3146" spans="1:7" x14ac:dyDescent="0.25">
      <c r="A3146" s="5" t="s">
        <v>116</v>
      </c>
      <c r="B3146" s="5" t="s">
        <v>119</v>
      </c>
      <c r="C3146" s="5">
        <v>6330</v>
      </c>
      <c r="D3146" s="5" t="s">
        <v>45</v>
      </c>
      <c r="E3146" s="5" t="s">
        <v>56</v>
      </c>
      <c r="F3146" s="6">
        <v>42370</v>
      </c>
      <c r="G3146">
        <v>0</v>
      </c>
    </row>
    <row r="3147" spans="1:7" x14ac:dyDescent="0.25">
      <c r="A3147" s="5" t="s">
        <v>116</v>
      </c>
      <c r="B3147" s="5" t="s">
        <v>119</v>
      </c>
      <c r="C3147" s="5">
        <v>6330</v>
      </c>
      <c r="D3147" s="5" t="s">
        <v>45</v>
      </c>
      <c r="E3147" s="5" t="s">
        <v>56</v>
      </c>
      <c r="F3147" s="6">
        <v>42736</v>
      </c>
      <c r="G3147">
        <v>1</v>
      </c>
    </row>
    <row r="3148" spans="1:7" x14ac:dyDescent="0.25">
      <c r="A3148" s="5" t="s">
        <v>116</v>
      </c>
      <c r="B3148" s="5" t="s">
        <v>119</v>
      </c>
      <c r="C3148" s="5">
        <v>6330</v>
      </c>
      <c r="D3148" s="5" t="s">
        <v>45</v>
      </c>
      <c r="E3148" s="5" t="s">
        <v>57</v>
      </c>
      <c r="F3148" s="6">
        <v>42370</v>
      </c>
      <c r="G3148">
        <v>0</v>
      </c>
    </row>
    <row r="3149" spans="1:7" x14ac:dyDescent="0.25">
      <c r="A3149" s="5" t="s">
        <v>116</v>
      </c>
      <c r="B3149" s="5" t="s">
        <v>119</v>
      </c>
      <c r="C3149" s="5">
        <v>6330</v>
      </c>
      <c r="D3149" s="5" t="s">
        <v>45</v>
      </c>
      <c r="E3149" s="5" t="s">
        <v>57</v>
      </c>
      <c r="F3149" s="6">
        <v>42736</v>
      </c>
      <c r="G3149">
        <v>2</v>
      </c>
    </row>
    <row r="3150" spans="1:7" x14ac:dyDescent="0.25">
      <c r="A3150" s="5" t="s">
        <v>116</v>
      </c>
      <c r="B3150" s="5" t="s">
        <v>119</v>
      </c>
      <c r="C3150" s="5">
        <v>6330</v>
      </c>
      <c r="D3150" s="5" t="s">
        <v>45</v>
      </c>
      <c r="E3150" s="5" t="s">
        <v>58</v>
      </c>
      <c r="F3150" s="6">
        <v>42370</v>
      </c>
      <c r="G3150">
        <v>0</v>
      </c>
    </row>
    <row r="3151" spans="1:7" x14ac:dyDescent="0.25">
      <c r="A3151" s="5" t="s">
        <v>116</v>
      </c>
      <c r="B3151" s="5" t="s">
        <v>119</v>
      </c>
      <c r="C3151" s="5">
        <v>6330</v>
      </c>
      <c r="D3151" s="5" t="s">
        <v>45</v>
      </c>
      <c r="E3151" s="5" t="s">
        <v>58</v>
      </c>
      <c r="F3151" s="6">
        <v>42736</v>
      </c>
      <c r="G3151">
        <v>0</v>
      </c>
    </row>
    <row r="3152" spans="1:7" x14ac:dyDescent="0.25">
      <c r="A3152" s="5" t="s">
        <v>116</v>
      </c>
      <c r="B3152" s="5" t="s">
        <v>119</v>
      </c>
      <c r="C3152" s="5">
        <v>6330</v>
      </c>
      <c r="D3152" s="5" t="s">
        <v>45</v>
      </c>
      <c r="E3152" s="5" t="s">
        <v>59</v>
      </c>
      <c r="F3152" s="6">
        <v>42370</v>
      </c>
      <c r="G3152">
        <v>0</v>
      </c>
    </row>
    <row r="3153" spans="1:7" x14ac:dyDescent="0.25">
      <c r="A3153" s="5" t="s">
        <v>116</v>
      </c>
      <c r="B3153" s="5" t="s">
        <v>119</v>
      </c>
      <c r="C3153" s="5">
        <v>6330</v>
      </c>
      <c r="D3153" s="5" t="s">
        <v>45</v>
      </c>
      <c r="E3153" s="5" t="s">
        <v>59</v>
      </c>
      <c r="F3153" s="6">
        <v>42736</v>
      </c>
      <c r="G3153">
        <v>0</v>
      </c>
    </row>
    <row r="3154" spans="1:7" x14ac:dyDescent="0.25">
      <c r="A3154" s="5" t="s">
        <v>116</v>
      </c>
      <c r="B3154" s="5" t="s">
        <v>119</v>
      </c>
      <c r="C3154" s="5">
        <v>6330</v>
      </c>
      <c r="D3154" s="5" t="s">
        <v>45</v>
      </c>
      <c r="E3154" s="5" t="s">
        <v>60</v>
      </c>
      <c r="F3154" s="6">
        <v>42370</v>
      </c>
      <c r="G3154">
        <v>2</v>
      </c>
    </row>
    <row r="3155" spans="1:7" x14ac:dyDescent="0.25">
      <c r="A3155" s="5" t="s">
        <v>116</v>
      </c>
      <c r="B3155" s="5" t="s">
        <v>119</v>
      </c>
      <c r="C3155" s="5">
        <v>6330</v>
      </c>
      <c r="D3155" s="5" t="s">
        <v>45</v>
      </c>
      <c r="E3155" s="5" t="s">
        <v>60</v>
      </c>
      <c r="F3155" s="6">
        <v>42736</v>
      </c>
      <c r="G3155">
        <v>3</v>
      </c>
    </row>
    <row r="3156" spans="1:7" x14ac:dyDescent="0.25">
      <c r="A3156" s="5" t="s">
        <v>116</v>
      </c>
      <c r="B3156" s="5" t="s">
        <v>119</v>
      </c>
      <c r="C3156" s="5">
        <v>6330</v>
      </c>
      <c r="D3156" s="5" t="s">
        <v>45</v>
      </c>
      <c r="E3156" s="5" t="s">
        <v>61</v>
      </c>
      <c r="F3156" s="6">
        <v>42370</v>
      </c>
      <c r="G3156">
        <v>4</v>
      </c>
    </row>
    <row r="3157" spans="1:7" x14ac:dyDescent="0.25">
      <c r="A3157" s="5" t="s">
        <v>116</v>
      </c>
      <c r="B3157" s="5" t="s">
        <v>119</v>
      </c>
      <c r="C3157" s="5">
        <v>6330</v>
      </c>
      <c r="D3157" s="5" t="s">
        <v>45</v>
      </c>
      <c r="E3157" s="5" t="s">
        <v>61</v>
      </c>
      <c r="F3157" s="6">
        <v>42736</v>
      </c>
      <c r="G3157">
        <v>6</v>
      </c>
    </row>
    <row r="3158" spans="1:7" x14ac:dyDescent="0.25">
      <c r="A3158" s="5" t="s">
        <v>116</v>
      </c>
      <c r="B3158" s="5" t="s">
        <v>119</v>
      </c>
      <c r="C3158" s="5">
        <v>6330</v>
      </c>
      <c r="D3158" s="5" t="s">
        <v>62</v>
      </c>
      <c r="E3158" s="5" t="s">
        <v>63</v>
      </c>
      <c r="F3158" s="6">
        <v>42370</v>
      </c>
      <c r="G3158">
        <v>0</v>
      </c>
    </row>
    <row r="3159" spans="1:7" x14ac:dyDescent="0.25">
      <c r="A3159" s="5" t="s">
        <v>116</v>
      </c>
      <c r="B3159" s="5" t="s">
        <v>119</v>
      </c>
      <c r="C3159" s="5">
        <v>6330</v>
      </c>
      <c r="D3159" s="5" t="s">
        <v>62</v>
      </c>
      <c r="E3159" s="5" t="s">
        <v>63</v>
      </c>
      <c r="F3159" s="6">
        <v>42736</v>
      </c>
      <c r="G3159">
        <v>0</v>
      </c>
    </row>
    <row r="3160" spans="1:7" x14ac:dyDescent="0.25">
      <c r="A3160" s="5" t="s">
        <v>116</v>
      </c>
      <c r="B3160" s="5" t="s">
        <v>119</v>
      </c>
      <c r="C3160" s="5">
        <v>6330</v>
      </c>
      <c r="D3160" s="5" t="s">
        <v>62</v>
      </c>
      <c r="E3160" s="5" t="s">
        <v>64</v>
      </c>
      <c r="F3160" s="6">
        <v>42370</v>
      </c>
      <c r="G3160">
        <v>0</v>
      </c>
    </row>
    <row r="3161" spans="1:7" x14ac:dyDescent="0.25">
      <c r="A3161" s="5" t="s">
        <v>116</v>
      </c>
      <c r="B3161" s="5" t="s">
        <v>119</v>
      </c>
      <c r="C3161" s="5">
        <v>6330</v>
      </c>
      <c r="D3161" s="5" t="s">
        <v>62</v>
      </c>
      <c r="E3161" s="5" t="s">
        <v>64</v>
      </c>
      <c r="F3161" s="6">
        <v>42736</v>
      </c>
      <c r="G3161">
        <v>0</v>
      </c>
    </row>
    <row r="3162" spans="1:7" x14ac:dyDescent="0.25">
      <c r="A3162" s="5" t="s">
        <v>116</v>
      </c>
      <c r="B3162" s="5" t="s">
        <v>119</v>
      </c>
      <c r="C3162" s="5">
        <v>6330</v>
      </c>
      <c r="D3162" s="5" t="s">
        <v>62</v>
      </c>
      <c r="E3162" s="5" t="s">
        <v>9</v>
      </c>
      <c r="F3162" s="6">
        <v>42370</v>
      </c>
      <c r="G3162">
        <v>0</v>
      </c>
    </row>
    <row r="3163" spans="1:7" x14ac:dyDescent="0.25">
      <c r="A3163" s="5" t="s">
        <v>116</v>
      </c>
      <c r="B3163" s="5" t="s">
        <v>119</v>
      </c>
      <c r="C3163" s="5">
        <v>6330</v>
      </c>
      <c r="D3163" s="5" t="s">
        <v>62</v>
      </c>
      <c r="E3163" s="5" t="s">
        <v>9</v>
      </c>
      <c r="F3163" s="6">
        <v>42736</v>
      </c>
      <c r="G3163">
        <v>0</v>
      </c>
    </row>
    <row r="3164" spans="1:7" x14ac:dyDescent="0.25">
      <c r="A3164" s="5" t="s">
        <v>116</v>
      </c>
      <c r="B3164" s="5" t="s">
        <v>119</v>
      </c>
      <c r="C3164" s="5">
        <v>6330</v>
      </c>
      <c r="D3164" s="5" t="s">
        <v>62</v>
      </c>
      <c r="E3164" s="5" t="s">
        <v>65</v>
      </c>
      <c r="F3164" s="6">
        <v>42370</v>
      </c>
      <c r="G3164">
        <v>0</v>
      </c>
    </row>
    <row r="3165" spans="1:7" x14ac:dyDescent="0.25">
      <c r="A3165" s="5" t="s">
        <v>116</v>
      </c>
      <c r="B3165" s="5" t="s">
        <v>119</v>
      </c>
      <c r="C3165" s="5">
        <v>6330</v>
      </c>
      <c r="D3165" s="5" t="s">
        <v>62</v>
      </c>
      <c r="E3165" s="5" t="s">
        <v>65</v>
      </c>
      <c r="F3165" s="6">
        <v>42736</v>
      </c>
      <c r="G3165">
        <v>0</v>
      </c>
    </row>
    <row r="3166" spans="1:7" x14ac:dyDescent="0.25">
      <c r="A3166" s="5" t="s">
        <v>116</v>
      </c>
      <c r="B3166" s="5" t="s">
        <v>119</v>
      </c>
      <c r="C3166" s="5">
        <v>6330</v>
      </c>
      <c r="D3166" s="5" t="s">
        <v>62</v>
      </c>
      <c r="E3166" s="5" t="s">
        <v>66</v>
      </c>
      <c r="F3166" s="6">
        <v>42370</v>
      </c>
      <c r="G3166">
        <v>0</v>
      </c>
    </row>
    <row r="3167" spans="1:7" x14ac:dyDescent="0.25">
      <c r="A3167" s="5" t="s">
        <v>116</v>
      </c>
      <c r="B3167" s="5" t="s">
        <v>119</v>
      </c>
      <c r="C3167" s="5">
        <v>6330</v>
      </c>
      <c r="D3167" s="5" t="s">
        <v>62</v>
      </c>
      <c r="E3167" s="5" t="s">
        <v>66</v>
      </c>
      <c r="F3167" s="6">
        <v>42736</v>
      </c>
      <c r="G3167">
        <v>0</v>
      </c>
    </row>
    <row r="3168" spans="1:7" x14ac:dyDescent="0.25">
      <c r="A3168" s="5" t="s">
        <v>116</v>
      </c>
      <c r="B3168" s="5" t="s">
        <v>119</v>
      </c>
      <c r="C3168" s="5">
        <v>6330</v>
      </c>
      <c r="D3168" s="5" t="s">
        <v>62</v>
      </c>
      <c r="E3168" s="5" t="s">
        <v>67</v>
      </c>
      <c r="F3168" s="6">
        <v>42370</v>
      </c>
      <c r="G3168">
        <v>0</v>
      </c>
    </row>
    <row r="3169" spans="1:7" x14ac:dyDescent="0.25">
      <c r="A3169" s="5" t="s">
        <v>116</v>
      </c>
      <c r="B3169" s="5" t="s">
        <v>119</v>
      </c>
      <c r="C3169" s="5">
        <v>6330</v>
      </c>
      <c r="D3169" s="5" t="s">
        <v>62</v>
      </c>
      <c r="E3169" s="5" t="s">
        <v>67</v>
      </c>
      <c r="F3169" s="6">
        <v>42736</v>
      </c>
      <c r="G3169">
        <v>0</v>
      </c>
    </row>
    <row r="3170" spans="1:7" x14ac:dyDescent="0.25">
      <c r="A3170" s="5" t="s">
        <v>116</v>
      </c>
      <c r="B3170" s="5" t="s">
        <v>119</v>
      </c>
      <c r="C3170" s="5">
        <v>6330</v>
      </c>
      <c r="D3170" s="5" t="s">
        <v>62</v>
      </c>
      <c r="E3170" s="5" t="s">
        <v>68</v>
      </c>
      <c r="F3170" s="6">
        <v>42370</v>
      </c>
      <c r="G3170">
        <v>0</v>
      </c>
    </row>
    <row r="3171" spans="1:7" x14ac:dyDescent="0.25">
      <c r="A3171" s="5" t="s">
        <v>116</v>
      </c>
      <c r="B3171" s="5" t="s">
        <v>119</v>
      </c>
      <c r="C3171" s="5">
        <v>6330</v>
      </c>
      <c r="D3171" s="5" t="s">
        <v>62</v>
      </c>
      <c r="E3171" s="5" t="s">
        <v>68</v>
      </c>
      <c r="F3171" s="6">
        <v>42736</v>
      </c>
      <c r="G3171">
        <v>0</v>
      </c>
    </row>
    <row r="3172" spans="1:7" x14ac:dyDescent="0.25">
      <c r="A3172" s="5" t="s">
        <v>116</v>
      </c>
      <c r="B3172" s="5" t="s">
        <v>119</v>
      </c>
      <c r="C3172" s="5">
        <v>6330</v>
      </c>
      <c r="D3172" s="5" t="s">
        <v>62</v>
      </c>
      <c r="E3172" s="5" t="s">
        <v>69</v>
      </c>
      <c r="F3172" s="6">
        <v>42370</v>
      </c>
      <c r="G3172">
        <v>0</v>
      </c>
    </row>
    <row r="3173" spans="1:7" x14ac:dyDescent="0.25">
      <c r="A3173" s="5" t="s">
        <v>116</v>
      </c>
      <c r="B3173" s="5" t="s">
        <v>119</v>
      </c>
      <c r="C3173" s="5">
        <v>6330</v>
      </c>
      <c r="D3173" s="5" t="s">
        <v>62</v>
      </c>
      <c r="E3173" s="5" t="s">
        <v>69</v>
      </c>
      <c r="F3173" s="6">
        <v>42736</v>
      </c>
      <c r="G3173">
        <v>0</v>
      </c>
    </row>
    <row r="3174" spans="1:7" x14ac:dyDescent="0.25">
      <c r="A3174" s="5" t="s">
        <v>116</v>
      </c>
      <c r="B3174" s="5" t="s">
        <v>119</v>
      </c>
      <c r="C3174" s="5">
        <v>6330</v>
      </c>
      <c r="D3174" s="5" t="s">
        <v>62</v>
      </c>
      <c r="E3174" s="5" t="s">
        <v>70</v>
      </c>
      <c r="F3174" s="6">
        <v>42370</v>
      </c>
      <c r="G3174">
        <v>0</v>
      </c>
    </row>
    <row r="3175" spans="1:7" x14ac:dyDescent="0.25">
      <c r="A3175" s="5" t="s">
        <v>116</v>
      </c>
      <c r="B3175" s="5" t="s">
        <v>119</v>
      </c>
      <c r="C3175" s="5">
        <v>6330</v>
      </c>
      <c r="D3175" s="5" t="s">
        <v>62</v>
      </c>
      <c r="E3175" s="5" t="s">
        <v>70</v>
      </c>
      <c r="F3175" s="6">
        <v>42736</v>
      </c>
      <c r="G3175">
        <v>0</v>
      </c>
    </row>
    <row r="3176" spans="1:7" x14ac:dyDescent="0.25">
      <c r="A3176" s="5" t="s">
        <v>116</v>
      </c>
      <c r="B3176" s="5" t="s">
        <v>119</v>
      </c>
      <c r="C3176" s="5">
        <v>6330</v>
      </c>
      <c r="D3176" s="5" t="s">
        <v>62</v>
      </c>
      <c r="E3176" s="5" t="s">
        <v>71</v>
      </c>
      <c r="F3176" s="6">
        <v>42370</v>
      </c>
      <c r="G3176">
        <v>0</v>
      </c>
    </row>
    <row r="3177" spans="1:7" x14ac:dyDescent="0.25">
      <c r="A3177" s="5" t="s">
        <v>116</v>
      </c>
      <c r="B3177" s="5" t="s">
        <v>119</v>
      </c>
      <c r="C3177" s="5">
        <v>6330</v>
      </c>
      <c r="D3177" s="5" t="s">
        <v>62</v>
      </c>
      <c r="E3177" s="5" t="s">
        <v>71</v>
      </c>
      <c r="F3177" s="6">
        <v>42736</v>
      </c>
      <c r="G3177">
        <v>0</v>
      </c>
    </row>
    <row r="3178" spans="1:7" x14ac:dyDescent="0.25">
      <c r="A3178" s="5" t="s">
        <v>116</v>
      </c>
      <c r="B3178" s="5" t="s">
        <v>119</v>
      </c>
      <c r="C3178" s="5">
        <v>6330</v>
      </c>
      <c r="D3178" s="5" t="s">
        <v>72</v>
      </c>
      <c r="E3178" s="5" t="s">
        <v>73</v>
      </c>
      <c r="F3178" s="6">
        <v>42370</v>
      </c>
      <c r="G3178">
        <v>0</v>
      </c>
    </row>
    <row r="3179" spans="1:7" x14ac:dyDescent="0.25">
      <c r="A3179" s="5" t="s">
        <v>116</v>
      </c>
      <c r="B3179" s="5" t="s">
        <v>119</v>
      </c>
      <c r="C3179" s="5">
        <v>6330</v>
      </c>
      <c r="D3179" s="5" t="s">
        <v>72</v>
      </c>
      <c r="E3179" s="5" t="s">
        <v>73</v>
      </c>
      <c r="F3179" s="6">
        <v>42736</v>
      </c>
      <c r="G3179">
        <v>0</v>
      </c>
    </row>
    <row r="3180" spans="1:7" x14ac:dyDescent="0.25">
      <c r="A3180" s="5" t="s">
        <v>116</v>
      </c>
      <c r="B3180" s="5" t="s">
        <v>119</v>
      </c>
      <c r="C3180" s="5">
        <v>6330</v>
      </c>
      <c r="D3180" s="5" t="s">
        <v>72</v>
      </c>
      <c r="E3180" s="5" t="s">
        <v>9</v>
      </c>
      <c r="F3180" s="6">
        <v>42370</v>
      </c>
      <c r="G3180">
        <v>0</v>
      </c>
    </row>
    <row r="3181" spans="1:7" x14ac:dyDescent="0.25">
      <c r="A3181" s="5" t="s">
        <v>116</v>
      </c>
      <c r="B3181" s="5" t="s">
        <v>119</v>
      </c>
      <c r="C3181" s="5">
        <v>6330</v>
      </c>
      <c r="D3181" s="5" t="s">
        <v>72</v>
      </c>
      <c r="E3181" s="5" t="s">
        <v>9</v>
      </c>
      <c r="F3181" s="6">
        <v>42736</v>
      </c>
      <c r="G3181">
        <v>0</v>
      </c>
    </row>
    <row r="3182" spans="1:7" x14ac:dyDescent="0.25">
      <c r="A3182" s="5" t="s">
        <v>116</v>
      </c>
      <c r="B3182" s="5" t="s">
        <v>119</v>
      </c>
      <c r="C3182" s="5">
        <v>6330</v>
      </c>
      <c r="D3182" s="5" t="s">
        <v>72</v>
      </c>
      <c r="E3182" s="5" t="s">
        <v>34</v>
      </c>
      <c r="F3182" s="6">
        <v>42370</v>
      </c>
      <c r="G3182">
        <v>0</v>
      </c>
    </row>
    <row r="3183" spans="1:7" x14ac:dyDescent="0.25">
      <c r="A3183" s="5" t="s">
        <v>116</v>
      </c>
      <c r="B3183" s="5" t="s">
        <v>119</v>
      </c>
      <c r="C3183" s="5">
        <v>6330</v>
      </c>
      <c r="D3183" s="5" t="s">
        <v>72</v>
      </c>
      <c r="E3183" s="5" t="s">
        <v>34</v>
      </c>
      <c r="F3183" s="6">
        <v>42736</v>
      </c>
      <c r="G3183">
        <v>0</v>
      </c>
    </row>
    <row r="3184" spans="1:7" x14ac:dyDescent="0.25">
      <c r="A3184" s="5" t="s">
        <v>116</v>
      </c>
      <c r="B3184" s="5" t="s">
        <v>119</v>
      </c>
      <c r="C3184" s="5">
        <v>6330</v>
      </c>
      <c r="D3184" s="5" t="s">
        <v>72</v>
      </c>
      <c r="E3184" s="5" t="s">
        <v>74</v>
      </c>
      <c r="F3184" s="6">
        <v>42370</v>
      </c>
      <c r="G3184">
        <v>0</v>
      </c>
    </row>
    <row r="3185" spans="1:7" x14ac:dyDescent="0.25">
      <c r="A3185" s="5" t="s">
        <v>116</v>
      </c>
      <c r="B3185" s="5" t="s">
        <v>119</v>
      </c>
      <c r="C3185" s="5">
        <v>6330</v>
      </c>
      <c r="D3185" s="5" t="s">
        <v>72</v>
      </c>
      <c r="E3185" s="5" t="s">
        <v>74</v>
      </c>
      <c r="F3185" s="6">
        <v>42736</v>
      </c>
      <c r="G3185">
        <v>0</v>
      </c>
    </row>
    <row r="3186" spans="1:7" x14ac:dyDescent="0.25">
      <c r="A3186" s="5" t="s">
        <v>116</v>
      </c>
      <c r="B3186" s="5" t="s">
        <v>119</v>
      </c>
      <c r="C3186" s="5">
        <v>6330</v>
      </c>
      <c r="D3186" s="5" t="s">
        <v>72</v>
      </c>
      <c r="E3186" s="5" t="s">
        <v>75</v>
      </c>
      <c r="F3186" s="6">
        <v>42370</v>
      </c>
      <c r="G3186">
        <v>0</v>
      </c>
    </row>
    <row r="3187" spans="1:7" x14ac:dyDescent="0.25">
      <c r="A3187" s="5" t="s">
        <v>116</v>
      </c>
      <c r="B3187" s="5" t="s">
        <v>119</v>
      </c>
      <c r="C3187" s="5">
        <v>6330</v>
      </c>
      <c r="D3187" s="5" t="s">
        <v>72</v>
      </c>
      <c r="E3187" s="5" t="s">
        <v>75</v>
      </c>
      <c r="F3187" s="6">
        <v>42736</v>
      </c>
      <c r="G3187">
        <v>0</v>
      </c>
    </row>
    <row r="3188" spans="1:7" x14ac:dyDescent="0.25">
      <c r="A3188" s="5" t="s">
        <v>116</v>
      </c>
      <c r="B3188" s="5" t="s">
        <v>119</v>
      </c>
      <c r="C3188" s="5">
        <v>6330</v>
      </c>
      <c r="D3188" s="5" t="s">
        <v>76</v>
      </c>
      <c r="E3188" s="5" t="s">
        <v>9</v>
      </c>
      <c r="F3188" s="6">
        <v>42370</v>
      </c>
      <c r="G3188">
        <v>0</v>
      </c>
    </row>
    <row r="3189" spans="1:7" x14ac:dyDescent="0.25">
      <c r="A3189" s="5" t="s">
        <v>116</v>
      </c>
      <c r="B3189" s="5" t="s">
        <v>119</v>
      </c>
      <c r="C3189" s="5">
        <v>6330</v>
      </c>
      <c r="D3189" s="5" t="s">
        <v>76</v>
      </c>
      <c r="E3189" s="5" t="s">
        <v>9</v>
      </c>
      <c r="F3189" s="6">
        <v>42736</v>
      </c>
      <c r="G3189">
        <v>0</v>
      </c>
    </row>
    <row r="3190" spans="1:7" x14ac:dyDescent="0.25">
      <c r="A3190" s="5" t="s">
        <v>116</v>
      </c>
      <c r="B3190" s="5" t="s">
        <v>119</v>
      </c>
      <c r="C3190" s="5">
        <v>6330</v>
      </c>
      <c r="D3190" s="5" t="s">
        <v>76</v>
      </c>
      <c r="E3190" s="5" t="s">
        <v>77</v>
      </c>
      <c r="F3190" s="6">
        <v>42370</v>
      </c>
      <c r="G3190">
        <v>0</v>
      </c>
    </row>
    <row r="3191" spans="1:7" x14ac:dyDescent="0.25">
      <c r="A3191" s="5" t="s">
        <v>116</v>
      </c>
      <c r="B3191" s="5" t="s">
        <v>119</v>
      </c>
      <c r="C3191" s="5">
        <v>6330</v>
      </c>
      <c r="D3191" s="5" t="s">
        <v>76</v>
      </c>
      <c r="E3191" s="5" t="s">
        <v>77</v>
      </c>
      <c r="F3191" s="6">
        <v>42736</v>
      </c>
      <c r="G3191">
        <v>0</v>
      </c>
    </row>
    <row r="3192" spans="1:7" x14ac:dyDescent="0.25">
      <c r="A3192" s="5" t="s">
        <v>116</v>
      </c>
      <c r="B3192" s="5" t="s">
        <v>119</v>
      </c>
      <c r="C3192" s="5">
        <v>6330</v>
      </c>
      <c r="D3192" s="5" t="s">
        <v>78</v>
      </c>
      <c r="E3192" s="5" t="s">
        <v>79</v>
      </c>
      <c r="F3192" s="6">
        <v>42370</v>
      </c>
      <c r="G3192">
        <v>12</v>
      </c>
    </row>
    <row r="3193" spans="1:7" x14ac:dyDescent="0.25">
      <c r="A3193" s="5" t="s">
        <v>116</v>
      </c>
      <c r="B3193" s="5" t="s">
        <v>119</v>
      </c>
      <c r="C3193" s="5">
        <v>6330</v>
      </c>
      <c r="D3193" s="5" t="s">
        <v>78</v>
      </c>
      <c r="E3193" s="5" t="s">
        <v>79</v>
      </c>
      <c r="F3193" s="6">
        <v>42736</v>
      </c>
      <c r="G3193">
        <v>4</v>
      </c>
    </row>
    <row r="3194" spans="1:7" x14ac:dyDescent="0.25">
      <c r="A3194" s="5" t="s">
        <v>116</v>
      </c>
      <c r="B3194" s="5" t="s">
        <v>119</v>
      </c>
      <c r="C3194" s="5">
        <v>6330</v>
      </c>
      <c r="D3194" s="5" t="s">
        <v>78</v>
      </c>
      <c r="E3194" s="5" t="s">
        <v>80</v>
      </c>
      <c r="F3194" s="6">
        <v>42370</v>
      </c>
      <c r="G3194">
        <v>0</v>
      </c>
    </row>
    <row r="3195" spans="1:7" x14ac:dyDescent="0.25">
      <c r="A3195" s="5" t="s">
        <v>116</v>
      </c>
      <c r="B3195" s="5" t="s">
        <v>119</v>
      </c>
      <c r="C3195" s="5">
        <v>6330</v>
      </c>
      <c r="D3195" s="5" t="s">
        <v>78</v>
      </c>
      <c r="E3195" s="5" t="s">
        <v>80</v>
      </c>
      <c r="F3195" s="6">
        <v>42736</v>
      </c>
      <c r="G3195">
        <v>0</v>
      </c>
    </row>
    <row r="3196" spans="1:7" x14ac:dyDescent="0.25">
      <c r="A3196" s="5" t="s">
        <v>116</v>
      </c>
      <c r="B3196" s="5" t="s">
        <v>119</v>
      </c>
      <c r="C3196" s="5">
        <v>6330</v>
      </c>
      <c r="D3196" s="5" t="s">
        <v>78</v>
      </c>
      <c r="E3196" s="5" t="s">
        <v>81</v>
      </c>
      <c r="F3196" s="6">
        <v>42370</v>
      </c>
      <c r="G3196">
        <v>556</v>
      </c>
    </row>
    <row r="3197" spans="1:7" x14ac:dyDescent="0.25">
      <c r="A3197" s="5" t="s">
        <v>116</v>
      </c>
      <c r="B3197" s="5" t="s">
        <v>119</v>
      </c>
      <c r="C3197" s="5">
        <v>6330</v>
      </c>
      <c r="D3197" s="5" t="s">
        <v>78</v>
      </c>
      <c r="E3197" s="5" t="s">
        <v>81</v>
      </c>
      <c r="F3197" s="6">
        <v>42736</v>
      </c>
      <c r="G3197">
        <v>846</v>
      </c>
    </row>
    <row r="3198" spans="1:7" x14ac:dyDescent="0.25">
      <c r="A3198" s="5" t="s">
        <v>116</v>
      </c>
      <c r="B3198" s="5" t="s">
        <v>119</v>
      </c>
      <c r="C3198" s="5">
        <v>6330</v>
      </c>
      <c r="D3198" s="5" t="s">
        <v>78</v>
      </c>
      <c r="E3198" s="5" t="s">
        <v>82</v>
      </c>
      <c r="F3198" s="6">
        <v>42370</v>
      </c>
      <c r="G3198">
        <v>0</v>
      </c>
    </row>
    <row r="3199" spans="1:7" x14ac:dyDescent="0.25">
      <c r="A3199" s="5" t="s">
        <v>116</v>
      </c>
      <c r="B3199" s="5" t="s">
        <v>119</v>
      </c>
      <c r="C3199" s="5">
        <v>6330</v>
      </c>
      <c r="D3199" s="5" t="s">
        <v>78</v>
      </c>
      <c r="E3199" s="5" t="s">
        <v>82</v>
      </c>
      <c r="F3199" s="6">
        <v>42736</v>
      </c>
      <c r="G3199">
        <v>0</v>
      </c>
    </row>
    <row r="3200" spans="1:7" x14ac:dyDescent="0.25">
      <c r="A3200" s="5" t="s">
        <v>116</v>
      </c>
      <c r="B3200" s="5" t="s">
        <v>119</v>
      </c>
      <c r="C3200" s="5">
        <v>6330</v>
      </c>
      <c r="D3200" s="5" t="s">
        <v>78</v>
      </c>
      <c r="E3200" s="5" t="s">
        <v>83</v>
      </c>
      <c r="F3200" s="6">
        <v>42370</v>
      </c>
      <c r="G3200">
        <v>0</v>
      </c>
    </row>
    <row r="3201" spans="1:7" x14ac:dyDescent="0.25">
      <c r="A3201" s="5" t="s">
        <v>116</v>
      </c>
      <c r="B3201" s="5" t="s">
        <v>119</v>
      </c>
      <c r="C3201" s="5">
        <v>6330</v>
      </c>
      <c r="D3201" s="5" t="s">
        <v>78</v>
      </c>
      <c r="E3201" s="5" t="s">
        <v>83</v>
      </c>
      <c r="F3201" s="6">
        <v>42736</v>
      </c>
      <c r="G3201">
        <v>0</v>
      </c>
    </row>
    <row r="3202" spans="1:7" x14ac:dyDescent="0.25">
      <c r="A3202" s="5" t="s">
        <v>116</v>
      </c>
      <c r="B3202" s="5" t="s">
        <v>119</v>
      </c>
      <c r="C3202" s="5">
        <v>6330</v>
      </c>
      <c r="D3202" s="5" t="s">
        <v>78</v>
      </c>
      <c r="E3202" s="5" t="s">
        <v>84</v>
      </c>
      <c r="F3202" s="6">
        <v>42370</v>
      </c>
      <c r="G3202">
        <v>0</v>
      </c>
    </row>
    <row r="3203" spans="1:7" x14ac:dyDescent="0.25">
      <c r="A3203" s="5" t="s">
        <v>116</v>
      </c>
      <c r="B3203" s="5" t="s">
        <v>119</v>
      </c>
      <c r="C3203" s="5">
        <v>6330</v>
      </c>
      <c r="D3203" s="5" t="s">
        <v>78</v>
      </c>
      <c r="E3203" s="5" t="s">
        <v>84</v>
      </c>
      <c r="F3203" s="6">
        <v>42736</v>
      </c>
      <c r="G3203">
        <v>0</v>
      </c>
    </row>
    <row r="3204" spans="1:7" x14ac:dyDescent="0.25">
      <c r="A3204" s="5" t="s">
        <v>116</v>
      </c>
      <c r="B3204" s="5" t="s">
        <v>119</v>
      </c>
      <c r="C3204" s="5">
        <v>6330</v>
      </c>
      <c r="D3204" s="5" t="s">
        <v>78</v>
      </c>
      <c r="E3204" s="5" t="s">
        <v>85</v>
      </c>
      <c r="F3204" s="6">
        <v>42370</v>
      </c>
      <c r="G3204">
        <v>0</v>
      </c>
    </row>
    <row r="3205" spans="1:7" x14ac:dyDescent="0.25">
      <c r="A3205" s="5" t="s">
        <v>116</v>
      </c>
      <c r="B3205" s="5" t="s">
        <v>119</v>
      </c>
      <c r="C3205" s="5">
        <v>6330</v>
      </c>
      <c r="D3205" s="5" t="s">
        <v>78</v>
      </c>
      <c r="E3205" s="5" t="s">
        <v>85</v>
      </c>
      <c r="F3205" s="6">
        <v>42736</v>
      </c>
      <c r="G3205">
        <v>0</v>
      </c>
    </row>
    <row r="3206" spans="1:7" x14ac:dyDescent="0.25">
      <c r="A3206" s="5" t="s">
        <v>116</v>
      </c>
      <c r="B3206" s="5" t="s">
        <v>119</v>
      </c>
      <c r="C3206" s="5">
        <v>6330</v>
      </c>
      <c r="D3206" s="5" t="s">
        <v>78</v>
      </c>
      <c r="E3206" s="5" t="s">
        <v>86</v>
      </c>
      <c r="F3206" s="6">
        <v>42370</v>
      </c>
      <c r="G3206">
        <v>32</v>
      </c>
    </row>
    <row r="3207" spans="1:7" x14ac:dyDescent="0.25">
      <c r="A3207" s="5" t="s">
        <v>116</v>
      </c>
      <c r="B3207" s="5" t="s">
        <v>119</v>
      </c>
      <c r="C3207" s="5">
        <v>6330</v>
      </c>
      <c r="D3207" s="5" t="s">
        <v>78</v>
      </c>
      <c r="E3207" s="5" t="s">
        <v>86</v>
      </c>
      <c r="F3207" s="6">
        <v>42736</v>
      </c>
      <c r="G3207">
        <v>34</v>
      </c>
    </row>
    <row r="3208" spans="1:7" x14ac:dyDescent="0.25">
      <c r="A3208" s="5" t="s">
        <v>116</v>
      </c>
      <c r="B3208" s="5" t="s">
        <v>119</v>
      </c>
      <c r="C3208" s="5">
        <v>6330</v>
      </c>
      <c r="D3208" s="5" t="s">
        <v>78</v>
      </c>
      <c r="E3208" s="5" t="s">
        <v>87</v>
      </c>
      <c r="F3208" s="6">
        <v>42370</v>
      </c>
      <c r="G3208">
        <v>5</v>
      </c>
    </row>
    <row r="3209" spans="1:7" x14ac:dyDescent="0.25">
      <c r="A3209" s="5" t="s">
        <v>116</v>
      </c>
      <c r="B3209" s="5" t="s">
        <v>119</v>
      </c>
      <c r="C3209" s="5">
        <v>6330</v>
      </c>
      <c r="D3209" s="5" t="s">
        <v>78</v>
      </c>
      <c r="E3209" s="5" t="s">
        <v>87</v>
      </c>
      <c r="F3209" s="6">
        <v>42736</v>
      </c>
      <c r="G3209">
        <v>17</v>
      </c>
    </row>
    <row r="3210" spans="1:7" x14ac:dyDescent="0.25">
      <c r="A3210" s="5" t="s">
        <v>116</v>
      </c>
      <c r="B3210" s="5" t="s">
        <v>119</v>
      </c>
      <c r="C3210" s="5">
        <v>6330</v>
      </c>
      <c r="D3210" s="5" t="s">
        <v>78</v>
      </c>
      <c r="E3210" s="5" t="s">
        <v>88</v>
      </c>
      <c r="F3210" s="6">
        <v>42370</v>
      </c>
      <c r="G3210">
        <v>146</v>
      </c>
    </row>
    <row r="3211" spans="1:7" x14ac:dyDescent="0.25">
      <c r="A3211" s="5" t="s">
        <v>116</v>
      </c>
      <c r="B3211" s="5" t="s">
        <v>119</v>
      </c>
      <c r="C3211" s="5">
        <v>6330</v>
      </c>
      <c r="D3211" s="5" t="s">
        <v>78</v>
      </c>
      <c r="E3211" s="5" t="s">
        <v>88</v>
      </c>
      <c r="F3211" s="6">
        <v>42736</v>
      </c>
      <c r="G3211">
        <v>230</v>
      </c>
    </row>
    <row r="3212" spans="1:7" x14ac:dyDescent="0.25">
      <c r="A3212" s="5" t="s">
        <v>116</v>
      </c>
      <c r="B3212" s="5" t="s">
        <v>119</v>
      </c>
      <c r="C3212" s="5">
        <v>6330</v>
      </c>
      <c r="D3212" s="5" t="s">
        <v>78</v>
      </c>
      <c r="E3212" s="5" t="s">
        <v>89</v>
      </c>
      <c r="F3212" s="6">
        <v>42370</v>
      </c>
      <c r="G3212">
        <v>1804</v>
      </c>
    </row>
    <row r="3213" spans="1:7" x14ac:dyDescent="0.25">
      <c r="A3213" s="5" t="s">
        <v>116</v>
      </c>
      <c r="B3213" s="5" t="s">
        <v>119</v>
      </c>
      <c r="C3213" s="5">
        <v>6330</v>
      </c>
      <c r="D3213" s="5" t="s">
        <v>78</v>
      </c>
      <c r="E3213" s="5" t="s">
        <v>89</v>
      </c>
      <c r="F3213" s="6">
        <v>42736</v>
      </c>
      <c r="G3213">
        <v>2241</v>
      </c>
    </row>
    <row r="3214" spans="1:7" x14ac:dyDescent="0.25">
      <c r="A3214" s="5" t="s">
        <v>116</v>
      </c>
      <c r="B3214" s="5" t="s">
        <v>119</v>
      </c>
      <c r="C3214" s="5">
        <v>6330</v>
      </c>
      <c r="D3214" s="5" t="s">
        <v>78</v>
      </c>
      <c r="E3214" s="5" t="s">
        <v>90</v>
      </c>
      <c r="F3214" s="6">
        <v>42370</v>
      </c>
      <c r="G3214">
        <v>0</v>
      </c>
    </row>
    <row r="3215" spans="1:7" x14ac:dyDescent="0.25">
      <c r="A3215" s="5" t="s">
        <v>116</v>
      </c>
      <c r="B3215" s="5" t="s">
        <v>119</v>
      </c>
      <c r="C3215" s="5">
        <v>6330</v>
      </c>
      <c r="D3215" s="5" t="s">
        <v>78</v>
      </c>
      <c r="E3215" s="5" t="s">
        <v>90</v>
      </c>
      <c r="F3215" s="6">
        <v>42736</v>
      </c>
      <c r="G3215">
        <v>0</v>
      </c>
    </row>
    <row r="3216" spans="1:7" x14ac:dyDescent="0.25">
      <c r="A3216" s="5" t="s">
        <v>116</v>
      </c>
      <c r="B3216" s="5" t="s">
        <v>119</v>
      </c>
      <c r="C3216" s="5">
        <v>6330</v>
      </c>
      <c r="D3216" s="5" t="s">
        <v>78</v>
      </c>
      <c r="E3216" s="5" t="s">
        <v>91</v>
      </c>
      <c r="F3216" s="6">
        <v>42370</v>
      </c>
      <c r="G3216">
        <v>0</v>
      </c>
    </row>
    <row r="3217" spans="1:7" x14ac:dyDescent="0.25">
      <c r="A3217" s="5" t="s">
        <v>116</v>
      </c>
      <c r="B3217" s="5" t="s">
        <v>119</v>
      </c>
      <c r="C3217" s="5">
        <v>6330</v>
      </c>
      <c r="D3217" s="5" t="s">
        <v>78</v>
      </c>
      <c r="E3217" s="5" t="s">
        <v>91</v>
      </c>
      <c r="F3217" s="6">
        <v>42736</v>
      </c>
      <c r="G3217">
        <v>0</v>
      </c>
    </row>
    <row r="3218" spans="1:7" x14ac:dyDescent="0.25">
      <c r="A3218" s="5" t="s">
        <v>116</v>
      </c>
      <c r="B3218" s="5" t="s">
        <v>119</v>
      </c>
      <c r="C3218" s="5">
        <v>6330</v>
      </c>
      <c r="D3218" s="5" t="s">
        <v>78</v>
      </c>
      <c r="E3218" s="5" t="s">
        <v>92</v>
      </c>
      <c r="F3218" s="6">
        <v>42370</v>
      </c>
      <c r="G3218">
        <v>0</v>
      </c>
    </row>
    <row r="3219" spans="1:7" x14ac:dyDescent="0.25">
      <c r="A3219" s="5" t="s">
        <v>116</v>
      </c>
      <c r="B3219" s="5" t="s">
        <v>119</v>
      </c>
      <c r="C3219" s="5">
        <v>6330</v>
      </c>
      <c r="D3219" s="5" t="s">
        <v>78</v>
      </c>
      <c r="E3219" s="5" t="s">
        <v>92</v>
      </c>
      <c r="F3219" s="6">
        <v>42736</v>
      </c>
      <c r="G3219">
        <v>0</v>
      </c>
    </row>
    <row r="3220" spans="1:7" x14ac:dyDescent="0.25">
      <c r="A3220" s="5" t="s">
        <v>116</v>
      </c>
      <c r="B3220" s="5" t="s">
        <v>119</v>
      </c>
      <c r="C3220" s="5">
        <v>6330</v>
      </c>
      <c r="D3220" s="5" t="s">
        <v>78</v>
      </c>
      <c r="E3220" s="5" t="s">
        <v>93</v>
      </c>
      <c r="F3220" s="6">
        <v>42370</v>
      </c>
      <c r="G3220">
        <v>0</v>
      </c>
    </row>
    <row r="3221" spans="1:7" x14ac:dyDescent="0.25">
      <c r="A3221" s="5" t="s">
        <v>116</v>
      </c>
      <c r="B3221" s="5" t="s">
        <v>119</v>
      </c>
      <c r="C3221" s="5">
        <v>6330</v>
      </c>
      <c r="D3221" s="5" t="s">
        <v>78</v>
      </c>
      <c r="E3221" s="5" t="s">
        <v>93</v>
      </c>
      <c r="F3221" s="6">
        <v>42736</v>
      </c>
      <c r="G3221">
        <v>0</v>
      </c>
    </row>
    <row r="3222" spans="1:7" x14ac:dyDescent="0.25">
      <c r="A3222" s="5" t="s">
        <v>116</v>
      </c>
      <c r="B3222" s="5" t="s">
        <v>119</v>
      </c>
      <c r="C3222" s="5">
        <v>6330</v>
      </c>
      <c r="D3222" s="5" t="s">
        <v>78</v>
      </c>
      <c r="E3222" s="5" t="s">
        <v>94</v>
      </c>
      <c r="F3222" s="6">
        <v>42370</v>
      </c>
      <c r="G3222">
        <v>0</v>
      </c>
    </row>
    <row r="3223" spans="1:7" x14ac:dyDescent="0.25">
      <c r="A3223" s="5" t="s">
        <v>116</v>
      </c>
      <c r="B3223" s="5" t="s">
        <v>119</v>
      </c>
      <c r="C3223" s="5">
        <v>6330</v>
      </c>
      <c r="D3223" s="5" t="s">
        <v>78</v>
      </c>
      <c r="E3223" s="5" t="s">
        <v>94</v>
      </c>
      <c r="F3223" s="6">
        <v>42736</v>
      </c>
      <c r="G3223">
        <v>0</v>
      </c>
    </row>
    <row r="3224" spans="1:7" x14ac:dyDescent="0.25">
      <c r="A3224" s="5" t="s">
        <v>116</v>
      </c>
      <c r="B3224" s="5" t="s">
        <v>119</v>
      </c>
      <c r="C3224" s="5">
        <v>6330</v>
      </c>
      <c r="D3224" s="5" t="s">
        <v>78</v>
      </c>
      <c r="E3224" s="5" t="s">
        <v>95</v>
      </c>
      <c r="F3224" s="6">
        <v>42370</v>
      </c>
      <c r="G3224">
        <v>0</v>
      </c>
    </row>
    <row r="3225" spans="1:7" x14ac:dyDescent="0.25">
      <c r="A3225" s="5" t="s">
        <v>116</v>
      </c>
      <c r="B3225" s="5" t="s">
        <v>119</v>
      </c>
      <c r="C3225" s="5">
        <v>6330</v>
      </c>
      <c r="D3225" s="5" t="s">
        <v>78</v>
      </c>
      <c r="E3225" s="5" t="s">
        <v>95</v>
      </c>
      <c r="F3225" s="6">
        <v>42736</v>
      </c>
      <c r="G3225">
        <v>0</v>
      </c>
    </row>
    <row r="3226" spans="1:7" x14ac:dyDescent="0.25">
      <c r="A3226" s="5" t="s">
        <v>116</v>
      </c>
      <c r="B3226" s="5" t="s">
        <v>119</v>
      </c>
      <c r="C3226" s="5">
        <v>6330</v>
      </c>
      <c r="D3226" s="5" t="s">
        <v>78</v>
      </c>
      <c r="E3226" s="5" t="s">
        <v>96</v>
      </c>
      <c r="F3226" s="6">
        <v>42370</v>
      </c>
      <c r="G3226">
        <v>0</v>
      </c>
    </row>
    <row r="3227" spans="1:7" x14ac:dyDescent="0.25">
      <c r="A3227" s="5" t="s">
        <v>116</v>
      </c>
      <c r="B3227" s="5" t="s">
        <v>119</v>
      </c>
      <c r="C3227" s="5">
        <v>6330</v>
      </c>
      <c r="D3227" s="5" t="s">
        <v>78</v>
      </c>
      <c r="E3227" s="5" t="s">
        <v>96</v>
      </c>
      <c r="F3227" s="6">
        <v>42736</v>
      </c>
      <c r="G3227">
        <v>0</v>
      </c>
    </row>
    <row r="3228" spans="1:7" x14ac:dyDescent="0.25">
      <c r="A3228" s="5" t="s">
        <v>116</v>
      </c>
      <c r="B3228" s="5" t="s">
        <v>119</v>
      </c>
      <c r="C3228" s="5">
        <v>6330</v>
      </c>
      <c r="D3228" s="5" t="s">
        <v>78</v>
      </c>
      <c r="E3228" s="5" t="s">
        <v>97</v>
      </c>
      <c r="F3228" s="6">
        <v>42370</v>
      </c>
      <c r="G3228">
        <v>0</v>
      </c>
    </row>
    <row r="3229" spans="1:7" x14ac:dyDescent="0.25">
      <c r="A3229" s="5" t="s">
        <v>116</v>
      </c>
      <c r="B3229" s="5" t="s">
        <v>119</v>
      </c>
      <c r="C3229" s="5">
        <v>6330</v>
      </c>
      <c r="D3229" s="5" t="s">
        <v>78</v>
      </c>
      <c r="E3229" s="5" t="s">
        <v>97</v>
      </c>
      <c r="F3229" s="6">
        <v>42736</v>
      </c>
      <c r="G3229">
        <v>0</v>
      </c>
    </row>
    <row r="3230" spans="1:7" x14ac:dyDescent="0.25">
      <c r="A3230" s="5" t="s">
        <v>116</v>
      </c>
      <c r="B3230" s="5" t="s">
        <v>119</v>
      </c>
      <c r="C3230" s="5">
        <v>6330</v>
      </c>
      <c r="D3230" s="5" t="s">
        <v>78</v>
      </c>
      <c r="E3230" s="5" t="s">
        <v>98</v>
      </c>
      <c r="F3230" s="6">
        <v>42370</v>
      </c>
      <c r="G3230">
        <v>1</v>
      </c>
    </row>
    <row r="3231" spans="1:7" x14ac:dyDescent="0.25">
      <c r="A3231" s="5" t="s">
        <v>116</v>
      </c>
      <c r="B3231" s="5" t="s">
        <v>119</v>
      </c>
      <c r="C3231" s="5">
        <v>6330</v>
      </c>
      <c r="D3231" s="5" t="s">
        <v>78</v>
      </c>
      <c r="E3231" s="5" t="s">
        <v>98</v>
      </c>
      <c r="F3231" s="6">
        <v>42736</v>
      </c>
      <c r="G3231">
        <v>0</v>
      </c>
    </row>
    <row r="3232" spans="1:7" x14ac:dyDescent="0.25">
      <c r="A3232" s="5" t="s">
        <v>120</v>
      </c>
      <c r="B3232" s="5" t="s">
        <v>121</v>
      </c>
      <c r="C3232" s="5">
        <v>6530</v>
      </c>
      <c r="D3232" s="5" t="s">
        <v>8</v>
      </c>
      <c r="E3232" s="5" t="s">
        <v>9</v>
      </c>
      <c r="F3232" s="6">
        <v>42370</v>
      </c>
      <c r="G3232">
        <v>0</v>
      </c>
    </row>
    <row r="3233" spans="1:7" x14ac:dyDescent="0.25">
      <c r="A3233" s="5" t="s">
        <v>120</v>
      </c>
      <c r="B3233" s="5" t="s">
        <v>121</v>
      </c>
      <c r="C3233" s="5">
        <v>6530</v>
      </c>
      <c r="D3233" s="5" t="s">
        <v>8</v>
      </c>
      <c r="E3233" s="5" t="s">
        <v>9</v>
      </c>
      <c r="F3233" s="6">
        <v>42736</v>
      </c>
      <c r="G3233">
        <v>0</v>
      </c>
    </row>
    <row r="3234" spans="1:7" x14ac:dyDescent="0.25">
      <c r="A3234" s="5" t="s">
        <v>120</v>
      </c>
      <c r="B3234" s="5" t="s">
        <v>121</v>
      </c>
      <c r="C3234" s="5">
        <v>6530</v>
      </c>
      <c r="D3234" s="5" t="s">
        <v>8</v>
      </c>
      <c r="E3234" s="5" t="s">
        <v>10</v>
      </c>
      <c r="F3234" s="6">
        <v>42370</v>
      </c>
      <c r="G3234">
        <v>0</v>
      </c>
    </row>
    <row r="3235" spans="1:7" x14ac:dyDescent="0.25">
      <c r="A3235" s="5" t="s">
        <v>120</v>
      </c>
      <c r="B3235" s="5" t="s">
        <v>121</v>
      </c>
      <c r="C3235" s="5">
        <v>6530</v>
      </c>
      <c r="D3235" s="5" t="s">
        <v>8</v>
      </c>
      <c r="E3235" s="5" t="s">
        <v>10</v>
      </c>
      <c r="F3235" s="6">
        <v>42736</v>
      </c>
      <c r="G3235">
        <v>0</v>
      </c>
    </row>
    <row r="3236" spans="1:7" x14ac:dyDescent="0.25">
      <c r="A3236" s="5" t="s">
        <v>120</v>
      </c>
      <c r="B3236" s="5" t="s">
        <v>121</v>
      </c>
      <c r="C3236" s="5">
        <v>6530</v>
      </c>
      <c r="D3236" s="5" t="s">
        <v>8</v>
      </c>
      <c r="E3236" s="5" t="s">
        <v>11</v>
      </c>
      <c r="F3236" s="6">
        <v>42370</v>
      </c>
      <c r="G3236">
        <v>0</v>
      </c>
    </row>
    <row r="3237" spans="1:7" x14ac:dyDescent="0.25">
      <c r="A3237" s="5" t="s">
        <v>120</v>
      </c>
      <c r="B3237" s="5" t="s">
        <v>121</v>
      </c>
      <c r="C3237" s="5">
        <v>6530</v>
      </c>
      <c r="D3237" s="5" t="s">
        <v>8</v>
      </c>
      <c r="E3237" s="5" t="s">
        <v>11</v>
      </c>
      <c r="F3237" s="6">
        <v>42736</v>
      </c>
      <c r="G3237">
        <v>0</v>
      </c>
    </row>
    <row r="3238" spans="1:7" x14ac:dyDescent="0.25">
      <c r="A3238" s="5" t="s">
        <v>120</v>
      </c>
      <c r="B3238" s="5" t="s">
        <v>121</v>
      </c>
      <c r="C3238" s="5">
        <v>6530</v>
      </c>
      <c r="D3238" s="5" t="s">
        <v>8</v>
      </c>
      <c r="E3238" s="5" t="s">
        <v>12</v>
      </c>
      <c r="F3238" s="6">
        <v>42370</v>
      </c>
      <c r="G3238">
        <v>0</v>
      </c>
    </row>
    <row r="3239" spans="1:7" x14ac:dyDescent="0.25">
      <c r="A3239" s="5" t="s">
        <v>120</v>
      </c>
      <c r="B3239" s="5" t="s">
        <v>121</v>
      </c>
      <c r="C3239" s="5">
        <v>6530</v>
      </c>
      <c r="D3239" s="5" t="s">
        <v>8</v>
      </c>
      <c r="E3239" s="5" t="s">
        <v>12</v>
      </c>
      <c r="F3239" s="6">
        <v>42736</v>
      </c>
      <c r="G3239">
        <v>0</v>
      </c>
    </row>
    <row r="3240" spans="1:7" x14ac:dyDescent="0.25">
      <c r="A3240" s="5" t="s">
        <v>120</v>
      </c>
      <c r="B3240" s="5" t="s">
        <v>121</v>
      </c>
      <c r="C3240" s="5">
        <v>6530</v>
      </c>
      <c r="D3240" s="5" t="s">
        <v>8</v>
      </c>
      <c r="E3240" s="5" t="s">
        <v>13</v>
      </c>
      <c r="F3240" s="6">
        <v>42370</v>
      </c>
      <c r="G3240">
        <v>0</v>
      </c>
    </row>
    <row r="3241" spans="1:7" x14ac:dyDescent="0.25">
      <c r="A3241" s="5" t="s">
        <v>120</v>
      </c>
      <c r="B3241" s="5" t="s">
        <v>121</v>
      </c>
      <c r="C3241" s="5">
        <v>6530</v>
      </c>
      <c r="D3241" s="5" t="s">
        <v>8</v>
      </c>
      <c r="E3241" s="5" t="s">
        <v>13</v>
      </c>
      <c r="F3241" s="6">
        <v>42736</v>
      </c>
      <c r="G3241">
        <v>0</v>
      </c>
    </row>
    <row r="3242" spans="1:7" x14ac:dyDescent="0.25">
      <c r="A3242" s="5" t="s">
        <v>120</v>
      </c>
      <c r="B3242" s="5" t="s">
        <v>121</v>
      </c>
      <c r="C3242" s="5">
        <v>6530</v>
      </c>
      <c r="D3242" s="5" t="s">
        <v>8</v>
      </c>
      <c r="E3242" s="5" t="s">
        <v>14</v>
      </c>
      <c r="F3242" s="6">
        <v>42370</v>
      </c>
      <c r="G3242">
        <v>0</v>
      </c>
    </row>
    <row r="3243" spans="1:7" x14ac:dyDescent="0.25">
      <c r="A3243" s="5" t="s">
        <v>120</v>
      </c>
      <c r="B3243" s="5" t="s">
        <v>121</v>
      </c>
      <c r="C3243" s="5">
        <v>6530</v>
      </c>
      <c r="D3243" s="5" t="s">
        <v>8</v>
      </c>
      <c r="E3243" s="5" t="s">
        <v>14</v>
      </c>
      <c r="F3243" s="6">
        <v>42736</v>
      </c>
      <c r="G3243">
        <v>0</v>
      </c>
    </row>
    <row r="3244" spans="1:7" x14ac:dyDescent="0.25">
      <c r="A3244" s="5" t="s">
        <v>120</v>
      </c>
      <c r="B3244" s="5" t="s">
        <v>121</v>
      </c>
      <c r="C3244" s="5">
        <v>6530</v>
      </c>
      <c r="D3244" s="5" t="s">
        <v>8</v>
      </c>
      <c r="E3244" s="5" t="s">
        <v>15</v>
      </c>
      <c r="F3244" s="6">
        <v>42370</v>
      </c>
      <c r="G3244">
        <v>0</v>
      </c>
    </row>
    <row r="3245" spans="1:7" x14ac:dyDescent="0.25">
      <c r="A3245" s="5" t="s">
        <v>120</v>
      </c>
      <c r="B3245" s="5" t="s">
        <v>121</v>
      </c>
      <c r="C3245" s="5">
        <v>6530</v>
      </c>
      <c r="D3245" s="5" t="s">
        <v>8</v>
      </c>
      <c r="E3245" s="5" t="s">
        <v>15</v>
      </c>
      <c r="F3245" s="6">
        <v>42736</v>
      </c>
      <c r="G3245">
        <v>0</v>
      </c>
    </row>
    <row r="3246" spans="1:7" x14ac:dyDescent="0.25">
      <c r="A3246" s="5" t="s">
        <v>120</v>
      </c>
      <c r="B3246" s="5" t="s">
        <v>121</v>
      </c>
      <c r="C3246" s="5">
        <v>6530</v>
      </c>
      <c r="D3246" s="5" t="s">
        <v>8</v>
      </c>
      <c r="E3246" s="5" t="s">
        <v>16</v>
      </c>
      <c r="F3246" s="6">
        <v>42370</v>
      </c>
      <c r="G3246">
        <v>0</v>
      </c>
    </row>
    <row r="3247" spans="1:7" x14ac:dyDescent="0.25">
      <c r="A3247" s="5" t="s">
        <v>120</v>
      </c>
      <c r="B3247" s="5" t="s">
        <v>121</v>
      </c>
      <c r="C3247" s="5">
        <v>6530</v>
      </c>
      <c r="D3247" s="5" t="s">
        <v>8</v>
      </c>
      <c r="E3247" s="5" t="s">
        <v>16</v>
      </c>
      <c r="F3247" s="6">
        <v>42736</v>
      </c>
      <c r="G3247">
        <v>0</v>
      </c>
    </row>
    <row r="3248" spans="1:7" x14ac:dyDescent="0.25">
      <c r="A3248" s="5" t="s">
        <v>120</v>
      </c>
      <c r="B3248" s="5" t="s">
        <v>121</v>
      </c>
      <c r="C3248" s="5">
        <v>6530</v>
      </c>
      <c r="D3248" s="5" t="s">
        <v>8</v>
      </c>
      <c r="E3248" s="5" t="s">
        <v>17</v>
      </c>
      <c r="F3248" s="6">
        <v>42370</v>
      </c>
      <c r="G3248">
        <v>0</v>
      </c>
    </row>
    <row r="3249" spans="1:7" x14ac:dyDescent="0.25">
      <c r="A3249" s="5" t="s">
        <v>120</v>
      </c>
      <c r="B3249" s="5" t="s">
        <v>121</v>
      </c>
      <c r="C3249" s="5">
        <v>6530</v>
      </c>
      <c r="D3249" s="5" t="s">
        <v>8</v>
      </c>
      <c r="E3249" s="5" t="s">
        <v>17</v>
      </c>
      <c r="F3249" s="6">
        <v>42736</v>
      </c>
      <c r="G3249">
        <v>0</v>
      </c>
    </row>
    <row r="3250" spans="1:7" x14ac:dyDescent="0.25">
      <c r="A3250" s="5" t="s">
        <v>120</v>
      </c>
      <c r="B3250" s="5" t="s">
        <v>121</v>
      </c>
      <c r="C3250" s="5">
        <v>6530</v>
      </c>
      <c r="D3250" s="5" t="s">
        <v>8</v>
      </c>
      <c r="E3250" s="5" t="s">
        <v>18</v>
      </c>
      <c r="F3250" s="6">
        <v>42370</v>
      </c>
      <c r="G3250">
        <v>0</v>
      </c>
    </row>
    <row r="3251" spans="1:7" x14ac:dyDescent="0.25">
      <c r="A3251" s="5" t="s">
        <v>120</v>
      </c>
      <c r="B3251" s="5" t="s">
        <v>121</v>
      </c>
      <c r="C3251" s="5">
        <v>6530</v>
      </c>
      <c r="D3251" s="5" t="s">
        <v>8</v>
      </c>
      <c r="E3251" s="5" t="s">
        <v>18</v>
      </c>
      <c r="F3251" s="6">
        <v>42736</v>
      </c>
      <c r="G3251">
        <v>0</v>
      </c>
    </row>
    <row r="3252" spans="1:7" x14ac:dyDescent="0.25">
      <c r="A3252" s="5" t="s">
        <v>120</v>
      </c>
      <c r="B3252" s="5" t="s">
        <v>121</v>
      </c>
      <c r="C3252" s="5">
        <v>6530</v>
      </c>
      <c r="D3252" s="5" t="s">
        <v>8</v>
      </c>
      <c r="E3252" s="5" t="s">
        <v>19</v>
      </c>
      <c r="F3252" s="6">
        <v>42370</v>
      </c>
      <c r="G3252">
        <v>0</v>
      </c>
    </row>
    <row r="3253" spans="1:7" x14ac:dyDescent="0.25">
      <c r="A3253" s="5" t="s">
        <v>120</v>
      </c>
      <c r="B3253" s="5" t="s">
        <v>121</v>
      </c>
      <c r="C3253" s="5">
        <v>6530</v>
      </c>
      <c r="D3253" s="5" t="s">
        <v>8</v>
      </c>
      <c r="E3253" s="5" t="s">
        <v>19</v>
      </c>
      <c r="F3253" s="6">
        <v>42736</v>
      </c>
      <c r="G3253">
        <v>0</v>
      </c>
    </row>
    <row r="3254" spans="1:7" x14ac:dyDescent="0.25">
      <c r="A3254" s="5" t="s">
        <v>120</v>
      </c>
      <c r="B3254" s="5" t="s">
        <v>121</v>
      </c>
      <c r="C3254" s="5">
        <v>6530</v>
      </c>
      <c r="D3254" s="5" t="s">
        <v>20</v>
      </c>
      <c r="E3254" s="5" t="s">
        <v>9</v>
      </c>
      <c r="F3254" s="6">
        <v>42370</v>
      </c>
      <c r="G3254">
        <v>0</v>
      </c>
    </row>
    <row r="3255" spans="1:7" x14ac:dyDescent="0.25">
      <c r="A3255" s="5" t="s">
        <v>120</v>
      </c>
      <c r="B3255" s="5" t="s">
        <v>121</v>
      </c>
      <c r="C3255" s="5">
        <v>6530</v>
      </c>
      <c r="D3255" s="5" t="s">
        <v>20</v>
      </c>
      <c r="E3255" s="5" t="s">
        <v>9</v>
      </c>
      <c r="F3255" s="6">
        <v>42736</v>
      </c>
      <c r="G3255">
        <v>1</v>
      </c>
    </row>
    <row r="3256" spans="1:7" x14ac:dyDescent="0.25">
      <c r="A3256" s="5" t="s">
        <v>120</v>
      </c>
      <c r="B3256" s="5" t="s">
        <v>121</v>
      </c>
      <c r="C3256" s="5">
        <v>6530</v>
      </c>
      <c r="D3256" s="5" t="s">
        <v>20</v>
      </c>
      <c r="E3256" s="5" t="s">
        <v>21</v>
      </c>
      <c r="F3256" s="6">
        <v>42370</v>
      </c>
      <c r="G3256">
        <v>0</v>
      </c>
    </row>
    <row r="3257" spans="1:7" x14ac:dyDescent="0.25">
      <c r="A3257" s="5" t="s">
        <v>120</v>
      </c>
      <c r="B3257" s="5" t="s">
        <v>121</v>
      </c>
      <c r="C3257" s="5">
        <v>6530</v>
      </c>
      <c r="D3257" s="5" t="s">
        <v>20</v>
      </c>
      <c r="E3257" s="5" t="s">
        <v>21</v>
      </c>
      <c r="F3257" s="6">
        <v>42736</v>
      </c>
      <c r="G3257">
        <v>0</v>
      </c>
    </row>
    <row r="3258" spans="1:7" x14ac:dyDescent="0.25">
      <c r="A3258" s="5" t="s">
        <v>120</v>
      </c>
      <c r="B3258" s="5" t="s">
        <v>121</v>
      </c>
      <c r="C3258" s="5">
        <v>6530</v>
      </c>
      <c r="D3258" s="5" t="s">
        <v>20</v>
      </c>
      <c r="E3258" s="5" t="s">
        <v>22</v>
      </c>
      <c r="F3258" s="6">
        <v>42370</v>
      </c>
      <c r="G3258">
        <v>0</v>
      </c>
    </row>
    <row r="3259" spans="1:7" x14ac:dyDescent="0.25">
      <c r="A3259" s="5" t="s">
        <v>120</v>
      </c>
      <c r="B3259" s="5" t="s">
        <v>121</v>
      </c>
      <c r="C3259" s="5">
        <v>6530</v>
      </c>
      <c r="D3259" s="5" t="s">
        <v>20</v>
      </c>
      <c r="E3259" s="5" t="s">
        <v>22</v>
      </c>
      <c r="F3259" s="6">
        <v>42736</v>
      </c>
      <c r="G3259">
        <v>0</v>
      </c>
    </row>
    <row r="3260" spans="1:7" x14ac:dyDescent="0.25">
      <c r="A3260" s="5" t="s">
        <v>120</v>
      </c>
      <c r="B3260" s="5" t="s">
        <v>121</v>
      </c>
      <c r="C3260" s="5">
        <v>6530</v>
      </c>
      <c r="D3260" s="5" t="s">
        <v>20</v>
      </c>
      <c r="E3260" s="5" t="s">
        <v>23</v>
      </c>
      <c r="F3260" s="6">
        <v>42370</v>
      </c>
      <c r="G3260">
        <v>0</v>
      </c>
    </row>
    <row r="3261" spans="1:7" x14ac:dyDescent="0.25">
      <c r="A3261" s="5" t="s">
        <v>120</v>
      </c>
      <c r="B3261" s="5" t="s">
        <v>121</v>
      </c>
      <c r="C3261" s="5">
        <v>6530</v>
      </c>
      <c r="D3261" s="5" t="s">
        <v>20</v>
      </c>
      <c r="E3261" s="5" t="s">
        <v>23</v>
      </c>
      <c r="F3261" s="6">
        <v>42736</v>
      </c>
      <c r="G3261">
        <v>0</v>
      </c>
    </row>
    <row r="3262" spans="1:7" x14ac:dyDescent="0.25">
      <c r="A3262" s="5" t="s">
        <v>120</v>
      </c>
      <c r="B3262" s="5" t="s">
        <v>121</v>
      </c>
      <c r="C3262" s="5">
        <v>6530</v>
      </c>
      <c r="D3262" s="5" t="s">
        <v>20</v>
      </c>
      <c r="E3262" s="5" t="s">
        <v>24</v>
      </c>
      <c r="F3262" s="6">
        <v>42370</v>
      </c>
      <c r="G3262">
        <v>0</v>
      </c>
    </row>
    <row r="3263" spans="1:7" x14ac:dyDescent="0.25">
      <c r="A3263" s="5" t="s">
        <v>120</v>
      </c>
      <c r="B3263" s="5" t="s">
        <v>121</v>
      </c>
      <c r="C3263" s="5">
        <v>6530</v>
      </c>
      <c r="D3263" s="5" t="s">
        <v>20</v>
      </c>
      <c r="E3263" s="5" t="s">
        <v>24</v>
      </c>
      <c r="F3263" s="6">
        <v>42736</v>
      </c>
      <c r="G3263">
        <v>0</v>
      </c>
    </row>
    <row r="3264" spans="1:7" x14ac:dyDescent="0.25">
      <c r="A3264" s="5" t="s">
        <v>120</v>
      </c>
      <c r="B3264" s="5" t="s">
        <v>121</v>
      </c>
      <c r="C3264" s="5">
        <v>6530</v>
      </c>
      <c r="D3264" s="5" t="s">
        <v>20</v>
      </c>
      <c r="E3264" s="5" t="s">
        <v>25</v>
      </c>
      <c r="F3264" s="6">
        <v>42370</v>
      </c>
      <c r="G3264">
        <v>0</v>
      </c>
    </row>
    <row r="3265" spans="1:7" x14ac:dyDescent="0.25">
      <c r="A3265" s="5" t="s">
        <v>120</v>
      </c>
      <c r="B3265" s="5" t="s">
        <v>121</v>
      </c>
      <c r="C3265" s="5">
        <v>6530</v>
      </c>
      <c r="D3265" s="5" t="s">
        <v>20</v>
      </c>
      <c r="E3265" s="5" t="s">
        <v>25</v>
      </c>
      <c r="F3265" s="6">
        <v>42736</v>
      </c>
      <c r="G3265">
        <v>0</v>
      </c>
    </row>
    <row r="3266" spans="1:7" x14ac:dyDescent="0.25">
      <c r="A3266" s="5" t="s">
        <v>120</v>
      </c>
      <c r="B3266" s="5" t="s">
        <v>121</v>
      </c>
      <c r="C3266" s="5">
        <v>6530</v>
      </c>
      <c r="D3266" s="5" t="s">
        <v>20</v>
      </c>
      <c r="E3266" s="5" t="s">
        <v>26</v>
      </c>
      <c r="F3266" s="6">
        <v>42370</v>
      </c>
      <c r="G3266">
        <v>15</v>
      </c>
    </row>
    <row r="3267" spans="1:7" x14ac:dyDescent="0.25">
      <c r="A3267" s="5" t="s">
        <v>120</v>
      </c>
      <c r="B3267" s="5" t="s">
        <v>121</v>
      </c>
      <c r="C3267" s="5">
        <v>6530</v>
      </c>
      <c r="D3267" s="5" t="s">
        <v>20</v>
      </c>
      <c r="E3267" s="5" t="s">
        <v>26</v>
      </c>
      <c r="F3267" s="6">
        <v>42736</v>
      </c>
      <c r="G3267">
        <v>15</v>
      </c>
    </row>
    <row r="3268" spans="1:7" x14ac:dyDescent="0.25">
      <c r="A3268" s="5" t="s">
        <v>120</v>
      </c>
      <c r="B3268" s="5" t="s">
        <v>121</v>
      </c>
      <c r="C3268" s="5">
        <v>6530</v>
      </c>
      <c r="D3268" s="5" t="s">
        <v>20</v>
      </c>
      <c r="E3268" s="5" t="s">
        <v>27</v>
      </c>
      <c r="F3268" s="6">
        <v>42370</v>
      </c>
      <c r="G3268">
        <v>0</v>
      </c>
    </row>
    <row r="3269" spans="1:7" x14ac:dyDescent="0.25">
      <c r="A3269" s="5" t="s">
        <v>120</v>
      </c>
      <c r="B3269" s="5" t="s">
        <v>121</v>
      </c>
      <c r="C3269" s="5">
        <v>6530</v>
      </c>
      <c r="D3269" s="5" t="s">
        <v>20</v>
      </c>
      <c r="E3269" s="5" t="s">
        <v>27</v>
      </c>
      <c r="F3269" s="6">
        <v>42736</v>
      </c>
      <c r="G3269">
        <v>0</v>
      </c>
    </row>
    <row r="3270" spans="1:7" x14ac:dyDescent="0.25">
      <c r="A3270" s="5" t="s">
        <v>120</v>
      </c>
      <c r="B3270" s="5" t="s">
        <v>121</v>
      </c>
      <c r="C3270" s="5">
        <v>6530</v>
      </c>
      <c r="D3270" s="5" t="s">
        <v>20</v>
      </c>
      <c r="E3270" s="5" t="s">
        <v>28</v>
      </c>
      <c r="F3270" s="6">
        <v>42370</v>
      </c>
      <c r="G3270">
        <v>0</v>
      </c>
    </row>
    <row r="3271" spans="1:7" x14ac:dyDescent="0.25">
      <c r="A3271" s="5" t="s">
        <v>120</v>
      </c>
      <c r="B3271" s="5" t="s">
        <v>121</v>
      </c>
      <c r="C3271" s="5">
        <v>6530</v>
      </c>
      <c r="D3271" s="5" t="s">
        <v>20</v>
      </c>
      <c r="E3271" s="5" t="s">
        <v>28</v>
      </c>
      <c r="F3271" s="6">
        <v>42736</v>
      </c>
      <c r="G3271">
        <v>0</v>
      </c>
    </row>
    <row r="3272" spans="1:7" x14ac:dyDescent="0.25">
      <c r="A3272" s="5" t="s">
        <v>120</v>
      </c>
      <c r="B3272" s="5" t="s">
        <v>121</v>
      </c>
      <c r="C3272" s="5">
        <v>6530</v>
      </c>
      <c r="D3272" s="5" t="s">
        <v>20</v>
      </c>
      <c r="E3272" s="5" t="s">
        <v>29</v>
      </c>
      <c r="F3272" s="6">
        <v>42370</v>
      </c>
      <c r="G3272">
        <v>15</v>
      </c>
    </row>
    <row r="3273" spans="1:7" x14ac:dyDescent="0.25">
      <c r="A3273" s="5" t="s">
        <v>120</v>
      </c>
      <c r="B3273" s="5" t="s">
        <v>121</v>
      </c>
      <c r="C3273" s="5">
        <v>6530</v>
      </c>
      <c r="D3273" s="5" t="s">
        <v>20</v>
      </c>
      <c r="E3273" s="5" t="s">
        <v>29</v>
      </c>
      <c r="F3273" s="6">
        <v>42736</v>
      </c>
      <c r="G3273">
        <v>15</v>
      </c>
    </row>
    <row r="3274" spans="1:7" x14ac:dyDescent="0.25">
      <c r="A3274" s="5" t="s">
        <v>120</v>
      </c>
      <c r="B3274" s="5" t="s">
        <v>121</v>
      </c>
      <c r="C3274" s="5">
        <v>6530</v>
      </c>
      <c r="D3274" s="5" t="s">
        <v>20</v>
      </c>
      <c r="E3274" s="5" t="s">
        <v>30</v>
      </c>
      <c r="F3274" s="6">
        <v>42370</v>
      </c>
      <c r="G3274">
        <v>26</v>
      </c>
    </row>
    <row r="3275" spans="1:7" x14ac:dyDescent="0.25">
      <c r="A3275" s="5" t="s">
        <v>120</v>
      </c>
      <c r="B3275" s="5" t="s">
        <v>121</v>
      </c>
      <c r="C3275" s="5">
        <v>6530</v>
      </c>
      <c r="D3275" s="5" t="s">
        <v>20</v>
      </c>
      <c r="E3275" s="5" t="s">
        <v>30</v>
      </c>
      <c r="F3275" s="6">
        <v>42736</v>
      </c>
      <c r="G3275">
        <v>15</v>
      </c>
    </row>
    <row r="3276" spans="1:7" x14ac:dyDescent="0.25">
      <c r="A3276" s="5" t="s">
        <v>120</v>
      </c>
      <c r="B3276" s="5" t="s">
        <v>121</v>
      </c>
      <c r="C3276" s="5">
        <v>6530</v>
      </c>
      <c r="D3276" s="5" t="s">
        <v>20</v>
      </c>
      <c r="E3276" s="5" t="s">
        <v>31</v>
      </c>
      <c r="F3276" s="6">
        <v>42370</v>
      </c>
      <c r="G3276">
        <v>75</v>
      </c>
    </row>
    <row r="3277" spans="1:7" x14ac:dyDescent="0.25">
      <c r="A3277" s="5" t="s">
        <v>120</v>
      </c>
      <c r="B3277" s="5" t="s">
        <v>121</v>
      </c>
      <c r="C3277" s="5">
        <v>6530</v>
      </c>
      <c r="D3277" s="5" t="s">
        <v>20</v>
      </c>
      <c r="E3277" s="5" t="s">
        <v>31</v>
      </c>
      <c r="F3277" s="6">
        <v>42736</v>
      </c>
      <c r="G3277">
        <v>33</v>
      </c>
    </row>
    <row r="3278" spans="1:7" x14ac:dyDescent="0.25">
      <c r="A3278" s="5" t="s">
        <v>120</v>
      </c>
      <c r="B3278" s="5" t="s">
        <v>121</v>
      </c>
      <c r="C3278" s="5">
        <v>6530</v>
      </c>
      <c r="D3278" s="5" t="s">
        <v>20</v>
      </c>
      <c r="E3278" s="5" t="s">
        <v>32</v>
      </c>
      <c r="F3278" s="6">
        <v>42370</v>
      </c>
      <c r="G3278">
        <v>15</v>
      </c>
    </row>
    <row r="3279" spans="1:7" x14ac:dyDescent="0.25">
      <c r="A3279" s="5" t="s">
        <v>120</v>
      </c>
      <c r="B3279" s="5" t="s">
        <v>121</v>
      </c>
      <c r="C3279" s="5">
        <v>6530</v>
      </c>
      <c r="D3279" s="5" t="s">
        <v>20</v>
      </c>
      <c r="E3279" s="5" t="s">
        <v>32</v>
      </c>
      <c r="F3279" s="6">
        <v>42736</v>
      </c>
      <c r="G3279">
        <v>16</v>
      </c>
    </row>
    <row r="3280" spans="1:7" x14ac:dyDescent="0.25">
      <c r="A3280" s="5" t="s">
        <v>120</v>
      </c>
      <c r="B3280" s="5" t="s">
        <v>121</v>
      </c>
      <c r="C3280" s="5">
        <v>6530</v>
      </c>
      <c r="D3280" s="5" t="s">
        <v>33</v>
      </c>
      <c r="E3280" s="5" t="s">
        <v>9</v>
      </c>
      <c r="F3280" s="6">
        <v>42370</v>
      </c>
      <c r="G3280">
        <v>0</v>
      </c>
    </row>
    <row r="3281" spans="1:7" x14ac:dyDescent="0.25">
      <c r="A3281" s="5" t="s">
        <v>120</v>
      </c>
      <c r="B3281" s="5" t="s">
        <v>121</v>
      </c>
      <c r="C3281" s="5">
        <v>6530</v>
      </c>
      <c r="D3281" s="5" t="s">
        <v>33</v>
      </c>
      <c r="E3281" s="5" t="s">
        <v>9</v>
      </c>
      <c r="F3281" s="6">
        <v>42736</v>
      </c>
      <c r="G3281">
        <v>0</v>
      </c>
    </row>
    <row r="3282" spans="1:7" x14ac:dyDescent="0.25">
      <c r="A3282" s="5" t="s">
        <v>120</v>
      </c>
      <c r="B3282" s="5" t="s">
        <v>121</v>
      </c>
      <c r="C3282" s="5">
        <v>6530</v>
      </c>
      <c r="D3282" s="5" t="s">
        <v>33</v>
      </c>
      <c r="E3282" s="5" t="s">
        <v>34</v>
      </c>
      <c r="F3282" s="6">
        <v>42370</v>
      </c>
      <c r="G3282">
        <v>0</v>
      </c>
    </row>
    <row r="3283" spans="1:7" x14ac:dyDescent="0.25">
      <c r="A3283" s="5" t="s">
        <v>120</v>
      </c>
      <c r="B3283" s="5" t="s">
        <v>121</v>
      </c>
      <c r="C3283" s="5">
        <v>6530</v>
      </c>
      <c r="D3283" s="5" t="s">
        <v>33</v>
      </c>
      <c r="E3283" s="5" t="s">
        <v>34</v>
      </c>
      <c r="F3283" s="6">
        <v>42736</v>
      </c>
      <c r="G3283">
        <v>0</v>
      </c>
    </row>
    <row r="3284" spans="1:7" x14ac:dyDescent="0.25">
      <c r="A3284" s="5" t="s">
        <v>120</v>
      </c>
      <c r="B3284" s="5" t="s">
        <v>121</v>
      </c>
      <c r="C3284" s="5">
        <v>6530</v>
      </c>
      <c r="D3284" s="5" t="s">
        <v>35</v>
      </c>
      <c r="E3284" s="5" t="s">
        <v>36</v>
      </c>
      <c r="F3284" s="6">
        <v>42370</v>
      </c>
      <c r="G3284">
        <v>0</v>
      </c>
    </row>
    <row r="3285" spans="1:7" x14ac:dyDescent="0.25">
      <c r="A3285" s="5" t="s">
        <v>120</v>
      </c>
      <c r="B3285" s="5" t="s">
        <v>121</v>
      </c>
      <c r="C3285" s="5">
        <v>6530</v>
      </c>
      <c r="D3285" s="5" t="s">
        <v>35</v>
      </c>
      <c r="E3285" s="5" t="s">
        <v>36</v>
      </c>
      <c r="F3285" s="6">
        <v>42736</v>
      </c>
      <c r="G3285">
        <v>0</v>
      </c>
    </row>
    <row r="3286" spans="1:7" x14ac:dyDescent="0.25">
      <c r="A3286" s="5" t="s">
        <v>120</v>
      </c>
      <c r="B3286" s="5" t="s">
        <v>121</v>
      </c>
      <c r="C3286" s="5">
        <v>6530</v>
      </c>
      <c r="D3286" s="5" t="s">
        <v>35</v>
      </c>
      <c r="E3286" s="5" t="s">
        <v>37</v>
      </c>
      <c r="F3286" s="6">
        <v>42370</v>
      </c>
      <c r="G3286">
        <v>0</v>
      </c>
    </row>
    <row r="3287" spans="1:7" x14ac:dyDescent="0.25">
      <c r="A3287" s="5" t="s">
        <v>120</v>
      </c>
      <c r="B3287" s="5" t="s">
        <v>121</v>
      </c>
      <c r="C3287" s="5">
        <v>6530</v>
      </c>
      <c r="D3287" s="5" t="s">
        <v>35</v>
      </c>
      <c r="E3287" s="5" t="s">
        <v>37</v>
      </c>
      <c r="F3287" s="6">
        <v>42736</v>
      </c>
      <c r="G3287">
        <v>0</v>
      </c>
    </row>
    <row r="3288" spans="1:7" x14ac:dyDescent="0.25">
      <c r="A3288" s="5" t="s">
        <v>120</v>
      </c>
      <c r="B3288" s="5" t="s">
        <v>121</v>
      </c>
      <c r="C3288" s="5">
        <v>6530</v>
      </c>
      <c r="D3288" s="5" t="s">
        <v>35</v>
      </c>
      <c r="E3288" s="5" t="s">
        <v>38</v>
      </c>
      <c r="F3288" s="6">
        <v>42370</v>
      </c>
      <c r="G3288">
        <v>0</v>
      </c>
    </row>
    <row r="3289" spans="1:7" x14ac:dyDescent="0.25">
      <c r="A3289" s="5" t="s">
        <v>120</v>
      </c>
      <c r="B3289" s="5" t="s">
        <v>121</v>
      </c>
      <c r="C3289" s="5">
        <v>6530</v>
      </c>
      <c r="D3289" s="5" t="s">
        <v>35</v>
      </c>
      <c r="E3289" s="5" t="s">
        <v>38</v>
      </c>
      <c r="F3289" s="6">
        <v>42736</v>
      </c>
      <c r="G3289">
        <v>0</v>
      </c>
    </row>
    <row r="3290" spans="1:7" x14ac:dyDescent="0.25">
      <c r="A3290" s="5" t="s">
        <v>120</v>
      </c>
      <c r="B3290" s="5" t="s">
        <v>121</v>
      </c>
      <c r="C3290" s="5">
        <v>6530</v>
      </c>
      <c r="D3290" s="5" t="s">
        <v>35</v>
      </c>
      <c r="E3290" s="5" t="s">
        <v>39</v>
      </c>
      <c r="F3290" s="6">
        <v>42370</v>
      </c>
      <c r="G3290">
        <v>0</v>
      </c>
    </row>
    <row r="3291" spans="1:7" x14ac:dyDescent="0.25">
      <c r="A3291" s="5" t="s">
        <v>120</v>
      </c>
      <c r="B3291" s="5" t="s">
        <v>121</v>
      </c>
      <c r="C3291" s="5">
        <v>6530</v>
      </c>
      <c r="D3291" s="5" t="s">
        <v>35</v>
      </c>
      <c r="E3291" s="5" t="s">
        <v>39</v>
      </c>
      <c r="F3291" s="6">
        <v>42736</v>
      </c>
      <c r="G3291">
        <v>0</v>
      </c>
    </row>
    <row r="3292" spans="1:7" x14ac:dyDescent="0.25">
      <c r="A3292" s="5" t="s">
        <v>120</v>
      </c>
      <c r="B3292" s="5" t="s">
        <v>121</v>
      </c>
      <c r="C3292" s="5">
        <v>6530</v>
      </c>
      <c r="D3292" s="5" t="s">
        <v>35</v>
      </c>
      <c r="E3292" s="5" t="s">
        <v>40</v>
      </c>
      <c r="F3292" s="6">
        <v>42370</v>
      </c>
      <c r="G3292">
        <v>0</v>
      </c>
    </row>
    <row r="3293" spans="1:7" x14ac:dyDescent="0.25">
      <c r="A3293" s="5" t="s">
        <v>120</v>
      </c>
      <c r="B3293" s="5" t="s">
        <v>121</v>
      </c>
      <c r="C3293" s="5">
        <v>6530</v>
      </c>
      <c r="D3293" s="5" t="s">
        <v>35</v>
      </c>
      <c r="E3293" s="5" t="s">
        <v>40</v>
      </c>
      <c r="F3293" s="6">
        <v>42736</v>
      </c>
      <c r="G3293">
        <v>0</v>
      </c>
    </row>
    <row r="3294" spans="1:7" x14ac:dyDescent="0.25">
      <c r="A3294" s="5" t="s">
        <v>120</v>
      </c>
      <c r="B3294" s="5" t="s">
        <v>121</v>
      </c>
      <c r="C3294" s="5">
        <v>6530</v>
      </c>
      <c r="D3294" s="5" t="s">
        <v>35</v>
      </c>
      <c r="E3294" s="5" t="s">
        <v>41</v>
      </c>
      <c r="F3294" s="6">
        <v>42370</v>
      </c>
      <c r="G3294">
        <v>0</v>
      </c>
    </row>
    <row r="3295" spans="1:7" x14ac:dyDescent="0.25">
      <c r="A3295" s="5" t="s">
        <v>120</v>
      </c>
      <c r="B3295" s="5" t="s">
        <v>121</v>
      </c>
      <c r="C3295" s="5">
        <v>6530</v>
      </c>
      <c r="D3295" s="5" t="s">
        <v>35</v>
      </c>
      <c r="E3295" s="5" t="s">
        <v>41</v>
      </c>
      <c r="F3295" s="6">
        <v>42736</v>
      </c>
      <c r="G3295">
        <v>0</v>
      </c>
    </row>
    <row r="3296" spans="1:7" x14ac:dyDescent="0.25">
      <c r="A3296" s="5" t="s">
        <v>120</v>
      </c>
      <c r="B3296" s="5" t="s">
        <v>121</v>
      </c>
      <c r="C3296" s="5">
        <v>6530</v>
      </c>
      <c r="D3296" s="5" t="s">
        <v>35</v>
      </c>
      <c r="E3296" s="5" t="s">
        <v>42</v>
      </c>
      <c r="F3296" s="6">
        <v>42370</v>
      </c>
      <c r="G3296">
        <v>0</v>
      </c>
    </row>
    <row r="3297" spans="1:7" x14ac:dyDescent="0.25">
      <c r="A3297" s="5" t="s">
        <v>120</v>
      </c>
      <c r="B3297" s="5" t="s">
        <v>121</v>
      </c>
      <c r="C3297" s="5">
        <v>6530</v>
      </c>
      <c r="D3297" s="5" t="s">
        <v>35</v>
      </c>
      <c r="E3297" s="5" t="s">
        <v>42</v>
      </c>
      <c r="F3297" s="6">
        <v>42736</v>
      </c>
      <c r="G3297">
        <v>0</v>
      </c>
    </row>
    <row r="3298" spans="1:7" x14ac:dyDescent="0.25">
      <c r="A3298" s="5" t="s">
        <v>120</v>
      </c>
      <c r="B3298" s="5" t="s">
        <v>121</v>
      </c>
      <c r="C3298" s="5">
        <v>6530</v>
      </c>
      <c r="D3298" s="5" t="s">
        <v>35</v>
      </c>
      <c r="E3298" s="5" t="s">
        <v>43</v>
      </c>
      <c r="F3298" s="6">
        <v>42370</v>
      </c>
      <c r="G3298">
        <v>0</v>
      </c>
    </row>
    <row r="3299" spans="1:7" x14ac:dyDescent="0.25">
      <c r="A3299" s="5" t="s">
        <v>120</v>
      </c>
      <c r="B3299" s="5" t="s">
        <v>121</v>
      </c>
      <c r="C3299" s="5">
        <v>6530</v>
      </c>
      <c r="D3299" s="5" t="s">
        <v>35</v>
      </c>
      <c r="E3299" s="5" t="s">
        <v>43</v>
      </c>
      <c r="F3299" s="6">
        <v>42736</v>
      </c>
      <c r="G3299">
        <v>0</v>
      </c>
    </row>
    <row r="3300" spans="1:7" x14ac:dyDescent="0.25">
      <c r="A3300" s="5" t="s">
        <v>120</v>
      </c>
      <c r="B3300" s="5" t="s">
        <v>121</v>
      </c>
      <c r="C3300" s="5">
        <v>6530</v>
      </c>
      <c r="D3300" s="5" t="s">
        <v>44</v>
      </c>
      <c r="E3300" s="5" t="s">
        <v>36</v>
      </c>
      <c r="F3300" s="6">
        <v>42370</v>
      </c>
      <c r="G3300">
        <v>0</v>
      </c>
    </row>
    <row r="3301" spans="1:7" x14ac:dyDescent="0.25">
      <c r="A3301" s="5" t="s">
        <v>120</v>
      </c>
      <c r="B3301" s="5" t="s">
        <v>121</v>
      </c>
      <c r="C3301" s="5">
        <v>6530</v>
      </c>
      <c r="D3301" s="5" t="s">
        <v>44</v>
      </c>
      <c r="E3301" s="5" t="s">
        <v>36</v>
      </c>
      <c r="F3301" s="6">
        <v>42736</v>
      </c>
      <c r="G3301">
        <v>0</v>
      </c>
    </row>
    <row r="3302" spans="1:7" x14ac:dyDescent="0.25">
      <c r="A3302" s="5" t="s">
        <v>120</v>
      </c>
      <c r="B3302" s="5" t="s">
        <v>121</v>
      </c>
      <c r="C3302" s="5">
        <v>6530</v>
      </c>
      <c r="D3302" s="5" t="s">
        <v>44</v>
      </c>
      <c r="E3302" s="5" t="s">
        <v>37</v>
      </c>
      <c r="F3302" s="6">
        <v>42370</v>
      </c>
      <c r="G3302">
        <v>0</v>
      </c>
    </row>
    <row r="3303" spans="1:7" x14ac:dyDescent="0.25">
      <c r="A3303" s="5" t="s">
        <v>120</v>
      </c>
      <c r="B3303" s="5" t="s">
        <v>121</v>
      </c>
      <c r="C3303" s="5">
        <v>6530</v>
      </c>
      <c r="D3303" s="5" t="s">
        <v>44</v>
      </c>
      <c r="E3303" s="5" t="s">
        <v>37</v>
      </c>
      <c r="F3303" s="6">
        <v>42736</v>
      </c>
      <c r="G3303">
        <v>0</v>
      </c>
    </row>
    <row r="3304" spans="1:7" x14ac:dyDescent="0.25">
      <c r="A3304" s="5" t="s">
        <v>120</v>
      </c>
      <c r="B3304" s="5" t="s">
        <v>121</v>
      </c>
      <c r="C3304" s="5">
        <v>6530</v>
      </c>
      <c r="D3304" s="5" t="s">
        <v>44</v>
      </c>
      <c r="E3304" s="5" t="s">
        <v>38</v>
      </c>
      <c r="F3304" s="6">
        <v>42370</v>
      </c>
      <c r="G3304">
        <v>0</v>
      </c>
    </row>
    <row r="3305" spans="1:7" x14ac:dyDescent="0.25">
      <c r="A3305" s="5" t="s">
        <v>120</v>
      </c>
      <c r="B3305" s="5" t="s">
        <v>121</v>
      </c>
      <c r="C3305" s="5">
        <v>6530</v>
      </c>
      <c r="D3305" s="5" t="s">
        <v>44</v>
      </c>
      <c r="E3305" s="5" t="s">
        <v>38</v>
      </c>
      <c r="F3305" s="6">
        <v>42736</v>
      </c>
      <c r="G3305">
        <v>0</v>
      </c>
    </row>
    <row r="3306" spans="1:7" x14ac:dyDescent="0.25">
      <c r="A3306" s="5" t="s">
        <v>120</v>
      </c>
      <c r="B3306" s="5" t="s">
        <v>121</v>
      </c>
      <c r="C3306" s="5">
        <v>6530</v>
      </c>
      <c r="D3306" s="5" t="s">
        <v>44</v>
      </c>
      <c r="E3306" s="5" t="s">
        <v>39</v>
      </c>
      <c r="F3306" s="6">
        <v>42370</v>
      </c>
      <c r="G3306">
        <v>0</v>
      </c>
    </row>
    <row r="3307" spans="1:7" x14ac:dyDescent="0.25">
      <c r="A3307" s="5" t="s">
        <v>120</v>
      </c>
      <c r="B3307" s="5" t="s">
        <v>121</v>
      </c>
      <c r="C3307" s="5">
        <v>6530</v>
      </c>
      <c r="D3307" s="5" t="s">
        <v>44</v>
      </c>
      <c r="E3307" s="5" t="s">
        <v>39</v>
      </c>
      <c r="F3307" s="6">
        <v>42736</v>
      </c>
      <c r="G3307">
        <v>0</v>
      </c>
    </row>
    <row r="3308" spans="1:7" x14ac:dyDescent="0.25">
      <c r="A3308" s="5" t="s">
        <v>120</v>
      </c>
      <c r="B3308" s="5" t="s">
        <v>121</v>
      </c>
      <c r="C3308" s="5">
        <v>6530</v>
      </c>
      <c r="D3308" s="5" t="s">
        <v>44</v>
      </c>
      <c r="E3308" s="5" t="s">
        <v>40</v>
      </c>
      <c r="F3308" s="6">
        <v>42370</v>
      </c>
      <c r="G3308">
        <v>0</v>
      </c>
    </row>
    <row r="3309" spans="1:7" x14ac:dyDescent="0.25">
      <c r="A3309" s="5" t="s">
        <v>120</v>
      </c>
      <c r="B3309" s="5" t="s">
        <v>121</v>
      </c>
      <c r="C3309" s="5">
        <v>6530</v>
      </c>
      <c r="D3309" s="5" t="s">
        <v>44</v>
      </c>
      <c r="E3309" s="5" t="s">
        <v>40</v>
      </c>
      <c r="F3309" s="6">
        <v>42736</v>
      </c>
      <c r="G3309">
        <v>0</v>
      </c>
    </row>
    <row r="3310" spans="1:7" x14ac:dyDescent="0.25">
      <c r="A3310" s="5" t="s">
        <v>120</v>
      </c>
      <c r="B3310" s="5" t="s">
        <v>121</v>
      </c>
      <c r="C3310" s="5">
        <v>6530</v>
      </c>
      <c r="D3310" s="5" t="s">
        <v>44</v>
      </c>
      <c r="E3310" s="5" t="s">
        <v>41</v>
      </c>
      <c r="F3310" s="6">
        <v>42370</v>
      </c>
      <c r="G3310">
        <v>0</v>
      </c>
    </row>
    <row r="3311" spans="1:7" x14ac:dyDescent="0.25">
      <c r="A3311" s="5" t="s">
        <v>120</v>
      </c>
      <c r="B3311" s="5" t="s">
        <v>121</v>
      </c>
      <c r="C3311" s="5">
        <v>6530</v>
      </c>
      <c r="D3311" s="5" t="s">
        <v>44</v>
      </c>
      <c r="E3311" s="5" t="s">
        <v>41</v>
      </c>
      <c r="F3311" s="6">
        <v>42736</v>
      </c>
      <c r="G3311">
        <v>0</v>
      </c>
    </row>
    <row r="3312" spans="1:7" x14ac:dyDescent="0.25">
      <c r="A3312" s="5" t="s">
        <v>120</v>
      </c>
      <c r="B3312" s="5" t="s">
        <v>121</v>
      </c>
      <c r="C3312" s="5">
        <v>6530</v>
      </c>
      <c r="D3312" s="5" t="s">
        <v>44</v>
      </c>
      <c r="E3312" s="5" t="s">
        <v>42</v>
      </c>
      <c r="F3312" s="6">
        <v>42370</v>
      </c>
      <c r="G3312">
        <v>0</v>
      </c>
    </row>
    <row r="3313" spans="1:7" x14ac:dyDescent="0.25">
      <c r="A3313" s="5" t="s">
        <v>120</v>
      </c>
      <c r="B3313" s="5" t="s">
        <v>121</v>
      </c>
      <c r="C3313" s="5">
        <v>6530</v>
      </c>
      <c r="D3313" s="5" t="s">
        <v>44</v>
      </c>
      <c r="E3313" s="5" t="s">
        <v>42</v>
      </c>
      <c r="F3313" s="6">
        <v>42736</v>
      </c>
      <c r="G3313">
        <v>0</v>
      </c>
    </row>
    <row r="3314" spans="1:7" x14ac:dyDescent="0.25">
      <c r="A3314" s="5" t="s">
        <v>120</v>
      </c>
      <c r="B3314" s="5" t="s">
        <v>121</v>
      </c>
      <c r="C3314" s="5">
        <v>6530</v>
      </c>
      <c r="D3314" s="5" t="s">
        <v>44</v>
      </c>
      <c r="E3314" s="5" t="s">
        <v>43</v>
      </c>
      <c r="F3314" s="6">
        <v>42370</v>
      </c>
      <c r="G3314">
        <v>0</v>
      </c>
    </row>
    <row r="3315" spans="1:7" x14ac:dyDescent="0.25">
      <c r="A3315" s="5" t="s">
        <v>120</v>
      </c>
      <c r="B3315" s="5" t="s">
        <v>121</v>
      </c>
      <c r="C3315" s="5">
        <v>6530</v>
      </c>
      <c r="D3315" s="5" t="s">
        <v>44</v>
      </c>
      <c r="E3315" s="5" t="s">
        <v>43</v>
      </c>
      <c r="F3315" s="6">
        <v>42736</v>
      </c>
      <c r="G3315">
        <v>0</v>
      </c>
    </row>
    <row r="3316" spans="1:7" x14ac:dyDescent="0.25">
      <c r="A3316" s="5" t="s">
        <v>120</v>
      </c>
      <c r="B3316" s="5" t="s">
        <v>121</v>
      </c>
      <c r="C3316" s="5">
        <v>6530</v>
      </c>
      <c r="D3316" s="5" t="s">
        <v>45</v>
      </c>
      <c r="E3316" s="5" t="s">
        <v>46</v>
      </c>
      <c r="F3316" s="6">
        <v>42370</v>
      </c>
      <c r="G3316">
        <v>0</v>
      </c>
    </row>
    <row r="3317" spans="1:7" x14ac:dyDescent="0.25">
      <c r="A3317" s="5" t="s">
        <v>120</v>
      </c>
      <c r="B3317" s="5" t="s">
        <v>121</v>
      </c>
      <c r="C3317" s="5">
        <v>6530</v>
      </c>
      <c r="D3317" s="5" t="s">
        <v>45</v>
      </c>
      <c r="E3317" s="5" t="s">
        <v>46</v>
      </c>
      <c r="F3317" s="6">
        <v>42736</v>
      </c>
      <c r="G3317">
        <v>0</v>
      </c>
    </row>
    <row r="3318" spans="1:7" x14ac:dyDescent="0.25">
      <c r="A3318" s="5" t="s">
        <v>120</v>
      </c>
      <c r="B3318" s="5" t="s">
        <v>121</v>
      </c>
      <c r="C3318" s="5">
        <v>6530</v>
      </c>
      <c r="D3318" s="5" t="s">
        <v>45</v>
      </c>
      <c r="E3318" s="5" t="s">
        <v>47</v>
      </c>
      <c r="F3318" s="6">
        <v>42370</v>
      </c>
      <c r="G3318">
        <v>0</v>
      </c>
    </row>
    <row r="3319" spans="1:7" x14ac:dyDescent="0.25">
      <c r="A3319" s="5" t="s">
        <v>120</v>
      </c>
      <c r="B3319" s="5" t="s">
        <v>121</v>
      </c>
      <c r="C3319" s="5">
        <v>6530</v>
      </c>
      <c r="D3319" s="5" t="s">
        <v>45</v>
      </c>
      <c r="E3319" s="5" t="s">
        <v>47</v>
      </c>
      <c r="F3319" s="6">
        <v>42736</v>
      </c>
      <c r="G3319">
        <v>0</v>
      </c>
    </row>
    <row r="3320" spans="1:7" x14ac:dyDescent="0.25">
      <c r="A3320" s="5" t="s">
        <v>120</v>
      </c>
      <c r="B3320" s="5" t="s">
        <v>121</v>
      </c>
      <c r="C3320" s="5">
        <v>6530</v>
      </c>
      <c r="D3320" s="5" t="s">
        <v>45</v>
      </c>
      <c r="E3320" s="5" t="s">
        <v>48</v>
      </c>
      <c r="F3320" s="6">
        <v>42370</v>
      </c>
      <c r="G3320">
        <v>0</v>
      </c>
    </row>
    <row r="3321" spans="1:7" x14ac:dyDescent="0.25">
      <c r="A3321" s="5" t="s">
        <v>120</v>
      </c>
      <c r="B3321" s="5" t="s">
        <v>121</v>
      </c>
      <c r="C3321" s="5">
        <v>6530</v>
      </c>
      <c r="D3321" s="5" t="s">
        <v>45</v>
      </c>
      <c r="E3321" s="5" t="s">
        <v>48</v>
      </c>
      <c r="F3321" s="6">
        <v>42736</v>
      </c>
      <c r="G3321">
        <v>0</v>
      </c>
    </row>
    <row r="3322" spans="1:7" x14ac:dyDescent="0.25">
      <c r="A3322" s="5" t="s">
        <v>120</v>
      </c>
      <c r="B3322" s="5" t="s">
        <v>121</v>
      </c>
      <c r="C3322" s="5">
        <v>6530</v>
      </c>
      <c r="D3322" s="5" t="s">
        <v>45</v>
      </c>
      <c r="E3322" s="5" t="s">
        <v>49</v>
      </c>
      <c r="F3322" s="6">
        <v>42370</v>
      </c>
      <c r="G3322">
        <v>0</v>
      </c>
    </row>
    <row r="3323" spans="1:7" x14ac:dyDescent="0.25">
      <c r="A3323" s="5" t="s">
        <v>120</v>
      </c>
      <c r="B3323" s="5" t="s">
        <v>121</v>
      </c>
      <c r="C3323" s="5">
        <v>6530</v>
      </c>
      <c r="D3323" s="5" t="s">
        <v>45</v>
      </c>
      <c r="E3323" s="5" t="s">
        <v>49</v>
      </c>
      <c r="F3323" s="6">
        <v>42736</v>
      </c>
      <c r="G3323">
        <v>0</v>
      </c>
    </row>
    <row r="3324" spans="1:7" x14ac:dyDescent="0.25">
      <c r="A3324" s="5" t="s">
        <v>120</v>
      </c>
      <c r="B3324" s="5" t="s">
        <v>121</v>
      </c>
      <c r="C3324" s="5">
        <v>6530</v>
      </c>
      <c r="D3324" s="5" t="s">
        <v>45</v>
      </c>
      <c r="E3324" s="5" t="s">
        <v>50</v>
      </c>
      <c r="F3324" s="6">
        <v>42370</v>
      </c>
      <c r="G3324">
        <v>0</v>
      </c>
    </row>
    <row r="3325" spans="1:7" x14ac:dyDescent="0.25">
      <c r="A3325" s="5" t="s">
        <v>120</v>
      </c>
      <c r="B3325" s="5" t="s">
        <v>121</v>
      </c>
      <c r="C3325" s="5">
        <v>6530</v>
      </c>
      <c r="D3325" s="5" t="s">
        <v>45</v>
      </c>
      <c r="E3325" s="5" t="s">
        <v>50</v>
      </c>
      <c r="F3325" s="6">
        <v>42736</v>
      </c>
      <c r="G3325">
        <v>0</v>
      </c>
    </row>
    <row r="3326" spans="1:7" x14ac:dyDescent="0.25">
      <c r="A3326" s="5" t="s">
        <v>120</v>
      </c>
      <c r="B3326" s="5" t="s">
        <v>121</v>
      </c>
      <c r="C3326" s="5">
        <v>6530</v>
      </c>
      <c r="D3326" s="5" t="s">
        <v>45</v>
      </c>
      <c r="E3326" s="5" t="s">
        <v>51</v>
      </c>
      <c r="F3326" s="6">
        <v>42370</v>
      </c>
      <c r="G3326">
        <v>0</v>
      </c>
    </row>
    <row r="3327" spans="1:7" x14ac:dyDescent="0.25">
      <c r="A3327" s="5" t="s">
        <v>120</v>
      </c>
      <c r="B3327" s="5" t="s">
        <v>121</v>
      </c>
      <c r="C3327" s="5">
        <v>6530</v>
      </c>
      <c r="D3327" s="5" t="s">
        <v>45</v>
      </c>
      <c r="E3327" s="5" t="s">
        <v>51</v>
      </c>
      <c r="F3327" s="6">
        <v>42736</v>
      </c>
      <c r="G3327">
        <v>0</v>
      </c>
    </row>
    <row r="3328" spans="1:7" x14ac:dyDescent="0.25">
      <c r="A3328" s="5" t="s">
        <v>120</v>
      </c>
      <c r="B3328" s="5" t="s">
        <v>121</v>
      </c>
      <c r="C3328" s="5">
        <v>6530</v>
      </c>
      <c r="D3328" s="5" t="s">
        <v>45</v>
      </c>
      <c r="E3328" s="5" t="s">
        <v>52</v>
      </c>
      <c r="F3328" s="6">
        <v>42370</v>
      </c>
      <c r="G3328">
        <v>0</v>
      </c>
    </row>
    <row r="3329" spans="1:7" x14ac:dyDescent="0.25">
      <c r="A3329" s="5" t="s">
        <v>120</v>
      </c>
      <c r="B3329" s="5" t="s">
        <v>121</v>
      </c>
      <c r="C3329" s="5">
        <v>6530</v>
      </c>
      <c r="D3329" s="5" t="s">
        <v>45</v>
      </c>
      <c r="E3329" s="5" t="s">
        <v>52</v>
      </c>
      <c r="F3329" s="6">
        <v>42736</v>
      </c>
      <c r="G3329">
        <v>0</v>
      </c>
    </row>
    <row r="3330" spans="1:7" x14ac:dyDescent="0.25">
      <c r="A3330" s="5" t="s">
        <v>120</v>
      </c>
      <c r="B3330" s="5" t="s">
        <v>121</v>
      </c>
      <c r="C3330" s="5">
        <v>6530</v>
      </c>
      <c r="D3330" s="5" t="s">
        <v>45</v>
      </c>
      <c r="E3330" s="5" t="s">
        <v>53</v>
      </c>
      <c r="F3330" s="6">
        <v>42370</v>
      </c>
      <c r="G3330">
        <v>0</v>
      </c>
    </row>
    <row r="3331" spans="1:7" x14ac:dyDescent="0.25">
      <c r="A3331" s="5" t="s">
        <v>120</v>
      </c>
      <c r="B3331" s="5" t="s">
        <v>121</v>
      </c>
      <c r="C3331" s="5">
        <v>6530</v>
      </c>
      <c r="D3331" s="5" t="s">
        <v>45</v>
      </c>
      <c r="E3331" s="5" t="s">
        <v>53</v>
      </c>
      <c r="F3331" s="6">
        <v>42736</v>
      </c>
      <c r="G3331">
        <v>0</v>
      </c>
    </row>
    <row r="3332" spans="1:7" x14ac:dyDescent="0.25">
      <c r="A3332" s="5" t="s">
        <v>120</v>
      </c>
      <c r="B3332" s="5" t="s">
        <v>121</v>
      </c>
      <c r="C3332" s="5">
        <v>6530</v>
      </c>
      <c r="D3332" s="5" t="s">
        <v>45</v>
      </c>
      <c r="E3332" s="5" t="s">
        <v>54</v>
      </c>
      <c r="F3332" s="6">
        <v>42370</v>
      </c>
      <c r="G3332">
        <v>0</v>
      </c>
    </row>
    <row r="3333" spans="1:7" x14ac:dyDescent="0.25">
      <c r="A3333" s="5" t="s">
        <v>120</v>
      </c>
      <c r="B3333" s="5" t="s">
        <v>121</v>
      </c>
      <c r="C3333" s="5">
        <v>6530</v>
      </c>
      <c r="D3333" s="5" t="s">
        <v>45</v>
      </c>
      <c r="E3333" s="5" t="s">
        <v>54</v>
      </c>
      <c r="F3333" s="6">
        <v>42736</v>
      </c>
      <c r="G3333">
        <v>0</v>
      </c>
    </row>
    <row r="3334" spans="1:7" x14ac:dyDescent="0.25">
      <c r="A3334" s="5" t="s">
        <v>120</v>
      </c>
      <c r="B3334" s="5" t="s">
        <v>121</v>
      </c>
      <c r="C3334" s="5">
        <v>6530</v>
      </c>
      <c r="D3334" s="5" t="s">
        <v>45</v>
      </c>
      <c r="E3334" s="5" t="s">
        <v>55</v>
      </c>
      <c r="F3334" s="6">
        <v>42370</v>
      </c>
      <c r="G3334">
        <v>0</v>
      </c>
    </row>
    <row r="3335" spans="1:7" x14ac:dyDescent="0.25">
      <c r="A3335" s="5" t="s">
        <v>120</v>
      </c>
      <c r="B3335" s="5" t="s">
        <v>121</v>
      </c>
      <c r="C3335" s="5">
        <v>6530</v>
      </c>
      <c r="D3335" s="5" t="s">
        <v>45</v>
      </c>
      <c r="E3335" s="5" t="s">
        <v>55</v>
      </c>
      <c r="F3335" s="6">
        <v>42736</v>
      </c>
      <c r="G3335">
        <v>0</v>
      </c>
    </row>
    <row r="3336" spans="1:7" x14ac:dyDescent="0.25">
      <c r="A3336" s="5" t="s">
        <v>120</v>
      </c>
      <c r="B3336" s="5" t="s">
        <v>121</v>
      </c>
      <c r="C3336" s="5">
        <v>6530</v>
      </c>
      <c r="D3336" s="5" t="s">
        <v>45</v>
      </c>
      <c r="E3336" s="5" t="s">
        <v>56</v>
      </c>
      <c r="F3336" s="6">
        <v>42370</v>
      </c>
      <c r="G3336">
        <v>0</v>
      </c>
    </row>
    <row r="3337" spans="1:7" x14ac:dyDescent="0.25">
      <c r="A3337" s="5" t="s">
        <v>120</v>
      </c>
      <c r="B3337" s="5" t="s">
        <v>121</v>
      </c>
      <c r="C3337" s="5">
        <v>6530</v>
      </c>
      <c r="D3337" s="5" t="s">
        <v>45</v>
      </c>
      <c r="E3337" s="5" t="s">
        <v>56</v>
      </c>
      <c r="F3337" s="6">
        <v>42736</v>
      </c>
      <c r="G3337">
        <v>0</v>
      </c>
    </row>
    <row r="3338" spans="1:7" x14ac:dyDescent="0.25">
      <c r="A3338" s="5" t="s">
        <v>120</v>
      </c>
      <c r="B3338" s="5" t="s">
        <v>121</v>
      </c>
      <c r="C3338" s="5">
        <v>6530</v>
      </c>
      <c r="D3338" s="5" t="s">
        <v>45</v>
      </c>
      <c r="E3338" s="5" t="s">
        <v>57</v>
      </c>
      <c r="F3338" s="6">
        <v>42370</v>
      </c>
      <c r="G3338">
        <v>0</v>
      </c>
    </row>
    <row r="3339" spans="1:7" x14ac:dyDescent="0.25">
      <c r="A3339" s="5" t="s">
        <v>120</v>
      </c>
      <c r="B3339" s="5" t="s">
        <v>121</v>
      </c>
      <c r="C3339" s="5">
        <v>6530</v>
      </c>
      <c r="D3339" s="5" t="s">
        <v>45</v>
      </c>
      <c r="E3339" s="5" t="s">
        <v>57</v>
      </c>
      <c r="F3339" s="6">
        <v>42736</v>
      </c>
      <c r="G3339">
        <v>0</v>
      </c>
    </row>
    <row r="3340" spans="1:7" x14ac:dyDescent="0.25">
      <c r="A3340" s="5" t="s">
        <v>120</v>
      </c>
      <c r="B3340" s="5" t="s">
        <v>121</v>
      </c>
      <c r="C3340" s="5">
        <v>6530</v>
      </c>
      <c r="D3340" s="5" t="s">
        <v>45</v>
      </c>
      <c r="E3340" s="5" t="s">
        <v>58</v>
      </c>
      <c r="F3340" s="6">
        <v>42370</v>
      </c>
      <c r="G3340">
        <v>0</v>
      </c>
    </row>
    <row r="3341" spans="1:7" x14ac:dyDescent="0.25">
      <c r="A3341" s="5" t="s">
        <v>120</v>
      </c>
      <c r="B3341" s="5" t="s">
        <v>121</v>
      </c>
      <c r="C3341" s="5">
        <v>6530</v>
      </c>
      <c r="D3341" s="5" t="s">
        <v>45</v>
      </c>
      <c r="E3341" s="5" t="s">
        <v>58</v>
      </c>
      <c r="F3341" s="6">
        <v>42736</v>
      </c>
      <c r="G3341">
        <v>0</v>
      </c>
    </row>
    <row r="3342" spans="1:7" x14ac:dyDescent="0.25">
      <c r="A3342" s="5" t="s">
        <v>120</v>
      </c>
      <c r="B3342" s="5" t="s">
        <v>121</v>
      </c>
      <c r="C3342" s="5">
        <v>6530</v>
      </c>
      <c r="D3342" s="5" t="s">
        <v>45</v>
      </c>
      <c r="E3342" s="5" t="s">
        <v>59</v>
      </c>
      <c r="F3342" s="6">
        <v>42370</v>
      </c>
      <c r="G3342">
        <v>0</v>
      </c>
    </row>
    <row r="3343" spans="1:7" x14ac:dyDescent="0.25">
      <c r="A3343" s="5" t="s">
        <v>120</v>
      </c>
      <c r="B3343" s="5" t="s">
        <v>121</v>
      </c>
      <c r="C3343" s="5">
        <v>6530</v>
      </c>
      <c r="D3343" s="5" t="s">
        <v>45</v>
      </c>
      <c r="E3343" s="5" t="s">
        <v>59</v>
      </c>
      <c r="F3343" s="6">
        <v>42736</v>
      </c>
      <c r="G3343">
        <v>0</v>
      </c>
    </row>
    <row r="3344" spans="1:7" x14ac:dyDescent="0.25">
      <c r="A3344" s="5" t="s">
        <v>120</v>
      </c>
      <c r="B3344" s="5" t="s">
        <v>121</v>
      </c>
      <c r="C3344" s="5">
        <v>6530</v>
      </c>
      <c r="D3344" s="5" t="s">
        <v>45</v>
      </c>
      <c r="E3344" s="5" t="s">
        <v>60</v>
      </c>
      <c r="F3344" s="6">
        <v>42370</v>
      </c>
      <c r="G3344">
        <v>0</v>
      </c>
    </row>
    <row r="3345" spans="1:7" x14ac:dyDescent="0.25">
      <c r="A3345" s="5" t="s">
        <v>120</v>
      </c>
      <c r="B3345" s="5" t="s">
        <v>121</v>
      </c>
      <c r="C3345" s="5">
        <v>6530</v>
      </c>
      <c r="D3345" s="5" t="s">
        <v>45</v>
      </c>
      <c r="E3345" s="5" t="s">
        <v>60</v>
      </c>
      <c r="F3345" s="6">
        <v>42736</v>
      </c>
      <c r="G3345">
        <v>0</v>
      </c>
    </row>
    <row r="3346" spans="1:7" x14ac:dyDescent="0.25">
      <c r="A3346" s="5" t="s">
        <v>120</v>
      </c>
      <c r="B3346" s="5" t="s">
        <v>121</v>
      </c>
      <c r="C3346" s="5">
        <v>6530</v>
      </c>
      <c r="D3346" s="5" t="s">
        <v>45</v>
      </c>
      <c r="E3346" s="5" t="s">
        <v>61</v>
      </c>
      <c r="F3346" s="6">
        <v>42370</v>
      </c>
      <c r="G3346">
        <v>0</v>
      </c>
    </row>
    <row r="3347" spans="1:7" x14ac:dyDescent="0.25">
      <c r="A3347" s="5" t="s">
        <v>120</v>
      </c>
      <c r="B3347" s="5" t="s">
        <v>121</v>
      </c>
      <c r="C3347" s="5">
        <v>6530</v>
      </c>
      <c r="D3347" s="5" t="s">
        <v>45</v>
      </c>
      <c r="E3347" s="5" t="s">
        <v>61</v>
      </c>
      <c r="F3347" s="6">
        <v>42736</v>
      </c>
      <c r="G3347">
        <v>0</v>
      </c>
    </row>
    <row r="3348" spans="1:7" x14ac:dyDescent="0.25">
      <c r="A3348" s="5" t="s">
        <v>120</v>
      </c>
      <c r="B3348" s="5" t="s">
        <v>121</v>
      </c>
      <c r="C3348" s="5">
        <v>6530</v>
      </c>
      <c r="D3348" s="5" t="s">
        <v>62</v>
      </c>
      <c r="E3348" s="5" t="s">
        <v>63</v>
      </c>
      <c r="F3348" s="6">
        <v>42370</v>
      </c>
      <c r="G3348">
        <v>0</v>
      </c>
    </row>
    <row r="3349" spans="1:7" x14ac:dyDescent="0.25">
      <c r="A3349" s="5" t="s">
        <v>120</v>
      </c>
      <c r="B3349" s="5" t="s">
        <v>121</v>
      </c>
      <c r="C3349" s="5">
        <v>6530</v>
      </c>
      <c r="D3349" s="5" t="s">
        <v>62</v>
      </c>
      <c r="E3349" s="5" t="s">
        <v>63</v>
      </c>
      <c r="F3349" s="6">
        <v>42736</v>
      </c>
      <c r="G3349">
        <v>0</v>
      </c>
    </row>
    <row r="3350" spans="1:7" x14ac:dyDescent="0.25">
      <c r="A3350" s="5" t="s">
        <v>120</v>
      </c>
      <c r="B3350" s="5" t="s">
        <v>121</v>
      </c>
      <c r="C3350" s="5">
        <v>6530</v>
      </c>
      <c r="D3350" s="5" t="s">
        <v>62</v>
      </c>
      <c r="E3350" s="5" t="s">
        <v>64</v>
      </c>
      <c r="F3350" s="6">
        <v>42370</v>
      </c>
      <c r="G3350">
        <v>0</v>
      </c>
    </row>
    <row r="3351" spans="1:7" x14ac:dyDescent="0.25">
      <c r="A3351" s="5" t="s">
        <v>120</v>
      </c>
      <c r="B3351" s="5" t="s">
        <v>121</v>
      </c>
      <c r="C3351" s="5">
        <v>6530</v>
      </c>
      <c r="D3351" s="5" t="s">
        <v>62</v>
      </c>
      <c r="E3351" s="5" t="s">
        <v>64</v>
      </c>
      <c r="F3351" s="6">
        <v>42736</v>
      </c>
      <c r="G3351">
        <v>0</v>
      </c>
    </row>
    <row r="3352" spans="1:7" x14ac:dyDescent="0.25">
      <c r="A3352" s="5" t="s">
        <v>120</v>
      </c>
      <c r="B3352" s="5" t="s">
        <v>121</v>
      </c>
      <c r="C3352" s="5">
        <v>6530</v>
      </c>
      <c r="D3352" s="5" t="s">
        <v>62</v>
      </c>
      <c r="E3352" s="5" t="s">
        <v>9</v>
      </c>
      <c r="F3352" s="6">
        <v>42370</v>
      </c>
      <c r="G3352">
        <v>0</v>
      </c>
    </row>
    <row r="3353" spans="1:7" x14ac:dyDescent="0.25">
      <c r="A3353" s="5" t="s">
        <v>120</v>
      </c>
      <c r="B3353" s="5" t="s">
        <v>121</v>
      </c>
      <c r="C3353" s="5">
        <v>6530</v>
      </c>
      <c r="D3353" s="5" t="s">
        <v>62</v>
      </c>
      <c r="E3353" s="5" t="s">
        <v>9</v>
      </c>
      <c r="F3353" s="6">
        <v>42736</v>
      </c>
      <c r="G3353">
        <v>0</v>
      </c>
    </row>
    <row r="3354" spans="1:7" x14ac:dyDescent="0.25">
      <c r="A3354" s="5" t="s">
        <v>120</v>
      </c>
      <c r="B3354" s="5" t="s">
        <v>121</v>
      </c>
      <c r="C3354" s="5">
        <v>6530</v>
      </c>
      <c r="D3354" s="5" t="s">
        <v>62</v>
      </c>
      <c r="E3354" s="5" t="s">
        <v>65</v>
      </c>
      <c r="F3354" s="6">
        <v>42370</v>
      </c>
      <c r="G3354">
        <v>0</v>
      </c>
    </row>
    <row r="3355" spans="1:7" x14ac:dyDescent="0.25">
      <c r="A3355" s="5" t="s">
        <v>120</v>
      </c>
      <c r="B3355" s="5" t="s">
        <v>121</v>
      </c>
      <c r="C3355" s="5">
        <v>6530</v>
      </c>
      <c r="D3355" s="5" t="s">
        <v>62</v>
      </c>
      <c r="E3355" s="5" t="s">
        <v>65</v>
      </c>
      <c r="F3355" s="6">
        <v>42736</v>
      </c>
      <c r="G3355">
        <v>0</v>
      </c>
    </row>
    <row r="3356" spans="1:7" x14ac:dyDescent="0.25">
      <c r="A3356" s="5" t="s">
        <v>120</v>
      </c>
      <c r="B3356" s="5" t="s">
        <v>121</v>
      </c>
      <c r="C3356" s="5">
        <v>6530</v>
      </c>
      <c r="D3356" s="5" t="s">
        <v>62</v>
      </c>
      <c r="E3356" s="5" t="s">
        <v>66</v>
      </c>
      <c r="F3356" s="6">
        <v>42370</v>
      </c>
      <c r="G3356">
        <v>0</v>
      </c>
    </row>
    <row r="3357" spans="1:7" x14ac:dyDescent="0.25">
      <c r="A3357" s="5" t="s">
        <v>120</v>
      </c>
      <c r="B3357" s="5" t="s">
        <v>121</v>
      </c>
      <c r="C3357" s="5">
        <v>6530</v>
      </c>
      <c r="D3357" s="5" t="s">
        <v>62</v>
      </c>
      <c r="E3357" s="5" t="s">
        <v>66</v>
      </c>
      <c r="F3357" s="6">
        <v>42736</v>
      </c>
      <c r="G3357">
        <v>0</v>
      </c>
    </row>
    <row r="3358" spans="1:7" x14ac:dyDescent="0.25">
      <c r="A3358" s="5" t="s">
        <v>120</v>
      </c>
      <c r="B3358" s="5" t="s">
        <v>121</v>
      </c>
      <c r="C3358" s="5">
        <v>6530</v>
      </c>
      <c r="D3358" s="5" t="s">
        <v>62</v>
      </c>
      <c r="E3358" s="5" t="s">
        <v>67</v>
      </c>
      <c r="F3358" s="6">
        <v>42370</v>
      </c>
      <c r="G3358">
        <v>0</v>
      </c>
    </row>
    <row r="3359" spans="1:7" x14ac:dyDescent="0.25">
      <c r="A3359" s="5" t="s">
        <v>120</v>
      </c>
      <c r="B3359" s="5" t="s">
        <v>121</v>
      </c>
      <c r="C3359" s="5">
        <v>6530</v>
      </c>
      <c r="D3359" s="5" t="s">
        <v>62</v>
      </c>
      <c r="E3359" s="5" t="s">
        <v>67</v>
      </c>
      <c r="F3359" s="6">
        <v>42736</v>
      </c>
      <c r="G3359">
        <v>0</v>
      </c>
    </row>
    <row r="3360" spans="1:7" x14ac:dyDescent="0.25">
      <c r="A3360" s="5" t="s">
        <v>120</v>
      </c>
      <c r="B3360" s="5" t="s">
        <v>121</v>
      </c>
      <c r="C3360" s="5">
        <v>6530</v>
      </c>
      <c r="D3360" s="5" t="s">
        <v>62</v>
      </c>
      <c r="E3360" s="5" t="s">
        <v>68</v>
      </c>
      <c r="F3360" s="6">
        <v>42370</v>
      </c>
      <c r="G3360">
        <v>0</v>
      </c>
    </row>
    <row r="3361" spans="1:7" x14ac:dyDescent="0.25">
      <c r="A3361" s="5" t="s">
        <v>120</v>
      </c>
      <c r="B3361" s="5" t="s">
        <v>121</v>
      </c>
      <c r="C3361" s="5">
        <v>6530</v>
      </c>
      <c r="D3361" s="5" t="s">
        <v>62</v>
      </c>
      <c r="E3361" s="5" t="s">
        <v>68</v>
      </c>
      <c r="F3361" s="6">
        <v>42736</v>
      </c>
      <c r="G3361">
        <v>0</v>
      </c>
    </row>
    <row r="3362" spans="1:7" x14ac:dyDescent="0.25">
      <c r="A3362" s="5" t="s">
        <v>120</v>
      </c>
      <c r="B3362" s="5" t="s">
        <v>121</v>
      </c>
      <c r="C3362" s="5">
        <v>6530</v>
      </c>
      <c r="D3362" s="5" t="s">
        <v>62</v>
      </c>
      <c r="E3362" s="5" t="s">
        <v>69</v>
      </c>
      <c r="F3362" s="6">
        <v>42370</v>
      </c>
      <c r="G3362">
        <v>0</v>
      </c>
    </row>
    <row r="3363" spans="1:7" x14ac:dyDescent="0.25">
      <c r="A3363" s="5" t="s">
        <v>120</v>
      </c>
      <c r="B3363" s="5" t="s">
        <v>121</v>
      </c>
      <c r="C3363" s="5">
        <v>6530</v>
      </c>
      <c r="D3363" s="5" t="s">
        <v>62</v>
      </c>
      <c r="E3363" s="5" t="s">
        <v>69</v>
      </c>
      <c r="F3363" s="6">
        <v>42736</v>
      </c>
      <c r="G3363">
        <v>0</v>
      </c>
    </row>
    <row r="3364" spans="1:7" x14ac:dyDescent="0.25">
      <c r="A3364" s="5" t="s">
        <v>120</v>
      </c>
      <c r="B3364" s="5" t="s">
        <v>121</v>
      </c>
      <c r="C3364" s="5">
        <v>6530</v>
      </c>
      <c r="D3364" s="5" t="s">
        <v>62</v>
      </c>
      <c r="E3364" s="5" t="s">
        <v>70</v>
      </c>
      <c r="F3364" s="6">
        <v>42370</v>
      </c>
      <c r="G3364">
        <v>0</v>
      </c>
    </row>
    <row r="3365" spans="1:7" x14ac:dyDescent="0.25">
      <c r="A3365" s="5" t="s">
        <v>120</v>
      </c>
      <c r="B3365" s="5" t="s">
        <v>121</v>
      </c>
      <c r="C3365" s="5">
        <v>6530</v>
      </c>
      <c r="D3365" s="5" t="s">
        <v>62</v>
      </c>
      <c r="E3365" s="5" t="s">
        <v>70</v>
      </c>
      <c r="F3365" s="6">
        <v>42736</v>
      </c>
      <c r="G3365">
        <v>0</v>
      </c>
    </row>
    <row r="3366" spans="1:7" x14ac:dyDescent="0.25">
      <c r="A3366" s="5" t="s">
        <v>120</v>
      </c>
      <c r="B3366" s="5" t="s">
        <v>121</v>
      </c>
      <c r="C3366" s="5">
        <v>6530</v>
      </c>
      <c r="D3366" s="5" t="s">
        <v>62</v>
      </c>
      <c r="E3366" s="5" t="s">
        <v>71</v>
      </c>
      <c r="F3366" s="6">
        <v>42370</v>
      </c>
      <c r="G3366">
        <v>0</v>
      </c>
    </row>
    <row r="3367" spans="1:7" x14ac:dyDescent="0.25">
      <c r="A3367" s="5" t="s">
        <v>120</v>
      </c>
      <c r="B3367" s="5" t="s">
        <v>121</v>
      </c>
      <c r="C3367" s="5">
        <v>6530</v>
      </c>
      <c r="D3367" s="5" t="s">
        <v>62</v>
      </c>
      <c r="E3367" s="5" t="s">
        <v>71</v>
      </c>
      <c r="F3367" s="6">
        <v>42736</v>
      </c>
      <c r="G3367">
        <v>0</v>
      </c>
    </row>
    <row r="3368" spans="1:7" x14ac:dyDescent="0.25">
      <c r="A3368" s="5" t="s">
        <v>120</v>
      </c>
      <c r="B3368" s="5" t="s">
        <v>121</v>
      </c>
      <c r="C3368" s="5">
        <v>6530</v>
      </c>
      <c r="D3368" s="5" t="s">
        <v>72</v>
      </c>
      <c r="E3368" s="5" t="s">
        <v>73</v>
      </c>
      <c r="F3368" s="6">
        <v>42370</v>
      </c>
      <c r="G3368">
        <v>0</v>
      </c>
    </row>
    <row r="3369" spans="1:7" x14ac:dyDescent="0.25">
      <c r="A3369" s="5" t="s">
        <v>120</v>
      </c>
      <c r="B3369" s="5" t="s">
        <v>121</v>
      </c>
      <c r="C3369" s="5">
        <v>6530</v>
      </c>
      <c r="D3369" s="5" t="s">
        <v>72</v>
      </c>
      <c r="E3369" s="5" t="s">
        <v>73</v>
      </c>
      <c r="F3369" s="6">
        <v>42736</v>
      </c>
      <c r="G3369">
        <v>0</v>
      </c>
    </row>
    <row r="3370" spans="1:7" x14ac:dyDescent="0.25">
      <c r="A3370" s="5" t="s">
        <v>120</v>
      </c>
      <c r="B3370" s="5" t="s">
        <v>121</v>
      </c>
      <c r="C3370" s="5">
        <v>6530</v>
      </c>
      <c r="D3370" s="5" t="s">
        <v>72</v>
      </c>
      <c r="E3370" s="5" t="s">
        <v>9</v>
      </c>
      <c r="F3370" s="6">
        <v>42370</v>
      </c>
      <c r="G3370">
        <v>0</v>
      </c>
    </row>
    <row r="3371" spans="1:7" x14ac:dyDescent="0.25">
      <c r="A3371" s="5" t="s">
        <v>120</v>
      </c>
      <c r="B3371" s="5" t="s">
        <v>121</v>
      </c>
      <c r="C3371" s="5">
        <v>6530</v>
      </c>
      <c r="D3371" s="5" t="s">
        <v>72</v>
      </c>
      <c r="E3371" s="5" t="s">
        <v>9</v>
      </c>
      <c r="F3371" s="6">
        <v>42736</v>
      </c>
      <c r="G3371">
        <v>0</v>
      </c>
    </row>
    <row r="3372" spans="1:7" x14ac:dyDescent="0.25">
      <c r="A3372" s="5" t="s">
        <v>120</v>
      </c>
      <c r="B3372" s="5" t="s">
        <v>121</v>
      </c>
      <c r="C3372" s="5">
        <v>6530</v>
      </c>
      <c r="D3372" s="5" t="s">
        <v>72</v>
      </c>
      <c r="E3372" s="5" t="s">
        <v>34</v>
      </c>
      <c r="F3372" s="6">
        <v>42370</v>
      </c>
      <c r="G3372">
        <v>0</v>
      </c>
    </row>
    <row r="3373" spans="1:7" x14ac:dyDescent="0.25">
      <c r="A3373" s="5" t="s">
        <v>120</v>
      </c>
      <c r="B3373" s="5" t="s">
        <v>121</v>
      </c>
      <c r="C3373" s="5">
        <v>6530</v>
      </c>
      <c r="D3373" s="5" t="s">
        <v>72</v>
      </c>
      <c r="E3373" s="5" t="s">
        <v>34</v>
      </c>
      <c r="F3373" s="6">
        <v>42736</v>
      </c>
      <c r="G3373">
        <v>0</v>
      </c>
    </row>
    <row r="3374" spans="1:7" x14ac:dyDescent="0.25">
      <c r="A3374" s="5" t="s">
        <v>120</v>
      </c>
      <c r="B3374" s="5" t="s">
        <v>121</v>
      </c>
      <c r="C3374" s="5">
        <v>6530</v>
      </c>
      <c r="D3374" s="5" t="s">
        <v>72</v>
      </c>
      <c r="E3374" s="5" t="s">
        <v>74</v>
      </c>
      <c r="F3374" s="6">
        <v>42370</v>
      </c>
      <c r="G3374">
        <v>0</v>
      </c>
    </row>
    <row r="3375" spans="1:7" x14ac:dyDescent="0.25">
      <c r="A3375" s="5" t="s">
        <v>120</v>
      </c>
      <c r="B3375" s="5" t="s">
        <v>121</v>
      </c>
      <c r="C3375" s="5">
        <v>6530</v>
      </c>
      <c r="D3375" s="5" t="s">
        <v>72</v>
      </c>
      <c r="E3375" s="5" t="s">
        <v>74</v>
      </c>
      <c r="F3375" s="6">
        <v>42736</v>
      </c>
      <c r="G3375">
        <v>0</v>
      </c>
    </row>
    <row r="3376" spans="1:7" x14ac:dyDescent="0.25">
      <c r="A3376" s="5" t="s">
        <v>120</v>
      </c>
      <c r="B3376" s="5" t="s">
        <v>121</v>
      </c>
      <c r="C3376" s="5">
        <v>6530</v>
      </c>
      <c r="D3376" s="5" t="s">
        <v>72</v>
      </c>
      <c r="E3376" s="5" t="s">
        <v>75</v>
      </c>
      <c r="F3376" s="6">
        <v>42370</v>
      </c>
      <c r="G3376">
        <v>0</v>
      </c>
    </row>
    <row r="3377" spans="1:7" x14ac:dyDescent="0.25">
      <c r="A3377" s="5" t="s">
        <v>120</v>
      </c>
      <c r="B3377" s="5" t="s">
        <v>121</v>
      </c>
      <c r="C3377" s="5">
        <v>6530</v>
      </c>
      <c r="D3377" s="5" t="s">
        <v>72</v>
      </c>
      <c r="E3377" s="5" t="s">
        <v>75</v>
      </c>
      <c r="F3377" s="6">
        <v>42736</v>
      </c>
      <c r="G3377">
        <v>0</v>
      </c>
    </row>
    <row r="3378" spans="1:7" x14ac:dyDescent="0.25">
      <c r="A3378" s="5" t="s">
        <v>120</v>
      </c>
      <c r="B3378" s="5" t="s">
        <v>121</v>
      </c>
      <c r="C3378" s="5">
        <v>6530</v>
      </c>
      <c r="D3378" s="5" t="s">
        <v>76</v>
      </c>
      <c r="E3378" s="5" t="s">
        <v>9</v>
      </c>
      <c r="F3378" s="6">
        <v>42370</v>
      </c>
      <c r="G3378">
        <v>0</v>
      </c>
    </row>
    <row r="3379" spans="1:7" x14ac:dyDescent="0.25">
      <c r="A3379" s="5" t="s">
        <v>120</v>
      </c>
      <c r="B3379" s="5" t="s">
        <v>121</v>
      </c>
      <c r="C3379" s="5">
        <v>6530</v>
      </c>
      <c r="D3379" s="5" t="s">
        <v>76</v>
      </c>
      <c r="E3379" s="5" t="s">
        <v>9</v>
      </c>
      <c r="F3379" s="6">
        <v>42736</v>
      </c>
      <c r="G3379">
        <v>0</v>
      </c>
    </row>
    <row r="3380" spans="1:7" x14ac:dyDescent="0.25">
      <c r="A3380" s="5" t="s">
        <v>120</v>
      </c>
      <c r="B3380" s="5" t="s">
        <v>121</v>
      </c>
      <c r="C3380" s="5">
        <v>6530</v>
      </c>
      <c r="D3380" s="5" t="s">
        <v>76</v>
      </c>
      <c r="E3380" s="5" t="s">
        <v>77</v>
      </c>
      <c r="F3380" s="6">
        <v>42370</v>
      </c>
      <c r="G3380">
        <v>0</v>
      </c>
    </row>
    <row r="3381" spans="1:7" x14ac:dyDescent="0.25">
      <c r="A3381" s="5" t="s">
        <v>120</v>
      </c>
      <c r="B3381" s="5" t="s">
        <v>121</v>
      </c>
      <c r="C3381" s="5">
        <v>6530</v>
      </c>
      <c r="D3381" s="5" t="s">
        <v>76</v>
      </c>
      <c r="E3381" s="5" t="s">
        <v>77</v>
      </c>
      <c r="F3381" s="6">
        <v>42736</v>
      </c>
      <c r="G3381">
        <v>0</v>
      </c>
    </row>
    <row r="3382" spans="1:7" x14ac:dyDescent="0.25">
      <c r="A3382" s="5" t="s">
        <v>120</v>
      </c>
      <c r="B3382" s="5" t="s">
        <v>121</v>
      </c>
      <c r="C3382" s="5">
        <v>6530</v>
      </c>
      <c r="D3382" s="5" t="s">
        <v>78</v>
      </c>
      <c r="E3382" s="5" t="s">
        <v>79</v>
      </c>
      <c r="F3382" s="6">
        <v>42370</v>
      </c>
      <c r="G3382">
        <v>15</v>
      </c>
    </row>
    <row r="3383" spans="1:7" x14ac:dyDescent="0.25">
      <c r="A3383" s="5" t="s">
        <v>120</v>
      </c>
      <c r="B3383" s="5" t="s">
        <v>121</v>
      </c>
      <c r="C3383" s="5">
        <v>6530</v>
      </c>
      <c r="D3383" s="5" t="s">
        <v>78</v>
      </c>
      <c r="E3383" s="5" t="s">
        <v>79</v>
      </c>
      <c r="F3383" s="6">
        <v>42736</v>
      </c>
      <c r="G3383">
        <v>155</v>
      </c>
    </row>
    <row r="3384" spans="1:7" x14ac:dyDescent="0.25">
      <c r="A3384" s="5" t="s">
        <v>120</v>
      </c>
      <c r="B3384" s="5" t="s">
        <v>121</v>
      </c>
      <c r="C3384" s="5">
        <v>6530</v>
      </c>
      <c r="D3384" s="5" t="s">
        <v>78</v>
      </c>
      <c r="E3384" s="5" t="s">
        <v>80</v>
      </c>
      <c r="F3384" s="6">
        <v>42370</v>
      </c>
      <c r="G3384">
        <v>0</v>
      </c>
    </row>
    <row r="3385" spans="1:7" x14ac:dyDescent="0.25">
      <c r="A3385" s="5" t="s">
        <v>120</v>
      </c>
      <c r="B3385" s="5" t="s">
        <v>121</v>
      </c>
      <c r="C3385" s="5">
        <v>6530</v>
      </c>
      <c r="D3385" s="5" t="s">
        <v>78</v>
      </c>
      <c r="E3385" s="5" t="s">
        <v>80</v>
      </c>
      <c r="F3385" s="6">
        <v>42736</v>
      </c>
      <c r="G3385">
        <v>1</v>
      </c>
    </row>
    <row r="3386" spans="1:7" x14ac:dyDescent="0.25">
      <c r="A3386" s="5" t="s">
        <v>120</v>
      </c>
      <c r="B3386" s="5" t="s">
        <v>121</v>
      </c>
      <c r="C3386" s="5">
        <v>6530</v>
      </c>
      <c r="D3386" s="5" t="s">
        <v>78</v>
      </c>
      <c r="E3386" s="5" t="s">
        <v>81</v>
      </c>
      <c r="F3386" s="6">
        <v>42370</v>
      </c>
      <c r="G3386">
        <v>41</v>
      </c>
    </row>
    <row r="3387" spans="1:7" x14ac:dyDescent="0.25">
      <c r="A3387" s="5" t="s">
        <v>120</v>
      </c>
      <c r="B3387" s="5" t="s">
        <v>121</v>
      </c>
      <c r="C3387" s="5">
        <v>6530</v>
      </c>
      <c r="D3387" s="5" t="s">
        <v>78</v>
      </c>
      <c r="E3387" s="5" t="s">
        <v>81</v>
      </c>
      <c r="F3387" s="6">
        <v>42736</v>
      </c>
      <c r="G3387">
        <v>50</v>
      </c>
    </row>
    <row r="3388" spans="1:7" x14ac:dyDescent="0.25">
      <c r="A3388" s="5" t="s">
        <v>120</v>
      </c>
      <c r="B3388" s="5" t="s">
        <v>121</v>
      </c>
      <c r="C3388" s="5">
        <v>6530</v>
      </c>
      <c r="D3388" s="5" t="s">
        <v>78</v>
      </c>
      <c r="E3388" s="5" t="s">
        <v>82</v>
      </c>
      <c r="F3388" s="6">
        <v>42370</v>
      </c>
      <c r="G3388">
        <v>1</v>
      </c>
    </row>
    <row r="3389" spans="1:7" x14ac:dyDescent="0.25">
      <c r="A3389" s="5" t="s">
        <v>120</v>
      </c>
      <c r="B3389" s="5" t="s">
        <v>121</v>
      </c>
      <c r="C3389" s="5">
        <v>6530</v>
      </c>
      <c r="D3389" s="5" t="s">
        <v>78</v>
      </c>
      <c r="E3389" s="5" t="s">
        <v>82</v>
      </c>
      <c r="F3389" s="6">
        <v>42736</v>
      </c>
      <c r="G3389">
        <v>5</v>
      </c>
    </row>
    <row r="3390" spans="1:7" x14ac:dyDescent="0.25">
      <c r="A3390" s="5" t="s">
        <v>120</v>
      </c>
      <c r="B3390" s="5" t="s">
        <v>121</v>
      </c>
      <c r="C3390" s="5">
        <v>6530</v>
      </c>
      <c r="D3390" s="5" t="s">
        <v>78</v>
      </c>
      <c r="E3390" s="5" t="s">
        <v>83</v>
      </c>
      <c r="F3390" s="6">
        <v>42370</v>
      </c>
      <c r="G3390">
        <v>0</v>
      </c>
    </row>
    <row r="3391" spans="1:7" x14ac:dyDescent="0.25">
      <c r="A3391" s="5" t="s">
        <v>120</v>
      </c>
      <c r="B3391" s="5" t="s">
        <v>121</v>
      </c>
      <c r="C3391" s="5">
        <v>6530</v>
      </c>
      <c r="D3391" s="5" t="s">
        <v>78</v>
      </c>
      <c r="E3391" s="5" t="s">
        <v>83</v>
      </c>
      <c r="F3391" s="6">
        <v>42736</v>
      </c>
      <c r="G3391">
        <v>0</v>
      </c>
    </row>
    <row r="3392" spans="1:7" x14ac:dyDescent="0.25">
      <c r="A3392" s="5" t="s">
        <v>120</v>
      </c>
      <c r="B3392" s="5" t="s">
        <v>121</v>
      </c>
      <c r="C3392" s="5">
        <v>6530</v>
      </c>
      <c r="D3392" s="5" t="s">
        <v>78</v>
      </c>
      <c r="E3392" s="5" t="s">
        <v>84</v>
      </c>
      <c r="F3392" s="6">
        <v>42370</v>
      </c>
      <c r="G3392">
        <v>0</v>
      </c>
    </row>
    <row r="3393" spans="1:7" x14ac:dyDescent="0.25">
      <c r="A3393" s="5" t="s">
        <v>120</v>
      </c>
      <c r="B3393" s="5" t="s">
        <v>121</v>
      </c>
      <c r="C3393" s="5">
        <v>6530</v>
      </c>
      <c r="D3393" s="5" t="s">
        <v>78</v>
      </c>
      <c r="E3393" s="5" t="s">
        <v>84</v>
      </c>
      <c r="F3393" s="6">
        <v>42736</v>
      </c>
      <c r="G3393">
        <v>0</v>
      </c>
    </row>
    <row r="3394" spans="1:7" x14ac:dyDescent="0.25">
      <c r="A3394" s="5" t="s">
        <v>120</v>
      </c>
      <c r="B3394" s="5" t="s">
        <v>121</v>
      </c>
      <c r="C3394" s="5">
        <v>6530</v>
      </c>
      <c r="D3394" s="5" t="s">
        <v>78</v>
      </c>
      <c r="E3394" s="5" t="s">
        <v>85</v>
      </c>
      <c r="F3394" s="6">
        <v>42370</v>
      </c>
      <c r="G3394">
        <v>0</v>
      </c>
    </row>
    <row r="3395" spans="1:7" x14ac:dyDescent="0.25">
      <c r="A3395" s="5" t="s">
        <v>120</v>
      </c>
      <c r="B3395" s="5" t="s">
        <v>121</v>
      </c>
      <c r="C3395" s="5">
        <v>6530</v>
      </c>
      <c r="D3395" s="5" t="s">
        <v>78</v>
      </c>
      <c r="E3395" s="5" t="s">
        <v>85</v>
      </c>
      <c r="F3395" s="6">
        <v>42736</v>
      </c>
      <c r="G3395">
        <v>0</v>
      </c>
    </row>
    <row r="3396" spans="1:7" x14ac:dyDescent="0.25">
      <c r="A3396" s="5" t="s">
        <v>120</v>
      </c>
      <c r="B3396" s="5" t="s">
        <v>121</v>
      </c>
      <c r="C3396" s="5">
        <v>6530</v>
      </c>
      <c r="D3396" s="5" t="s">
        <v>78</v>
      </c>
      <c r="E3396" s="5" t="s">
        <v>86</v>
      </c>
      <c r="F3396" s="6">
        <v>42370</v>
      </c>
      <c r="G3396">
        <v>0</v>
      </c>
    </row>
    <row r="3397" spans="1:7" x14ac:dyDescent="0.25">
      <c r="A3397" s="5" t="s">
        <v>120</v>
      </c>
      <c r="B3397" s="5" t="s">
        <v>121</v>
      </c>
      <c r="C3397" s="5">
        <v>6530</v>
      </c>
      <c r="D3397" s="5" t="s">
        <v>78</v>
      </c>
      <c r="E3397" s="5" t="s">
        <v>86</v>
      </c>
      <c r="F3397" s="6">
        <v>42736</v>
      </c>
      <c r="G3397">
        <v>0</v>
      </c>
    </row>
    <row r="3398" spans="1:7" x14ac:dyDescent="0.25">
      <c r="A3398" s="5" t="s">
        <v>120</v>
      </c>
      <c r="B3398" s="5" t="s">
        <v>121</v>
      </c>
      <c r="C3398" s="5">
        <v>6530</v>
      </c>
      <c r="D3398" s="5" t="s">
        <v>78</v>
      </c>
      <c r="E3398" s="5" t="s">
        <v>87</v>
      </c>
      <c r="F3398" s="6">
        <v>42370</v>
      </c>
      <c r="G3398">
        <v>1</v>
      </c>
    </row>
    <row r="3399" spans="1:7" x14ac:dyDescent="0.25">
      <c r="A3399" s="5" t="s">
        <v>120</v>
      </c>
      <c r="B3399" s="5" t="s">
        <v>121</v>
      </c>
      <c r="C3399" s="5">
        <v>6530</v>
      </c>
      <c r="D3399" s="5" t="s">
        <v>78</v>
      </c>
      <c r="E3399" s="5" t="s">
        <v>87</v>
      </c>
      <c r="F3399" s="6">
        <v>42736</v>
      </c>
      <c r="G3399">
        <v>4</v>
      </c>
    </row>
    <row r="3400" spans="1:7" x14ac:dyDescent="0.25">
      <c r="A3400" s="5" t="s">
        <v>120</v>
      </c>
      <c r="B3400" s="5" t="s">
        <v>121</v>
      </c>
      <c r="C3400" s="5">
        <v>6530</v>
      </c>
      <c r="D3400" s="5" t="s">
        <v>78</v>
      </c>
      <c r="E3400" s="5" t="s">
        <v>88</v>
      </c>
      <c r="F3400" s="6">
        <v>42370</v>
      </c>
      <c r="G3400">
        <v>13</v>
      </c>
    </row>
    <row r="3401" spans="1:7" x14ac:dyDescent="0.25">
      <c r="A3401" s="5" t="s">
        <v>120</v>
      </c>
      <c r="B3401" s="5" t="s">
        <v>121</v>
      </c>
      <c r="C3401" s="5">
        <v>6530</v>
      </c>
      <c r="D3401" s="5" t="s">
        <v>78</v>
      </c>
      <c r="E3401" s="5" t="s">
        <v>88</v>
      </c>
      <c r="F3401" s="6">
        <v>42736</v>
      </c>
      <c r="G3401">
        <v>20</v>
      </c>
    </row>
    <row r="3402" spans="1:7" x14ac:dyDescent="0.25">
      <c r="A3402" s="5" t="s">
        <v>120</v>
      </c>
      <c r="B3402" s="5" t="s">
        <v>121</v>
      </c>
      <c r="C3402" s="5">
        <v>6530</v>
      </c>
      <c r="D3402" s="5" t="s">
        <v>78</v>
      </c>
      <c r="E3402" s="5" t="s">
        <v>89</v>
      </c>
      <c r="F3402" s="6">
        <v>42370</v>
      </c>
      <c r="G3402">
        <v>98</v>
      </c>
    </row>
    <row r="3403" spans="1:7" x14ac:dyDescent="0.25">
      <c r="A3403" s="5" t="s">
        <v>120</v>
      </c>
      <c r="B3403" s="5" t="s">
        <v>121</v>
      </c>
      <c r="C3403" s="5">
        <v>6530</v>
      </c>
      <c r="D3403" s="5" t="s">
        <v>78</v>
      </c>
      <c r="E3403" s="5" t="s">
        <v>89</v>
      </c>
      <c r="F3403" s="6">
        <v>42736</v>
      </c>
      <c r="G3403">
        <v>216</v>
      </c>
    </row>
    <row r="3404" spans="1:7" x14ac:dyDescent="0.25">
      <c r="A3404" s="5" t="s">
        <v>120</v>
      </c>
      <c r="B3404" s="5" t="s">
        <v>121</v>
      </c>
      <c r="C3404" s="5">
        <v>6530</v>
      </c>
      <c r="D3404" s="5" t="s">
        <v>78</v>
      </c>
      <c r="E3404" s="5" t="s">
        <v>90</v>
      </c>
      <c r="F3404" s="6">
        <v>42370</v>
      </c>
      <c r="G3404">
        <v>0</v>
      </c>
    </row>
    <row r="3405" spans="1:7" x14ac:dyDescent="0.25">
      <c r="A3405" s="5" t="s">
        <v>120</v>
      </c>
      <c r="B3405" s="5" t="s">
        <v>121</v>
      </c>
      <c r="C3405" s="5">
        <v>6530</v>
      </c>
      <c r="D3405" s="5" t="s">
        <v>78</v>
      </c>
      <c r="E3405" s="5" t="s">
        <v>90</v>
      </c>
      <c r="F3405" s="6">
        <v>42736</v>
      </c>
      <c r="G3405">
        <v>0</v>
      </c>
    </row>
    <row r="3406" spans="1:7" x14ac:dyDescent="0.25">
      <c r="A3406" s="5" t="s">
        <v>120</v>
      </c>
      <c r="B3406" s="5" t="s">
        <v>121</v>
      </c>
      <c r="C3406" s="5">
        <v>6530</v>
      </c>
      <c r="D3406" s="5" t="s">
        <v>78</v>
      </c>
      <c r="E3406" s="5" t="s">
        <v>91</v>
      </c>
      <c r="F3406" s="6">
        <v>42370</v>
      </c>
      <c r="G3406">
        <v>0</v>
      </c>
    </row>
    <row r="3407" spans="1:7" x14ac:dyDescent="0.25">
      <c r="A3407" s="5" t="s">
        <v>120</v>
      </c>
      <c r="B3407" s="5" t="s">
        <v>121</v>
      </c>
      <c r="C3407" s="5">
        <v>6530</v>
      </c>
      <c r="D3407" s="5" t="s">
        <v>78</v>
      </c>
      <c r="E3407" s="5" t="s">
        <v>91</v>
      </c>
      <c r="F3407" s="6">
        <v>42736</v>
      </c>
      <c r="G3407">
        <v>0</v>
      </c>
    </row>
    <row r="3408" spans="1:7" x14ac:dyDescent="0.25">
      <c r="A3408" s="5" t="s">
        <v>120</v>
      </c>
      <c r="B3408" s="5" t="s">
        <v>121</v>
      </c>
      <c r="C3408" s="5">
        <v>6530</v>
      </c>
      <c r="D3408" s="5" t="s">
        <v>78</v>
      </c>
      <c r="E3408" s="5" t="s">
        <v>92</v>
      </c>
      <c r="F3408" s="6">
        <v>42370</v>
      </c>
      <c r="G3408">
        <v>0</v>
      </c>
    </row>
    <row r="3409" spans="1:7" x14ac:dyDescent="0.25">
      <c r="A3409" s="5" t="s">
        <v>120</v>
      </c>
      <c r="B3409" s="5" t="s">
        <v>121</v>
      </c>
      <c r="C3409" s="5">
        <v>6530</v>
      </c>
      <c r="D3409" s="5" t="s">
        <v>78</v>
      </c>
      <c r="E3409" s="5" t="s">
        <v>92</v>
      </c>
      <c r="F3409" s="6">
        <v>42736</v>
      </c>
      <c r="G3409">
        <v>0</v>
      </c>
    </row>
    <row r="3410" spans="1:7" x14ac:dyDescent="0.25">
      <c r="A3410" s="5" t="s">
        <v>120</v>
      </c>
      <c r="B3410" s="5" t="s">
        <v>121</v>
      </c>
      <c r="C3410" s="5">
        <v>6530</v>
      </c>
      <c r="D3410" s="5" t="s">
        <v>78</v>
      </c>
      <c r="E3410" s="5" t="s">
        <v>93</v>
      </c>
      <c r="F3410" s="6">
        <v>42370</v>
      </c>
      <c r="G3410">
        <v>0</v>
      </c>
    </row>
    <row r="3411" spans="1:7" x14ac:dyDescent="0.25">
      <c r="A3411" s="5" t="s">
        <v>120</v>
      </c>
      <c r="B3411" s="5" t="s">
        <v>121</v>
      </c>
      <c r="C3411" s="5">
        <v>6530</v>
      </c>
      <c r="D3411" s="5" t="s">
        <v>78</v>
      </c>
      <c r="E3411" s="5" t="s">
        <v>93</v>
      </c>
      <c r="F3411" s="6">
        <v>42736</v>
      </c>
      <c r="G3411">
        <v>0</v>
      </c>
    </row>
    <row r="3412" spans="1:7" x14ac:dyDescent="0.25">
      <c r="A3412" s="5" t="s">
        <v>120</v>
      </c>
      <c r="B3412" s="5" t="s">
        <v>121</v>
      </c>
      <c r="C3412" s="5">
        <v>6530</v>
      </c>
      <c r="D3412" s="5" t="s">
        <v>78</v>
      </c>
      <c r="E3412" s="5" t="s">
        <v>94</v>
      </c>
      <c r="F3412" s="6">
        <v>42370</v>
      </c>
      <c r="G3412">
        <v>0</v>
      </c>
    </row>
    <row r="3413" spans="1:7" x14ac:dyDescent="0.25">
      <c r="A3413" s="5" t="s">
        <v>120</v>
      </c>
      <c r="B3413" s="5" t="s">
        <v>121</v>
      </c>
      <c r="C3413" s="5">
        <v>6530</v>
      </c>
      <c r="D3413" s="5" t="s">
        <v>78</v>
      </c>
      <c r="E3413" s="5" t="s">
        <v>94</v>
      </c>
      <c r="F3413" s="6">
        <v>42736</v>
      </c>
      <c r="G3413">
        <v>0</v>
      </c>
    </row>
    <row r="3414" spans="1:7" x14ac:dyDescent="0.25">
      <c r="A3414" s="5" t="s">
        <v>120</v>
      </c>
      <c r="B3414" s="5" t="s">
        <v>121</v>
      </c>
      <c r="C3414" s="5">
        <v>6530</v>
      </c>
      <c r="D3414" s="5" t="s">
        <v>78</v>
      </c>
      <c r="E3414" s="5" t="s">
        <v>95</v>
      </c>
      <c r="F3414" s="6">
        <v>42370</v>
      </c>
      <c r="G3414">
        <v>0</v>
      </c>
    </row>
    <row r="3415" spans="1:7" x14ac:dyDescent="0.25">
      <c r="A3415" s="5" t="s">
        <v>120</v>
      </c>
      <c r="B3415" s="5" t="s">
        <v>121</v>
      </c>
      <c r="C3415" s="5">
        <v>6530</v>
      </c>
      <c r="D3415" s="5" t="s">
        <v>78</v>
      </c>
      <c r="E3415" s="5" t="s">
        <v>95</v>
      </c>
      <c r="F3415" s="6">
        <v>42736</v>
      </c>
      <c r="G3415">
        <v>0</v>
      </c>
    </row>
    <row r="3416" spans="1:7" x14ac:dyDescent="0.25">
      <c r="A3416" s="5" t="s">
        <v>120</v>
      </c>
      <c r="B3416" s="5" t="s">
        <v>121</v>
      </c>
      <c r="C3416" s="5">
        <v>6530</v>
      </c>
      <c r="D3416" s="5" t="s">
        <v>78</v>
      </c>
      <c r="E3416" s="5" t="s">
        <v>96</v>
      </c>
      <c r="F3416" s="6">
        <v>42370</v>
      </c>
      <c r="G3416">
        <v>0</v>
      </c>
    </row>
    <row r="3417" spans="1:7" x14ac:dyDescent="0.25">
      <c r="A3417" s="5" t="s">
        <v>120</v>
      </c>
      <c r="B3417" s="5" t="s">
        <v>121</v>
      </c>
      <c r="C3417" s="5">
        <v>6530</v>
      </c>
      <c r="D3417" s="5" t="s">
        <v>78</v>
      </c>
      <c r="E3417" s="5" t="s">
        <v>96</v>
      </c>
      <c r="F3417" s="6">
        <v>42736</v>
      </c>
      <c r="G3417">
        <v>0</v>
      </c>
    </row>
    <row r="3418" spans="1:7" x14ac:dyDescent="0.25">
      <c r="A3418" s="5" t="s">
        <v>120</v>
      </c>
      <c r="B3418" s="5" t="s">
        <v>121</v>
      </c>
      <c r="C3418" s="5">
        <v>6530</v>
      </c>
      <c r="D3418" s="5" t="s">
        <v>78</v>
      </c>
      <c r="E3418" s="5" t="s">
        <v>97</v>
      </c>
      <c r="F3418" s="6">
        <v>42370</v>
      </c>
      <c r="G3418">
        <v>0</v>
      </c>
    </row>
    <row r="3419" spans="1:7" x14ac:dyDescent="0.25">
      <c r="A3419" s="5" t="s">
        <v>120</v>
      </c>
      <c r="B3419" s="5" t="s">
        <v>121</v>
      </c>
      <c r="C3419" s="5">
        <v>6530</v>
      </c>
      <c r="D3419" s="5" t="s">
        <v>78</v>
      </c>
      <c r="E3419" s="5" t="s">
        <v>97</v>
      </c>
      <c r="F3419" s="6">
        <v>42736</v>
      </c>
      <c r="G3419">
        <v>0</v>
      </c>
    </row>
    <row r="3420" spans="1:7" x14ac:dyDescent="0.25">
      <c r="A3420" s="5" t="s">
        <v>120</v>
      </c>
      <c r="B3420" s="5" t="s">
        <v>121</v>
      </c>
      <c r="C3420" s="5">
        <v>6530</v>
      </c>
      <c r="D3420" s="5" t="s">
        <v>78</v>
      </c>
      <c r="E3420" s="5" t="s">
        <v>98</v>
      </c>
      <c r="F3420" s="6">
        <v>42370</v>
      </c>
      <c r="G3420">
        <v>0</v>
      </c>
    </row>
    <row r="3421" spans="1:7" x14ac:dyDescent="0.25">
      <c r="A3421" s="5" t="s">
        <v>120</v>
      </c>
      <c r="B3421" s="5" t="s">
        <v>121</v>
      </c>
      <c r="C3421" s="5">
        <v>6530</v>
      </c>
      <c r="D3421" s="5" t="s">
        <v>78</v>
      </c>
      <c r="E3421" s="5" t="s">
        <v>98</v>
      </c>
      <c r="F3421" s="6">
        <v>42736</v>
      </c>
      <c r="G3421">
        <v>2</v>
      </c>
    </row>
    <row r="3422" spans="1:7" x14ac:dyDescent="0.25">
      <c r="A3422" s="5" t="s">
        <v>120</v>
      </c>
      <c r="B3422" s="5" t="s">
        <v>122</v>
      </c>
      <c r="C3422" s="5">
        <v>7500</v>
      </c>
      <c r="D3422" s="5" t="s">
        <v>8</v>
      </c>
      <c r="E3422" s="5" t="s">
        <v>9</v>
      </c>
      <c r="F3422" s="6">
        <v>42370</v>
      </c>
      <c r="G3422">
        <v>0</v>
      </c>
    </row>
    <row r="3423" spans="1:7" x14ac:dyDescent="0.25">
      <c r="A3423" s="5" t="s">
        <v>120</v>
      </c>
      <c r="B3423" s="5" t="s">
        <v>122</v>
      </c>
      <c r="C3423" s="5">
        <v>7500</v>
      </c>
      <c r="D3423" s="5" t="s">
        <v>8</v>
      </c>
      <c r="E3423" s="5" t="s">
        <v>9</v>
      </c>
      <c r="F3423" s="6">
        <v>42736</v>
      </c>
      <c r="G3423">
        <v>0</v>
      </c>
    </row>
    <row r="3424" spans="1:7" x14ac:dyDescent="0.25">
      <c r="A3424" s="5" t="s">
        <v>120</v>
      </c>
      <c r="B3424" s="5" t="s">
        <v>122</v>
      </c>
      <c r="C3424" s="5">
        <v>7500</v>
      </c>
      <c r="D3424" s="5" t="s">
        <v>8</v>
      </c>
      <c r="E3424" s="5" t="s">
        <v>10</v>
      </c>
      <c r="F3424" s="6">
        <v>42370</v>
      </c>
      <c r="G3424">
        <v>127</v>
      </c>
    </row>
    <row r="3425" spans="1:7" x14ac:dyDescent="0.25">
      <c r="A3425" s="5" t="s">
        <v>120</v>
      </c>
      <c r="B3425" s="5" t="s">
        <v>122</v>
      </c>
      <c r="C3425" s="5">
        <v>7500</v>
      </c>
      <c r="D3425" s="5" t="s">
        <v>8</v>
      </c>
      <c r="E3425" s="5" t="s">
        <v>10</v>
      </c>
      <c r="F3425" s="6">
        <v>42736</v>
      </c>
      <c r="G3425">
        <v>164</v>
      </c>
    </row>
    <row r="3426" spans="1:7" x14ac:dyDescent="0.25">
      <c r="A3426" s="5" t="s">
        <v>120</v>
      </c>
      <c r="B3426" s="5" t="s">
        <v>122</v>
      </c>
      <c r="C3426" s="5">
        <v>7500</v>
      </c>
      <c r="D3426" s="5" t="s">
        <v>8</v>
      </c>
      <c r="E3426" s="5" t="s">
        <v>11</v>
      </c>
      <c r="F3426" s="6">
        <v>42370</v>
      </c>
      <c r="G3426">
        <v>35</v>
      </c>
    </row>
    <row r="3427" spans="1:7" x14ac:dyDescent="0.25">
      <c r="A3427" s="5" t="s">
        <v>120</v>
      </c>
      <c r="B3427" s="5" t="s">
        <v>122</v>
      </c>
      <c r="C3427" s="5">
        <v>7500</v>
      </c>
      <c r="D3427" s="5" t="s">
        <v>8</v>
      </c>
      <c r="E3427" s="5" t="s">
        <v>11</v>
      </c>
      <c r="F3427" s="6">
        <v>42736</v>
      </c>
      <c r="G3427">
        <v>132</v>
      </c>
    </row>
    <row r="3428" spans="1:7" x14ac:dyDescent="0.25">
      <c r="A3428" s="5" t="s">
        <v>120</v>
      </c>
      <c r="B3428" s="5" t="s">
        <v>122</v>
      </c>
      <c r="C3428" s="5">
        <v>7500</v>
      </c>
      <c r="D3428" s="5" t="s">
        <v>8</v>
      </c>
      <c r="E3428" s="5" t="s">
        <v>12</v>
      </c>
      <c r="F3428" s="6">
        <v>42370</v>
      </c>
      <c r="G3428">
        <v>0</v>
      </c>
    </row>
    <row r="3429" spans="1:7" x14ac:dyDescent="0.25">
      <c r="A3429" s="5" t="s">
        <v>120</v>
      </c>
      <c r="B3429" s="5" t="s">
        <v>122</v>
      </c>
      <c r="C3429" s="5">
        <v>7500</v>
      </c>
      <c r="D3429" s="5" t="s">
        <v>8</v>
      </c>
      <c r="E3429" s="5" t="s">
        <v>12</v>
      </c>
      <c r="F3429" s="6">
        <v>42736</v>
      </c>
      <c r="G3429">
        <v>0</v>
      </c>
    </row>
    <row r="3430" spans="1:7" x14ac:dyDescent="0.25">
      <c r="A3430" s="5" t="s">
        <v>120</v>
      </c>
      <c r="B3430" s="5" t="s">
        <v>122</v>
      </c>
      <c r="C3430" s="5">
        <v>7500</v>
      </c>
      <c r="D3430" s="5" t="s">
        <v>8</v>
      </c>
      <c r="E3430" s="5" t="s">
        <v>13</v>
      </c>
      <c r="F3430" s="6">
        <v>42370</v>
      </c>
      <c r="G3430">
        <v>0</v>
      </c>
    </row>
    <row r="3431" spans="1:7" x14ac:dyDescent="0.25">
      <c r="A3431" s="5" t="s">
        <v>120</v>
      </c>
      <c r="B3431" s="5" t="s">
        <v>122</v>
      </c>
      <c r="C3431" s="5">
        <v>7500</v>
      </c>
      <c r="D3431" s="5" t="s">
        <v>8</v>
      </c>
      <c r="E3431" s="5" t="s">
        <v>13</v>
      </c>
      <c r="F3431" s="6">
        <v>42736</v>
      </c>
      <c r="G3431">
        <v>0</v>
      </c>
    </row>
    <row r="3432" spans="1:7" x14ac:dyDescent="0.25">
      <c r="A3432" s="5" t="s">
        <v>120</v>
      </c>
      <c r="B3432" s="5" t="s">
        <v>122</v>
      </c>
      <c r="C3432" s="5">
        <v>7500</v>
      </c>
      <c r="D3432" s="5" t="s">
        <v>8</v>
      </c>
      <c r="E3432" s="5" t="s">
        <v>14</v>
      </c>
      <c r="F3432" s="6">
        <v>42370</v>
      </c>
      <c r="G3432">
        <v>0</v>
      </c>
    </row>
    <row r="3433" spans="1:7" x14ac:dyDescent="0.25">
      <c r="A3433" s="5" t="s">
        <v>120</v>
      </c>
      <c r="B3433" s="5" t="s">
        <v>122</v>
      </c>
      <c r="C3433" s="5">
        <v>7500</v>
      </c>
      <c r="D3433" s="5" t="s">
        <v>8</v>
      </c>
      <c r="E3433" s="5" t="s">
        <v>14</v>
      </c>
      <c r="F3433" s="6">
        <v>42736</v>
      </c>
      <c r="G3433">
        <v>0</v>
      </c>
    </row>
    <row r="3434" spans="1:7" x14ac:dyDescent="0.25">
      <c r="A3434" s="5" t="s">
        <v>120</v>
      </c>
      <c r="B3434" s="5" t="s">
        <v>122</v>
      </c>
      <c r="C3434" s="5">
        <v>7500</v>
      </c>
      <c r="D3434" s="5" t="s">
        <v>8</v>
      </c>
      <c r="E3434" s="5" t="s">
        <v>15</v>
      </c>
      <c r="F3434" s="6">
        <v>42370</v>
      </c>
      <c r="G3434">
        <v>0</v>
      </c>
    </row>
    <row r="3435" spans="1:7" x14ac:dyDescent="0.25">
      <c r="A3435" s="5" t="s">
        <v>120</v>
      </c>
      <c r="B3435" s="5" t="s">
        <v>122</v>
      </c>
      <c r="C3435" s="5">
        <v>7500</v>
      </c>
      <c r="D3435" s="5" t="s">
        <v>8</v>
      </c>
      <c r="E3435" s="5" t="s">
        <v>15</v>
      </c>
      <c r="F3435" s="6">
        <v>42736</v>
      </c>
      <c r="G3435">
        <v>0</v>
      </c>
    </row>
    <row r="3436" spans="1:7" x14ac:dyDescent="0.25">
      <c r="A3436" s="5" t="s">
        <v>120</v>
      </c>
      <c r="B3436" s="5" t="s">
        <v>122</v>
      </c>
      <c r="C3436" s="5">
        <v>7500</v>
      </c>
      <c r="D3436" s="5" t="s">
        <v>8</v>
      </c>
      <c r="E3436" s="5" t="s">
        <v>16</v>
      </c>
      <c r="F3436" s="6">
        <v>42370</v>
      </c>
      <c r="G3436">
        <v>33</v>
      </c>
    </row>
    <row r="3437" spans="1:7" x14ac:dyDescent="0.25">
      <c r="A3437" s="5" t="s">
        <v>120</v>
      </c>
      <c r="B3437" s="5" t="s">
        <v>122</v>
      </c>
      <c r="C3437" s="5">
        <v>7500</v>
      </c>
      <c r="D3437" s="5" t="s">
        <v>8</v>
      </c>
      <c r="E3437" s="5" t="s">
        <v>16</v>
      </c>
      <c r="F3437" s="6">
        <v>42736</v>
      </c>
      <c r="G3437">
        <v>62</v>
      </c>
    </row>
    <row r="3438" spans="1:7" x14ac:dyDescent="0.25">
      <c r="A3438" s="5" t="s">
        <v>120</v>
      </c>
      <c r="B3438" s="5" t="s">
        <v>122</v>
      </c>
      <c r="C3438" s="5">
        <v>7500</v>
      </c>
      <c r="D3438" s="5" t="s">
        <v>8</v>
      </c>
      <c r="E3438" s="5" t="s">
        <v>17</v>
      </c>
      <c r="F3438" s="6">
        <v>42370</v>
      </c>
      <c r="G3438">
        <v>0</v>
      </c>
    </row>
    <row r="3439" spans="1:7" x14ac:dyDescent="0.25">
      <c r="A3439" s="5" t="s">
        <v>120</v>
      </c>
      <c r="B3439" s="5" t="s">
        <v>122</v>
      </c>
      <c r="C3439" s="5">
        <v>7500</v>
      </c>
      <c r="D3439" s="5" t="s">
        <v>8</v>
      </c>
      <c r="E3439" s="5" t="s">
        <v>17</v>
      </c>
      <c r="F3439" s="6">
        <v>42736</v>
      </c>
      <c r="G3439">
        <v>0</v>
      </c>
    </row>
    <row r="3440" spans="1:7" x14ac:dyDescent="0.25">
      <c r="A3440" s="5" t="s">
        <v>120</v>
      </c>
      <c r="B3440" s="5" t="s">
        <v>122</v>
      </c>
      <c r="C3440" s="5">
        <v>7500</v>
      </c>
      <c r="D3440" s="5" t="s">
        <v>8</v>
      </c>
      <c r="E3440" s="5" t="s">
        <v>18</v>
      </c>
      <c r="F3440" s="6">
        <v>42370</v>
      </c>
      <c r="G3440">
        <v>28</v>
      </c>
    </row>
    <row r="3441" spans="1:7" x14ac:dyDescent="0.25">
      <c r="A3441" s="5" t="s">
        <v>120</v>
      </c>
      <c r="B3441" s="5" t="s">
        <v>122</v>
      </c>
      <c r="C3441" s="5">
        <v>7500</v>
      </c>
      <c r="D3441" s="5" t="s">
        <v>8</v>
      </c>
      <c r="E3441" s="5" t="s">
        <v>18</v>
      </c>
      <c r="F3441" s="6">
        <v>42736</v>
      </c>
      <c r="G3441">
        <v>33</v>
      </c>
    </row>
    <row r="3442" spans="1:7" x14ac:dyDescent="0.25">
      <c r="A3442" s="5" t="s">
        <v>120</v>
      </c>
      <c r="B3442" s="5" t="s">
        <v>122</v>
      </c>
      <c r="C3442" s="5">
        <v>7500</v>
      </c>
      <c r="D3442" s="5" t="s">
        <v>8</v>
      </c>
      <c r="E3442" s="5" t="s">
        <v>19</v>
      </c>
      <c r="F3442" s="6">
        <v>42370</v>
      </c>
      <c r="G3442">
        <v>0</v>
      </c>
    </row>
    <row r="3443" spans="1:7" x14ac:dyDescent="0.25">
      <c r="A3443" s="5" t="s">
        <v>120</v>
      </c>
      <c r="B3443" s="5" t="s">
        <v>122</v>
      </c>
      <c r="C3443" s="5">
        <v>7500</v>
      </c>
      <c r="D3443" s="5" t="s">
        <v>8</v>
      </c>
      <c r="E3443" s="5" t="s">
        <v>19</v>
      </c>
      <c r="F3443" s="6">
        <v>42736</v>
      </c>
      <c r="G3443">
        <v>0</v>
      </c>
    </row>
    <row r="3444" spans="1:7" x14ac:dyDescent="0.25">
      <c r="A3444" s="5" t="s">
        <v>120</v>
      </c>
      <c r="B3444" s="5" t="s">
        <v>122</v>
      </c>
      <c r="C3444" s="5">
        <v>7500</v>
      </c>
      <c r="D3444" s="5" t="s">
        <v>20</v>
      </c>
      <c r="E3444" s="5" t="s">
        <v>9</v>
      </c>
      <c r="F3444" s="6">
        <v>42370</v>
      </c>
      <c r="G3444">
        <v>9</v>
      </c>
    </row>
    <row r="3445" spans="1:7" x14ac:dyDescent="0.25">
      <c r="A3445" s="5" t="s">
        <v>120</v>
      </c>
      <c r="B3445" s="5" t="s">
        <v>122</v>
      </c>
      <c r="C3445" s="5">
        <v>7500</v>
      </c>
      <c r="D3445" s="5" t="s">
        <v>20</v>
      </c>
      <c r="E3445" s="5" t="s">
        <v>9</v>
      </c>
      <c r="F3445" s="6">
        <v>42736</v>
      </c>
      <c r="G3445">
        <v>55</v>
      </c>
    </row>
    <row r="3446" spans="1:7" x14ac:dyDescent="0.25">
      <c r="A3446" s="5" t="s">
        <v>120</v>
      </c>
      <c r="B3446" s="5" t="s">
        <v>122</v>
      </c>
      <c r="C3446" s="5">
        <v>7500</v>
      </c>
      <c r="D3446" s="5" t="s">
        <v>20</v>
      </c>
      <c r="E3446" s="5" t="s">
        <v>21</v>
      </c>
      <c r="F3446" s="6">
        <v>42370</v>
      </c>
      <c r="G3446">
        <v>2</v>
      </c>
    </row>
    <row r="3447" spans="1:7" x14ac:dyDescent="0.25">
      <c r="A3447" s="5" t="s">
        <v>120</v>
      </c>
      <c r="B3447" s="5" t="s">
        <v>122</v>
      </c>
      <c r="C3447" s="5">
        <v>7500</v>
      </c>
      <c r="D3447" s="5" t="s">
        <v>20</v>
      </c>
      <c r="E3447" s="5" t="s">
        <v>21</v>
      </c>
      <c r="F3447" s="6">
        <v>42736</v>
      </c>
      <c r="G3447">
        <v>6</v>
      </c>
    </row>
    <row r="3448" spans="1:7" x14ac:dyDescent="0.25">
      <c r="A3448" s="5" t="s">
        <v>120</v>
      </c>
      <c r="B3448" s="5" t="s">
        <v>122</v>
      </c>
      <c r="C3448" s="5">
        <v>7500</v>
      </c>
      <c r="D3448" s="5" t="s">
        <v>20</v>
      </c>
      <c r="E3448" s="5" t="s">
        <v>22</v>
      </c>
      <c r="F3448" s="6">
        <v>42370</v>
      </c>
      <c r="G3448">
        <v>4</v>
      </c>
    </row>
    <row r="3449" spans="1:7" x14ac:dyDescent="0.25">
      <c r="A3449" s="5" t="s">
        <v>120</v>
      </c>
      <c r="B3449" s="5" t="s">
        <v>122</v>
      </c>
      <c r="C3449" s="5">
        <v>7500</v>
      </c>
      <c r="D3449" s="5" t="s">
        <v>20</v>
      </c>
      <c r="E3449" s="5" t="s">
        <v>22</v>
      </c>
      <c r="F3449" s="6">
        <v>42736</v>
      </c>
      <c r="G3449">
        <v>6</v>
      </c>
    </row>
    <row r="3450" spans="1:7" x14ac:dyDescent="0.25">
      <c r="A3450" s="5" t="s">
        <v>120</v>
      </c>
      <c r="B3450" s="5" t="s">
        <v>122</v>
      </c>
      <c r="C3450" s="5">
        <v>7500</v>
      </c>
      <c r="D3450" s="5" t="s">
        <v>20</v>
      </c>
      <c r="E3450" s="5" t="s">
        <v>23</v>
      </c>
      <c r="F3450" s="6">
        <v>42370</v>
      </c>
      <c r="G3450">
        <v>1</v>
      </c>
    </row>
    <row r="3451" spans="1:7" x14ac:dyDescent="0.25">
      <c r="A3451" s="5" t="s">
        <v>120</v>
      </c>
      <c r="B3451" s="5" t="s">
        <v>122</v>
      </c>
      <c r="C3451" s="5">
        <v>7500</v>
      </c>
      <c r="D3451" s="5" t="s">
        <v>20</v>
      </c>
      <c r="E3451" s="5" t="s">
        <v>23</v>
      </c>
      <c r="F3451" s="6">
        <v>42736</v>
      </c>
      <c r="G3451">
        <v>3</v>
      </c>
    </row>
    <row r="3452" spans="1:7" x14ac:dyDescent="0.25">
      <c r="A3452" s="5" t="s">
        <v>120</v>
      </c>
      <c r="B3452" s="5" t="s">
        <v>122</v>
      </c>
      <c r="C3452" s="5">
        <v>7500</v>
      </c>
      <c r="D3452" s="5" t="s">
        <v>20</v>
      </c>
      <c r="E3452" s="5" t="s">
        <v>24</v>
      </c>
      <c r="F3452" s="6">
        <v>42370</v>
      </c>
      <c r="G3452">
        <v>0</v>
      </c>
    </row>
    <row r="3453" spans="1:7" x14ac:dyDescent="0.25">
      <c r="A3453" s="5" t="s">
        <v>120</v>
      </c>
      <c r="B3453" s="5" t="s">
        <v>122</v>
      </c>
      <c r="C3453" s="5">
        <v>7500</v>
      </c>
      <c r="D3453" s="5" t="s">
        <v>20</v>
      </c>
      <c r="E3453" s="5" t="s">
        <v>24</v>
      </c>
      <c r="F3453" s="6">
        <v>42736</v>
      </c>
      <c r="G3453">
        <v>0</v>
      </c>
    </row>
    <row r="3454" spans="1:7" x14ac:dyDescent="0.25">
      <c r="A3454" s="5" t="s">
        <v>120</v>
      </c>
      <c r="B3454" s="5" t="s">
        <v>122</v>
      </c>
      <c r="C3454" s="5">
        <v>7500</v>
      </c>
      <c r="D3454" s="5" t="s">
        <v>20</v>
      </c>
      <c r="E3454" s="5" t="s">
        <v>25</v>
      </c>
      <c r="F3454" s="6">
        <v>42370</v>
      </c>
      <c r="G3454">
        <v>0</v>
      </c>
    </row>
    <row r="3455" spans="1:7" x14ac:dyDescent="0.25">
      <c r="A3455" s="5" t="s">
        <v>120</v>
      </c>
      <c r="B3455" s="5" t="s">
        <v>122</v>
      </c>
      <c r="C3455" s="5">
        <v>7500</v>
      </c>
      <c r="D3455" s="5" t="s">
        <v>20</v>
      </c>
      <c r="E3455" s="5" t="s">
        <v>25</v>
      </c>
      <c r="F3455" s="6">
        <v>42736</v>
      </c>
      <c r="G3455">
        <v>0</v>
      </c>
    </row>
    <row r="3456" spans="1:7" x14ac:dyDescent="0.25">
      <c r="A3456" s="5" t="s">
        <v>120</v>
      </c>
      <c r="B3456" s="5" t="s">
        <v>122</v>
      </c>
      <c r="C3456" s="5">
        <v>7500</v>
      </c>
      <c r="D3456" s="5" t="s">
        <v>20</v>
      </c>
      <c r="E3456" s="5" t="s">
        <v>26</v>
      </c>
      <c r="F3456" s="6">
        <v>42370</v>
      </c>
      <c r="G3456">
        <v>178</v>
      </c>
    </row>
    <row r="3457" spans="1:7" x14ac:dyDescent="0.25">
      <c r="A3457" s="5" t="s">
        <v>120</v>
      </c>
      <c r="B3457" s="5" t="s">
        <v>122</v>
      </c>
      <c r="C3457" s="5">
        <v>7500</v>
      </c>
      <c r="D3457" s="5" t="s">
        <v>20</v>
      </c>
      <c r="E3457" s="5" t="s">
        <v>26</v>
      </c>
      <c r="F3457" s="6">
        <v>42736</v>
      </c>
      <c r="G3457">
        <v>255</v>
      </c>
    </row>
    <row r="3458" spans="1:7" x14ac:dyDescent="0.25">
      <c r="A3458" s="5" t="s">
        <v>120</v>
      </c>
      <c r="B3458" s="5" t="s">
        <v>122</v>
      </c>
      <c r="C3458" s="5">
        <v>7500</v>
      </c>
      <c r="D3458" s="5" t="s">
        <v>20</v>
      </c>
      <c r="E3458" s="5" t="s">
        <v>27</v>
      </c>
      <c r="F3458" s="6">
        <v>42370</v>
      </c>
      <c r="G3458">
        <v>1</v>
      </c>
    </row>
    <row r="3459" spans="1:7" x14ac:dyDescent="0.25">
      <c r="A3459" s="5" t="s">
        <v>120</v>
      </c>
      <c r="B3459" s="5" t="s">
        <v>122</v>
      </c>
      <c r="C3459" s="5">
        <v>7500</v>
      </c>
      <c r="D3459" s="5" t="s">
        <v>20</v>
      </c>
      <c r="E3459" s="5" t="s">
        <v>27</v>
      </c>
      <c r="F3459" s="6">
        <v>42736</v>
      </c>
      <c r="G3459">
        <v>2</v>
      </c>
    </row>
    <row r="3460" spans="1:7" x14ac:dyDescent="0.25">
      <c r="A3460" s="5" t="s">
        <v>120</v>
      </c>
      <c r="B3460" s="5" t="s">
        <v>122</v>
      </c>
      <c r="C3460" s="5">
        <v>7500</v>
      </c>
      <c r="D3460" s="5" t="s">
        <v>20</v>
      </c>
      <c r="E3460" s="5" t="s">
        <v>28</v>
      </c>
      <c r="F3460" s="6">
        <v>42370</v>
      </c>
      <c r="G3460">
        <v>0</v>
      </c>
    </row>
    <row r="3461" spans="1:7" x14ac:dyDescent="0.25">
      <c r="A3461" s="5" t="s">
        <v>120</v>
      </c>
      <c r="B3461" s="5" t="s">
        <v>122</v>
      </c>
      <c r="C3461" s="5">
        <v>7500</v>
      </c>
      <c r="D3461" s="5" t="s">
        <v>20</v>
      </c>
      <c r="E3461" s="5" t="s">
        <v>28</v>
      </c>
      <c r="F3461" s="6">
        <v>42736</v>
      </c>
      <c r="G3461">
        <v>0</v>
      </c>
    </row>
    <row r="3462" spans="1:7" x14ac:dyDescent="0.25">
      <c r="A3462" s="5" t="s">
        <v>120</v>
      </c>
      <c r="B3462" s="5" t="s">
        <v>122</v>
      </c>
      <c r="C3462" s="5">
        <v>7500</v>
      </c>
      <c r="D3462" s="5" t="s">
        <v>20</v>
      </c>
      <c r="E3462" s="5" t="s">
        <v>29</v>
      </c>
      <c r="F3462" s="6">
        <v>42370</v>
      </c>
      <c r="G3462">
        <v>179</v>
      </c>
    </row>
    <row r="3463" spans="1:7" x14ac:dyDescent="0.25">
      <c r="A3463" s="5" t="s">
        <v>120</v>
      </c>
      <c r="B3463" s="5" t="s">
        <v>122</v>
      </c>
      <c r="C3463" s="5">
        <v>7500</v>
      </c>
      <c r="D3463" s="5" t="s">
        <v>20</v>
      </c>
      <c r="E3463" s="5" t="s">
        <v>29</v>
      </c>
      <c r="F3463" s="6">
        <v>42736</v>
      </c>
      <c r="G3463">
        <v>263</v>
      </c>
    </row>
    <row r="3464" spans="1:7" x14ac:dyDescent="0.25">
      <c r="A3464" s="5" t="s">
        <v>120</v>
      </c>
      <c r="B3464" s="5" t="s">
        <v>122</v>
      </c>
      <c r="C3464" s="5">
        <v>7500</v>
      </c>
      <c r="D3464" s="5" t="s">
        <v>20</v>
      </c>
      <c r="E3464" s="5" t="s">
        <v>30</v>
      </c>
      <c r="F3464" s="6">
        <v>42370</v>
      </c>
      <c r="G3464">
        <v>178</v>
      </c>
    </row>
    <row r="3465" spans="1:7" x14ac:dyDescent="0.25">
      <c r="A3465" s="5" t="s">
        <v>120</v>
      </c>
      <c r="B3465" s="5" t="s">
        <v>122</v>
      </c>
      <c r="C3465" s="5">
        <v>7500</v>
      </c>
      <c r="D3465" s="5" t="s">
        <v>20</v>
      </c>
      <c r="E3465" s="5" t="s">
        <v>30</v>
      </c>
      <c r="F3465" s="6">
        <v>42736</v>
      </c>
      <c r="G3465">
        <v>259</v>
      </c>
    </row>
    <row r="3466" spans="1:7" x14ac:dyDescent="0.25">
      <c r="A3466" s="5" t="s">
        <v>120</v>
      </c>
      <c r="B3466" s="5" t="s">
        <v>122</v>
      </c>
      <c r="C3466" s="5">
        <v>7500</v>
      </c>
      <c r="D3466" s="5" t="s">
        <v>20</v>
      </c>
      <c r="E3466" s="5" t="s">
        <v>31</v>
      </c>
      <c r="F3466" s="6">
        <v>42370</v>
      </c>
      <c r="G3466">
        <v>306</v>
      </c>
    </row>
    <row r="3467" spans="1:7" x14ac:dyDescent="0.25">
      <c r="A3467" s="5" t="s">
        <v>120</v>
      </c>
      <c r="B3467" s="5" t="s">
        <v>122</v>
      </c>
      <c r="C3467" s="5">
        <v>7500</v>
      </c>
      <c r="D3467" s="5" t="s">
        <v>20</v>
      </c>
      <c r="E3467" s="5" t="s">
        <v>31</v>
      </c>
      <c r="F3467" s="6">
        <v>42736</v>
      </c>
      <c r="G3467">
        <v>545</v>
      </c>
    </row>
    <row r="3468" spans="1:7" x14ac:dyDescent="0.25">
      <c r="A3468" s="5" t="s">
        <v>120</v>
      </c>
      <c r="B3468" s="5" t="s">
        <v>122</v>
      </c>
      <c r="C3468" s="5">
        <v>7500</v>
      </c>
      <c r="D3468" s="5" t="s">
        <v>20</v>
      </c>
      <c r="E3468" s="5" t="s">
        <v>32</v>
      </c>
      <c r="F3468" s="6">
        <v>42370</v>
      </c>
      <c r="G3468">
        <v>178</v>
      </c>
    </row>
    <row r="3469" spans="1:7" x14ac:dyDescent="0.25">
      <c r="A3469" s="5" t="s">
        <v>120</v>
      </c>
      <c r="B3469" s="5" t="s">
        <v>122</v>
      </c>
      <c r="C3469" s="5">
        <v>7500</v>
      </c>
      <c r="D3469" s="5" t="s">
        <v>20</v>
      </c>
      <c r="E3469" s="5" t="s">
        <v>32</v>
      </c>
      <c r="F3469" s="6">
        <v>42736</v>
      </c>
      <c r="G3469">
        <v>258</v>
      </c>
    </row>
    <row r="3470" spans="1:7" x14ac:dyDescent="0.25">
      <c r="A3470" s="5" t="s">
        <v>120</v>
      </c>
      <c r="B3470" s="5" t="s">
        <v>122</v>
      </c>
      <c r="C3470" s="5">
        <v>7500</v>
      </c>
      <c r="D3470" s="5" t="s">
        <v>33</v>
      </c>
      <c r="E3470" s="5" t="s">
        <v>9</v>
      </c>
      <c r="F3470" s="6">
        <v>42370</v>
      </c>
      <c r="G3470">
        <v>0</v>
      </c>
    </row>
    <row r="3471" spans="1:7" x14ac:dyDescent="0.25">
      <c r="A3471" s="5" t="s">
        <v>120</v>
      </c>
      <c r="B3471" s="5" t="s">
        <v>122</v>
      </c>
      <c r="C3471" s="5">
        <v>7500</v>
      </c>
      <c r="D3471" s="5" t="s">
        <v>33</v>
      </c>
      <c r="E3471" s="5" t="s">
        <v>9</v>
      </c>
      <c r="F3471" s="6">
        <v>42736</v>
      </c>
      <c r="G3471">
        <v>0</v>
      </c>
    </row>
    <row r="3472" spans="1:7" x14ac:dyDescent="0.25">
      <c r="A3472" s="5" t="s">
        <v>120</v>
      </c>
      <c r="B3472" s="5" t="s">
        <v>122</v>
      </c>
      <c r="C3472" s="5">
        <v>7500</v>
      </c>
      <c r="D3472" s="5" t="s">
        <v>33</v>
      </c>
      <c r="E3472" s="5" t="s">
        <v>34</v>
      </c>
      <c r="F3472" s="6">
        <v>42370</v>
      </c>
      <c r="G3472">
        <v>0</v>
      </c>
    </row>
    <row r="3473" spans="1:7" x14ac:dyDescent="0.25">
      <c r="A3473" s="5" t="s">
        <v>120</v>
      </c>
      <c r="B3473" s="5" t="s">
        <v>122</v>
      </c>
      <c r="C3473" s="5">
        <v>7500</v>
      </c>
      <c r="D3473" s="5" t="s">
        <v>33</v>
      </c>
      <c r="E3473" s="5" t="s">
        <v>34</v>
      </c>
      <c r="F3473" s="6">
        <v>42736</v>
      </c>
      <c r="G3473">
        <v>0</v>
      </c>
    </row>
    <row r="3474" spans="1:7" x14ac:dyDescent="0.25">
      <c r="A3474" s="5" t="s">
        <v>120</v>
      </c>
      <c r="B3474" s="5" t="s">
        <v>122</v>
      </c>
      <c r="C3474" s="5">
        <v>7500</v>
      </c>
      <c r="D3474" s="5" t="s">
        <v>35</v>
      </c>
      <c r="E3474" s="5" t="s">
        <v>36</v>
      </c>
      <c r="F3474" s="6">
        <v>42370</v>
      </c>
      <c r="G3474">
        <v>0</v>
      </c>
    </row>
    <row r="3475" spans="1:7" x14ac:dyDescent="0.25">
      <c r="A3475" s="5" t="s">
        <v>120</v>
      </c>
      <c r="B3475" s="5" t="s">
        <v>122</v>
      </c>
      <c r="C3475" s="5">
        <v>7500</v>
      </c>
      <c r="D3475" s="5" t="s">
        <v>35</v>
      </c>
      <c r="E3475" s="5" t="s">
        <v>36</v>
      </c>
      <c r="F3475" s="6">
        <v>42736</v>
      </c>
      <c r="G3475">
        <v>0</v>
      </c>
    </row>
    <row r="3476" spans="1:7" x14ac:dyDescent="0.25">
      <c r="A3476" s="5" t="s">
        <v>120</v>
      </c>
      <c r="B3476" s="5" t="s">
        <v>122</v>
      </c>
      <c r="C3476" s="5">
        <v>7500</v>
      </c>
      <c r="D3476" s="5" t="s">
        <v>35</v>
      </c>
      <c r="E3476" s="5" t="s">
        <v>37</v>
      </c>
      <c r="F3476" s="6">
        <v>42370</v>
      </c>
      <c r="G3476">
        <v>0</v>
      </c>
    </row>
    <row r="3477" spans="1:7" x14ac:dyDescent="0.25">
      <c r="A3477" s="5" t="s">
        <v>120</v>
      </c>
      <c r="B3477" s="5" t="s">
        <v>122</v>
      </c>
      <c r="C3477" s="5">
        <v>7500</v>
      </c>
      <c r="D3477" s="5" t="s">
        <v>35</v>
      </c>
      <c r="E3477" s="5" t="s">
        <v>37</v>
      </c>
      <c r="F3477" s="6">
        <v>42736</v>
      </c>
      <c r="G3477">
        <v>0</v>
      </c>
    </row>
    <row r="3478" spans="1:7" x14ac:dyDescent="0.25">
      <c r="A3478" s="5" t="s">
        <v>120</v>
      </c>
      <c r="B3478" s="5" t="s">
        <v>122</v>
      </c>
      <c r="C3478" s="5">
        <v>7500</v>
      </c>
      <c r="D3478" s="5" t="s">
        <v>35</v>
      </c>
      <c r="E3478" s="5" t="s">
        <v>38</v>
      </c>
      <c r="F3478" s="6">
        <v>42370</v>
      </c>
      <c r="G3478">
        <v>0</v>
      </c>
    </row>
    <row r="3479" spans="1:7" x14ac:dyDescent="0.25">
      <c r="A3479" s="5" t="s">
        <v>120</v>
      </c>
      <c r="B3479" s="5" t="s">
        <v>122</v>
      </c>
      <c r="C3479" s="5">
        <v>7500</v>
      </c>
      <c r="D3479" s="5" t="s">
        <v>35</v>
      </c>
      <c r="E3479" s="5" t="s">
        <v>38</v>
      </c>
      <c r="F3479" s="6">
        <v>42736</v>
      </c>
      <c r="G3479">
        <v>0</v>
      </c>
    </row>
    <row r="3480" spans="1:7" x14ac:dyDescent="0.25">
      <c r="A3480" s="5" t="s">
        <v>120</v>
      </c>
      <c r="B3480" s="5" t="s">
        <v>122</v>
      </c>
      <c r="C3480" s="5">
        <v>7500</v>
      </c>
      <c r="D3480" s="5" t="s">
        <v>35</v>
      </c>
      <c r="E3480" s="5" t="s">
        <v>39</v>
      </c>
      <c r="F3480" s="6">
        <v>42370</v>
      </c>
      <c r="G3480">
        <v>0</v>
      </c>
    </row>
    <row r="3481" spans="1:7" x14ac:dyDescent="0.25">
      <c r="A3481" s="5" t="s">
        <v>120</v>
      </c>
      <c r="B3481" s="5" t="s">
        <v>122</v>
      </c>
      <c r="C3481" s="5">
        <v>7500</v>
      </c>
      <c r="D3481" s="5" t="s">
        <v>35</v>
      </c>
      <c r="E3481" s="5" t="s">
        <v>39</v>
      </c>
      <c r="F3481" s="6">
        <v>42736</v>
      </c>
      <c r="G3481">
        <v>0</v>
      </c>
    </row>
    <row r="3482" spans="1:7" x14ac:dyDescent="0.25">
      <c r="A3482" s="5" t="s">
        <v>120</v>
      </c>
      <c r="B3482" s="5" t="s">
        <v>122</v>
      </c>
      <c r="C3482" s="5">
        <v>7500</v>
      </c>
      <c r="D3482" s="5" t="s">
        <v>35</v>
      </c>
      <c r="E3482" s="5" t="s">
        <v>40</v>
      </c>
      <c r="F3482" s="6">
        <v>42370</v>
      </c>
      <c r="G3482">
        <v>7</v>
      </c>
    </row>
    <row r="3483" spans="1:7" x14ac:dyDescent="0.25">
      <c r="A3483" s="5" t="s">
        <v>120</v>
      </c>
      <c r="B3483" s="5" t="s">
        <v>122</v>
      </c>
      <c r="C3483" s="5">
        <v>7500</v>
      </c>
      <c r="D3483" s="5" t="s">
        <v>35</v>
      </c>
      <c r="E3483" s="5" t="s">
        <v>40</v>
      </c>
      <c r="F3483" s="6">
        <v>42736</v>
      </c>
      <c r="G3483">
        <v>5</v>
      </c>
    </row>
    <row r="3484" spans="1:7" x14ac:dyDescent="0.25">
      <c r="A3484" s="5" t="s">
        <v>120</v>
      </c>
      <c r="B3484" s="5" t="s">
        <v>122</v>
      </c>
      <c r="C3484" s="5">
        <v>7500</v>
      </c>
      <c r="D3484" s="5" t="s">
        <v>35</v>
      </c>
      <c r="E3484" s="5" t="s">
        <v>41</v>
      </c>
      <c r="F3484" s="6">
        <v>42370</v>
      </c>
      <c r="G3484">
        <v>0</v>
      </c>
    </row>
    <row r="3485" spans="1:7" x14ac:dyDescent="0.25">
      <c r="A3485" s="5" t="s">
        <v>120</v>
      </c>
      <c r="B3485" s="5" t="s">
        <v>122</v>
      </c>
      <c r="C3485" s="5">
        <v>7500</v>
      </c>
      <c r="D3485" s="5" t="s">
        <v>35</v>
      </c>
      <c r="E3485" s="5" t="s">
        <v>41</v>
      </c>
      <c r="F3485" s="6">
        <v>42736</v>
      </c>
      <c r="G3485">
        <v>4</v>
      </c>
    </row>
    <row r="3486" spans="1:7" x14ac:dyDescent="0.25">
      <c r="A3486" s="5" t="s">
        <v>120</v>
      </c>
      <c r="B3486" s="5" t="s">
        <v>122</v>
      </c>
      <c r="C3486" s="5">
        <v>7500</v>
      </c>
      <c r="D3486" s="5" t="s">
        <v>35</v>
      </c>
      <c r="E3486" s="5" t="s">
        <v>42</v>
      </c>
      <c r="F3486" s="6">
        <v>42370</v>
      </c>
      <c r="G3486">
        <v>5</v>
      </c>
    </row>
    <row r="3487" spans="1:7" x14ac:dyDescent="0.25">
      <c r="A3487" s="5" t="s">
        <v>120</v>
      </c>
      <c r="B3487" s="5" t="s">
        <v>122</v>
      </c>
      <c r="C3487" s="5">
        <v>7500</v>
      </c>
      <c r="D3487" s="5" t="s">
        <v>35</v>
      </c>
      <c r="E3487" s="5" t="s">
        <v>42</v>
      </c>
      <c r="F3487" s="6">
        <v>42736</v>
      </c>
      <c r="G3487">
        <v>3</v>
      </c>
    </row>
    <row r="3488" spans="1:7" x14ac:dyDescent="0.25">
      <c r="A3488" s="5" t="s">
        <v>120</v>
      </c>
      <c r="B3488" s="5" t="s">
        <v>122</v>
      </c>
      <c r="C3488" s="5">
        <v>7500</v>
      </c>
      <c r="D3488" s="5" t="s">
        <v>35</v>
      </c>
      <c r="E3488" s="5" t="s">
        <v>43</v>
      </c>
      <c r="F3488" s="6">
        <v>42370</v>
      </c>
      <c r="G3488">
        <v>0</v>
      </c>
    </row>
    <row r="3489" spans="1:7" x14ac:dyDescent="0.25">
      <c r="A3489" s="5" t="s">
        <v>120</v>
      </c>
      <c r="B3489" s="5" t="s">
        <v>122</v>
      </c>
      <c r="C3489" s="5">
        <v>7500</v>
      </c>
      <c r="D3489" s="5" t="s">
        <v>35</v>
      </c>
      <c r="E3489" s="5" t="s">
        <v>43</v>
      </c>
      <c r="F3489" s="6">
        <v>42736</v>
      </c>
      <c r="G3489">
        <v>0</v>
      </c>
    </row>
    <row r="3490" spans="1:7" x14ac:dyDescent="0.25">
      <c r="A3490" s="5" t="s">
        <v>120</v>
      </c>
      <c r="B3490" s="5" t="s">
        <v>122</v>
      </c>
      <c r="C3490" s="5">
        <v>7500</v>
      </c>
      <c r="D3490" s="5" t="s">
        <v>44</v>
      </c>
      <c r="E3490" s="5" t="s">
        <v>36</v>
      </c>
      <c r="F3490" s="6">
        <v>42370</v>
      </c>
      <c r="G3490">
        <v>0</v>
      </c>
    </row>
    <row r="3491" spans="1:7" x14ac:dyDescent="0.25">
      <c r="A3491" s="5" t="s">
        <v>120</v>
      </c>
      <c r="B3491" s="5" t="s">
        <v>122</v>
      </c>
      <c r="C3491" s="5">
        <v>7500</v>
      </c>
      <c r="D3491" s="5" t="s">
        <v>44</v>
      </c>
      <c r="E3491" s="5" t="s">
        <v>36</v>
      </c>
      <c r="F3491" s="6">
        <v>42736</v>
      </c>
      <c r="G3491">
        <v>0</v>
      </c>
    </row>
    <row r="3492" spans="1:7" x14ac:dyDescent="0.25">
      <c r="A3492" s="5" t="s">
        <v>120</v>
      </c>
      <c r="B3492" s="5" t="s">
        <v>122</v>
      </c>
      <c r="C3492" s="5">
        <v>7500</v>
      </c>
      <c r="D3492" s="5" t="s">
        <v>44</v>
      </c>
      <c r="E3492" s="5" t="s">
        <v>37</v>
      </c>
      <c r="F3492" s="6">
        <v>42370</v>
      </c>
      <c r="G3492">
        <v>0</v>
      </c>
    </row>
    <row r="3493" spans="1:7" x14ac:dyDescent="0.25">
      <c r="A3493" s="5" t="s">
        <v>120</v>
      </c>
      <c r="B3493" s="5" t="s">
        <v>122</v>
      </c>
      <c r="C3493" s="5">
        <v>7500</v>
      </c>
      <c r="D3493" s="5" t="s">
        <v>44</v>
      </c>
      <c r="E3493" s="5" t="s">
        <v>37</v>
      </c>
      <c r="F3493" s="6">
        <v>42736</v>
      </c>
      <c r="G3493">
        <v>0</v>
      </c>
    </row>
    <row r="3494" spans="1:7" x14ac:dyDescent="0.25">
      <c r="A3494" s="5" t="s">
        <v>120</v>
      </c>
      <c r="B3494" s="5" t="s">
        <v>122</v>
      </c>
      <c r="C3494" s="5">
        <v>7500</v>
      </c>
      <c r="D3494" s="5" t="s">
        <v>44</v>
      </c>
      <c r="E3494" s="5" t="s">
        <v>38</v>
      </c>
      <c r="F3494" s="6">
        <v>42370</v>
      </c>
      <c r="G3494">
        <v>0</v>
      </c>
    </row>
    <row r="3495" spans="1:7" x14ac:dyDescent="0.25">
      <c r="A3495" s="5" t="s">
        <v>120</v>
      </c>
      <c r="B3495" s="5" t="s">
        <v>122</v>
      </c>
      <c r="C3495" s="5">
        <v>7500</v>
      </c>
      <c r="D3495" s="5" t="s">
        <v>44</v>
      </c>
      <c r="E3495" s="5" t="s">
        <v>38</v>
      </c>
      <c r="F3495" s="6">
        <v>42736</v>
      </c>
      <c r="G3495">
        <v>0</v>
      </c>
    </row>
    <row r="3496" spans="1:7" x14ac:dyDescent="0.25">
      <c r="A3496" s="5" t="s">
        <v>120</v>
      </c>
      <c r="B3496" s="5" t="s">
        <v>122</v>
      </c>
      <c r="C3496" s="5">
        <v>7500</v>
      </c>
      <c r="D3496" s="5" t="s">
        <v>44</v>
      </c>
      <c r="E3496" s="5" t="s">
        <v>39</v>
      </c>
      <c r="F3496" s="6">
        <v>42370</v>
      </c>
      <c r="G3496">
        <v>0</v>
      </c>
    </row>
    <row r="3497" spans="1:7" x14ac:dyDescent="0.25">
      <c r="A3497" s="5" t="s">
        <v>120</v>
      </c>
      <c r="B3497" s="5" t="s">
        <v>122</v>
      </c>
      <c r="C3497" s="5">
        <v>7500</v>
      </c>
      <c r="D3497" s="5" t="s">
        <v>44</v>
      </c>
      <c r="E3497" s="5" t="s">
        <v>39</v>
      </c>
      <c r="F3497" s="6">
        <v>42736</v>
      </c>
      <c r="G3497">
        <v>0</v>
      </c>
    </row>
    <row r="3498" spans="1:7" x14ac:dyDescent="0.25">
      <c r="A3498" s="5" t="s">
        <v>120</v>
      </c>
      <c r="B3498" s="5" t="s">
        <v>122</v>
      </c>
      <c r="C3498" s="5">
        <v>7500</v>
      </c>
      <c r="D3498" s="5" t="s">
        <v>44</v>
      </c>
      <c r="E3498" s="5" t="s">
        <v>40</v>
      </c>
      <c r="F3498" s="6">
        <v>42370</v>
      </c>
      <c r="G3498">
        <v>0</v>
      </c>
    </row>
    <row r="3499" spans="1:7" x14ac:dyDescent="0.25">
      <c r="A3499" s="5" t="s">
        <v>120</v>
      </c>
      <c r="B3499" s="5" t="s">
        <v>122</v>
      </c>
      <c r="C3499" s="5">
        <v>7500</v>
      </c>
      <c r="D3499" s="5" t="s">
        <v>44</v>
      </c>
      <c r="E3499" s="5" t="s">
        <v>40</v>
      </c>
      <c r="F3499" s="6">
        <v>42736</v>
      </c>
      <c r="G3499">
        <v>0</v>
      </c>
    </row>
    <row r="3500" spans="1:7" x14ac:dyDescent="0.25">
      <c r="A3500" s="5" t="s">
        <v>120</v>
      </c>
      <c r="B3500" s="5" t="s">
        <v>122</v>
      </c>
      <c r="C3500" s="5">
        <v>7500</v>
      </c>
      <c r="D3500" s="5" t="s">
        <v>44</v>
      </c>
      <c r="E3500" s="5" t="s">
        <v>41</v>
      </c>
      <c r="F3500" s="6">
        <v>42370</v>
      </c>
      <c r="G3500">
        <v>0</v>
      </c>
    </row>
    <row r="3501" spans="1:7" x14ac:dyDescent="0.25">
      <c r="A3501" s="5" t="s">
        <v>120</v>
      </c>
      <c r="B3501" s="5" t="s">
        <v>122</v>
      </c>
      <c r="C3501" s="5">
        <v>7500</v>
      </c>
      <c r="D3501" s="5" t="s">
        <v>44</v>
      </c>
      <c r="E3501" s="5" t="s">
        <v>41</v>
      </c>
      <c r="F3501" s="6">
        <v>42736</v>
      </c>
      <c r="G3501">
        <v>1</v>
      </c>
    </row>
    <row r="3502" spans="1:7" x14ac:dyDescent="0.25">
      <c r="A3502" s="5" t="s">
        <v>120</v>
      </c>
      <c r="B3502" s="5" t="s">
        <v>122</v>
      </c>
      <c r="C3502" s="5">
        <v>7500</v>
      </c>
      <c r="D3502" s="5" t="s">
        <v>44</v>
      </c>
      <c r="E3502" s="5" t="s">
        <v>42</v>
      </c>
      <c r="F3502" s="6">
        <v>42370</v>
      </c>
      <c r="G3502">
        <v>0</v>
      </c>
    </row>
    <row r="3503" spans="1:7" x14ac:dyDescent="0.25">
      <c r="A3503" s="5" t="s">
        <v>120</v>
      </c>
      <c r="B3503" s="5" t="s">
        <v>122</v>
      </c>
      <c r="C3503" s="5">
        <v>7500</v>
      </c>
      <c r="D3503" s="5" t="s">
        <v>44</v>
      </c>
      <c r="E3503" s="5" t="s">
        <v>42</v>
      </c>
      <c r="F3503" s="6">
        <v>42736</v>
      </c>
      <c r="G3503">
        <v>0</v>
      </c>
    </row>
    <row r="3504" spans="1:7" x14ac:dyDescent="0.25">
      <c r="A3504" s="5" t="s">
        <v>120</v>
      </c>
      <c r="B3504" s="5" t="s">
        <v>122</v>
      </c>
      <c r="C3504" s="5">
        <v>7500</v>
      </c>
      <c r="D3504" s="5" t="s">
        <v>44</v>
      </c>
      <c r="E3504" s="5" t="s">
        <v>43</v>
      </c>
      <c r="F3504" s="6">
        <v>42370</v>
      </c>
      <c r="G3504">
        <v>0</v>
      </c>
    </row>
    <row r="3505" spans="1:7" x14ac:dyDescent="0.25">
      <c r="A3505" s="5" t="s">
        <v>120</v>
      </c>
      <c r="B3505" s="5" t="s">
        <v>122</v>
      </c>
      <c r="C3505" s="5">
        <v>7500</v>
      </c>
      <c r="D3505" s="5" t="s">
        <v>44</v>
      </c>
      <c r="E3505" s="5" t="s">
        <v>43</v>
      </c>
      <c r="F3505" s="6">
        <v>42736</v>
      </c>
      <c r="G3505">
        <v>1</v>
      </c>
    </row>
    <row r="3506" spans="1:7" x14ac:dyDescent="0.25">
      <c r="A3506" s="5" t="s">
        <v>120</v>
      </c>
      <c r="B3506" s="5" t="s">
        <v>122</v>
      </c>
      <c r="C3506" s="5">
        <v>7500</v>
      </c>
      <c r="D3506" s="5" t="s">
        <v>45</v>
      </c>
      <c r="E3506" s="5" t="s">
        <v>46</v>
      </c>
      <c r="F3506" s="6">
        <v>42370</v>
      </c>
      <c r="G3506">
        <v>0</v>
      </c>
    </row>
    <row r="3507" spans="1:7" x14ac:dyDescent="0.25">
      <c r="A3507" s="5" t="s">
        <v>120</v>
      </c>
      <c r="B3507" s="5" t="s">
        <v>122</v>
      </c>
      <c r="C3507" s="5">
        <v>7500</v>
      </c>
      <c r="D3507" s="5" t="s">
        <v>45</v>
      </c>
      <c r="E3507" s="5" t="s">
        <v>46</v>
      </c>
      <c r="F3507" s="6">
        <v>42736</v>
      </c>
      <c r="G3507">
        <v>0</v>
      </c>
    </row>
    <row r="3508" spans="1:7" x14ac:dyDescent="0.25">
      <c r="A3508" s="5" t="s">
        <v>120</v>
      </c>
      <c r="B3508" s="5" t="s">
        <v>122</v>
      </c>
      <c r="C3508" s="5">
        <v>7500</v>
      </c>
      <c r="D3508" s="5" t="s">
        <v>45</v>
      </c>
      <c r="E3508" s="5" t="s">
        <v>47</v>
      </c>
      <c r="F3508" s="6">
        <v>42370</v>
      </c>
      <c r="G3508">
        <v>4</v>
      </c>
    </row>
    <row r="3509" spans="1:7" x14ac:dyDescent="0.25">
      <c r="A3509" s="5" t="s">
        <v>120</v>
      </c>
      <c r="B3509" s="5" t="s">
        <v>122</v>
      </c>
      <c r="C3509" s="5">
        <v>7500</v>
      </c>
      <c r="D3509" s="5" t="s">
        <v>45</v>
      </c>
      <c r="E3509" s="5" t="s">
        <v>47</v>
      </c>
      <c r="F3509" s="6">
        <v>42736</v>
      </c>
      <c r="G3509">
        <v>50</v>
      </c>
    </row>
    <row r="3510" spans="1:7" x14ac:dyDescent="0.25">
      <c r="A3510" s="5" t="s">
        <v>120</v>
      </c>
      <c r="B3510" s="5" t="s">
        <v>122</v>
      </c>
      <c r="C3510" s="5">
        <v>7500</v>
      </c>
      <c r="D3510" s="5" t="s">
        <v>45</v>
      </c>
      <c r="E3510" s="5" t="s">
        <v>48</v>
      </c>
      <c r="F3510" s="6">
        <v>42370</v>
      </c>
      <c r="G3510">
        <v>81</v>
      </c>
    </row>
    <row r="3511" spans="1:7" x14ac:dyDescent="0.25">
      <c r="A3511" s="5" t="s">
        <v>120</v>
      </c>
      <c r="B3511" s="5" t="s">
        <v>122</v>
      </c>
      <c r="C3511" s="5">
        <v>7500</v>
      </c>
      <c r="D3511" s="5" t="s">
        <v>45</v>
      </c>
      <c r="E3511" s="5" t="s">
        <v>48</v>
      </c>
      <c r="F3511" s="6">
        <v>42736</v>
      </c>
      <c r="G3511">
        <v>91</v>
      </c>
    </row>
    <row r="3512" spans="1:7" x14ac:dyDescent="0.25">
      <c r="A3512" s="5" t="s">
        <v>120</v>
      </c>
      <c r="B3512" s="5" t="s">
        <v>122</v>
      </c>
      <c r="C3512" s="5">
        <v>7500</v>
      </c>
      <c r="D3512" s="5" t="s">
        <v>45</v>
      </c>
      <c r="E3512" s="5" t="s">
        <v>49</v>
      </c>
      <c r="F3512" s="6">
        <v>42370</v>
      </c>
      <c r="G3512">
        <v>69</v>
      </c>
    </row>
    <row r="3513" spans="1:7" x14ac:dyDescent="0.25">
      <c r="A3513" s="5" t="s">
        <v>120</v>
      </c>
      <c r="B3513" s="5" t="s">
        <v>122</v>
      </c>
      <c r="C3513" s="5">
        <v>7500</v>
      </c>
      <c r="D3513" s="5" t="s">
        <v>45</v>
      </c>
      <c r="E3513" s="5" t="s">
        <v>49</v>
      </c>
      <c r="F3513" s="6">
        <v>42736</v>
      </c>
      <c r="G3513">
        <v>82</v>
      </c>
    </row>
    <row r="3514" spans="1:7" x14ac:dyDescent="0.25">
      <c r="A3514" s="5" t="s">
        <v>120</v>
      </c>
      <c r="B3514" s="5" t="s">
        <v>122</v>
      </c>
      <c r="C3514" s="5">
        <v>7500</v>
      </c>
      <c r="D3514" s="5" t="s">
        <v>45</v>
      </c>
      <c r="E3514" s="5" t="s">
        <v>50</v>
      </c>
      <c r="F3514" s="6">
        <v>42370</v>
      </c>
      <c r="G3514">
        <v>1</v>
      </c>
    </row>
    <row r="3515" spans="1:7" x14ac:dyDescent="0.25">
      <c r="A3515" s="5" t="s">
        <v>120</v>
      </c>
      <c r="B3515" s="5" t="s">
        <v>122</v>
      </c>
      <c r="C3515" s="5">
        <v>7500</v>
      </c>
      <c r="D3515" s="5" t="s">
        <v>45</v>
      </c>
      <c r="E3515" s="5" t="s">
        <v>50</v>
      </c>
      <c r="F3515" s="6">
        <v>42736</v>
      </c>
      <c r="G3515">
        <v>31</v>
      </c>
    </row>
    <row r="3516" spans="1:7" x14ac:dyDescent="0.25">
      <c r="A3516" s="5" t="s">
        <v>120</v>
      </c>
      <c r="B3516" s="5" t="s">
        <v>122</v>
      </c>
      <c r="C3516" s="5">
        <v>7500</v>
      </c>
      <c r="D3516" s="5" t="s">
        <v>45</v>
      </c>
      <c r="E3516" s="5" t="s">
        <v>51</v>
      </c>
      <c r="F3516" s="6">
        <v>42370</v>
      </c>
      <c r="G3516">
        <v>0</v>
      </c>
    </row>
    <row r="3517" spans="1:7" x14ac:dyDescent="0.25">
      <c r="A3517" s="5" t="s">
        <v>120</v>
      </c>
      <c r="B3517" s="5" t="s">
        <v>122</v>
      </c>
      <c r="C3517" s="5">
        <v>7500</v>
      </c>
      <c r="D3517" s="5" t="s">
        <v>45</v>
      </c>
      <c r="E3517" s="5" t="s">
        <v>51</v>
      </c>
      <c r="F3517" s="6">
        <v>42736</v>
      </c>
      <c r="G3517">
        <v>0</v>
      </c>
    </row>
    <row r="3518" spans="1:7" x14ac:dyDescent="0.25">
      <c r="A3518" s="5" t="s">
        <v>120</v>
      </c>
      <c r="B3518" s="5" t="s">
        <v>122</v>
      </c>
      <c r="C3518" s="5">
        <v>7500</v>
      </c>
      <c r="D3518" s="5" t="s">
        <v>45</v>
      </c>
      <c r="E3518" s="5" t="s">
        <v>52</v>
      </c>
      <c r="F3518" s="6">
        <v>42370</v>
      </c>
      <c r="G3518">
        <v>0</v>
      </c>
    </row>
    <row r="3519" spans="1:7" x14ac:dyDescent="0.25">
      <c r="A3519" s="5" t="s">
        <v>120</v>
      </c>
      <c r="B3519" s="5" t="s">
        <v>122</v>
      </c>
      <c r="C3519" s="5">
        <v>7500</v>
      </c>
      <c r="D3519" s="5" t="s">
        <v>45</v>
      </c>
      <c r="E3519" s="5" t="s">
        <v>52</v>
      </c>
      <c r="F3519" s="6">
        <v>42736</v>
      </c>
      <c r="G3519">
        <v>0</v>
      </c>
    </row>
    <row r="3520" spans="1:7" x14ac:dyDescent="0.25">
      <c r="A3520" s="5" t="s">
        <v>120</v>
      </c>
      <c r="B3520" s="5" t="s">
        <v>122</v>
      </c>
      <c r="C3520" s="5">
        <v>7500</v>
      </c>
      <c r="D3520" s="5" t="s">
        <v>45</v>
      </c>
      <c r="E3520" s="5" t="s">
        <v>53</v>
      </c>
      <c r="F3520" s="6">
        <v>42370</v>
      </c>
      <c r="G3520">
        <v>30</v>
      </c>
    </row>
    <row r="3521" spans="1:7" x14ac:dyDescent="0.25">
      <c r="A3521" s="5" t="s">
        <v>120</v>
      </c>
      <c r="B3521" s="5" t="s">
        <v>122</v>
      </c>
      <c r="C3521" s="5">
        <v>7500</v>
      </c>
      <c r="D3521" s="5" t="s">
        <v>45</v>
      </c>
      <c r="E3521" s="5" t="s">
        <v>53</v>
      </c>
      <c r="F3521" s="6">
        <v>42736</v>
      </c>
      <c r="G3521">
        <v>108</v>
      </c>
    </row>
    <row r="3522" spans="1:7" x14ac:dyDescent="0.25">
      <c r="A3522" s="5" t="s">
        <v>120</v>
      </c>
      <c r="B3522" s="5" t="s">
        <v>122</v>
      </c>
      <c r="C3522" s="5">
        <v>7500</v>
      </c>
      <c r="D3522" s="5" t="s">
        <v>45</v>
      </c>
      <c r="E3522" s="5" t="s">
        <v>54</v>
      </c>
      <c r="F3522" s="6">
        <v>42370</v>
      </c>
      <c r="G3522">
        <v>0</v>
      </c>
    </row>
    <row r="3523" spans="1:7" x14ac:dyDescent="0.25">
      <c r="A3523" s="5" t="s">
        <v>120</v>
      </c>
      <c r="B3523" s="5" t="s">
        <v>122</v>
      </c>
      <c r="C3523" s="5">
        <v>7500</v>
      </c>
      <c r="D3523" s="5" t="s">
        <v>45</v>
      </c>
      <c r="E3523" s="5" t="s">
        <v>54</v>
      </c>
      <c r="F3523" s="6">
        <v>42736</v>
      </c>
      <c r="G3523">
        <v>1</v>
      </c>
    </row>
    <row r="3524" spans="1:7" x14ac:dyDescent="0.25">
      <c r="A3524" s="5" t="s">
        <v>120</v>
      </c>
      <c r="B3524" s="5" t="s">
        <v>122</v>
      </c>
      <c r="C3524" s="5">
        <v>7500</v>
      </c>
      <c r="D3524" s="5" t="s">
        <v>45</v>
      </c>
      <c r="E3524" s="5" t="s">
        <v>55</v>
      </c>
      <c r="F3524" s="6">
        <v>42370</v>
      </c>
      <c r="G3524">
        <v>4</v>
      </c>
    </row>
    <row r="3525" spans="1:7" x14ac:dyDescent="0.25">
      <c r="A3525" s="5" t="s">
        <v>120</v>
      </c>
      <c r="B3525" s="5" t="s">
        <v>122</v>
      </c>
      <c r="C3525" s="5">
        <v>7500</v>
      </c>
      <c r="D3525" s="5" t="s">
        <v>45</v>
      </c>
      <c r="E3525" s="5" t="s">
        <v>55</v>
      </c>
      <c r="F3525" s="6">
        <v>42736</v>
      </c>
      <c r="G3525">
        <v>0</v>
      </c>
    </row>
    <row r="3526" spans="1:7" x14ac:dyDescent="0.25">
      <c r="A3526" s="5" t="s">
        <v>120</v>
      </c>
      <c r="B3526" s="5" t="s">
        <v>122</v>
      </c>
      <c r="C3526" s="5">
        <v>7500</v>
      </c>
      <c r="D3526" s="5" t="s">
        <v>45</v>
      </c>
      <c r="E3526" s="5" t="s">
        <v>56</v>
      </c>
      <c r="F3526" s="6">
        <v>42370</v>
      </c>
      <c r="G3526">
        <v>0</v>
      </c>
    </row>
    <row r="3527" spans="1:7" x14ac:dyDescent="0.25">
      <c r="A3527" s="5" t="s">
        <v>120</v>
      </c>
      <c r="B3527" s="5" t="s">
        <v>122</v>
      </c>
      <c r="C3527" s="5">
        <v>7500</v>
      </c>
      <c r="D3527" s="5" t="s">
        <v>45</v>
      </c>
      <c r="E3527" s="5" t="s">
        <v>56</v>
      </c>
      <c r="F3527" s="6">
        <v>42736</v>
      </c>
      <c r="G3527">
        <v>1</v>
      </c>
    </row>
    <row r="3528" spans="1:7" x14ac:dyDescent="0.25">
      <c r="A3528" s="5" t="s">
        <v>120</v>
      </c>
      <c r="B3528" s="5" t="s">
        <v>122</v>
      </c>
      <c r="C3528" s="5">
        <v>7500</v>
      </c>
      <c r="D3528" s="5" t="s">
        <v>45</v>
      </c>
      <c r="E3528" s="5" t="s">
        <v>57</v>
      </c>
      <c r="F3528" s="6">
        <v>42370</v>
      </c>
      <c r="G3528">
        <v>0</v>
      </c>
    </row>
    <row r="3529" spans="1:7" x14ac:dyDescent="0.25">
      <c r="A3529" s="5" t="s">
        <v>120</v>
      </c>
      <c r="B3529" s="5" t="s">
        <v>122</v>
      </c>
      <c r="C3529" s="5">
        <v>7500</v>
      </c>
      <c r="D3529" s="5" t="s">
        <v>45</v>
      </c>
      <c r="E3529" s="5" t="s">
        <v>57</v>
      </c>
      <c r="F3529" s="6">
        <v>42736</v>
      </c>
      <c r="G3529">
        <v>7</v>
      </c>
    </row>
    <row r="3530" spans="1:7" x14ac:dyDescent="0.25">
      <c r="A3530" s="5" t="s">
        <v>120</v>
      </c>
      <c r="B3530" s="5" t="s">
        <v>122</v>
      </c>
      <c r="C3530" s="5">
        <v>7500</v>
      </c>
      <c r="D3530" s="5" t="s">
        <v>45</v>
      </c>
      <c r="E3530" s="5" t="s">
        <v>58</v>
      </c>
      <c r="F3530" s="6">
        <v>42370</v>
      </c>
      <c r="G3530">
        <v>0</v>
      </c>
    </row>
    <row r="3531" spans="1:7" x14ac:dyDescent="0.25">
      <c r="A3531" s="5" t="s">
        <v>120</v>
      </c>
      <c r="B3531" s="5" t="s">
        <v>122</v>
      </c>
      <c r="C3531" s="5">
        <v>7500</v>
      </c>
      <c r="D3531" s="5" t="s">
        <v>45</v>
      </c>
      <c r="E3531" s="5" t="s">
        <v>58</v>
      </c>
      <c r="F3531" s="6">
        <v>42736</v>
      </c>
      <c r="G3531">
        <v>0</v>
      </c>
    </row>
    <row r="3532" spans="1:7" x14ac:dyDescent="0.25">
      <c r="A3532" s="5" t="s">
        <v>120</v>
      </c>
      <c r="B3532" s="5" t="s">
        <v>122</v>
      </c>
      <c r="C3532" s="5">
        <v>7500</v>
      </c>
      <c r="D3532" s="5" t="s">
        <v>45</v>
      </c>
      <c r="E3532" s="5" t="s">
        <v>59</v>
      </c>
      <c r="F3532" s="6">
        <v>42370</v>
      </c>
      <c r="G3532">
        <v>29</v>
      </c>
    </row>
    <row r="3533" spans="1:7" x14ac:dyDescent="0.25">
      <c r="A3533" s="5" t="s">
        <v>120</v>
      </c>
      <c r="B3533" s="5" t="s">
        <v>122</v>
      </c>
      <c r="C3533" s="5">
        <v>7500</v>
      </c>
      <c r="D3533" s="5" t="s">
        <v>45</v>
      </c>
      <c r="E3533" s="5" t="s">
        <v>59</v>
      </c>
      <c r="F3533" s="6">
        <v>42736</v>
      </c>
      <c r="G3533">
        <v>16</v>
      </c>
    </row>
    <row r="3534" spans="1:7" x14ac:dyDescent="0.25">
      <c r="A3534" s="5" t="s">
        <v>120</v>
      </c>
      <c r="B3534" s="5" t="s">
        <v>122</v>
      </c>
      <c r="C3534" s="5">
        <v>7500</v>
      </c>
      <c r="D3534" s="5" t="s">
        <v>45</v>
      </c>
      <c r="E3534" s="5" t="s">
        <v>60</v>
      </c>
      <c r="F3534" s="6">
        <v>42370</v>
      </c>
      <c r="G3534">
        <v>5</v>
      </c>
    </row>
    <row r="3535" spans="1:7" x14ac:dyDescent="0.25">
      <c r="A3535" s="5" t="s">
        <v>120</v>
      </c>
      <c r="B3535" s="5" t="s">
        <v>122</v>
      </c>
      <c r="C3535" s="5">
        <v>7500</v>
      </c>
      <c r="D3535" s="5" t="s">
        <v>45</v>
      </c>
      <c r="E3535" s="5" t="s">
        <v>60</v>
      </c>
      <c r="F3535" s="6">
        <v>42736</v>
      </c>
      <c r="G3535">
        <v>1</v>
      </c>
    </row>
    <row r="3536" spans="1:7" x14ac:dyDescent="0.25">
      <c r="A3536" s="5" t="s">
        <v>120</v>
      </c>
      <c r="B3536" s="5" t="s">
        <v>122</v>
      </c>
      <c r="C3536" s="5">
        <v>7500</v>
      </c>
      <c r="D3536" s="5" t="s">
        <v>45</v>
      </c>
      <c r="E3536" s="5" t="s">
        <v>61</v>
      </c>
      <c r="F3536" s="6">
        <v>42370</v>
      </c>
      <c r="G3536">
        <v>51</v>
      </c>
    </row>
    <row r="3537" spans="1:7" x14ac:dyDescent="0.25">
      <c r="A3537" s="5" t="s">
        <v>120</v>
      </c>
      <c r="B3537" s="5" t="s">
        <v>122</v>
      </c>
      <c r="C3537" s="5">
        <v>7500</v>
      </c>
      <c r="D3537" s="5" t="s">
        <v>45</v>
      </c>
      <c r="E3537" s="5" t="s">
        <v>61</v>
      </c>
      <c r="F3537" s="6">
        <v>42736</v>
      </c>
      <c r="G3537">
        <v>32</v>
      </c>
    </row>
    <row r="3538" spans="1:7" x14ac:dyDescent="0.25">
      <c r="A3538" s="5" t="s">
        <v>120</v>
      </c>
      <c r="B3538" s="5" t="s">
        <v>122</v>
      </c>
      <c r="C3538" s="5">
        <v>7500</v>
      </c>
      <c r="D3538" s="5" t="s">
        <v>62</v>
      </c>
      <c r="E3538" s="5" t="s">
        <v>63</v>
      </c>
      <c r="F3538" s="6">
        <v>42370</v>
      </c>
      <c r="G3538">
        <v>0</v>
      </c>
    </row>
    <row r="3539" spans="1:7" x14ac:dyDescent="0.25">
      <c r="A3539" s="5" t="s">
        <v>120</v>
      </c>
      <c r="B3539" s="5" t="s">
        <v>122</v>
      </c>
      <c r="C3539" s="5">
        <v>7500</v>
      </c>
      <c r="D3539" s="5" t="s">
        <v>62</v>
      </c>
      <c r="E3539" s="5" t="s">
        <v>63</v>
      </c>
      <c r="F3539" s="6">
        <v>42736</v>
      </c>
      <c r="G3539">
        <v>0</v>
      </c>
    </row>
    <row r="3540" spans="1:7" x14ac:dyDescent="0.25">
      <c r="A3540" s="5" t="s">
        <v>120</v>
      </c>
      <c r="B3540" s="5" t="s">
        <v>122</v>
      </c>
      <c r="C3540" s="5">
        <v>7500</v>
      </c>
      <c r="D3540" s="5" t="s">
        <v>62</v>
      </c>
      <c r="E3540" s="5" t="s">
        <v>64</v>
      </c>
      <c r="F3540" s="6">
        <v>42370</v>
      </c>
      <c r="G3540">
        <v>0</v>
      </c>
    </row>
    <row r="3541" spans="1:7" x14ac:dyDescent="0.25">
      <c r="A3541" s="5" t="s">
        <v>120</v>
      </c>
      <c r="B3541" s="5" t="s">
        <v>122</v>
      </c>
      <c r="C3541" s="5">
        <v>7500</v>
      </c>
      <c r="D3541" s="5" t="s">
        <v>62</v>
      </c>
      <c r="E3541" s="5" t="s">
        <v>64</v>
      </c>
      <c r="F3541" s="6">
        <v>42736</v>
      </c>
      <c r="G3541">
        <v>0</v>
      </c>
    </row>
    <row r="3542" spans="1:7" x14ac:dyDescent="0.25">
      <c r="A3542" s="5" t="s">
        <v>120</v>
      </c>
      <c r="B3542" s="5" t="s">
        <v>122</v>
      </c>
      <c r="C3542" s="5">
        <v>7500</v>
      </c>
      <c r="D3542" s="5" t="s">
        <v>62</v>
      </c>
      <c r="E3542" s="5" t="s">
        <v>9</v>
      </c>
      <c r="F3542" s="6">
        <v>42370</v>
      </c>
      <c r="G3542">
        <v>0</v>
      </c>
    </row>
    <row r="3543" spans="1:7" x14ac:dyDescent="0.25">
      <c r="A3543" s="5" t="s">
        <v>120</v>
      </c>
      <c r="B3543" s="5" t="s">
        <v>122</v>
      </c>
      <c r="C3543" s="5">
        <v>7500</v>
      </c>
      <c r="D3543" s="5" t="s">
        <v>62</v>
      </c>
      <c r="E3543" s="5" t="s">
        <v>9</v>
      </c>
      <c r="F3543" s="6">
        <v>42736</v>
      </c>
      <c r="G3543">
        <v>0</v>
      </c>
    </row>
    <row r="3544" spans="1:7" x14ac:dyDescent="0.25">
      <c r="A3544" s="5" t="s">
        <v>120</v>
      </c>
      <c r="B3544" s="5" t="s">
        <v>122</v>
      </c>
      <c r="C3544" s="5">
        <v>7500</v>
      </c>
      <c r="D3544" s="5" t="s">
        <v>62</v>
      </c>
      <c r="E3544" s="5" t="s">
        <v>65</v>
      </c>
      <c r="F3544" s="6">
        <v>42370</v>
      </c>
      <c r="G3544">
        <v>0</v>
      </c>
    </row>
    <row r="3545" spans="1:7" x14ac:dyDescent="0.25">
      <c r="A3545" s="5" t="s">
        <v>120</v>
      </c>
      <c r="B3545" s="5" t="s">
        <v>122</v>
      </c>
      <c r="C3545" s="5">
        <v>7500</v>
      </c>
      <c r="D3545" s="5" t="s">
        <v>62</v>
      </c>
      <c r="E3545" s="5" t="s">
        <v>65</v>
      </c>
      <c r="F3545" s="6">
        <v>42736</v>
      </c>
      <c r="G3545">
        <v>0</v>
      </c>
    </row>
    <row r="3546" spans="1:7" x14ac:dyDescent="0.25">
      <c r="A3546" s="5" t="s">
        <v>120</v>
      </c>
      <c r="B3546" s="5" t="s">
        <v>122</v>
      </c>
      <c r="C3546" s="5">
        <v>7500</v>
      </c>
      <c r="D3546" s="5" t="s">
        <v>62</v>
      </c>
      <c r="E3546" s="5" t="s">
        <v>66</v>
      </c>
      <c r="F3546" s="6">
        <v>42370</v>
      </c>
      <c r="G3546">
        <v>0</v>
      </c>
    </row>
    <row r="3547" spans="1:7" x14ac:dyDescent="0.25">
      <c r="A3547" s="5" t="s">
        <v>120</v>
      </c>
      <c r="B3547" s="5" t="s">
        <v>122</v>
      </c>
      <c r="C3547" s="5">
        <v>7500</v>
      </c>
      <c r="D3547" s="5" t="s">
        <v>62</v>
      </c>
      <c r="E3547" s="5" t="s">
        <v>66</v>
      </c>
      <c r="F3547" s="6">
        <v>42736</v>
      </c>
      <c r="G3547">
        <v>0</v>
      </c>
    </row>
    <row r="3548" spans="1:7" x14ac:dyDescent="0.25">
      <c r="A3548" s="5" t="s">
        <v>120</v>
      </c>
      <c r="B3548" s="5" t="s">
        <v>122</v>
      </c>
      <c r="C3548" s="5">
        <v>7500</v>
      </c>
      <c r="D3548" s="5" t="s">
        <v>62</v>
      </c>
      <c r="E3548" s="5" t="s">
        <v>67</v>
      </c>
      <c r="F3548" s="6">
        <v>42370</v>
      </c>
      <c r="G3548">
        <v>0</v>
      </c>
    </row>
    <row r="3549" spans="1:7" x14ac:dyDescent="0.25">
      <c r="A3549" s="5" t="s">
        <v>120</v>
      </c>
      <c r="B3549" s="5" t="s">
        <v>122</v>
      </c>
      <c r="C3549" s="5">
        <v>7500</v>
      </c>
      <c r="D3549" s="5" t="s">
        <v>62</v>
      </c>
      <c r="E3549" s="5" t="s">
        <v>67</v>
      </c>
      <c r="F3549" s="6">
        <v>42736</v>
      </c>
      <c r="G3549">
        <v>0</v>
      </c>
    </row>
    <row r="3550" spans="1:7" x14ac:dyDescent="0.25">
      <c r="A3550" s="5" t="s">
        <v>120</v>
      </c>
      <c r="B3550" s="5" t="s">
        <v>122</v>
      </c>
      <c r="C3550" s="5">
        <v>7500</v>
      </c>
      <c r="D3550" s="5" t="s">
        <v>62</v>
      </c>
      <c r="E3550" s="5" t="s">
        <v>68</v>
      </c>
      <c r="F3550" s="6">
        <v>42370</v>
      </c>
      <c r="G3550">
        <v>0</v>
      </c>
    </row>
    <row r="3551" spans="1:7" x14ac:dyDescent="0.25">
      <c r="A3551" s="5" t="s">
        <v>120</v>
      </c>
      <c r="B3551" s="5" t="s">
        <v>122</v>
      </c>
      <c r="C3551" s="5">
        <v>7500</v>
      </c>
      <c r="D3551" s="5" t="s">
        <v>62</v>
      </c>
      <c r="E3551" s="5" t="s">
        <v>68</v>
      </c>
      <c r="F3551" s="6">
        <v>42736</v>
      </c>
      <c r="G3551">
        <v>0</v>
      </c>
    </row>
    <row r="3552" spans="1:7" x14ac:dyDescent="0.25">
      <c r="A3552" s="5" t="s">
        <v>120</v>
      </c>
      <c r="B3552" s="5" t="s">
        <v>122</v>
      </c>
      <c r="C3552" s="5">
        <v>7500</v>
      </c>
      <c r="D3552" s="5" t="s">
        <v>62</v>
      </c>
      <c r="E3552" s="5" t="s">
        <v>69</v>
      </c>
      <c r="F3552" s="6">
        <v>42370</v>
      </c>
      <c r="G3552">
        <v>0</v>
      </c>
    </row>
    <row r="3553" spans="1:7" x14ac:dyDescent="0.25">
      <c r="A3553" s="5" t="s">
        <v>120</v>
      </c>
      <c r="B3553" s="5" t="s">
        <v>122</v>
      </c>
      <c r="C3553" s="5">
        <v>7500</v>
      </c>
      <c r="D3553" s="5" t="s">
        <v>62</v>
      </c>
      <c r="E3553" s="5" t="s">
        <v>69</v>
      </c>
      <c r="F3553" s="6">
        <v>42736</v>
      </c>
      <c r="G3553">
        <v>0</v>
      </c>
    </row>
    <row r="3554" spans="1:7" x14ac:dyDescent="0.25">
      <c r="A3554" s="5" t="s">
        <v>120</v>
      </c>
      <c r="B3554" s="5" t="s">
        <v>122</v>
      </c>
      <c r="C3554" s="5">
        <v>7500</v>
      </c>
      <c r="D3554" s="5" t="s">
        <v>62</v>
      </c>
      <c r="E3554" s="5" t="s">
        <v>70</v>
      </c>
      <c r="F3554" s="6">
        <v>42370</v>
      </c>
      <c r="G3554">
        <v>0</v>
      </c>
    </row>
    <row r="3555" spans="1:7" x14ac:dyDescent="0.25">
      <c r="A3555" s="5" t="s">
        <v>120</v>
      </c>
      <c r="B3555" s="5" t="s">
        <v>122</v>
      </c>
      <c r="C3555" s="5">
        <v>7500</v>
      </c>
      <c r="D3555" s="5" t="s">
        <v>62</v>
      </c>
      <c r="E3555" s="5" t="s">
        <v>70</v>
      </c>
      <c r="F3555" s="6">
        <v>42736</v>
      </c>
      <c r="G3555">
        <v>0</v>
      </c>
    </row>
    <row r="3556" spans="1:7" x14ac:dyDescent="0.25">
      <c r="A3556" s="5" t="s">
        <v>120</v>
      </c>
      <c r="B3556" s="5" t="s">
        <v>122</v>
      </c>
      <c r="C3556" s="5">
        <v>7500</v>
      </c>
      <c r="D3556" s="5" t="s">
        <v>62</v>
      </c>
      <c r="E3556" s="5" t="s">
        <v>71</v>
      </c>
      <c r="F3556" s="6">
        <v>42370</v>
      </c>
      <c r="G3556">
        <v>0</v>
      </c>
    </row>
    <row r="3557" spans="1:7" x14ac:dyDescent="0.25">
      <c r="A3557" s="5" t="s">
        <v>120</v>
      </c>
      <c r="B3557" s="5" t="s">
        <v>122</v>
      </c>
      <c r="C3557" s="5">
        <v>7500</v>
      </c>
      <c r="D3557" s="5" t="s">
        <v>62</v>
      </c>
      <c r="E3557" s="5" t="s">
        <v>71</v>
      </c>
      <c r="F3557" s="6">
        <v>42736</v>
      </c>
      <c r="G3557">
        <v>0</v>
      </c>
    </row>
    <row r="3558" spans="1:7" x14ac:dyDescent="0.25">
      <c r="A3558" s="5" t="s">
        <v>120</v>
      </c>
      <c r="B3558" s="5" t="s">
        <v>122</v>
      </c>
      <c r="C3558" s="5">
        <v>7500</v>
      </c>
      <c r="D3558" s="5" t="s">
        <v>72</v>
      </c>
      <c r="E3558" s="5" t="s">
        <v>73</v>
      </c>
      <c r="F3558" s="6">
        <v>42370</v>
      </c>
      <c r="G3558">
        <v>0</v>
      </c>
    </row>
    <row r="3559" spans="1:7" x14ac:dyDescent="0.25">
      <c r="A3559" s="5" t="s">
        <v>120</v>
      </c>
      <c r="B3559" s="5" t="s">
        <v>122</v>
      </c>
      <c r="C3559" s="5">
        <v>7500</v>
      </c>
      <c r="D3559" s="5" t="s">
        <v>72</v>
      </c>
      <c r="E3559" s="5" t="s">
        <v>73</v>
      </c>
      <c r="F3559" s="6">
        <v>42736</v>
      </c>
      <c r="G3559">
        <v>0</v>
      </c>
    </row>
    <row r="3560" spans="1:7" x14ac:dyDescent="0.25">
      <c r="A3560" s="5" t="s">
        <v>120</v>
      </c>
      <c r="B3560" s="5" t="s">
        <v>122</v>
      </c>
      <c r="C3560" s="5">
        <v>7500</v>
      </c>
      <c r="D3560" s="5" t="s">
        <v>72</v>
      </c>
      <c r="E3560" s="5" t="s">
        <v>9</v>
      </c>
      <c r="F3560" s="6">
        <v>42370</v>
      </c>
      <c r="G3560">
        <v>0</v>
      </c>
    </row>
    <row r="3561" spans="1:7" x14ac:dyDescent="0.25">
      <c r="A3561" s="5" t="s">
        <v>120</v>
      </c>
      <c r="B3561" s="5" t="s">
        <v>122</v>
      </c>
      <c r="C3561" s="5">
        <v>7500</v>
      </c>
      <c r="D3561" s="5" t="s">
        <v>72</v>
      </c>
      <c r="E3561" s="5" t="s">
        <v>9</v>
      </c>
      <c r="F3561" s="6">
        <v>42736</v>
      </c>
      <c r="G3561">
        <v>0</v>
      </c>
    </row>
    <row r="3562" spans="1:7" x14ac:dyDescent="0.25">
      <c r="A3562" s="5" t="s">
        <v>120</v>
      </c>
      <c r="B3562" s="5" t="s">
        <v>122</v>
      </c>
      <c r="C3562" s="5">
        <v>7500</v>
      </c>
      <c r="D3562" s="5" t="s">
        <v>72</v>
      </c>
      <c r="E3562" s="5" t="s">
        <v>34</v>
      </c>
      <c r="F3562" s="6">
        <v>42370</v>
      </c>
      <c r="G3562">
        <v>0</v>
      </c>
    </row>
    <row r="3563" spans="1:7" x14ac:dyDescent="0.25">
      <c r="A3563" s="5" t="s">
        <v>120</v>
      </c>
      <c r="B3563" s="5" t="s">
        <v>122</v>
      </c>
      <c r="C3563" s="5">
        <v>7500</v>
      </c>
      <c r="D3563" s="5" t="s">
        <v>72</v>
      </c>
      <c r="E3563" s="5" t="s">
        <v>34</v>
      </c>
      <c r="F3563" s="6">
        <v>42736</v>
      </c>
      <c r="G3563">
        <v>0</v>
      </c>
    </row>
    <row r="3564" spans="1:7" x14ac:dyDescent="0.25">
      <c r="A3564" s="5" t="s">
        <v>120</v>
      </c>
      <c r="B3564" s="5" t="s">
        <v>122</v>
      </c>
      <c r="C3564" s="5">
        <v>7500</v>
      </c>
      <c r="D3564" s="5" t="s">
        <v>72</v>
      </c>
      <c r="E3564" s="5" t="s">
        <v>74</v>
      </c>
      <c r="F3564" s="6">
        <v>42370</v>
      </c>
      <c r="G3564">
        <v>0</v>
      </c>
    </row>
    <row r="3565" spans="1:7" x14ac:dyDescent="0.25">
      <c r="A3565" s="5" t="s">
        <v>120</v>
      </c>
      <c r="B3565" s="5" t="s">
        <v>122</v>
      </c>
      <c r="C3565" s="5">
        <v>7500</v>
      </c>
      <c r="D3565" s="5" t="s">
        <v>72</v>
      </c>
      <c r="E3565" s="5" t="s">
        <v>74</v>
      </c>
      <c r="F3565" s="6">
        <v>42736</v>
      </c>
      <c r="G3565">
        <v>0</v>
      </c>
    </row>
    <row r="3566" spans="1:7" x14ac:dyDescent="0.25">
      <c r="A3566" s="5" t="s">
        <v>120</v>
      </c>
      <c r="B3566" s="5" t="s">
        <v>122</v>
      </c>
      <c r="C3566" s="5">
        <v>7500</v>
      </c>
      <c r="D3566" s="5" t="s">
        <v>72</v>
      </c>
      <c r="E3566" s="5" t="s">
        <v>75</v>
      </c>
      <c r="F3566" s="6">
        <v>42370</v>
      </c>
      <c r="G3566">
        <v>0</v>
      </c>
    </row>
    <row r="3567" spans="1:7" x14ac:dyDescent="0.25">
      <c r="A3567" s="5" t="s">
        <v>120</v>
      </c>
      <c r="B3567" s="5" t="s">
        <v>122</v>
      </c>
      <c r="C3567" s="5">
        <v>7500</v>
      </c>
      <c r="D3567" s="5" t="s">
        <v>72</v>
      </c>
      <c r="E3567" s="5" t="s">
        <v>75</v>
      </c>
      <c r="F3567" s="6">
        <v>42736</v>
      </c>
      <c r="G3567">
        <v>0</v>
      </c>
    </row>
    <row r="3568" spans="1:7" x14ac:dyDescent="0.25">
      <c r="A3568" s="5" t="s">
        <v>120</v>
      </c>
      <c r="B3568" s="5" t="s">
        <v>122</v>
      </c>
      <c r="C3568" s="5">
        <v>7500</v>
      </c>
      <c r="D3568" s="5" t="s">
        <v>76</v>
      </c>
      <c r="E3568" s="5" t="s">
        <v>9</v>
      </c>
      <c r="F3568" s="6">
        <v>42370</v>
      </c>
      <c r="G3568">
        <v>0</v>
      </c>
    </row>
    <row r="3569" spans="1:7" x14ac:dyDescent="0.25">
      <c r="A3569" s="5" t="s">
        <v>120</v>
      </c>
      <c r="B3569" s="5" t="s">
        <v>122</v>
      </c>
      <c r="C3569" s="5">
        <v>7500</v>
      </c>
      <c r="D3569" s="5" t="s">
        <v>76</v>
      </c>
      <c r="E3569" s="5" t="s">
        <v>9</v>
      </c>
      <c r="F3569" s="6">
        <v>42736</v>
      </c>
      <c r="G3569">
        <v>0</v>
      </c>
    </row>
    <row r="3570" spans="1:7" x14ac:dyDescent="0.25">
      <c r="A3570" s="5" t="s">
        <v>120</v>
      </c>
      <c r="B3570" s="5" t="s">
        <v>122</v>
      </c>
      <c r="C3570" s="5">
        <v>7500</v>
      </c>
      <c r="D3570" s="5" t="s">
        <v>76</v>
      </c>
      <c r="E3570" s="5" t="s">
        <v>77</v>
      </c>
      <c r="F3570" s="6">
        <v>42370</v>
      </c>
      <c r="G3570">
        <v>0</v>
      </c>
    </row>
    <row r="3571" spans="1:7" x14ac:dyDescent="0.25">
      <c r="A3571" s="5" t="s">
        <v>120</v>
      </c>
      <c r="B3571" s="5" t="s">
        <v>122</v>
      </c>
      <c r="C3571" s="5">
        <v>7500</v>
      </c>
      <c r="D3571" s="5" t="s">
        <v>76</v>
      </c>
      <c r="E3571" s="5" t="s">
        <v>77</v>
      </c>
      <c r="F3571" s="6">
        <v>42736</v>
      </c>
      <c r="G3571">
        <v>0</v>
      </c>
    </row>
    <row r="3572" spans="1:7" x14ac:dyDescent="0.25">
      <c r="A3572" s="5" t="s">
        <v>120</v>
      </c>
      <c r="B3572" s="5" t="s">
        <v>122</v>
      </c>
      <c r="C3572" s="5">
        <v>7500</v>
      </c>
      <c r="D3572" s="5" t="s">
        <v>78</v>
      </c>
      <c r="E3572" s="5" t="s">
        <v>79</v>
      </c>
      <c r="F3572" s="6">
        <v>42370</v>
      </c>
      <c r="G3572">
        <v>175</v>
      </c>
    </row>
    <row r="3573" spans="1:7" x14ac:dyDescent="0.25">
      <c r="A3573" s="5" t="s">
        <v>120</v>
      </c>
      <c r="B3573" s="5" t="s">
        <v>122</v>
      </c>
      <c r="C3573" s="5">
        <v>7500</v>
      </c>
      <c r="D3573" s="5" t="s">
        <v>78</v>
      </c>
      <c r="E3573" s="5" t="s">
        <v>79</v>
      </c>
      <c r="F3573" s="6">
        <v>42736</v>
      </c>
      <c r="G3573">
        <v>197</v>
      </c>
    </row>
    <row r="3574" spans="1:7" x14ac:dyDescent="0.25">
      <c r="A3574" s="5" t="s">
        <v>120</v>
      </c>
      <c r="B3574" s="5" t="s">
        <v>122</v>
      </c>
      <c r="C3574" s="5">
        <v>7500</v>
      </c>
      <c r="D3574" s="5" t="s">
        <v>78</v>
      </c>
      <c r="E3574" s="5" t="s">
        <v>80</v>
      </c>
      <c r="F3574" s="6">
        <v>42370</v>
      </c>
      <c r="G3574">
        <v>1</v>
      </c>
    </row>
    <row r="3575" spans="1:7" x14ac:dyDescent="0.25">
      <c r="A3575" s="5" t="s">
        <v>120</v>
      </c>
      <c r="B3575" s="5" t="s">
        <v>122</v>
      </c>
      <c r="C3575" s="5">
        <v>7500</v>
      </c>
      <c r="D3575" s="5" t="s">
        <v>78</v>
      </c>
      <c r="E3575" s="5" t="s">
        <v>80</v>
      </c>
      <c r="F3575" s="6">
        <v>42736</v>
      </c>
      <c r="G3575">
        <v>2</v>
      </c>
    </row>
    <row r="3576" spans="1:7" x14ac:dyDescent="0.25">
      <c r="A3576" s="5" t="s">
        <v>120</v>
      </c>
      <c r="B3576" s="5" t="s">
        <v>122</v>
      </c>
      <c r="C3576" s="5">
        <v>7500</v>
      </c>
      <c r="D3576" s="5" t="s">
        <v>78</v>
      </c>
      <c r="E3576" s="5" t="s">
        <v>81</v>
      </c>
      <c r="F3576" s="6">
        <v>42370</v>
      </c>
      <c r="G3576">
        <v>1096</v>
      </c>
    </row>
    <row r="3577" spans="1:7" x14ac:dyDescent="0.25">
      <c r="A3577" s="5" t="s">
        <v>120</v>
      </c>
      <c r="B3577" s="5" t="s">
        <v>122</v>
      </c>
      <c r="C3577" s="5">
        <v>7500</v>
      </c>
      <c r="D3577" s="5" t="s">
        <v>78</v>
      </c>
      <c r="E3577" s="5" t="s">
        <v>81</v>
      </c>
      <c r="F3577" s="6">
        <v>42736</v>
      </c>
      <c r="G3577">
        <v>1379</v>
      </c>
    </row>
    <row r="3578" spans="1:7" x14ac:dyDescent="0.25">
      <c r="A3578" s="5" t="s">
        <v>120</v>
      </c>
      <c r="B3578" s="5" t="s">
        <v>122</v>
      </c>
      <c r="C3578" s="5">
        <v>7500</v>
      </c>
      <c r="D3578" s="5" t="s">
        <v>78</v>
      </c>
      <c r="E3578" s="5" t="s">
        <v>82</v>
      </c>
      <c r="F3578" s="6">
        <v>42370</v>
      </c>
      <c r="G3578">
        <v>62</v>
      </c>
    </row>
    <row r="3579" spans="1:7" x14ac:dyDescent="0.25">
      <c r="A3579" s="5" t="s">
        <v>120</v>
      </c>
      <c r="B3579" s="5" t="s">
        <v>122</v>
      </c>
      <c r="C3579" s="5">
        <v>7500</v>
      </c>
      <c r="D3579" s="5" t="s">
        <v>78</v>
      </c>
      <c r="E3579" s="5" t="s">
        <v>82</v>
      </c>
      <c r="F3579" s="6">
        <v>42736</v>
      </c>
      <c r="G3579">
        <v>39</v>
      </c>
    </row>
    <row r="3580" spans="1:7" x14ac:dyDescent="0.25">
      <c r="A3580" s="5" t="s">
        <v>120</v>
      </c>
      <c r="B3580" s="5" t="s">
        <v>122</v>
      </c>
      <c r="C3580" s="5">
        <v>7500</v>
      </c>
      <c r="D3580" s="5" t="s">
        <v>78</v>
      </c>
      <c r="E3580" s="5" t="s">
        <v>83</v>
      </c>
      <c r="F3580" s="6">
        <v>42370</v>
      </c>
      <c r="G3580">
        <v>7</v>
      </c>
    </row>
    <row r="3581" spans="1:7" x14ac:dyDescent="0.25">
      <c r="A3581" s="5" t="s">
        <v>120</v>
      </c>
      <c r="B3581" s="5" t="s">
        <v>122</v>
      </c>
      <c r="C3581" s="5">
        <v>7500</v>
      </c>
      <c r="D3581" s="5" t="s">
        <v>78</v>
      </c>
      <c r="E3581" s="5" t="s">
        <v>83</v>
      </c>
      <c r="F3581" s="6">
        <v>42736</v>
      </c>
      <c r="G3581">
        <v>3</v>
      </c>
    </row>
    <row r="3582" spans="1:7" x14ac:dyDescent="0.25">
      <c r="A3582" s="5" t="s">
        <v>120</v>
      </c>
      <c r="B3582" s="5" t="s">
        <v>122</v>
      </c>
      <c r="C3582" s="5">
        <v>7500</v>
      </c>
      <c r="D3582" s="5" t="s">
        <v>78</v>
      </c>
      <c r="E3582" s="5" t="s">
        <v>84</v>
      </c>
      <c r="F3582" s="6">
        <v>42370</v>
      </c>
      <c r="G3582">
        <v>5</v>
      </c>
    </row>
    <row r="3583" spans="1:7" x14ac:dyDescent="0.25">
      <c r="A3583" s="5" t="s">
        <v>120</v>
      </c>
      <c r="B3583" s="5" t="s">
        <v>122</v>
      </c>
      <c r="C3583" s="5">
        <v>7500</v>
      </c>
      <c r="D3583" s="5" t="s">
        <v>78</v>
      </c>
      <c r="E3583" s="5" t="s">
        <v>84</v>
      </c>
      <c r="F3583" s="6">
        <v>42736</v>
      </c>
      <c r="G3583">
        <v>5</v>
      </c>
    </row>
    <row r="3584" spans="1:7" x14ac:dyDescent="0.25">
      <c r="A3584" s="5" t="s">
        <v>120</v>
      </c>
      <c r="B3584" s="5" t="s">
        <v>122</v>
      </c>
      <c r="C3584" s="5">
        <v>7500</v>
      </c>
      <c r="D3584" s="5" t="s">
        <v>78</v>
      </c>
      <c r="E3584" s="5" t="s">
        <v>85</v>
      </c>
      <c r="F3584" s="6">
        <v>42370</v>
      </c>
      <c r="G3584">
        <v>6</v>
      </c>
    </row>
    <row r="3585" spans="1:7" x14ac:dyDescent="0.25">
      <c r="A3585" s="5" t="s">
        <v>120</v>
      </c>
      <c r="B3585" s="5" t="s">
        <v>122</v>
      </c>
      <c r="C3585" s="5">
        <v>7500</v>
      </c>
      <c r="D3585" s="5" t="s">
        <v>78</v>
      </c>
      <c r="E3585" s="5" t="s">
        <v>85</v>
      </c>
      <c r="F3585" s="6">
        <v>42736</v>
      </c>
      <c r="G3585">
        <v>7</v>
      </c>
    </row>
    <row r="3586" spans="1:7" x14ac:dyDescent="0.25">
      <c r="A3586" s="5" t="s">
        <v>120</v>
      </c>
      <c r="B3586" s="5" t="s">
        <v>122</v>
      </c>
      <c r="C3586" s="5">
        <v>7500</v>
      </c>
      <c r="D3586" s="5" t="s">
        <v>78</v>
      </c>
      <c r="E3586" s="5" t="s">
        <v>86</v>
      </c>
      <c r="F3586" s="6">
        <v>42370</v>
      </c>
      <c r="G3586">
        <v>1</v>
      </c>
    </row>
    <row r="3587" spans="1:7" x14ac:dyDescent="0.25">
      <c r="A3587" s="5" t="s">
        <v>120</v>
      </c>
      <c r="B3587" s="5" t="s">
        <v>122</v>
      </c>
      <c r="C3587" s="5">
        <v>7500</v>
      </c>
      <c r="D3587" s="5" t="s">
        <v>78</v>
      </c>
      <c r="E3587" s="5" t="s">
        <v>86</v>
      </c>
      <c r="F3587" s="6">
        <v>42736</v>
      </c>
      <c r="G3587">
        <v>0</v>
      </c>
    </row>
    <row r="3588" spans="1:7" x14ac:dyDescent="0.25">
      <c r="A3588" s="5" t="s">
        <v>120</v>
      </c>
      <c r="B3588" s="5" t="s">
        <v>122</v>
      </c>
      <c r="C3588" s="5">
        <v>7500</v>
      </c>
      <c r="D3588" s="5" t="s">
        <v>78</v>
      </c>
      <c r="E3588" s="5" t="s">
        <v>87</v>
      </c>
      <c r="F3588" s="6">
        <v>42370</v>
      </c>
      <c r="G3588">
        <v>71</v>
      </c>
    </row>
    <row r="3589" spans="1:7" x14ac:dyDescent="0.25">
      <c r="A3589" s="5" t="s">
        <v>120</v>
      </c>
      <c r="B3589" s="5" t="s">
        <v>122</v>
      </c>
      <c r="C3589" s="5">
        <v>7500</v>
      </c>
      <c r="D3589" s="5" t="s">
        <v>78</v>
      </c>
      <c r="E3589" s="5" t="s">
        <v>87</v>
      </c>
      <c r="F3589" s="6">
        <v>42736</v>
      </c>
      <c r="G3589">
        <v>50</v>
      </c>
    </row>
    <row r="3590" spans="1:7" x14ac:dyDescent="0.25">
      <c r="A3590" s="5" t="s">
        <v>120</v>
      </c>
      <c r="B3590" s="5" t="s">
        <v>122</v>
      </c>
      <c r="C3590" s="5">
        <v>7500</v>
      </c>
      <c r="D3590" s="5" t="s">
        <v>78</v>
      </c>
      <c r="E3590" s="5" t="s">
        <v>88</v>
      </c>
      <c r="F3590" s="6">
        <v>42370</v>
      </c>
      <c r="G3590">
        <v>234</v>
      </c>
    </row>
    <row r="3591" spans="1:7" x14ac:dyDescent="0.25">
      <c r="A3591" s="5" t="s">
        <v>120</v>
      </c>
      <c r="B3591" s="5" t="s">
        <v>122</v>
      </c>
      <c r="C3591" s="5">
        <v>7500</v>
      </c>
      <c r="D3591" s="5" t="s">
        <v>78</v>
      </c>
      <c r="E3591" s="5" t="s">
        <v>88</v>
      </c>
      <c r="F3591" s="6">
        <v>42736</v>
      </c>
      <c r="G3591">
        <v>347</v>
      </c>
    </row>
    <row r="3592" spans="1:7" x14ac:dyDescent="0.25">
      <c r="A3592" s="5" t="s">
        <v>120</v>
      </c>
      <c r="B3592" s="5" t="s">
        <v>122</v>
      </c>
      <c r="C3592" s="5">
        <v>7500</v>
      </c>
      <c r="D3592" s="5" t="s">
        <v>78</v>
      </c>
      <c r="E3592" s="5" t="s">
        <v>89</v>
      </c>
      <c r="F3592" s="6">
        <v>42370</v>
      </c>
      <c r="G3592">
        <v>2883</v>
      </c>
    </row>
    <row r="3593" spans="1:7" x14ac:dyDescent="0.25">
      <c r="A3593" s="5" t="s">
        <v>120</v>
      </c>
      <c r="B3593" s="5" t="s">
        <v>122</v>
      </c>
      <c r="C3593" s="5">
        <v>7500</v>
      </c>
      <c r="D3593" s="5" t="s">
        <v>78</v>
      </c>
      <c r="E3593" s="5" t="s">
        <v>89</v>
      </c>
      <c r="F3593" s="6">
        <v>42736</v>
      </c>
      <c r="G3593">
        <v>3677</v>
      </c>
    </row>
    <row r="3594" spans="1:7" x14ac:dyDescent="0.25">
      <c r="A3594" s="5" t="s">
        <v>120</v>
      </c>
      <c r="B3594" s="5" t="s">
        <v>122</v>
      </c>
      <c r="C3594" s="5">
        <v>7500</v>
      </c>
      <c r="D3594" s="5" t="s">
        <v>78</v>
      </c>
      <c r="E3594" s="5" t="s">
        <v>90</v>
      </c>
      <c r="F3594" s="6">
        <v>42370</v>
      </c>
      <c r="G3594">
        <v>0</v>
      </c>
    </row>
    <row r="3595" spans="1:7" x14ac:dyDescent="0.25">
      <c r="A3595" s="5" t="s">
        <v>120</v>
      </c>
      <c r="B3595" s="5" t="s">
        <v>122</v>
      </c>
      <c r="C3595" s="5">
        <v>7500</v>
      </c>
      <c r="D3595" s="5" t="s">
        <v>78</v>
      </c>
      <c r="E3595" s="5" t="s">
        <v>90</v>
      </c>
      <c r="F3595" s="6">
        <v>42736</v>
      </c>
      <c r="G3595">
        <v>0</v>
      </c>
    </row>
    <row r="3596" spans="1:7" x14ac:dyDescent="0.25">
      <c r="A3596" s="5" t="s">
        <v>120</v>
      </c>
      <c r="B3596" s="5" t="s">
        <v>122</v>
      </c>
      <c r="C3596" s="5">
        <v>7500</v>
      </c>
      <c r="D3596" s="5" t="s">
        <v>78</v>
      </c>
      <c r="E3596" s="5" t="s">
        <v>91</v>
      </c>
      <c r="F3596" s="6">
        <v>42370</v>
      </c>
      <c r="G3596">
        <v>125</v>
      </c>
    </row>
    <row r="3597" spans="1:7" x14ac:dyDescent="0.25">
      <c r="A3597" s="5" t="s">
        <v>120</v>
      </c>
      <c r="B3597" s="5" t="s">
        <v>122</v>
      </c>
      <c r="C3597" s="5">
        <v>7500</v>
      </c>
      <c r="D3597" s="5" t="s">
        <v>78</v>
      </c>
      <c r="E3597" s="5" t="s">
        <v>91</v>
      </c>
      <c r="F3597" s="6">
        <v>42736</v>
      </c>
      <c r="G3597">
        <v>190</v>
      </c>
    </row>
    <row r="3598" spans="1:7" x14ac:dyDescent="0.25">
      <c r="A3598" s="5" t="s">
        <v>120</v>
      </c>
      <c r="B3598" s="5" t="s">
        <v>122</v>
      </c>
      <c r="C3598" s="5">
        <v>7500</v>
      </c>
      <c r="D3598" s="5" t="s">
        <v>78</v>
      </c>
      <c r="E3598" s="5" t="s">
        <v>92</v>
      </c>
      <c r="F3598" s="6">
        <v>42370</v>
      </c>
      <c r="G3598">
        <v>10</v>
      </c>
    </row>
    <row r="3599" spans="1:7" x14ac:dyDescent="0.25">
      <c r="A3599" s="5" t="s">
        <v>120</v>
      </c>
      <c r="B3599" s="5" t="s">
        <v>122</v>
      </c>
      <c r="C3599" s="5">
        <v>7500</v>
      </c>
      <c r="D3599" s="5" t="s">
        <v>78</v>
      </c>
      <c r="E3599" s="5" t="s">
        <v>92</v>
      </c>
      <c r="F3599" s="6">
        <v>42736</v>
      </c>
      <c r="G3599">
        <v>8</v>
      </c>
    </row>
    <row r="3600" spans="1:7" x14ac:dyDescent="0.25">
      <c r="A3600" s="5" t="s">
        <v>120</v>
      </c>
      <c r="B3600" s="5" t="s">
        <v>122</v>
      </c>
      <c r="C3600" s="5">
        <v>7500</v>
      </c>
      <c r="D3600" s="5" t="s">
        <v>78</v>
      </c>
      <c r="E3600" s="5" t="s">
        <v>93</v>
      </c>
      <c r="F3600" s="6">
        <v>42370</v>
      </c>
      <c r="G3600">
        <v>60</v>
      </c>
    </row>
    <row r="3601" spans="1:7" x14ac:dyDescent="0.25">
      <c r="A3601" s="5" t="s">
        <v>120</v>
      </c>
      <c r="B3601" s="5" t="s">
        <v>122</v>
      </c>
      <c r="C3601" s="5">
        <v>7500</v>
      </c>
      <c r="D3601" s="5" t="s">
        <v>78</v>
      </c>
      <c r="E3601" s="5" t="s">
        <v>93</v>
      </c>
      <c r="F3601" s="6">
        <v>42736</v>
      </c>
      <c r="G3601">
        <v>109</v>
      </c>
    </row>
    <row r="3602" spans="1:7" x14ac:dyDescent="0.25">
      <c r="A3602" s="5" t="s">
        <v>120</v>
      </c>
      <c r="B3602" s="5" t="s">
        <v>122</v>
      </c>
      <c r="C3602" s="5">
        <v>7500</v>
      </c>
      <c r="D3602" s="5" t="s">
        <v>78</v>
      </c>
      <c r="E3602" s="5" t="s">
        <v>94</v>
      </c>
      <c r="F3602" s="6">
        <v>42370</v>
      </c>
      <c r="G3602">
        <v>60</v>
      </c>
    </row>
    <row r="3603" spans="1:7" x14ac:dyDescent="0.25">
      <c r="A3603" s="5" t="s">
        <v>120</v>
      </c>
      <c r="B3603" s="5" t="s">
        <v>122</v>
      </c>
      <c r="C3603" s="5">
        <v>7500</v>
      </c>
      <c r="D3603" s="5" t="s">
        <v>78</v>
      </c>
      <c r="E3603" s="5" t="s">
        <v>94</v>
      </c>
      <c r="F3603" s="6">
        <v>42736</v>
      </c>
      <c r="G3603">
        <v>243</v>
      </c>
    </row>
    <row r="3604" spans="1:7" x14ac:dyDescent="0.25">
      <c r="A3604" s="5" t="s">
        <v>120</v>
      </c>
      <c r="B3604" s="5" t="s">
        <v>122</v>
      </c>
      <c r="C3604" s="5">
        <v>7500</v>
      </c>
      <c r="D3604" s="5" t="s">
        <v>78</v>
      </c>
      <c r="E3604" s="5" t="s">
        <v>95</v>
      </c>
      <c r="F3604" s="6">
        <v>42370</v>
      </c>
      <c r="G3604">
        <v>7</v>
      </c>
    </row>
    <row r="3605" spans="1:7" x14ac:dyDescent="0.25">
      <c r="A3605" s="5" t="s">
        <v>120</v>
      </c>
      <c r="B3605" s="5" t="s">
        <v>122</v>
      </c>
      <c r="C3605" s="5">
        <v>7500</v>
      </c>
      <c r="D3605" s="5" t="s">
        <v>78</v>
      </c>
      <c r="E3605" s="5" t="s">
        <v>95</v>
      </c>
      <c r="F3605" s="6">
        <v>42736</v>
      </c>
      <c r="G3605">
        <v>33</v>
      </c>
    </row>
    <row r="3606" spans="1:7" x14ac:dyDescent="0.25">
      <c r="A3606" s="5" t="s">
        <v>120</v>
      </c>
      <c r="B3606" s="5" t="s">
        <v>122</v>
      </c>
      <c r="C3606" s="5">
        <v>7500</v>
      </c>
      <c r="D3606" s="5" t="s">
        <v>78</v>
      </c>
      <c r="E3606" s="5" t="s">
        <v>96</v>
      </c>
      <c r="F3606" s="6">
        <v>42370</v>
      </c>
      <c r="G3606">
        <v>9</v>
      </c>
    </row>
    <row r="3607" spans="1:7" x14ac:dyDescent="0.25">
      <c r="A3607" s="5" t="s">
        <v>120</v>
      </c>
      <c r="B3607" s="5" t="s">
        <v>122</v>
      </c>
      <c r="C3607" s="5">
        <v>7500</v>
      </c>
      <c r="D3607" s="5" t="s">
        <v>78</v>
      </c>
      <c r="E3607" s="5" t="s">
        <v>96</v>
      </c>
      <c r="F3607" s="6">
        <v>42736</v>
      </c>
      <c r="G3607">
        <v>3</v>
      </c>
    </row>
    <row r="3608" spans="1:7" x14ac:dyDescent="0.25">
      <c r="A3608" s="5" t="s">
        <v>120</v>
      </c>
      <c r="B3608" s="5" t="s">
        <v>122</v>
      </c>
      <c r="C3608" s="5">
        <v>7500</v>
      </c>
      <c r="D3608" s="5" t="s">
        <v>78</v>
      </c>
      <c r="E3608" s="5" t="s">
        <v>97</v>
      </c>
      <c r="F3608" s="6">
        <v>42370</v>
      </c>
      <c r="G3608">
        <v>180</v>
      </c>
    </row>
    <row r="3609" spans="1:7" x14ac:dyDescent="0.25">
      <c r="A3609" s="5" t="s">
        <v>120</v>
      </c>
      <c r="B3609" s="5" t="s">
        <v>122</v>
      </c>
      <c r="C3609" s="5">
        <v>7500</v>
      </c>
      <c r="D3609" s="5" t="s">
        <v>78</v>
      </c>
      <c r="E3609" s="5" t="s">
        <v>97</v>
      </c>
      <c r="F3609" s="6">
        <v>42736</v>
      </c>
      <c r="G3609">
        <v>351</v>
      </c>
    </row>
    <row r="3610" spans="1:7" x14ac:dyDescent="0.25">
      <c r="A3610" s="5" t="s">
        <v>120</v>
      </c>
      <c r="B3610" s="5" t="s">
        <v>122</v>
      </c>
      <c r="C3610" s="5">
        <v>7500</v>
      </c>
      <c r="D3610" s="5" t="s">
        <v>78</v>
      </c>
      <c r="E3610" s="5" t="s">
        <v>98</v>
      </c>
      <c r="F3610" s="6">
        <v>42370</v>
      </c>
      <c r="G3610">
        <v>108</v>
      </c>
    </row>
    <row r="3611" spans="1:7" x14ac:dyDescent="0.25">
      <c r="A3611" s="5" t="s">
        <v>120</v>
      </c>
      <c r="B3611" s="5" t="s">
        <v>122</v>
      </c>
      <c r="C3611" s="5">
        <v>7500</v>
      </c>
      <c r="D3611" s="5" t="s">
        <v>78</v>
      </c>
      <c r="E3611" s="5" t="s">
        <v>98</v>
      </c>
      <c r="F3611" s="6">
        <v>42736</v>
      </c>
      <c r="G3611">
        <v>170</v>
      </c>
    </row>
    <row r="3612" spans="1:7" x14ac:dyDescent="0.25">
      <c r="A3612" s="5" t="s">
        <v>123</v>
      </c>
      <c r="B3612" s="5" t="s">
        <v>124</v>
      </c>
      <c r="C3612" s="5">
        <v>2460</v>
      </c>
      <c r="D3612" s="5" t="s">
        <v>8</v>
      </c>
      <c r="E3612" s="5" t="s">
        <v>9</v>
      </c>
      <c r="F3612" s="6">
        <v>42370</v>
      </c>
      <c r="G3612">
        <v>0</v>
      </c>
    </row>
    <row r="3613" spans="1:7" x14ac:dyDescent="0.25">
      <c r="A3613" s="5" t="s">
        <v>123</v>
      </c>
      <c r="B3613" s="5" t="s">
        <v>124</v>
      </c>
      <c r="C3613" s="5">
        <v>2460</v>
      </c>
      <c r="D3613" s="5" t="s">
        <v>8</v>
      </c>
      <c r="E3613" s="5" t="s">
        <v>9</v>
      </c>
      <c r="F3613" s="6">
        <v>42736</v>
      </c>
      <c r="G3613">
        <v>0</v>
      </c>
    </row>
    <row r="3614" spans="1:7" x14ac:dyDescent="0.25">
      <c r="A3614" s="5" t="s">
        <v>123</v>
      </c>
      <c r="B3614" s="5" t="s">
        <v>124</v>
      </c>
      <c r="C3614" s="5">
        <v>2460</v>
      </c>
      <c r="D3614" s="5" t="s">
        <v>8</v>
      </c>
      <c r="E3614" s="5" t="s">
        <v>10</v>
      </c>
      <c r="F3614" s="6">
        <v>42370</v>
      </c>
      <c r="G3614">
        <v>0</v>
      </c>
    </row>
    <row r="3615" spans="1:7" x14ac:dyDescent="0.25">
      <c r="A3615" s="5" t="s">
        <v>123</v>
      </c>
      <c r="B3615" s="5" t="s">
        <v>124</v>
      </c>
      <c r="C3615" s="5">
        <v>2460</v>
      </c>
      <c r="D3615" s="5" t="s">
        <v>8</v>
      </c>
      <c r="E3615" s="5" t="s">
        <v>10</v>
      </c>
      <c r="F3615" s="6">
        <v>42736</v>
      </c>
      <c r="G3615">
        <v>0</v>
      </c>
    </row>
    <row r="3616" spans="1:7" x14ac:dyDescent="0.25">
      <c r="A3616" s="5" t="s">
        <v>123</v>
      </c>
      <c r="B3616" s="5" t="s">
        <v>124</v>
      </c>
      <c r="C3616" s="5">
        <v>2460</v>
      </c>
      <c r="D3616" s="5" t="s">
        <v>8</v>
      </c>
      <c r="E3616" s="5" t="s">
        <v>11</v>
      </c>
      <c r="F3616" s="6">
        <v>42370</v>
      </c>
      <c r="G3616">
        <v>0</v>
      </c>
    </row>
    <row r="3617" spans="1:7" x14ac:dyDescent="0.25">
      <c r="A3617" s="5" t="s">
        <v>123</v>
      </c>
      <c r="B3617" s="5" t="s">
        <v>124</v>
      </c>
      <c r="C3617" s="5">
        <v>2460</v>
      </c>
      <c r="D3617" s="5" t="s">
        <v>8</v>
      </c>
      <c r="E3617" s="5" t="s">
        <v>11</v>
      </c>
      <c r="F3617" s="6">
        <v>42736</v>
      </c>
      <c r="G3617">
        <v>0</v>
      </c>
    </row>
    <row r="3618" spans="1:7" x14ac:dyDescent="0.25">
      <c r="A3618" s="5" t="s">
        <v>123</v>
      </c>
      <c r="B3618" s="5" t="s">
        <v>124</v>
      </c>
      <c r="C3618" s="5">
        <v>2460</v>
      </c>
      <c r="D3618" s="5" t="s">
        <v>8</v>
      </c>
      <c r="E3618" s="5" t="s">
        <v>12</v>
      </c>
      <c r="F3618" s="6">
        <v>42370</v>
      </c>
      <c r="G3618">
        <v>0</v>
      </c>
    </row>
    <row r="3619" spans="1:7" x14ac:dyDescent="0.25">
      <c r="A3619" s="5" t="s">
        <v>123</v>
      </c>
      <c r="B3619" s="5" t="s">
        <v>124</v>
      </c>
      <c r="C3619" s="5">
        <v>2460</v>
      </c>
      <c r="D3619" s="5" t="s">
        <v>8</v>
      </c>
      <c r="E3619" s="5" t="s">
        <v>12</v>
      </c>
      <c r="F3619" s="6">
        <v>42736</v>
      </c>
      <c r="G3619">
        <v>0</v>
      </c>
    </row>
    <row r="3620" spans="1:7" x14ac:dyDescent="0.25">
      <c r="A3620" s="5" t="s">
        <v>123</v>
      </c>
      <c r="B3620" s="5" t="s">
        <v>124</v>
      </c>
      <c r="C3620" s="5">
        <v>2460</v>
      </c>
      <c r="D3620" s="5" t="s">
        <v>8</v>
      </c>
      <c r="E3620" s="5" t="s">
        <v>13</v>
      </c>
      <c r="F3620" s="6">
        <v>42370</v>
      </c>
      <c r="G3620">
        <v>0</v>
      </c>
    </row>
    <row r="3621" spans="1:7" x14ac:dyDescent="0.25">
      <c r="A3621" s="5" t="s">
        <v>123</v>
      </c>
      <c r="B3621" s="5" t="s">
        <v>124</v>
      </c>
      <c r="C3621" s="5">
        <v>2460</v>
      </c>
      <c r="D3621" s="5" t="s">
        <v>8</v>
      </c>
      <c r="E3621" s="5" t="s">
        <v>13</v>
      </c>
      <c r="F3621" s="6">
        <v>42736</v>
      </c>
      <c r="G3621">
        <v>0</v>
      </c>
    </row>
    <row r="3622" spans="1:7" x14ac:dyDescent="0.25">
      <c r="A3622" s="5" t="s">
        <v>123</v>
      </c>
      <c r="B3622" s="5" t="s">
        <v>124</v>
      </c>
      <c r="C3622" s="5">
        <v>2460</v>
      </c>
      <c r="D3622" s="5" t="s">
        <v>8</v>
      </c>
      <c r="E3622" s="5" t="s">
        <v>14</v>
      </c>
      <c r="F3622" s="6">
        <v>42370</v>
      </c>
      <c r="G3622">
        <v>0</v>
      </c>
    </row>
    <row r="3623" spans="1:7" x14ac:dyDescent="0.25">
      <c r="A3623" s="5" t="s">
        <v>123</v>
      </c>
      <c r="B3623" s="5" t="s">
        <v>124</v>
      </c>
      <c r="C3623" s="5">
        <v>2460</v>
      </c>
      <c r="D3623" s="5" t="s">
        <v>8</v>
      </c>
      <c r="E3623" s="5" t="s">
        <v>14</v>
      </c>
      <c r="F3623" s="6">
        <v>42736</v>
      </c>
      <c r="G3623">
        <v>0</v>
      </c>
    </row>
    <row r="3624" spans="1:7" x14ac:dyDescent="0.25">
      <c r="A3624" s="5" t="s">
        <v>123</v>
      </c>
      <c r="B3624" s="5" t="s">
        <v>124</v>
      </c>
      <c r="C3624" s="5">
        <v>2460</v>
      </c>
      <c r="D3624" s="5" t="s">
        <v>8</v>
      </c>
      <c r="E3624" s="5" t="s">
        <v>15</v>
      </c>
      <c r="F3624" s="6">
        <v>42370</v>
      </c>
      <c r="G3624">
        <v>0</v>
      </c>
    </row>
    <row r="3625" spans="1:7" x14ac:dyDescent="0.25">
      <c r="A3625" s="5" t="s">
        <v>123</v>
      </c>
      <c r="B3625" s="5" t="s">
        <v>124</v>
      </c>
      <c r="C3625" s="5">
        <v>2460</v>
      </c>
      <c r="D3625" s="5" t="s">
        <v>8</v>
      </c>
      <c r="E3625" s="5" t="s">
        <v>15</v>
      </c>
      <c r="F3625" s="6">
        <v>42736</v>
      </c>
      <c r="G3625">
        <v>0</v>
      </c>
    </row>
    <row r="3626" spans="1:7" x14ac:dyDescent="0.25">
      <c r="A3626" s="5" t="s">
        <v>123</v>
      </c>
      <c r="B3626" s="5" t="s">
        <v>124</v>
      </c>
      <c r="C3626" s="5">
        <v>2460</v>
      </c>
      <c r="D3626" s="5" t="s">
        <v>8</v>
      </c>
      <c r="E3626" s="5" t="s">
        <v>16</v>
      </c>
      <c r="F3626" s="6">
        <v>42370</v>
      </c>
      <c r="G3626">
        <v>0</v>
      </c>
    </row>
    <row r="3627" spans="1:7" x14ac:dyDescent="0.25">
      <c r="A3627" s="5" t="s">
        <v>123</v>
      </c>
      <c r="B3627" s="5" t="s">
        <v>124</v>
      </c>
      <c r="C3627" s="5">
        <v>2460</v>
      </c>
      <c r="D3627" s="5" t="s">
        <v>8</v>
      </c>
      <c r="E3627" s="5" t="s">
        <v>16</v>
      </c>
      <c r="F3627" s="6">
        <v>42736</v>
      </c>
      <c r="G3627">
        <v>0</v>
      </c>
    </row>
    <row r="3628" spans="1:7" x14ac:dyDescent="0.25">
      <c r="A3628" s="5" t="s">
        <v>123</v>
      </c>
      <c r="B3628" s="5" t="s">
        <v>124</v>
      </c>
      <c r="C3628" s="5">
        <v>2460</v>
      </c>
      <c r="D3628" s="5" t="s">
        <v>8</v>
      </c>
      <c r="E3628" s="5" t="s">
        <v>17</v>
      </c>
      <c r="F3628" s="6">
        <v>42370</v>
      </c>
      <c r="G3628">
        <v>0</v>
      </c>
    </row>
    <row r="3629" spans="1:7" x14ac:dyDescent="0.25">
      <c r="A3629" s="5" t="s">
        <v>123</v>
      </c>
      <c r="B3629" s="5" t="s">
        <v>124</v>
      </c>
      <c r="C3629" s="5">
        <v>2460</v>
      </c>
      <c r="D3629" s="5" t="s">
        <v>8</v>
      </c>
      <c r="E3629" s="5" t="s">
        <v>17</v>
      </c>
      <c r="F3629" s="6">
        <v>42736</v>
      </c>
      <c r="G3629">
        <v>0</v>
      </c>
    </row>
    <row r="3630" spans="1:7" x14ac:dyDescent="0.25">
      <c r="A3630" s="5" t="s">
        <v>123</v>
      </c>
      <c r="B3630" s="5" t="s">
        <v>124</v>
      </c>
      <c r="C3630" s="5">
        <v>2460</v>
      </c>
      <c r="D3630" s="5" t="s">
        <v>8</v>
      </c>
      <c r="E3630" s="5" t="s">
        <v>18</v>
      </c>
      <c r="F3630" s="6">
        <v>42370</v>
      </c>
      <c r="G3630">
        <v>0</v>
      </c>
    </row>
    <row r="3631" spans="1:7" x14ac:dyDescent="0.25">
      <c r="A3631" s="5" t="s">
        <v>123</v>
      </c>
      <c r="B3631" s="5" t="s">
        <v>124</v>
      </c>
      <c r="C3631" s="5">
        <v>2460</v>
      </c>
      <c r="D3631" s="5" t="s">
        <v>8</v>
      </c>
      <c r="E3631" s="5" t="s">
        <v>18</v>
      </c>
      <c r="F3631" s="6">
        <v>42736</v>
      </c>
      <c r="G3631">
        <v>0</v>
      </c>
    </row>
    <row r="3632" spans="1:7" x14ac:dyDescent="0.25">
      <c r="A3632" s="5" t="s">
        <v>123</v>
      </c>
      <c r="B3632" s="5" t="s">
        <v>124</v>
      </c>
      <c r="C3632" s="5">
        <v>2460</v>
      </c>
      <c r="D3632" s="5" t="s">
        <v>8</v>
      </c>
      <c r="E3632" s="5" t="s">
        <v>19</v>
      </c>
      <c r="F3632" s="6">
        <v>42370</v>
      </c>
      <c r="G3632">
        <v>0</v>
      </c>
    </row>
    <row r="3633" spans="1:7" x14ac:dyDescent="0.25">
      <c r="A3633" s="5" t="s">
        <v>123</v>
      </c>
      <c r="B3633" s="5" t="s">
        <v>124</v>
      </c>
      <c r="C3633" s="5">
        <v>2460</v>
      </c>
      <c r="D3633" s="5" t="s">
        <v>8</v>
      </c>
      <c r="E3633" s="5" t="s">
        <v>19</v>
      </c>
      <c r="F3633" s="6">
        <v>42736</v>
      </c>
      <c r="G3633">
        <v>0</v>
      </c>
    </row>
    <row r="3634" spans="1:7" x14ac:dyDescent="0.25">
      <c r="A3634" s="5" t="s">
        <v>123</v>
      </c>
      <c r="B3634" s="5" t="s">
        <v>124</v>
      </c>
      <c r="C3634" s="5">
        <v>2460</v>
      </c>
      <c r="D3634" s="5" t="s">
        <v>20</v>
      </c>
      <c r="E3634" s="5" t="s">
        <v>9</v>
      </c>
      <c r="F3634" s="6">
        <v>42370</v>
      </c>
      <c r="G3634">
        <v>0</v>
      </c>
    </row>
    <row r="3635" spans="1:7" x14ac:dyDescent="0.25">
      <c r="A3635" s="5" t="s">
        <v>123</v>
      </c>
      <c r="B3635" s="5" t="s">
        <v>124</v>
      </c>
      <c r="C3635" s="5">
        <v>2460</v>
      </c>
      <c r="D3635" s="5" t="s">
        <v>20</v>
      </c>
      <c r="E3635" s="5" t="s">
        <v>9</v>
      </c>
      <c r="F3635" s="6">
        <v>42736</v>
      </c>
      <c r="G3635">
        <v>0</v>
      </c>
    </row>
    <row r="3636" spans="1:7" x14ac:dyDescent="0.25">
      <c r="A3636" s="5" t="s">
        <v>123</v>
      </c>
      <c r="B3636" s="5" t="s">
        <v>124</v>
      </c>
      <c r="C3636" s="5">
        <v>2460</v>
      </c>
      <c r="D3636" s="5" t="s">
        <v>20</v>
      </c>
      <c r="E3636" s="5" t="s">
        <v>21</v>
      </c>
      <c r="F3636" s="6">
        <v>42370</v>
      </c>
      <c r="G3636">
        <v>0</v>
      </c>
    </row>
    <row r="3637" spans="1:7" x14ac:dyDescent="0.25">
      <c r="A3637" s="5" t="s">
        <v>123</v>
      </c>
      <c r="B3637" s="5" t="s">
        <v>124</v>
      </c>
      <c r="C3637" s="5">
        <v>2460</v>
      </c>
      <c r="D3637" s="5" t="s">
        <v>20</v>
      </c>
      <c r="E3637" s="5" t="s">
        <v>21</v>
      </c>
      <c r="F3637" s="6">
        <v>42736</v>
      </c>
      <c r="G3637">
        <v>0</v>
      </c>
    </row>
    <row r="3638" spans="1:7" x14ac:dyDescent="0.25">
      <c r="A3638" s="5" t="s">
        <v>123</v>
      </c>
      <c r="B3638" s="5" t="s">
        <v>124</v>
      </c>
      <c r="C3638" s="5">
        <v>2460</v>
      </c>
      <c r="D3638" s="5" t="s">
        <v>20</v>
      </c>
      <c r="E3638" s="5" t="s">
        <v>22</v>
      </c>
      <c r="F3638" s="6">
        <v>42370</v>
      </c>
      <c r="G3638">
        <v>2</v>
      </c>
    </row>
    <row r="3639" spans="1:7" x14ac:dyDescent="0.25">
      <c r="A3639" s="5" t="s">
        <v>123</v>
      </c>
      <c r="B3639" s="5" t="s">
        <v>124</v>
      </c>
      <c r="C3639" s="5">
        <v>2460</v>
      </c>
      <c r="D3639" s="5" t="s">
        <v>20</v>
      </c>
      <c r="E3639" s="5" t="s">
        <v>22</v>
      </c>
      <c r="F3639" s="6">
        <v>42736</v>
      </c>
      <c r="G3639">
        <v>0</v>
      </c>
    </row>
    <row r="3640" spans="1:7" x14ac:dyDescent="0.25">
      <c r="A3640" s="5" t="s">
        <v>123</v>
      </c>
      <c r="B3640" s="5" t="s">
        <v>124</v>
      </c>
      <c r="C3640" s="5">
        <v>2460</v>
      </c>
      <c r="D3640" s="5" t="s">
        <v>20</v>
      </c>
      <c r="E3640" s="5" t="s">
        <v>23</v>
      </c>
      <c r="F3640" s="6">
        <v>42370</v>
      </c>
      <c r="G3640">
        <v>0</v>
      </c>
    </row>
    <row r="3641" spans="1:7" x14ac:dyDescent="0.25">
      <c r="A3641" s="5" t="s">
        <v>123</v>
      </c>
      <c r="B3641" s="5" t="s">
        <v>124</v>
      </c>
      <c r="C3641" s="5">
        <v>2460</v>
      </c>
      <c r="D3641" s="5" t="s">
        <v>20</v>
      </c>
      <c r="E3641" s="5" t="s">
        <v>23</v>
      </c>
      <c r="F3641" s="6">
        <v>42736</v>
      </c>
      <c r="G3641">
        <v>0</v>
      </c>
    </row>
    <row r="3642" spans="1:7" x14ac:dyDescent="0.25">
      <c r="A3642" s="5" t="s">
        <v>123</v>
      </c>
      <c r="B3642" s="5" t="s">
        <v>124</v>
      </c>
      <c r="C3642" s="5">
        <v>2460</v>
      </c>
      <c r="D3642" s="5" t="s">
        <v>20</v>
      </c>
      <c r="E3642" s="5" t="s">
        <v>24</v>
      </c>
      <c r="F3642" s="6">
        <v>42370</v>
      </c>
      <c r="G3642">
        <v>0</v>
      </c>
    </row>
    <row r="3643" spans="1:7" x14ac:dyDescent="0.25">
      <c r="A3643" s="5" t="s">
        <v>123</v>
      </c>
      <c r="B3643" s="5" t="s">
        <v>124</v>
      </c>
      <c r="C3643" s="5">
        <v>2460</v>
      </c>
      <c r="D3643" s="5" t="s">
        <v>20</v>
      </c>
      <c r="E3643" s="5" t="s">
        <v>24</v>
      </c>
      <c r="F3643" s="6">
        <v>42736</v>
      </c>
      <c r="G3643">
        <v>0</v>
      </c>
    </row>
    <row r="3644" spans="1:7" x14ac:dyDescent="0.25">
      <c r="A3644" s="5" t="s">
        <v>123</v>
      </c>
      <c r="B3644" s="5" t="s">
        <v>124</v>
      </c>
      <c r="C3644" s="5">
        <v>2460</v>
      </c>
      <c r="D3644" s="5" t="s">
        <v>20</v>
      </c>
      <c r="E3644" s="5" t="s">
        <v>25</v>
      </c>
      <c r="F3644" s="6">
        <v>42370</v>
      </c>
      <c r="G3644">
        <v>0</v>
      </c>
    </row>
    <row r="3645" spans="1:7" x14ac:dyDescent="0.25">
      <c r="A3645" s="5" t="s">
        <v>123</v>
      </c>
      <c r="B3645" s="5" t="s">
        <v>124</v>
      </c>
      <c r="C3645" s="5">
        <v>2460</v>
      </c>
      <c r="D3645" s="5" t="s">
        <v>20</v>
      </c>
      <c r="E3645" s="5" t="s">
        <v>25</v>
      </c>
      <c r="F3645" s="6">
        <v>42736</v>
      </c>
      <c r="G3645">
        <v>0</v>
      </c>
    </row>
    <row r="3646" spans="1:7" x14ac:dyDescent="0.25">
      <c r="A3646" s="5" t="s">
        <v>123</v>
      </c>
      <c r="B3646" s="5" t="s">
        <v>124</v>
      </c>
      <c r="C3646" s="5">
        <v>2460</v>
      </c>
      <c r="D3646" s="5" t="s">
        <v>20</v>
      </c>
      <c r="E3646" s="5" t="s">
        <v>26</v>
      </c>
      <c r="F3646" s="6">
        <v>42370</v>
      </c>
      <c r="G3646">
        <v>5</v>
      </c>
    </row>
    <row r="3647" spans="1:7" x14ac:dyDescent="0.25">
      <c r="A3647" s="5" t="s">
        <v>123</v>
      </c>
      <c r="B3647" s="5" t="s">
        <v>124</v>
      </c>
      <c r="C3647" s="5">
        <v>2460</v>
      </c>
      <c r="D3647" s="5" t="s">
        <v>20</v>
      </c>
      <c r="E3647" s="5" t="s">
        <v>26</v>
      </c>
      <c r="F3647" s="6">
        <v>42736</v>
      </c>
      <c r="G3647">
        <v>18</v>
      </c>
    </row>
    <row r="3648" spans="1:7" x14ac:dyDescent="0.25">
      <c r="A3648" s="5" t="s">
        <v>123</v>
      </c>
      <c r="B3648" s="5" t="s">
        <v>124</v>
      </c>
      <c r="C3648" s="5">
        <v>2460</v>
      </c>
      <c r="D3648" s="5" t="s">
        <v>20</v>
      </c>
      <c r="E3648" s="5" t="s">
        <v>27</v>
      </c>
      <c r="F3648" s="6">
        <v>42370</v>
      </c>
      <c r="G3648">
        <v>0</v>
      </c>
    </row>
    <row r="3649" spans="1:7" x14ac:dyDescent="0.25">
      <c r="A3649" s="5" t="s">
        <v>123</v>
      </c>
      <c r="B3649" s="5" t="s">
        <v>124</v>
      </c>
      <c r="C3649" s="5">
        <v>2460</v>
      </c>
      <c r="D3649" s="5" t="s">
        <v>20</v>
      </c>
      <c r="E3649" s="5" t="s">
        <v>27</v>
      </c>
      <c r="F3649" s="6">
        <v>42736</v>
      </c>
      <c r="G3649">
        <v>0</v>
      </c>
    </row>
    <row r="3650" spans="1:7" x14ac:dyDescent="0.25">
      <c r="A3650" s="5" t="s">
        <v>123</v>
      </c>
      <c r="B3650" s="5" t="s">
        <v>124</v>
      </c>
      <c r="C3650" s="5">
        <v>2460</v>
      </c>
      <c r="D3650" s="5" t="s">
        <v>20</v>
      </c>
      <c r="E3650" s="5" t="s">
        <v>28</v>
      </c>
      <c r="F3650" s="6">
        <v>42370</v>
      </c>
      <c r="G3650">
        <v>0</v>
      </c>
    </row>
    <row r="3651" spans="1:7" x14ac:dyDescent="0.25">
      <c r="A3651" s="5" t="s">
        <v>123</v>
      </c>
      <c r="B3651" s="5" t="s">
        <v>124</v>
      </c>
      <c r="C3651" s="5">
        <v>2460</v>
      </c>
      <c r="D3651" s="5" t="s">
        <v>20</v>
      </c>
      <c r="E3651" s="5" t="s">
        <v>28</v>
      </c>
      <c r="F3651" s="6">
        <v>42736</v>
      </c>
      <c r="G3651">
        <v>0</v>
      </c>
    </row>
    <row r="3652" spans="1:7" x14ac:dyDescent="0.25">
      <c r="A3652" s="5" t="s">
        <v>123</v>
      </c>
      <c r="B3652" s="5" t="s">
        <v>124</v>
      </c>
      <c r="C3652" s="5">
        <v>2460</v>
      </c>
      <c r="D3652" s="5" t="s">
        <v>20</v>
      </c>
      <c r="E3652" s="5" t="s">
        <v>29</v>
      </c>
      <c r="F3652" s="6">
        <v>42370</v>
      </c>
      <c r="G3652">
        <v>5</v>
      </c>
    </row>
    <row r="3653" spans="1:7" x14ac:dyDescent="0.25">
      <c r="A3653" s="5" t="s">
        <v>123</v>
      </c>
      <c r="B3653" s="5" t="s">
        <v>124</v>
      </c>
      <c r="C3653" s="5">
        <v>2460</v>
      </c>
      <c r="D3653" s="5" t="s">
        <v>20</v>
      </c>
      <c r="E3653" s="5" t="s">
        <v>29</v>
      </c>
      <c r="F3653" s="6">
        <v>42736</v>
      </c>
      <c r="G3653">
        <v>19</v>
      </c>
    </row>
    <row r="3654" spans="1:7" x14ac:dyDescent="0.25">
      <c r="A3654" s="5" t="s">
        <v>123</v>
      </c>
      <c r="B3654" s="5" t="s">
        <v>124</v>
      </c>
      <c r="C3654" s="5">
        <v>2460</v>
      </c>
      <c r="D3654" s="5" t="s">
        <v>20</v>
      </c>
      <c r="E3654" s="5" t="s">
        <v>30</v>
      </c>
      <c r="F3654" s="6">
        <v>42370</v>
      </c>
      <c r="G3654">
        <v>5</v>
      </c>
    </row>
    <row r="3655" spans="1:7" x14ac:dyDescent="0.25">
      <c r="A3655" s="5" t="s">
        <v>123</v>
      </c>
      <c r="B3655" s="5" t="s">
        <v>124</v>
      </c>
      <c r="C3655" s="5">
        <v>2460</v>
      </c>
      <c r="D3655" s="5" t="s">
        <v>20</v>
      </c>
      <c r="E3655" s="5" t="s">
        <v>30</v>
      </c>
      <c r="F3655" s="6">
        <v>42736</v>
      </c>
      <c r="G3655">
        <v>17</v>
      </c>
    </row>
    <row r="3656" spans="1:7" x14ac:dyDescent="0.25">
      <c r="A3656" s="5" t="s">
        <v>123</v>
      </c>
      <c r="B3656" s="5" t="s">
        <v>124</v>
      </c>
      <c r="C3656" s="5">
        <v>2460</v>
      </c>
      <c r="D3656" s="5" t="s">
        <v>20</v>
      </c>
      <c r="E3656" s="5" t="s">
        <v>31</v>
      </c>
      <c r="F3656" s="6">
        <v>42370</v>
      </c>
      <c r="G3656">
        <v>20</v>
      </c>
    </row>
    <row r="3657" spans="1:7" x14ac:dyDescent="0.25">
      <c r="A3657" s="5" t="s">
        <v>123</v>
      </c>
      <c r="B3657" s="5" t="s">
        <v>124</v>
      </c>
      <c r="C3657" s="5">
        <v>2460</v>
      </c>
      <c r="D3657" s="5" t="s">
        <v>20</v>
      </c>
      <c r="E3657" s="5" t="s">
        <v>31</v>
      </c>
      <c r="F3657" s="6">
        <v>42736</v>
      </c>
      <c r="G3657">
        <v>60</v>
      </c>
    </row>
    <row r="3658" spans="1:7" x14ac:dyDescent="0.25">
      <c r="A3658" s="5" t="s">
        <v>123</v>
      </c>
      <c r="B3658" s="5" t="s">
        <v>124</v>
      </c>
      <c r="C3658" s="5">
        <v>2460</v>
      </c>
      <c r="D3658" s="5" t="s">
        <v>20</v>
      </c>
      <c r="E3658" s="5" t="s">
        <v>32</v>
      </c>
      <c r="F3658" s="6">
        <v>42370</v>
      </c>
      <c r="G3658">
        <v>5</v>
      </c>
    </row>
    <row r="3659" spans="1:7" x14ac:dyDescent="0.25">
      <c r="A3659" s="5" t="s">
        <v>123</v>
      </c>
      <c r="B3659" s="5" t="s">
        <v>124</v>
      </c>
      <c r="C3659" s="5">
        <v>2460</v>
      </c>
      <c r="D3659" s="5" t="s">
        <v>20</v>
      </c>
      <c r="E3659" s="5" t="s">
        <v>32</v>
      </c>
      <c r="F3659" s="6">
        <v>42736</v>
      </c>
      <c r="G3659">
        <v>16</v>
      </c>
    </row>
    <row r="3660" spans="1:7" x14ac:dyDescent="0.25">
      <c r="A3660" s="5" t="s">
        <v>123</v>
      </c>
      <c r="B3660" s="5" t="s">
        <v>124</v>
      </c>
      <c r="C3660" s="5">
        <v>2460</v>
      </c>
      <c r="D3660" s="5" t="s">
        <v>33</v>
      </c>
      <c r="E3660" s="5" t="s">
        <v>9</v>
      </c>
      <c r="F3660" s="6">
        <v>42370</v>
      </c>
      <c r="G3660">
        <v>0</v>
      </c>
    </row>
    <row r="3661" spans="1:7" x14ac:dyDescent="0.25">
      <c r="A3661" s="5" t="s">
        <v>123</v>
      </c>
      <c r="B3661" s="5" t="s">
        <v>124</v>
      </c>
      <c r="C3661" s="5">
        <v>2460</v>
      </c>
      <c r="D3661" s="5" t="s">
        <v>33</v>
      </c>
      <c r="E3661" s="5" t="s">
        <v>9</v>
      </c>
      <c r="F3661" s="6">
        <v>42736</v>
      </c>
      <c r="G3661">
        <v>0</v>
      </c>
    </row>
    <row r="3662" spans="1:7" x14ac:dyDescent="0.25">
      <c r="A3662" s="5" t="s">
        <v>123</v>
      </c>
      <c r="B3662" s="5" t="s">
        <v>124</v>
      </c>
      <c r="C3662" s="5">
        <v>2460</v>
      </c>
      <c r="D3662" s="5" t="s">
        <v>33</v>
      </c>
      <c r="E3662" s="5" t="s">
        <v>34</v>
      </c>
      <c r="F3662" s="6">
        <v>42370</v>
      </c>
      <c r="G3662">
        <v>0</v>
      </c>
    </row>
    <row r="3663" spans="1:7" x14ac:dyDescent="0.25">
      <c r="A3663" s="5" t="s">
        <v>123</v>
      </c>
      <c r="B3663" s="5" t="s">
        <v>124</v>
      </c>
      <c r="C3663" s="5">
        <v>2460</v>
      </c>
      <c r="D3663" s="5" t="s">
        <v>33</v>
      </c>
      <c r="E3663" s="5" t="s">
        <v>34</v>
      </c>
      <c r="F3663" s="6">
        <v>42736</v>
      </c>
      <c r="G3663">
        <v>0</v>
      </c>
    </row>
    <row r="3664" spans="1:7" x14ac:dyDescent="0.25">
      <c r="A3664" s="5" t="s">
        <v>123</v>
      </c>
      <c r="B3664" s="5" t="s">
        <v>124</v>
      </c>
      <c r="C3664" s="5">
        <v>2460</v>
      </c>
      <c r="D3664" s="5" t="s">
        <v>35</v>
      </c>
      <c r="E3664" s="5" t="s">
        <v>36</v>
      </c>
      <c r="F3664" s="6">
        <v>42370</v>
      </c>
      <c r="G3664">
        <v>0</v>
      </c>
    </row>
    <row r="3665" spans="1:7" x14ac:dyDescent="0.25">
      <c r="A3665" s="5" t="s">
        <v>123</v>
      </c>
      <c r="B3665" s="5" t="s">
        <v>124</v>
      </c>
      <c r="C3665" s="5">
        <v>2460</v>
      </c>
      <c r="D3665" s="5" t="s">
        <v>35</v>
      </c>
      <c r="E3665" s="5" t="s">
        <v>36</v>
      </c>
      <c r="F3665" s="6">
        <v>42736</v>
      </c>
      <c r="G3665">
        <v>0</v>
      </c>
    </row>
    <row r="3666" spans="1:7" x14ac:dyDescent="0.25">
      <c r="A3666" s="5" t="s">
        <v>123</v>
      </c>
      <c r="B3666" s="5" t="s">
        <v>124</v>
      </c>
      <c r="C3666" s="5">
        <v>2460</v>
      </c>
      <c r="D3666" s="5" t="s">
        <v>35</v>
      </c>
      <c r="E3666" s="5" t="s">
        <v>37</v>
      </c>
      <c r="F3666" s="6">
        <v>42370</v>
      </c>
      <c r="G3666">
        <v>0</v>
      </c>
    </row>
    <row r="3667" spans="1:7" x14ac:dyDescent="0.25">
      <c r="A3667" s="5" t="s">
        <v>123</v>
      </c>
      <c r="B3667" s="5" t="s">
        <v>124</v>
      </c>
      <c r="C3667" s="5">
        <v>2460</v>
      </c>
      <c r="D3667" s="5" t="s">
        <v>35</v>
      </c>
      <c r="E3667" s="5" t="s">
        <v>37</v>
      </c>
      <c r="F3667" s="6">
        <v>42736</v>
      </c>
      <c r="G3667">
        <v>0</v>
      </c>
    </row>
    <row r="3668" spans="1:7" x14ac:dyDescent="0.25">
      <c r="A3668" s="5" t="s">
        <v>123</v>
      </c>
      <c r="B3668" s="5" t="s">
        <v>124</v>
      </c>
      <c r="C3668" s="5">
        <v>2460</v>
      </c>
      <c r="D3668" s="5" t="s">
        <v>35</v>
      </c>
      <c r="E3668" s="5" t="s">
        <v>38</v>
      </c>
      <c r="F3668" s="6">
        <v>42370</v>
      </c>
      <c r="G3668">
        <v>0</v>
      </c>
    </row>
    <row r="3669" spans="1:7" x14ac:dyDescent="0.25">
      <c r="A3669" s="5" t="s">
        <v>123</v>
      </c>
      <c r="B3669" s="5" t="s">
        <v>124</v>
      </c>
      <c r="C3669" s="5">
        <v>2460</v>
      </c>
      <c r="D3669" s="5" t="s">
        <v>35</v>
      </c>
      <c r="E3669" s="5" t="s">
        <v>38</v>
      </c>
      <c r="F3669" s="6">
        <v>42736</v>
      </c>
      <c r="G3669">
        <v>0</v>
      </c>
    </row>
    <row r="3670" spans="1:7" x14ac:dyDescent="0.25">
      <c r="A3670" s="5" t="s">
        <v>123</v>
      </c>
      <c r="B3670" s="5" t="s">
        <v>124</v>
      </c>
      <c r="C3670" s="5">
        <v>2460</v>
      </c>
      <c r="D3670" s="5" t="s">
        <v>35</v>
      </c>
      <c r="E3670" s="5" t="s">
        <v>39</v>
      </c>
      <c r="F3670" s="6">
        <v>42370</v>
      </c>
      <c r="G3670">
        <v>0</v>
      </c>
    </row>
    <row r="3671" spans="1:7" x14ac:dyDescent="0.25">
      <c r="A3671" s="5" t="s">
        <v>123</v>
      </c>
      <c r="B3671" s="5" t="s">
        <v>124</v>
      </c>
      <c r="C3671" s="5">
        <v>2460</v>
      </c>
      <c r="D3671" s="5" t="s">
        <v>35</v>
      </c>
      <c r="E3671" s="5" t="s">
        <v>39</v>
      </c>
      <c r="F3671" s="6">
        <v>42736</v>
      </c>
      <c r="G3671">
        <v>0</v>
      </c>
    </row>
    <row r="3672" spans="1:7" x14ac:dyDescent="0.25">
      <c r="A3672" s="5" t="s">
        <v>123</v>
      </c>
      <c r="B3672" s="5" t="s">
        <v>124</v>
      </c>
      <c r="C3672" s="5">
        <v>2460</v>
      </c>
      <c r="D3672" s="5" t="s">
        <v>35</v>
      </c>
      <c r="E3672" s="5" t="s">
        <v>40</v>
      </c>
      <c r="F3672" s="6">
        <v>42370</v>
      </c>
      <c r="G3672">
        <v>0</v>
      </c>
    </row>
    <row r="3673" spans="1:7" x14ac:dyDescent="0.25">
      <c r="A3673" s="5" t="s">
        <v>123</v>
      </c>
      <c r="B3673" s="5" t="s">
        <v>124</v>
      </c>
      <c r="C3673" s="5">
        <v>2460</v>
      </c>
      <c r="D3673" s="5" t="s">
        <v>35</v>
      </c>
      <c r="E3673" s="5" t="s">
        <v>40</v>
      </c>
      <c r="F3673" s="6">
        <v>42736</v>
      </c>
      <c r="G3673">
        <v>0</v>
      </c>
    </row>
    <row r="3674" spans="1:7" x14ac:dyDescent="0.25">
      <c r="A3674" s="5" t="s">
        <v>123</v>
      </c>
      <c r="B3674" s="5" t="s">
        <v>124</v>
      </c>
      <c r="C3674" s="5">
        <v>2460</v>
      </c>
      <c r="D3674" s="5" t="s">
        <v>35</v>
      </c>
      <c r="E3674" s="5" t="s">
        <v>41</v>
      </c>
      <c r="F3674" s="6">
        <v>42370</v>
      </c>
      <c r="G3674">
        <v>0</v>
      </c>
    </row>
    <row r="3675" spans="1:7" x14ac:dyDescent="0.25">
      <c r="A3675" s="5" t="s">
        <v>123</v>
      </c>
      <c r="B3675" s="5" t="s">
        <v>124</v>
      </c>
      <c r="C3675" s="5">
        <v>2460</v>
      </c>
      <c r="D3675" s="5" t="s">
        <v>35</v>
      </c>
      <c r="E3675" s="5" t="s">
        <v>41</v>
      </c>
      <c r="F3675" s="6">
        <v>42736</v>
      </c>
      <c r="G3675">
        <v>0</v>
      </c>
    </row>
    <row r="3676" spans="1:7" x14ac:dyDescent="0.25">
      <c r="A3676" s="5" t="s">
        <v>123</v>
      </c>
      <c r="B3676" s="5" t="s">
        <v>124</v>
      </c>
      <c r="C3676" s="5">
        <v>2460</v>
      </c>
      <c r="D3676" s="5" t="s">
        <v>35</v>
      </c>
      <c r="E3676" s="5" t="s">
        <v>42</v>
      </c>
      <c r="F3676" s="6">
        <v>42370</v>
      </c>
      <c r="G3676">
        <v>0</v>
      </c>
    </row>
    <row r="3677" spans="1:7" x14ac:dyDescent="0.25">
      <c r="A3677" s="5" t="s">
        <v>123</v>
      </c>
      <c r="B3677" s="5" t="s">
        <v>124</v>
      </c>
      <c r="C3677" s="5">
        <v>2460</v>
      </c>
      <c r="D3677" s="5" t="s">
        <v>35</v>
      </c>
      <c r="E3677" s="5" t="s">
        <v>42</v>
      </c>
      <c r="F3677" s="6">
        <v>42736</v>
      </c>
      <c r="G3677">
        <v>0</v>
      </c>
    </row>
    <row r="3678" spans="1:7" x14ac:dyDescent="0.25">
      <c r="A3678" s="5" t="s">
        <v>123</v>
      </c>
      <c r="B3678" s="5" t="s">
        <v>124</v>
      </c>
      <c r="C3678" s="5">
        <v>2460</v>
      </c>
      <c r="D3678" s="5" t="s">
        <v>35</v>
      </c>
      <c r="E3678" s="5" t="s">
        <v>43</v>
      </c>
      <c r="F3678" s="6">
        <v>42370</v>
      </c>
      <c r="G3678">
        <v>0</v>
      </c>
    </row>
    <row r="3679" spans="1:7" x14ac:dyDescent="0.25">
      <c r="A3679" s="5" t="s">
        <v>123</v>
      </c>
      <c r="B3679" s="5" t="s">
        <v>124</v>
      </c>
      <c r="C3679" s="5">
        <v>2460</v>
      </c>
      <c r="D3679" s="5" t="s">
        <v>35</v>
      </c>
      <c r="E3679" s="5" t="s">
        <v>43</v>
      </c>
      <c r="F3679" s="6">
        <v>42736</v>
      </c>
      <c r="G3679">
        <v>0</v>
      </c>
    </row>
    <row r="3680" spans="1:7" x14ac:dyDescent="0.25">
      <c r="A3680" s="5" t="s">
        <v>123</v>
      </c>
      <c r="B3680" s="5" t="s">
        <v>124</v>
      </c>
      <c r="C3680" s="5">
        <v>2460</v>
      </c>
      <c r="D3680" s="5" t="s">
        <v>44</v>
      </c>
      <c r="E3680" s="5" t="s">
        <v>36</v>
      </c>
      <c r="F3680" s="6">
        <v>42370</v>
      </c>
      <c r="G3680">
        <v>0</v>
      </c>
    </row>
    <row r="3681" spans="1:7" x14ac:dyDescent="0.25">
      <c r="A3681" s="5" t="s">
        <v>123</v>
      </c>
      <c r="B3681" s="5" t="s">
        <v>124</v>
      </c>
      <c r="C3681" s="5">
        <v>2460</v>
      </c>
      <c r="D3681" s="5" t="s">
        <v>44</v>
      </c>
      <c r="E3681" s="5" t="s">
        <v>36</v>
      </c>
      <c r="F3681" s="6">
        <v>42736</v>
      </c>
      <c r="G3681">
        <v>0</v>
      </c>
    </row>
    <row r="3682" spans="1:7" x14ac:dyDescent="0.25">
      <c r="A3682" s="5" t="s">
        <v>123</v>
      </c>
      <c r="B3682" s="5" t="s">
        <v>124</v>
      </c>
      <c r="C3682" s="5">
        <v>2460</v>
      </c>
      <c r="D3682" s="5" t="s">
        <v>44</v>
      </c>
      <c r="E3682" s="5" t="s">
        <v>37</v>
      </c>
      <c r="F3682" s="6">
        <v>42370</v>
      </c>
      <c r="G3682">
        <v>0</v>
      </c>
    </row>
    <row r="3683" spans="1:7" x14ac:dyDescent="0.25">
      <c r="A3683" s="5" t="s">
        <v>123</v>
      </c>
      <c r="B3683" s="5" t="s">
        <v>124</v>
      </c>
      <c r="C3683" s="5">
        <v>2460</v>
      </c>
      <c r="D3683" s="5" t="s">
        <v>44</v>
      </c>
      <c r="E3683" s="5" t="s">
        <v>37</v>
      </c>
      <c r="F3683" s="6">
        <v>42736</v>
      </c>
      <c r="G3683">
        <v>0</v>
      </c>
    </row>
    <row r="3684" spans="1:7" x14ac:dyDescent="0.25">
      <c r="A3684" s="5" t="s">
        <v>123</v>
      </c>
      <c r="B3684" s="5" t="s">
        <v>124</v>
      </c>
      <c r="C3684" s="5">
        <v>2460</v>
      </c>
      <c r="D3684" s="5" t="s">
        <v>44</v>
      </c>
      <c r="E3684" s="5" t="s">
        <v>38</v>
      </c>
      <c r="F3684" s="6">
        <v>42370</v>
      </c>
      <c r="G3684">
        <v>0</v>
      </c>
    </row>
    <row r="3685" spans="1:7" x14ac:dyDescent="0.25">
      <c r="A3685" s="5" t="s">
        <v>123</v>
      </c>
      <c r="B3685" s="5" t="s">
        <v>124</v>
      </c>
      <c r="C3685" s="5">
        <v>2460</v>
      </c>
      <c r="D3685" s="5" t="s">
        <v>44</v>
      </c>
      <c r="E3685" s="5" t="s">
        <v>38</v>
      </c>
      <c r="F3685" s="6">
        <v>42736</v>
      </c>
      <c r="G3685">
        <v>0</v>
      </c>
    </row>
    <row r="3686" spans="1:7" x14ac:dyDescent="0.25">
      <c r="A3686" s="5" t="s">
        <v>123</v>
      </c>
      <c r="B3686" s="5" t="s">
        <v>124</v>
      </c>
      <c r="C3686" s="5">
        <v>2460</v>
      </c>
      <c r="D3686" s="5" t="s">
        <v>44</v>
      </c>
      <c r="E3686" s="5" t="s">
        <v>39</v>
      </c>
      <c r="F3686" s="6">
        <v>42370</v>
      </c>
      <c r="G3686">
        <v>0</v>
      </c>
    </row>
    <row r="3687" spans="1:7" x14ac:dyDescent="0.25">
      <c r="A3687" s="5" t="s">
        <v>123</v>
      </c>
      <c r="B3687" s="5" t="s">
        <v>124</v>
      </c>
      <c r="C3687" s="5">
        <v>2460</v>
      </c>
      <c r="D3687" s="5" t="s">
        <v>44</v>
      </c>
      <c r="E3687" s="5" t="s">
        <v>39</v>
      </c>
      <c r="F3687" s="6">
        <v>42736</v>
      </c>
      <c r="G3687">
        <v>0</v>
      </c>
    </row>
    <row r="3688" spans="1:7" x14ac:dyDescent="0.25">
      <c r="A3688" s="5" t="s">
        <v>123</v>
      </c>
      <c r="B3688" s="5" t="s">
        <v>124</v>
      </c>
      <c r="C3688" s="5">
        <v>2460</v>
      </c>
      <c r="D3688" s="5" t="s">
        <v>44</v>
      </c>
      <c r="E3688" s="5" t="s">
        <v>40</v>
      </c>
      <c r="F3688" s="6">
        <v>42370</v>
      </c>
      <c r="G3688">
        <v>0</v>
      </c>
    </row>
    <row r="3689" spans="1:7" x14ac:dyDescent="0.25">
      <c r="A3689" s="5" t="s">
        <v>123</v>
      </c>
      <c r="B3689" s="5" t="s">
        <v>124</v>
      </c>
      <c r="C3689" s="5">
        <v>2460</v>
      </c>
      <c r="D3689" s="5" t="s">
        <v>44</v>
      </c>
      <c r="E3689" s="5" t="s">
        <v>40</v>
      </c>
      <c r="F3689" s="6">
        <v>42736</v>
      </c>
      <c r="G3689">
        <v>0</v>
      </c>
    </row>
    <row r="3690" spans="1:7" x14ac:dyDescent="0.25">
      <c r="A3690" s="5" t="s">
        <v>123</v>
      </c>
      <c r="B3690" s="5" t="s">
        <v>124</v>
      </c>
      <c r="C3690" s="5">
        <v>2460</v>
      </c>
      <c r="D3690" s="5" t="s">
        <v>44</v>
      </c>
      <c r="E3690" s="5" t="s">
        <v>41</v>
      </c>
      <c r="F3690" s="6">
        <v>42370</v>
      </c>
      <c r="G3690">
        <v>0</v>
      </c>
    </row>
    <row r="3691" spans="1:7" x14ac:dyDescent="0.25">
      <c r="A3691" s="5" t="s">
        <v>123</v>
      </c>
      <c r="B3691" s="5" t="s">
        <v>124</v>
      </c>
      <c r="C3691" s="5">
        <v>2460</v>
      </c>
      <c r="D3691" s="5" t="s">
        <v>44</v>
      </c>
      <c r="E3691" s="5" t="s">
        <v>41</v>
      </c>
      <c r="F3691" s="6">
        <v>42736</v>
      </c>
      <c r="G3691">
        <v>0</v>
      </c>
    </row>
    <row r="3692" spans="1:7" x14ac:dyDescent="0.25">
      <c r="A3692" s="5" t="s">
        <v>123</v>
      </c>
      <c r="B3692" s="5" t="s">
        <v>124</v>
      </c>
      <c r="C3692" s="5">
        <v>2460</v>
      </c>
      <c r="D3692" s="5" t="s">
        <v>44</v>
      </c>
      <c r="E3692" s="5" t="s">
        <v>42</v>
      </c>
      <c r="F3692" s="6">
        <v>42370</v>
      </c>
      <c r="G3692">
        <v>0</v>
      </c>
    </row>
    <row r="3693" spans="1:7" x14ac:dyDescent="0.25">
      <c r="A3693" s="5" t="s">
        <v>123</v>
      </c>
      <c r="B3693" s="5" t="s">
        <v>124</v>
      </c>
      <c r="C3693" s="5">
        <v>2460</v>
      </c>
      <c r="D3693" s="5" t="s">
        <v>44</v>
      </c>
      <c r="E3693" s="5" t="s">
        <v>42</v>
      </c>
      <c r="F3693" s="6">
        <v>42736</v>
      </c>
      <c r="G3693">
        <v>0</v>
      </c>
    </row>
    <row r="3694" spans="1:7" x14ac:dyDescent="0.25">
      <c r="A3694" s="5" t="s">
        <v>123</v>
      </c>
      <c r="B3694" s="5" t="s">
        <v>124</v>
      </c>
      <c r="C3694" s="5">
        <v>2460</v>
      </c>
      <c r="D3694" s="5" t="s">
        <v>44</v>
      </c>
      <c r="E3694" s="5" t="s">
        <v>43</v>
      </c>
      <c r="F3694" s="6">
        <v>42370</v>
      </c>
      <c r="G3694">
        <v>0</v>
      </c>
    </row>
    <row r="3695" spans="1:7" x14ac:dyDescent="0.25">
      <c r="A3695" s="5" t="s">
        <v>123</v>
      </c>
      <c r="B3695" s="5" t="s">
        <v>124</v>
      </c>
      <c r="C3695" s="5">
        <v>2460</v>
      </c>
      <c r="D3695" s="5" t="s">
        <v>44</v>
      </c>
      <c r="E3695" s="5" t="s">
        <v>43</v>
      </c>
      <c r="F3695" s="6">
        <v>42736</v>
      </c>
      <c r="G3695">
        <v>0</v>
      </c>
    </row>
    <row r="3696" spans="1:7" x14ac:dyDescent="0.25">
      <c r="A3696" s="5" t="s">
        <v>123</v>
      </c>
      <c r="B3696" s="5" t="s">
        <v>124</v>
      </c>
      <c r="C3696" s="5">
        <v>2460</v>
      </c>
      <c r="D3696" s="5" t="s">
        <v>45</v>
      </c>
      <c r="E3696" s="5" t="s">
        <v>46</v>
      </c>
      <c r="F3696" s="6">
        <v>42370</v>
      </c>
      <c r="G3696">
        <v>0</v>
      </c>
    </row>
    <row r="3697" spans="1:7" x14ac:dyDescent="0.25">
      <c r="A3697" s="5" t="s">
        <v>123</v>
      </c>
      <c r="B3697" s="5" t="s">
        <v>124</v>
      </c>
      <c r="C3697" s="5">
        <v>2460</v>
      </c>
      <c r="D3697" s="5" t="s">
        <v>45</v>
      </c>
      <c r="E3697" s="5" t="s">
        <v>46</v>
      </c>
      <c r="F3697" s="6">
        <v>42736</v>
      </c>
      <c r="G3697">
        <v>0</v>
      </c>
    </row>
    <row r="3698" spans="1:7" x14ac:dyDescent="0.25">
      <c r="A3698" s="5" t="s">
        <v>123</v>
      </c>
      <c r="B3698" s="5" t="s">
        <v>124</v>
      </c>
      <c r="C3698" s="5">
        <v>2460</v>
      </c>
      <c r="D3698" s="5" t="s">
        <v>45</v>
      </c>
      <c r="E3698" s="5" t="s">
        <v>47</v>
      </c>
      <c r="F3698" s="6">
        <v>42370</v>
      </c>
      <c r="G3698">
        <v>0</v>
      </c>
    </row>
    <row r="3699" spans="1:7" x14ac:dyDescent="0.25">
      <c r="A3699" s="5" t="s">
        <v>123</v>
      </c>
      <c r="B3699" s="5" t="s">
        <v>124</v>
      </c>
      <c r="C3699" s="5">
        <v>2460</v>
      </c>
      <c r="D3699" s="5" t="s">
        <v>45</v>
      </c>
      <c r="E3699" s="5" t="s">
        <v>47</v>
      </c>
      <c r="F3699" s="6">
        <v>42736</v>
      </c>
      <c r="G3699">
        <v>0</v>
      </c>
    </row>
    <row r="3700" spans="1:7" x14ac:dyDescent="0.25">
      <c r="A3700" s="5" t="s">
        <v>123</v>
      </c>
      <c r="B3700" s="5" t="s">
        <v>124</v>
      </c>
      <c r="C3700" s="5">
        <v>2460</v>
      </c>
      <c r="D3700" s="5" t="s">
        <v>45</v>
      </c>
      <c r="E3700" s="5" t="s">
        <v>48</v>
      </c>
      <c r="F3700" s="6">
        <v>42370</v>
      </c>
      <c r="G3700">
        <v>6</v>
      </c>
    </row>
    <row r="3701" spans="1:7" x14ac:dyDescent="0.25">
      <c r="A3701" s="5" t="s">
        <v>123</v>
      </c>
      <c r="B3701" s="5" t="s">
        <v>124</v>
      </c>
      <c r="C3701" s="5">
        <v>2460</v>
      </c>
      <c r="D3701" s="5" t="s">
        <v>45</v>
      </c>
      <c r="E3701" s="5" t="s">
        <v>48</v>
      </c>
      <c r="F3701" s="6">
        <v>42736</v>
      </c>
      <c r="G3701">
        <v>6</v>
      </c>
    </row>
    <row r="3702" spans="1:7" x14ac:dyDescent="0.25">
      <c r="A3702" s="5" t="s">
        <v>123</v>
      </c>
      <c r="B3702" s="5" t="s">
        <v>124</v>
      </c>
      <c r="C3702" s="5">
        <v>2460</v>
      </c>
      <c r="D3702" s="5" t="s">
        <v>45</v>
      </c>
      <c r="E3702" s="5" t="s">
        <v>49</v>
      </c>
      <c r="F3702" s="6">
        <v>42370</v>
      </c>
      <c r="G3702">
        <v>0</v>
      </c>
    </row>
    <row r="3703" spans="1:7" x14ac:dyDescent="0.25">
      <c r="A3703" s="5" t="s">
        <v>123</v>
      </c>
      <c r="B3703" s="5" t="s">
        <v>124</v>
      </c>
      <c r="C3703" s="5">
        <v>2460</v>
      </c>
      <c r="D3703" s="5" t="s">
        <v>45</v>
      </c>
      <c r="E3703" s="5" t="s">
        <v>49</v>
      </c>
      <c r="F3703" s="6">
        <v>42736</v>
      </c>
      <c r="G3703">
        <v>0</v>
      </c>
    </row>
    <row r="3704" spans="1:7" x14ac:dyDescent="0.25">
      <c r="A3704" s="5" t="s">
        <v>123</v>
      </c>
      <c r="B3704" s="5" t="s">
        <v>124</v>
      </c>
      <c r="C3704" s="5">
        <v>2460</v>
      </c>
      <c r="D3704" s="5" t="s">
        <v>45</v>
      </c>
      <c r="E3704" s="5" t="s">
        <v>50</v>
      </c>
      <c r="F3704" s="6">
        <v>42370</v>
      </c>
      <c r="G3704">
        <v>0</v>
      </c>
    </row>
    <row r="3705" spans="1:7" x14ac:dyDescent="0.25">
      <c r="A3705" s="5" t="s">
        <v>123</v>
      </c>
      <c r="B3705" s="5" t="s">
        <v>124</v>
      </c>
      <c r="C3705" s="5">
        <v>2460</v>
      </c>
      <c r="D3705" s="5" t="s">
        <v>45</v>
      </c>
      <c r="E3705" s="5" t="s">
        <v>50</v>
      </c>
      <c r="F3705" s="6">
        <v>42736</v>
      </c>
      <c r="G3705">
        <v>0</v>
      </c>
    </row>
    <row r="3706" spans="1:7" x14ac:dyDescent="0.25">
      <c r="A3706" s="5" t="s">
        <v>123</v>
      </c>
      <c r="B3706" s="5" t="s">
        <v>124</v>
      </c>
      <c r="C3706" s="5">
        <v>2460</v>
      </c>
      <c r="D3706" s="5" t="s">
        <v>45</v>
      </c>
      <c r="E3706" s="5" t="s">
        <v>51</v>
      </c>
      <c r="F3706" s="6">
        <v>42370</v>
      </c>
      <c r="G3706">
        <v>0</v>
      </c>
    </row>
    <row r="3707" spans="1:7" x14ac:dyDescent="0.25">
      <c r="A3707" s="5" t="s">
        <v>123</v>
      </c>
      <c r="B3707" s="5" t="s">
        <v>124</v>
      </c>
      <c r="C3707" s="5">
        <v>2460</v>
      </c>
      <c r="D3707" s="5" t="s">
        <v>45</v>
      </c>
      <c r="E3707" s="5" t="s">
        <v>51</v>
      </c>
      <c r="F3707" s="6">
        <v>42736</v>
      </c>
      <c r="G3707">
        <v>0</v>
      </c>
    </row>
    <row r="3708" spans="1:7" x14ac:dyDescent="0.25">
      <c r="A3708" s="5" t="s">
        <v>123</v>
      </c>
      <c r="B3708" s="5" t="s">
        <v>124</v>
      </c>
      <c r="C3708" s="5">
        <v>2460</v>
      </c>
      <c r="D3708" s="5" t="s">
        <v>45</v>
      </c>
      <c r="E3708" s="5" t="s">
        <v>52</v>
      </c>
      <c r="F3708" s="6">
        <v>42370</v>
      </c>
      <c r="G3708">
        <v>0</v>
      </c>
    </row>
    <row r="3709" spans="1:7" x14ac:dyDescent="0.25">
      <c r="A3709" s="5" t="s">
        <v>123</v>
      </c>
      <c r="B3709" s="5" t="s">
        <v>124</v>
      </c>
      <c r="C3709" s="5">
        <v>2460</v>
      </c>
      <c r="D3709" s="5" t="s">
        <v>45</v>
      </c>
      <c r="E3709" s="5" t="s">
        <v>52</v>
      </c>
      <c r="F3709" s="6">
        <v>42736</v>
      </c>
      <c r="G3709">
        <v>0</v>
      </c>
    </row>
    <row r="3710" spans="1:7" x14ac:dyDescent="0.25">
      <c r="A3710" s="5" t="s">
        <v>123</v>
      </c>
      <c r="B3710" s="5" t="s">
        <v>124</v>
      </c>
      <c r="C3710" s="5">
        <v>2460</v>
      </c>
      <c r="D3710" s="5" t="s">
        <v>45</v>
      </c>
      <c r="E3710" s="5" t="s">
        <v>53</v>
      </c>
      <c r="F3710" s="6">
        <v>42370</v>
      </c>
      <c r="G3710">
        <v>2</v>
      </c>
    </row>
    <row r="3711" spans="1:7" x14ac:dyDescent="0.25">
      <c r="A3711" s="5" t="s">
        <v>123</v>
      </c>
      <c r="B3711" s="5" t="s">
        <v>124</v>
      </c>
      <c r="C3711" s="5">
        <v>2460</v>
      </c>
      <c r="D3711" s="5" t="s">
        <v>45</v>
      </c>
      <c r="E3711" s="5" t="s">
        <v>53</v>
      </c>
      <c r="F3711" s="6">
        <v>42736</v>
      </c>
      <c r="G3711">
        <v>5</v>
      </c>
    </row>
    <row r="3712" spans="1:7" x14ac:dyDescent="0.25">
      <c r="A3712" s="5" t="s">
        <v>123</v>
      </c>
      <c r="B3712" s="5" t="s">
        <v>124</v>
      </c>
      <c r="C3712" s="5">
        <v>2460</v>
      </c>
      <c r="D3712" s="5" t="s">
        <v>45</v>
      </c>
      <c r="E3712" s="5" t="s">
        <v>54</v>
      </c>
      <c r="F3712" s="6">
        <v>42370</v>
      </c>
      <c r="G3712">
        <v>0</v>
      </c>
    </row>
    <row r="3713" spans="1:7" x14ac:dyDescent="0.25">
      <c r="A3713" s="5" t="s">
        <v>123</v>
      </c>
      <c r="B3713" s="5" t="s">
        <v>124</v>
      </c>
      <c r="C3713" s="5">
        <v>2460</v>
      </c>
      <c r="D3713" s="5" t="s">
        <v>45</v>
      </c>
      <c r="E3713" s="5" t="s">
        <v>54</v>
      </c>
      <c r="F3713" s="6">
        <v>42736</v>
      </c>
      <c r="G3713">
        <v>0</v>
      </c>
    </row>
    <row r="3714" spans="1:7" x14ac:dyDescent="0.25">
      <c r="A3714" s="5" t="s">
        <v>123</v>
      </c>
      <c r="B3714" s="5" t="s">
        <v>124</v>
      </c>
      <c r="C3714" s="5">
        <v>2460</v>
      </c>
      <c r="D3714" s="5" t="s">
        <v>45</v>
      </c>
      <c r="E3714" s="5" t="s">
        <v>55</v>
      </c>
      <c r="F3714" s="6">
        <v>42370</v>
      </c>
      <c r="G3714">
        <v>0</v>
      </c>
    </row>
    <row r="3715" spans="1:7" x14ac:dyDescent="0.25">
      <c r="A3715" s="5" t="s">
        <v>123</v>
      </c>
      <c r="B3715" s="5" t="s">
        <v>124</v>
      </c>
      <c r="C3715" s="5">
        <v>2460</v>
      </c>
      <c r="D3715" s="5" t="s">
        <v>45</v>
      </c>
      <c r="E3715" s="5" t="s">
        <v>55</v>
      </c>
      <c r="F3715" s="6">
        <v>42736</v>
      </c>
      <c r="G3715">
        <v>0</v>
      </c>
    </row>
    <row r="3716" spans="1:7" x14ac:dyDescent="0.25">
      <c r="A3716" s="5" t="s">
        <v>123</v>
      </c>
      <c r="B3716" s="5" t="s">
        <v>124</v>
      </c>
      <c r="C3716" s="5">
        <v>2460</v>
      </c>
      <c r="D3716" s="5" t="s">
        <v>45</v>
      </c>
      <c r="E3716" s="5" t="s">
        <v>56</v>
      </c>
      <c r="F3716" s="6">
        <v>42370</v>
      </c>
      <c r="G3716">
        <v>0</v>
      </c>
    </row>
    <row r="3717" spans="1:7" x14ac:dyDescent="0.25">
      <c r="A3717" s="5" t="s">
        <v>123</v>
      </c>
      <c r="B3717" s="5" t="s">
        <v>124</v>
      </c>
      <c r="C3717" s="5">
        <v>2460</v>
      </c>
      <c r="D3717" s="5" t="s">
        <v>45</v>
      </c>
      <c r="E3717" s="5" t="s">
        <v>56</v>
      </c>
      <c r="F3717" s="6">
        <v>42736</v>
      </c>
      <c r="G3717">
        <v>0</v>
      </c>
    </row>
    <row r="3718" spans="1:7" x14ac:dyDescent="0.25">
      <c r="A3718" s="5" t="s">
        <v>123</v>
      </c>
      <c r="B3718" s="5" t="s">
        <v>124</v>
      </c>
      <c r="C3718" s="5">
        <v>2460</v>
      </c>
      <c r="D3718" s="5" t="s">
        <v>45</v>
      </c>
      <c r="E3718" s="5" t="s">
        <v>57</v>
      </c>
      <c r="F3718" s="6">
        <v>42370</v>
      </c>
      <c r="G3718">
        <v>0</v>
      </c>
    </row>
    <row r="3719" spans="1:7" x14ac:dyDescent="0.25">
      <c r="A3719" s="5" t="s">
        <v>123</v>
      </c>
      <c r="B3719" s="5" t="s">
        <v>124</v>
      </c>
      <c r="C3719" s="5">
        <v>2460</v>
      </c>
      <c r="D3719" s="5" t="s">
        <v>45</v>
      </c>
      <c r="E3719" s="5" t="s">
        <v>57</v>
      </c>
      <c r="F3719" s="6">
        <v>42736</v>
      </c>
      <c r="G3719">
        <v>0</v>
      </c>
    </row>
    <row r="3720" spans="1:7" x14ac:dyDescent="0.25">
      <c r="A3720" s="5" t="s">
        <v>123</v>
      </c>
      <c r="B3720" s="5" t="s">
        <v>124</v>
      </c>
      <c r="C3720" s="5">
        <v>2460</v>
      </c>
      <c r="D3720" s="5" t="s">
        <v>45</v>
      </c>
      <c r="E3720" s="5" t="s">
        <v>58</v>
      </c>
      <c r="F3720" s="6">
        <v>42370</v>
      </c>
      <c r="G3720">
        <v>0</v>
      </c>
    </row>
    <row r="3721" spans="1:7" x14ac:dyDescent="0.25">
      <c r="A3721" s="5" t="s">
        <v>123</v>
      </c>
      <c r="B3721" s="5" t="s">
        <v>124</v>
      </c>
      <c r="C3721" s="5">
        <v>2460</v>
      </c>
      <c r="D3721" s="5" t="s">
        <v>45</v>
      </c>
      <c r="E3721" s="5" t="s">
        <v>58</v>
      </c>
      <c r="F3721" s="6">
        <v>42736</v>
      </c>
      <c r="G3721">
        <v>0</v>
      </c>
    </row>
    <row r="3722" spans="1:7" x14ac:dyDescent="0.25">
      <c r="A3722" s="5" t="s">
        <v>123</v>
      </c>
      <c r="B3722" s="5" t="s">
        <v>124</v>
      </c>
      <c r="C3722" s="5">
        <v>2460</v>
      </c>
      <c r="D3722" s="5" t="s">
        <v>45</v>
      </c>
      <c r="E3722" s="5" t="s">
        <v>59</v>
      </c>
      <c r="F3722" s="6">
        <v>42370</v>
      </c>
      <c r="G3722">
        <v>0</v>
      </c>
    </row>
    <row r="3723" spans="1:7" x14ac:dyDescent="0.25">
      <c r="A3723" s="5" t="s">
        <v>123</v>
      </c>
      <c r="B3723" s="5" t="s">
        <v>124</v>
      </c>
      <c r="C3723" s="5">
        <v>2460</v>
      </c>
      <c r="D3723" s="5" t="s">
        <v>45</v>
      </c>
      <c r="E3723" s="5" t="s">
        <v>59</v>
      </c>
      <c r="F3723" s="6">
        <v>42736</v>
      </c>
      <c r="G3723">
        <v>0</v>
      </c>
    </row>
    <row r="3724" spans="1:7" x14ac:dyDescent="0.25">
      <c r="A3724" s="5" t="s">
        <v>123</v>
      </c>
      <c r="B3724" s="5" t="s">
        <v>124</v>
      </c>
      <c r="C3724" s="5">
        <v>2460</v>
      </c>
      <c r="D3724" s="5" t="s">
        <v>45</v>
      </c>
      <c r="E3724" s="5" t="s">
        <v>60</v>
      </c>
      <c r="F3724" s="6">
        <v>42370</v>
      </c>
      <c r="G3724">
        <v>0</v>
      </c>
    </row>
    <row r="3725" spans="1:7" x14ac:dyDescent="0.25">
      <c r="A3725" s="5" t="s">
        <v>123</v>
      </c>
      <c r="B3725" s="5" t="s">
        <v>124</v>
      </c>
      <c r="C3725" s="5">
        <v>2460</v>
      </c>
      <c r="D3725" s="5" t="s">
        <v>45</v>
      </c>
      <c r="E3725" s="5" t="s">
        <v>60</v>
      </c>
      <c r="F3725" s="6">
        <v>42736</v>
      </c>
      <c r="G3725">
        <v>0</v>
      </c>
    </row>
    <row r="3726" spans="1:7" x14ac:dyDescent="0.25">
      <c r="A3726" s="5" t="s">
        <v>123</v>
      </c>
      <c r="B3726" s="5" t="s">
        <v>124</v>
      </c>
      <c r="C3726" s="5">
        <v>2460</v>
      </c>
      <c r="D3726" s="5" t="s">
        <v>45</v>
      </c>
      <c r="E3726" s="5" t="s">
        <v>61</v>
      </c>
      <c r="F3726" s="6">
        <v>42370</v>
      </c>
      <c r="G3726">
        <v>1</v>
      </c>
    </row>
    <row r="3727" spans="1:7" x14ac:dyDescent="0.25">
      <c r="A3727" s="5" t="s">
        <v>123</v>
      </c>
      <c r="B3727" s="5" t="s">
        <v>124</v>
      </c>
      <c r="C3727" s="5">
        <v>2460</v>
      </c>
      <c r="D3727" s="5" t="s">
        <v>45</v>
      </c>
      <c r="E3727" s="5" t="s">
        <v>61</v>
      </c>
      <c r="F3727" s="6">
        <v>42736</v>
      </c>
      <c r="G3727">
        <v>1</v>
      </c>
    </row>
    <row r="3728" spans="1:7" x14ac:dyDescent="0.25">
      <c r="A3728" s="5" t="s">
        <v>123</v>
      </c>
      <c r="B3728" s="5" t="s">
        <v>124</v>
      </c>
      <c r="C3728" s="5">
        <v>2460</v>
      </c>
      <c r="D3728" s="5" t="s">
        <v>62</v>
      </c>
      <c r="E3728" s="5" t="s">
        <v>63</v>
      </c>
      <c r="F3728" s="6">
        <v>42370</v>
      </c>
      <c r="G3728">
        <v>0</v>
      </c>
    </row>
    <row r="3729" spans="1:7" x14ac:dyDescent="0.25">
      <c r="A3729" s="5" t="s">
        <v>123</v>
      </c>
      <c r="B3729" s="5" t="s">
        <v>124</v>
      </c>
      <c r="C3729" s="5">
        <v>2460</v>
      </c>
      <c r="D3729" s="5" t="s">
        <v>62</v>
      </c>
      <c r="E3729" s="5" t="s">
        <v>63</v>
      </c>
      <c r="F3729" s="6">
        <v>42736</v>
      </c>
      <c r="G3729">
        <v>0</v>
      </c>
    </row>
    <row r="3730" spans="1:7" x14ac:dyDescent="0.25">
      <c r="A3730" s="5" t="s">
        <v>123</v>
      </c>
      <c r="B3730" s="5" t="s">
        <v>124</v>
      </c>
      <c r="C3730" s="5">
        <v>2460</v>
      </c>
      <c r="D3730" s="5" t="s">
        <v>62</v>
      </c>
      <c r="E3730" s="5" t="s">
        <v>64</v>
      </c>
      <c r="F3730" s="6">
        <v>42370</v>
      </c>
      <c r="G3730">
        <v>0</v>
      </c>
    </row>
    <row r="3731" spans="1:7" x14ac:dyDescent="0.25">
      <c r="A3731" s="5" t="s">
        <v>123</v>
      </c>
      <c r="B3731" s="5" t="s">
        <v>124</v>
      </c>
      <c r="C3731" s="5">
        <v>2460</v>
      </c>
      <c r="D3731" s="5" t="s">
        <v>62</v>
      </c>
      <c r="E3731" s="5" t="s">
        <v>64</v>
      </c>
      <c r="F3731" s="6">
        <v>42736</v>
      </c>
      <c r="G3731">
        <v>0</v>
      </c>
    </row>
    <row r="3732" spans="1:7" x14ac:dyDescent="0.25">
      <c r="A3732" s="5" t="s">
        <v>123</v>
      </c>
      <c r="B3732" s="5" t="s">
        <v>124</v>
      </c>
      <c r="C3732" s="5">
        <v>2460</v>
      </c>
      <c r="D3732" s="5" t="s">
        <v>62</v>
      </c>
      <c r="E3732" s="5" t="s">
        <v>9</v>
      </c>
      <c r="F3732" s="6">
        <v>42370</v>
      </c>
      <c r="G3732">
        <v>0</v>
      </c>
    </row>
    <row r="3733" spans="1:7" x14ac:dyDescent="0.25">
      <c r="A3733" s="5" t="s">
        <v>123</v>
      </c>
      <c r="B3733" s="5" t="s">
        <v>124</v>
      </c>
      <c r="C3733" s="5">
        <v>2460</v>
      </c>
      <c r="D3733" s="5" t="s">
        <v>62</v>
      </c>
      <c r="E3733" s="5" t="s">
        <v>9</v>
      </c>
      <c r="F3733" s="6">
        <v>42736</v>
      </c>
      <c r="G3733">
        <v>0</v>
      </c>
    </row>
    <row r="3734" spans="1:7" x14ac:dyDescent="0.25">
      <c r="A3734" s="5" t="s">
        <v>123</v>
      </c>
      <c r="B3734" s="5" t="s">
        <v>124</v>
      </c>
      <c r="C3734" s="5">
        <v>2460</v>
      </c>
      <c r="D3734" s="5" t="s">
        <v>62</v>
      </c>
      <c r="E3734" s="5" t="s">
        <v>65</v>
      </c>
      <c r="F3734" s="6">
        <v>42370</v>
      </c>
      <c r="G3734">
        <v>0</v>
      </c>
    </row>
    <row r="3735" spans="1:7" x14ac:dyDescent="0.25">
      <c r="A3735" s="5" t="s">
        <v>123</v>
      </c>
      <c r="B3735" s="5" t="s">
        <v>124</v>
      </c>
      <c r="C3735" s="5">
        <v>2460</v>
      </c>
      <c r="D3735" s="5" t="s">
        <v>62</v>
      </c>
      <c r="E3735" s="5" t="s">
        <v>65</v>
      </c>
      <c r="F3735" s="6">
        <v>42736</v>
      </c>
      <c r="G3735">
        <v>0</v>
      </c>
    </row>
    <row r="3736" spans="1:7" x14ac:dyDescent="0.25">
      <c r="A3736" s="5" t="s">
        <v>123</v>
      </c>
      <c r="B3736" s="5" t="s">
        <v>124</v>
      </c>
      <c r="C3736" s="5">
        <v>2460</v>
      </c>
      <c r="D3736" s="5" t="s">
        <v>62</v>
      </c>
      <c r="E3736" s="5" t="s">
        <v>66</v>
      </c>
      <c r="F3736" s="6">
        <v>42370</v>
      </c>
      <c r="G3736">
        <v>0</v>
      </c>
    </row>
    <row r="3737" spans="1:7" x14ac:dyDescent="0.25">
      <c r="A3737" s="5" t="s">
        <v>123</v>
      </c>
      <c r="B3737" s="5" t="s">
        <v>124</v>
      </c>
      <c r="C3737" s="5">
        <v>2460</v>
      </c>
      <c r="D3737" s="5" t="s">
        <v>62</v>
      </c>
      <c r="E3737" s="5" t="s">
        <v>66</v>
      </c>
      <c r="F3737" s="6">
        <v>42736</v>
      </c>
      <c r="G3737">
        <v>0</v>
      </c>
    </row>
    <row r="3738" spans="1:7" x14ac:dyDescent="0.25">
      <c r="A3738" s="5" t="s">
        <v>123</v>
      </c>
      <c r="B3738" s="5" t="s">
        <v>124</v>
      </c>
      <c r="C3738" s="5">
        <v>2460</v>
      </c>
      <c r="D3738" s="5" t="s">
        <v>62</v>
      </c>
      <c r="E3738" s="5" t="s">
        <v>67</v>
      </c>
      <c r="F3738" s="6">
        <v>42370</v>
      </c>
      <c r="G3738">
        <v>0</v>
      </c>
    </row>
    <row r="3739" spans="1:7" x14ac:dyDescent="0.25">
      <c r="A3739" s="5" t="s">
        <v>123</v>
      </c>
      <c r="B3739" s="5" t="s">
        <v>124</v>
      </c>
      <c r="C3739" s="5">
        <v>2460</v>
      </c>
      <c r="D3739" s="5" t="s">
        <v>62</v>
      </c>
      <c r="E3739" s="5" t="s">
        <v>67</v>
      </c>
      <c r="F3739" s="6">
        <v>42736</v>
      </c>
      <c r="G3739">
        <v>0</v>
      </c>
    </row>
    <row r="3740" spans="1:7" x14ac:dyDescent="0.25">
      <c r="A3740" s="5" t="s">
        <v>123</v>
      </c>
      <c r="B3740" s="5" t="s">
        <v>124</v>
      </c>
      <c r="C3740" s="5">
        <v>2460</v>
      </c>
      <c r="D3740" s="5" t="s">
        <v>62</v>
      </c>
      <c r="E3740" s="5" t="s">
        <v>68</v>
      </c>
      <c r="F3740" s="6">
        <v>42370</v>
      </c>
      <c r="G3740">
        <v>0</v>
      </c>
    </row>
    <row r="3741" spans="1:7" x14ac:dyDescent="0.25">
      <c r="A3741" s="5" t="s">
        <v>123</v>
      </c>
      <c r="B3741" s="5" t="s">
        <v>124</v>
      </c>
      <c r="C3741" s="5">
        <v>2460</v>
      </c>
      <c r="D3741" s="5" t="s">
        <v>62</v>
      </c>
      <c r="E3741" s="5" t="s">
        <v>68</v>
      </c>
      <c r="F3741" s="6">
        <v>42736</v>
      </c>
      <c r="G3741">
        <v>0</v>
      </c>
    </row>
    <row r="3742" spans="1:7" x14ac:dyDescent="0.25">
      <c r="A3742" s="5" t="s">
        <v>123</v>
      </c>
      <c r="B3742" s="5" t="s">
        <v>124</v>
      </c>
      <c r="C3742" s="5">
        <v>2460</v>
      </c>
      <c r="D3742" s="5" t="s">
        <v>62</v>
      </c>
      <c r="E3742" s="5" t="s">
        <v>69</v>
      </c>
      <c r="F3742" s="6">
        <v>42370</v>
      </c>
      <c r="G3742">
        <v>0</v>
      </c>
    </row>
    <row r="3743" spans="1:7" x14ac:dyDescent="0.25">
      <c r="A3743" s="5" t="s">
        <v>123</v>
      </c>
      <c r="B3743" s="5" t="s">
        <v>124</v>
      </c>
      <c r="C3743" s="5">
        <v>2460</v>
      </c>
      <c r="D3743" s="5" t="s">
        <v>62</v>
      </c>
      <c r="E3743" s="5" t="s">
        <v>69</v>
      </c>
      <c r="F3743" s="6">
        <v>42736</v>
      </c>
      <c r="G3743">
        <v>0</v>
      </c>
    </row>
    <row r="3744" spans="1:7" x14ac:dyDescent="0.25">
      <c r="A3744" s="5" t="s">
        <v>123</v>
      </c>
      <c r="B3744" s="5" t="s">
        <v>124</v>
      </c>
      <c r="C3744" s="5">
        <v>2460</v>
      </c>
      <c r="D3744" s="5" t="s">
        <v>62</v>
      </c>
      <c r="E3744" s="5" t="s">
        <v>70</v>
      </c>
      <c r="F3744" s="6">
        <v>42370</v>
      </c>
      <c r="G3744">
        <v>0</v>
      </c>
    </row>
    <row r="3745" spans="1:7" x14ac:dyDescent="0.25">
      <c r="A3745" s="5" t="s">
        <v>123</v>
      </c>
      <c r="B3745" s="5" t="s">
        <v>124</v>
      </c>
      <c r="C3745" s="5">
        <v>2460</v>
      </c>
      <c r="D3745" s="5" t="s">
        <v>62</v>
      </c>
      <c r="E3745" s="5" t="s">
        <v>70</v>
      </c>
      <c r="F3745" s="6">
        <v>42736</v>
      </c>
      <c r="G3745">
        <v>0</v>
      </c>
    </row>
    <row r="3746" spans="1:7" x14ac:dyDescent="0.25">
      <c r="A3746" s="5" t="s">
        <v>123</v>
      </c>
      <c r="B3746" s="5" t="s">
        <v>124</v>
      </c>
      <c r="C3746" s="5">
        <v>2460</v>
      </c>
      <c r="D3746" s="5" t="s">
        <v>62</v>
      </c>
      <c r="E3746" s="5" t="s">
        <v>71</v>
      </c>
      <c r="F3746" s="6">
        <v>42370</v>
      </c>
      <c r="G3746">
        <v>0</v>
      </c>
    </row>
    <row r="3747" spans="1:7" x14ac:dyDescent="0.25">
      <c r="A3747" s="5" t="s">
        <v>123</v>
      </c>
      <c r="B3747" s="5" t="s">
        <v>124</v>
      </c>
      <c r="C3747" s="5">
        <v>2460</v>
      </c>
      <c r="D3747" s="5" t="s">
        <v>62</v>
      </c>
      <c r="E3747" s="5" t="s">
        <v>71</v>
      </c>
      <c r="F3747" s="6">
        <v>42736</v>
      </c>
      <c r="G3747">
        <v>0</v>
      </c>
    </row>
    <row r="3748" spans="1:7" x14ac:dyDescent="0.25">
      <c r="A3748" s="5" t="s">
        <v>123</v>
      </c>
      <c r="B3748" s="5" t="s">
        <v>124</v>
      </c>
      <c r="C3748" s="5">
        <v>2460</v>
      </c>
      <c r="D3748" s="5" t="s">
        <v>72</v>
      </c>
      <c r="E3748" s="5" t="s">
        <v>73</v>
      </c>
      <c r="F3748" s="6">
        <v>42370</v>
      </c>
      <c r="G3748">
        <v>0</v>
      </c>
    </row>
    <row r="3749" spans="1:7" x14ac:dyDescent="0.25">
      <c r="A3749" s="5" t="s">
        <v>123</v>
      </c>
      <c r="B3749" s="5" t="s">
        <v>124</v>
      </c>
      <c r="C3749" s="5">
        <v>2460</v>
      </c>
      <c r="D3749" s="5" t="s">
        <v>72</v>
      </c>
      <c r="E3749" s="5" t="s">
        <v>73</v>
      </c>
      <c r="F3749" s="6">
        <v>42736</v>
      </c>
      <c r="G3749">
        <v>0</v>
      </c>
    </row>
    <row r="3750" spans="1:7" x14ac:dyDescent="0.25">
      <c r="A3750" s="5" t="s">
        <v>123</v>
      </c>
      <c r="B3750" s="5" t="s">
        <v>124</v>
      </c>
      <c r="C3750" s="5">
        <v>2460</v>
      </c>
      <c r="D3750" s="5" t="s">
        <v>72</v>
      </c>
      <c r="E3750" s="5" t="s">
        <v>9</v>
      </c>
      <c r="F3750" s="6">
        <v>42370</v>
      </c>
      <c r="G3750">
        <v>0</v>
      </c>
    </row>
    <row r="3751" spans="1:7" x14ac:dyDescent="0.25">
      <c r="A3751" s="5" t="s">
        <v>123</v>
      </c>
      <c r="B3751" s="5" t="s">
        <v>124</v>
      </c>
      <c r="C3751" s="5">
        <v>2460</v>
      </c>
      <c r="D3751" s="5" t="s">
        <v>72</v>
      </c>
      <c r="E3751" s="5" t="s">
        <v>9</v>
      </c>
      <c r="F3751" s="6">
        <v>42736</v>
      </c>
      <c r="G3751">
        <v>0</v>
      </c>
    </row>
    <row r="3752" spans="1:7" x14ac:dyDescent="0.25">
      <c r="A3752" s="5" t="s">
        <v>123</v>
      </c>
      <c r="B3752" s="5" t="s">
        <v>124</v>
      </c>
      <c r="C3752" s="5">
        <v>2460</v>
      </c>
      <c r="D3752" s="5" t="s">
        <v>72</v>
      </c>
      <c r="E3752" s="5" t="s">
        <v>34</v>
      </c>
      <c r="F3752" s="6">
        <v>42370</v>
      </c>
      <c r="G3752">
        <v>0</v>
      </c>
    </row>
    <row r="3753" spans="1:7" x14ac:dyDescent="0.25">
      <c r="A3753" s="5" t="s">
        <v>123</v>
      </c>
      <c r="B3753" s="5" t="s">
        <v>124</v>
      </c>
      <c r="C3753" s="5">
        <v>2460</v>
      </c>
      <c r="D3753" s="5" t="s">
        <v>72</v>
      </c>
      <c r="E3753" s="5" t="s">
        <v>34</v>
      </c>
      <c r="F3753" s="6">
        <v>42736</v>
      </c>
      <c r="G3753">
        <v>0</v>
      </c>
    </row>
    <row r="3754" spans="1:7" x14ac:dyDescent="0.25">
      <c r="A3754" s="5" t="s">
        <v>123</v>
      </c>
      <c r="B3754" s="5" t="s">
        <v>124</v>
      </c>
      <c r="C3754" s="5">
        <v>2460</v>
      </c>
      <c r="D3754" s="5" t="s">
        <v>72</v>
      </c>
      <c r="E3754" s="5" t="s">
        <v>74</v>
      </c>
      <c r="F3754" s="6">
        <v>42370</v>
      </c>
      <c r="G3754">
        <v>0</v>
      </c>
    </row>
    <row r="3755" spans="1:7" x14ac:dyDescent="0.25">
      <c r="A3755" s="5" t="s">
        <v>123</v>
      </c>
      <c r="B3755" s="5" t="s">
        <v>124</v>
      </c>
      <c r="C3755" s="5">
        <v>2460</v>
      </c>
      <c r="D3755" s="5" t="s">
        <v>72</v>
      </c>
      <c r="E3755" s="5" t="s">
        <v>74</v>
      </c>
      <c r="F3755" s="6">
        <v>42736</v>
      </c>
      <c r="G3755">
        <v>0</v>
      </c>
    </row>
    <row r="3756" spans="1:7" x14ac:dyDescent="0.25">
      <c r="A3756" s="5" t="s">
        <v>123</v>
      </c>
      <c r="B3756" s="5" t="s">
        <v>124</v>
      </c>
      <c r="C3756" s="5">
        <v>2460</v>
      </c>
      <c r="D3756" s="5" t="s">
        <v>72</v>
      </c>
      <c r="E3756" s="5" t="s">
        <v>75</v>
      </c>
      <c r="F3756" s="6">
        <v>42370</v>
      </c>
      <c r="G3756">
        <v>0</v>
      </c>
    </row>
    <row r="3757" spans="1:7" x14ac:dyDescent="0.25">
      <c r="A3757" s="5" t="s">
        <v>123</v>
      </c>
      <c r="B3757" s="5" t="s">
        <v>124</v>
      </c>
      <c r="C3757" s="5">
        <v>2460</v>
      </c>
      <c r="D3757" s="5" t="s">
        <v>72</v>
      </c>
      <c r="E3757" s="5" t="s">
        <v>75</v>
      </c>
      <c r="F3757" s="6">
        <v>42736</v>
      </c>
      <c r="G3757">
        <v>0</v>
      </c>
    </row>
    <row r="3758" spans="1:7" x14ac:dyDescent="0.25">
      <c r="A3758" s="5" t="s">
        <v>123</v>
      </c>
      <c r="B3758" s="5" t="s">
        <v>124</v>
      </c>
      <c r="C3758" s="5">
        <v>2460</v>
      </c>
      <c r="D3758" s="5" t="s">
        <v>76</v>
      </c>
      <c r="E3758" s="5" t="s">
        <v>9</v>
      </c>
      <c r="F3758" s="6">
        <v>42370</v>
      </c>
      <c r="G3758">
        <v>0</v>
      </c>
    </row>
    <row r="3759" spans="1:7" x14ac:dyDescent="0.25">
      <c r="A3759" s="5" t="s">
        <v>123</v>
      </c>
      <c r="B3759" s="5" t="s">
        <v>124</v>
      </c>
      <c r="C3759" s="5">
        <v>2460</v>
      </c>
      <c r="D3759" s="5" t="s">
        <v>76</v>
      </c>
      <c r="E3759" s="5" t="s">
        <v>9</v>
      </c>
      <c r="F3759" s="6">
        <v>42736</v>
      </c>
      <c r="G3759">
        <v>0</v>
      </c>
    </row>
    <row r="3760" spans="1:7" x14ac:dyDescent="0.25">
      <c r="A3760" s="5" t="s">
        <v>123</v>
      </c>
      <c r="B3760" s="5" t="s">
        <v>124</v>
      </c>
      <c r="C3760" s="5">
        <v>2460</v>
      </c>
      <c r="D3760" s="5" t="s">
        <v>76</v>
      </c>
      <c r="E3760" s="5" t="s">
        <v>77</v>
      </c>
      <c r="F3760" s="6">
        <v>42370</v>
      </c>
      <c r="G3760">
        <v>0</v>
      </c>
    </row>
    <row r="3761" spans="1:7" x14ac:dyDescent="0.25">
      <c r="A3761" s="5" t="s">
        <v>123</v>
      </c>
      <c r="B3761" s="5" t="s">
        <v>124</v>
      </c>
      <c r="C3761" s="5">
        <v>2460</v>
      </c>
      <c r="D3761" s="5" t="s">
        <v>76</v>
      </c>
      <c r="E3761" s="5" t="s">
        <v>77</v>
      </c>
      <c r="F3761" s="6">
        <v>42736</v>
      </c>
      <c r="G3761">
        <v>0</v>
      </c>
    </row>
    <row r="3762" spans="1:7" x14ac:dyDescent="0.25">
      <c r="A3762" s="5" t="s">
        <v>123</v>
      </c>
      <c r="B3762" s="5" t="s">
        <v>124</v>
      </c>
      <c r="C3762" s="5">
        <v>2460</v>
      </c>
      <c r="D3762" s="5" t="s">
        <v>78</v>
      </c>
      <c r="E3762" s="5" t="s">
        <v>79</v>
      </c>
      <c r="F3762" s="6">
        <v>42370</v>
      </c>
      <c r="G3762">
        <v>0</v>
      </c>
    </row>
    <row r="3763" spans="1:7" x14ac:dyDescent="0.25">
      <c r="A3763" s="5" t="s">
        <v>123</v>
      </c>
      <c r="B3763" s="5" t="s">
        <v>124</v>
      </c>
      <c r="C3763" s="5">
        <v>2460</v>
      </c>
      <c r="D3763" s="5" t="s">
        <v>78</v>
      </c>
      <c r="E3763" s="5" t="s">
        <v>79</v>
      </c>
      <c r="F3763" s="6">
        <v>42736</v>
      </c>
      <c r="G3763">
        <v>0</v>
      </c>
    </row>
    <row r="3764" spans="1:7" x14ac:dyDescent="0.25">
      <c r="A3764" s="5" t="s">
        <v>123</v>
      </c>
      <c r="B3764" s="5" t="s">
        <v>124</v>
      </c>
      <c r="C3764" s="5">
        <v>2460</v>
      </c>
      <c r="D3764" s="5" t="s">
        <v>78</v>
      </c>
      <c r="E3764" s="5" t="s">
        <v>80</v>
      </c>
      <c r="F3764" s="6">
        <v>42370</v>
      </c>
      <c r="G3764">
        <v>0</v>
      </c>
    </row>
    <row r="3765" spans="1:7" x14ac:dyDescent="0.25">
      <c r="A3765" s="5" t="s">
        <v>123</v>
      </c>
      <c r="B3765" s="5" t="s">
        <v>124</v>
      </c>
      <c r="C3765" s="5">
        <v>2460</v>
      </c>
      <c r="D3765" s="5" t="s">
        <v>78</v>
      </c>
      <c r="E3765" s="5" t="s">
        <v>80</v>
      </c>
      <c r="F3765" s="6">
        <v>42736</v>
      </c>
      <c r="G3765">
        <v>0</v>
      </c>
    </row>
    <row r="3766" spans="1:7" x14ac:dyDescent="0.25">
      <c r="A3766" s="5" t="s">
        <v>123</v>
      </c>
      <c r="B3766" s="5" t="s">
        <v>124</v>
      </c>
      <c r="C3766" s="5">
        <v>2460</v>
      </c>
      <c r="D3766" s="5" t="s">
        <v>78</v>
      </c>
      <c r="E3766" s="5" t="s">
        <v>81</v>
      </c>
      <c r="F3766" s="6">
        <v>42370</v>
      </c>
      <c r="G3766">
        <v>30</v>
      </c>
    </row>
    <row r="3767" spans="1:7" x14ac:dyDescent="0.25">
      <c r="A3767" s="5" t="s">
        <v>123</v>
      </c>
      <c r="B3767" s="5" t="s">
        <v>124</v>
      </c>
      <c r="C3767" s="5">
        <v>2460</v>
      </c>
      <c r="D3767" s="5" t="s">
        <v>78</v>
      </c>
      <c r="E3767" s="5" t="s">
        <v>81</v>
      </c>
      <c r="F3767" s="6">
        <v>42736</v>
      </c>
      <c r="G3767">
        <v>81</v>
      </c>
    </row>
    <row r="3768" spans="1:7" x14ac:dyDescent="0.25">
      <c r="A3768" s="5" t="s">
        <v>123</v>
      </c>
      <c r="B3768" s="5" t="s">
        <v>124</v>
      </c>
      <c r="C3768" s="5">
        <v>2460</v>
      </c>
      <c r="D3768" s="5" t="s">
        <v>78</v>
      </c>
      <c r="E3768" s="5" t="s">
        <v>82</v>
      </c>
      <c r="F3768" s="6">
        <v>42370</v>
      </c>
      <c r="G3768">
        <v>0</v>
      </c>
    </row>
    <row r="3769" spans="1:7" x14ac:dyDescent="0.25">
      <c r="A3769" s="5" t="s">
        <v>123</v>
      </c>
      <c r="B3769" s="5" t="s">
        <v>124</v>
      </c>
      <c r="C3769" s="5">
        <v>2460</v>
      </c>
      <c r="D3769" s="5" t="s">
        <v>78</v>
      </c>
      <c r="E3769" s="5" t="s">
        <v>82</v>
      </c>
      <c r="F3769" s="6">
        <v>42736</v>
      </c>
      <c r="G3769">
        <v>0</v>
      </c>
    </row>
    <row r="3770" spans="1:7" x14ac:dyDescent="0.25">
      <c r="A3770" s="5" t="s">
        <v>123</v>
      </c>
      <c r="B3770" s="5" t="s">
        <v>124</v>
      </c>
      <c r="C3770" s="5">
        <v>2460</v>
      </c>
      <c r="D3770" s="5" t="s">
        <v>78</v>
      </c>
      <c r="E3770" s="5" t="s">
        <v>83</v>
      </c>
      <c r="F3770" s="6">
        <v>42370</v>
      </c>
      <c r="G3770">
        <v>0</v>
      </c>
    </row>
    <row r="3771" spans="1:7" x14ac:dyDescent="0.25">
      <c r="A3771" s="5" t="s">
        <v>123</v>
      </c>
      <c r="B3771" s="5" t="s">
        <v>124</v>
      </c>
      <c r="C3771" s="5">
        <v>2460</v>
      </c>
      <c r="D3771" s="5" t="s">
        <v>78</v>
      </c>
      <c r="E3771" s="5" t="s">
        <v>83</v>
      </c>
      <c r="F3771" s="6">
        <v>42736</v>
      </c>
      <c r="G3771">
        <v>0</v>
      </c>
    </row>
    <row r="3772" spans="1:7" x14ac:dyDescent="0.25">
      <c r="A3772" s="5" t="s">
        <v>123</v>
      </c>
      <c r="B3772" s="5" t="s">
        <v>124</v>
      </c>
      <c r="C3772" s="5">
        <v>2460</v>
      </c>
      <c r="D3772" s="5" t="s">
        <v>78</v>
      </c>
      <c r="E3772" s="5" t="s">
        <v>84</v>
      </c>
      <c r="F3772" s="6">
        <v>42370</v>
      </c>
      <c r="G3772">
        <v>0</v>
      </c>
    </row>
    <row r="3773" spans="1:7" x14ac:dyDescent="0.25">
      <c r="A3773" s="5" t="s">
        <v>123</v>
      </c>
      <c r="B3773" s="5" t="s">
        <v>124</v>
      </c>
      <c r="C3773" s="5">
        <v>2460</v>
      </c>
      <c r="D3773" s="5" t="s">
        <v>78</v>
      </c>
      <c r="E3773" s="5" t="s">
        <v>84</v>
      </c>
      <c r="F3773" s="6">
        <v>42736</v>
      </c>
      <c r="G3773">
        <v>0</v>
      </c>
    </row>
    <row r="3774" spans="1:7" x14ac:dyDescent="0.25">
      <c r="A3774" s="5" t="s">
        <v>123</v>
      </c>
      <c r="B3774" s="5" t="s">
        <v>124</v>
      </c>
      <c r="C3774" s="5">
        <v>2460</v>
      </c>
      <c r="D3774" s="5" t="s">
        <v>78</v>
      </c>
      <c r="E3774" s="5" t="s">
        <v>85</v>
      </c>
      <c r="F3774" s="6">
        <v>42370</v>
      </c>
      <c r="G3774">
        <v>0</v>
      </c>
    </row>
    <row r="3775" spans="1:7" x14ac:dyDescent="0.25">
      <c r="A3775" s="5" t="s">
        <v>123</v>
      </c>
      <c r="B3775" s="5" t="s">
        <v>124</v>
      </c>
      <c r="C3775" s="5">
        <v>2460</v>
      </c>
      <c r="D3775" s="5" t="s">
        <v>78</v>
      </c>
      <c r="E3775" s="5" t="s">
        <v>85</v>
      </c>
      <c r="F3775" s="6">
        <v>42736</v>
      </c>
      <c r="G3775">
        <v>0</v>
      </c>
    </row>
    <row r="3776" spans="1:7" x14ac:dyDescent="0.25">
      <c r="A3776" s="5" t="s">
        <v>123</v>
      </c>
      <c r="B3776" s="5" t="s">
        <v>124</v>
      </c>
      <c r="C3776" s="5">
        <v>2460</v>
      </c>
      <c r="D3776" s="5" t="s">
        <v>78</v>
      </c>
      <c r="E3776" s="5" t="s">
        <v>86</v>
      </c>
      <c r="F3776" s="6">
        <v>42370</v>
      </c>
      <c r="G3776">
        <v>0</v>
      </c>
    </row>
    <row r="3777" spans="1:7" x14ac:dyDescent="0.25">
      <c r="A3777" s="5" t="s">
        <v>123</v>
      </c>
      <c r="B3777" s="5" t="s">
        <v>124</v>
      </c>
      <c r="C3777" s="5">
        <v>2460</v>
      </c>
      <c r="D3777" s="5" t="s">
        <v>78</v>
      </c>
      <c r="E3777" s="5" t="s">
        <v>86</v>
      </c>
      <c r="F3777" s="6">
        <v>42736</v>
      </c>
      <c r="G3777">
        <v>0</v>
      </c>
    </row>
    <row r="3778" spans="1:7" x14ac:dyDescent="0.25">
      <c r="A3778" s="5" t="s">
        <v>123</v>
      </c>
      <c r="B3778" s="5" t="s">
        <v>124</v>
      </c>
      <c r="C3778" s="5">
        <v>2460</v>
      </c>
      <c r="D3778" s="5" t="s">
        <v>78</v>
      </c>
      <c r="E3778" s="5" t="s">
        <v>87</v>
      </c>
      <c r="F3778" s="6">
        <v>42370</v>
      </c>
      <c r="G3778">
        <v>0</v>
      </c>
    </row>
    <row r="3779" spans="1:7" x14ac:dyDescent="0.25">
      <c r="A3779" s="5" t="s">
        <v>123</v>
      </c>
      <c r="B3779" s="5" t="s">
        <v>124</v>
      </c>
      <c r="C3779" s="5">
        <v>2460</v>
      </c>
      <c r="D3779" s="5" t="s">
        <v>78</v>
      </c>
      <c r="E3779" s="5" t="s">
        <v>87</v>
      </c>
      <c r="F3779" s="6">
        <v>42736</v>
      </c>
      <c r="G3779">
        <v>0</v>
      </c>
    </row>
    <row r="3780" spans="1:7" x14ac:dyDescent="0.25">
      <c r="A3780" s="5" t="s">
        <v>123</v>
      </c>
      <c r="B3780" s="5" t="s">
        <v>124</v>
      </c>
      <c r="C3780" s="5">
        <v>2460</v>
      </c>
      <c r="D3780" s="5" t="s">
        <v>78</v>
      </c>
      <c r="E3780" s="5" t="s">
        <v>88</v>
      </c>
      <c r="F3780" s="6">
        <v>42370</v>
      </c>
      <c r="G3780">
        <v>7</v>
      </c>
    </row>
    <row r="3781" spans="1:7" x14ac:dyDescent="0.25">
      <c r="A3781" s="5" t="s">
        <v>123</v>
      </c>
      <c r="B3781" s="5" t="s">
        <v>124</v>
      </c>
      <c r="C3781" s="5">
        <v>2460</v>
      </c>
      <c r="D3781" s="5" t="s">
        <v>78</v>
      </c>
      <c r="E3781" s="5" t="s">
        <v>88</v>
      </c>
      <c r="F3781" s="6">
        <v>42736</v>
      </c>
      <c r="G3781">
        <v>23</v>
      </c>
    </row>
    <row r="3782" spans="1:7" x14ac:dyDescent="0.25">
      <c r="A3782" s="5" t="s">
        <v>123</v>
      </c>
      <c r="B3782" s="5" t="s">
        <v>124</v>
      </c>
      <c r="C3782" s="5">
        <v>2460</v>
      </c>
      <c r="D3782" s="5" t="s">
        <v>78</v>
      </c>
      <c r="E3782" s="5" t="s">
        <v>89</v>
      </c>
      <c r="F3782" s="6">
        <v>42370</v>
      </c>
      <c r="G3782">
        <v>224</v>
      </c>
    </row>
    <row r="3783" spans="1:7" x14ac:dyDescent="0.25">
      <c r="A3783" s="5" t="s">
        <v>123</v>
      </c>
      <c r="B3783" s="5" t="s">
        <v>124</v>
      </c>
      <c r="C3783" s="5">
        <v>2460</v>
      </c>
      <c r="D3783" s="5" t="s">
        <v>78</v>
      </c>
      <c r="E3783" s="5" t="s">
        <v>89</v>
      </c>
      <c r="F3783" s="6">
        <v>42736</v>
      </c>
      <c r="G3783">
        <v>296</v>
      </c>
    </row>
    <row r="3784" spans="1:7" x14ac:dyDescent="0.25">
      <c r="A3784" s="5" t="s">
        <v>123</v>
      </c>
      <c r="B3784" s="5" t="s">
        <v>124</v>
      </c>
      <c r="C3784" s="5">
        <v>2460</v>
      </c>
      <c r="D3784" s="5" t="s">
        <v>78</v>
      </c>
      <c r="E3784" s="5" t="s">
        <v>90</v>
      </c>
      <c r="F3784" s="6">
        <v>42370</v>
      </c>
      <c r="G3784">
        <v>0</v>
      </c>
    </row>
    <row r="3785" spans="1:7" x14ac:dyDescent="0.25">
      <c r="A3785" s="5" t="s">
        <v>123</v>
      </c>
      <c r="B3785" s="5" t="s">
        <v>124</v>
      </c>
      <c r="C3785" s="5">
        <v>2460</v>
      </c>
      <c r="D3785" s="5" t="s">
        <v>78</v>
      </c>
      <c r="E3785" s="5" t="s">
        <v>90</v>
      </c>
      <c r="F3785" s="6">
        <v>42736</v>
      </c>
      <c r="G3785">
        <v>0</v>
      </c>
    </row>
    <row r="3786" spans="1:7" x14ac:dyDescent="0.25">
      <c r="A3786" s="5" t="s">
        <v>123</v>
      </c>
      <c r="B3786" s="5" t="s">
        <v>124</v>
      </c>
      <c r="C3786" s="5">
        <v>2460</v>
      </c>
      <c r="D3786" s="5" t="s">
        <v>78</v>
      </c>
      <c r="E3786" s="5" t="s">
        <v>91</v>
      </c>
      <c r="F3786" s="6">
        <v>42370</v>
      </c>
      <c r="G3786">
        <v>0</v>
      </c>
    </row>
    <row r="3787" spans="1:7" x14ac:dyDescent="0.25">
      <c r="A3787" s="5" t="s">
        <v>123</v>
      </c>
      <c r="B3787" s="5" t="s">
        <v>124</v>
      </c>
      <c r="C3787" s="5">
        <v>2460</v>
      </c>
      <c r="D3787" s="5" t="s">
        <v>78</v>
      </c>
      <c r="E3787" s="5" t="s">
        <v>91</v>
      </c>
      <c r="F3787" s="6">
        <v>42736</v>
      </c>
      <c r="G3787">
        <v>0</v>
      </c>
    </row>
    <row r="3788" spans="1:7" x14ac:dyDescent="0.25">
      <c r="A3788" s="5" t="s">
        <v>123</v>
      </c>
      <c r="B3788" s="5" t="s">
        <v>124</v>
      </c>
      <c r="C3788" s="5">
        <v>2460</v>
      </c>
      <c r="D3788" s="5" t="s">
        <v>78</v>
      </c>
      <c r="E3788" s="5" t="s">
        <v>92</v>
      </c>
      <c r="F3788" s="6">
        <v>42370</v>
      </c>
      <c r="G3788">
        <v>0</v>
      </c>
    </row>
    <row r="3789" spans="1:7" x14ac:dyDescent="0.25">
      <c r="A3789" s="5" t="s">
        <v>123</v>
      </c>
      <c r="B3789" s="5" t="s">
        <v>124</v>
      </c>
      <c r="C3789" s="5">
        <v>2460</v>
      </c>
      <c r="D3789" s="5" t="s">
        <v>78</v>
      </c>
      <c r="E3789" s="5" t="s">
        <v>92</v>
      </c>
      <c r="F3789" s="6">
        <v>42736</v>
      </c>
      <c r="G3789">
        <v>0</v>
      </c>
    </row>
    <row r="3790" spans="1:7" x14ac:dyDescent="0.25">
      <c r="A3790" s="5" t="s">
        <v>123</v>
      </c>
      <c r="B3790" s="5" t="s">
        <v>124</v>
      </c>
      <c r="C3790" s="5">
        <v>2460</v>
      </c>
      <c r="D3790" s="5" t="s">
        <v>78</v>
      </c>
      <c r="E3790" s="5" t="s">
        <v>93</v>
      </c>
      <c r="F3790" s="6">
        <v>42370</v>
      </c>
      <c r="G3790">
        <v>0</v>
      </c>
    </row>
    <row r="3791" spans="1:7" x14ac:dyDescent="0.25">
      <c r="A3791" s="5" t="s">
        <v>123</v>
      </c>
      <c r="B3791" s="5" t="s">
        <v>124</v>
      </c>
      <c r="C3791" s="5">
        <v>2460</v>
      </c>
      <c r="D3791" s="5" t="s">
        <v>78</v>
      </c>
      <c r="E3791" s="5" t="s">
        <v>93</v>
      </c>
      <c r="F3791" s="6">
        <v>42736</v>
      </c>
      <c r="G3791">
        <v>0</v>
      </c>
    </row>
    <row r="3792" spans="1:7" x14ac:dyDescent="0.25">
      <c r="A3792" s="5" t="s">
        <v>123</v>
      </c>
      <c r="B3792" s="5" t="s">
        <v>124</v>
      </c>
      <c r="C3792" s="5">
        <v>2460</v>
      </c>
      <c r="D3792" s="5" t="s">
        <v>78</v>
      </c>
      <c r="E3792" s="5" t="s">
        <v>94</v>
      </c>
      <c r="F3792" s="6">
        <v>42370</v>
      </c>
      <c r="G3792">
        <v>0</v>
      </c>
    </row>
    <row r="3793" spans="1:7" x14ac:dyDescent="0.25">
      <c r="A3793" s="5" t="s">
        <v>123</v>
      </c>
      <c r="B3793" s="5" t="s">
        <v>124</v>
      </c>
      <c r="C3793" s="5">
        <v>2460</v>
      </c>
      <c r="D3793" s="5" t="s">
        <v>78</v>
      </c>
      <c r="E3793" s="5" t="s">
        <v>94</v>
      </c>
      <c r="F3793" s="6">
        <v>42736</v>
      </c>
      <c r="G3793">
        <v>0</v>
      </c>
    </row>
    <row r="3794" spans="1:7" x14ac:dyDescent="0.25">
      <c r="A3794" s="5" t="s">
        <v>123</v>
      </c>
      <c r="B3794" s="5" t="s">
        <v>124</v>
      </c>
      <c r="C3794" s="5">
        <v>2460</v>
      </c>
      <c r="D3794" s="5" t="s">
        <v>78</v>
      </c>
      <c r="E3794" s="5" t="s">
        <v>95</v>
      </c>
      <c r="F3794" s="6">
        <v>42370</v>
      </c>
      <c r="G3794">
        <v>0</v>
      </c>
    </row>
    <row r="3795" spans="1:7" x14ac:dyDescent="0.25">
      <c r="A3795" s="5" t="s">
        <v>123</v>
      </c>
      <c r="B3795" s="5" t="s">
        <v>124</v>
      </c>
      <c r="C3795" s="5">
        <v>2460</v>
      </c>
      <c r="D3795" s="5" t="s">
        <v>78</v>
      </c>
      <c r="E3795" s="5" t="s">
        <v>95</v>
      </c>
      <c r="F3795" s="6">
        <v>42736</v>
      </c>
      <c r="G3795">
        <v>0</v>
      </c>
    </row>
    <row r="3796" spans="1:7" x14ac:dyDescent="0.25">
      <c r="A3796" s="5" t="s">
        <v>123</v>
      </c>
      <c r="B3796" s="5" t="s">
        <v>124</v>
      </c>
      <c r="C3796" s="5">
        <v>2460</v>
      </c>
      <c r="D3796" s="5" t="s">
        <v>78</v>
      </c>
      <c r="E3796" s="5" t="s">
        <v>96</v>
      </c>
      <c r="F3796" s="6">
        <v>42370</v>
      </c>
      <c r="G3796">
        <v>0</v>
      </c>
    </row>
    <row r="3797" spans="1:7" x14ac:dyDescent="0.25">
      <c r="A3797" s="5" t="s">
        <v>123</v>
      </c>
      <c r="B3797" s="5" t="s">
        <v>124</v>
      </c>
      <c r="C3797" s="5">
        <v>2460</v>
      </c>
      <c r="D3797" s="5" t="s">
        <v>78</v>
      </c>
      <c r="E3797" s="5" t="s">
        <v>96</v>
      </c>
      <c r="F3797" s="6">
        <v>42736</v>
      </c>
      <c r="G3797">
        <v>0</v>
      </c>
    </row>
    <row r="3798" spans="1:7" x14ac:dyDescent="0.25">
      <c r="A3798" s="5" t="s">
        <v>123</v>
      </c>
      <c r="B3798" s="5" t="s">
        <v>124</v>
      </c>
      <c r="C3798" s="5">
        <v>2460</v>
      </c>
      <c r="D3798" s="5" t="s">
        <v>78</v>
      </c>
      <c r="E3798" s="5" t="s">
        <v>97</v>
      </c>
      <c r="F3798" s="6">
        <v>42370</v>
      </c>
      <c r="G3798">
        <v>0</v>
      </c>
    </row>
    <row r="3799" spans="1:7" x14ac:dyDescent="0.25">
      <c r="A3799" s="5" t="s">
        <v>123</v>
      </c>
      <c r="B3799" s="5" t="s">
        <v>124</v>
      </c>
      <c r="C3799" s="5">
        <v>2460</v>
      </c>
      <c r="D3799" s="5" t="s">
        <v>78</v>
      </c>
      <c r="E3799" s="5" t="s">
        <v>97</v>
      </c>
      <c r="F3799" s="6">
        <v>42736</v>
      </c>
      <c r="G3799">
        <v>0</v>
      </c>
    </row>
    <row r="3800" spans="1:7" x14ac:dyDescent="0.25">
      <c r="A3800" s="5" t="s">
        <v>123</v>
      </c>
      <c r="B3800" s="5" t="s">
        <v>124</v>
      </c>
      <c r="C3800" s="5">
        <v>2460</v>
      </c>
      <c r="D3800" s="5" t="s">
        <v>78</v>
      </c>
      <c r="E3800" s="5" t="s">
        <v>98</v>
      </c>
      <c r="F3800" s="6">
        <v>42370</v>
      </c>
      <c r="G3800">
        <v>0</v>
      </c>
    </row>
    <row r="3801" spans="1:7" x14ac:dyDescent="0.25">
      <c r="A3801" s="5" t="s">
        <v>123</v>
      </c>
      <c r="B3801" s="5" t="s">
        <v>124</v>
      </c>
      <c r="C3801" s="5">
        <v>2460</v>
      </c>
      <c r="D3801" s="5" t="s">
        <v>78</v>
      </c>
      <c r="E3801" s="5" t="s">
        <v>98</v>
      </c>
      <c r="F3801" s="6">
        <v>42736</v>
      </c>
      <c r="G3801">
        <v>0</v>
      </c>
    </row>
    <row r="3802" spans="1:7" x14ac:dyDescent="0.25">
      <c r="A3802" s="5" t="s">
        <v>123</v>
      </c>
      <c r="B3802" s="5" t="s">
        <v>125</v>
      </c>
      <c r="C3802" s="5">
        <v>2420</v>
      </c>
      <c r="D3802" s="5" t="s">
        <v>8</v>
      </c>
      <c r="E3802" s="5" t="s">
        <v>9</v>
      </c>
      <c r="F3802" s="6">
        <v>42370</v>
      </c>
      <c r="G3802">
        <v>0</v>
      </c>
    </row>
    <row r="3803" spans="1:7" x14ac:dyDescent="0.25">
      <c r="A3803" s="5" t="s">
        <v>123</v>
      </c>
      <c r="B3803" s="5" t="s">
        <v>125</v>
      </c>
      <c r="C3803" s="5">
        <v>2420</v>
      </c>
      <c r="D3803" s="5" t="s">
        <v>8</v>
      </c>
      <c r="E3803" s="5" t="s">
        <v>9</v>
      </c>
      <c r="F3803" s="6">
        <v>42736</v>
      </c>
      <c r="G3803">
        <v>0</v>
      </c>
    </row>
    <row r="3804" spans="1:7" x14ac:dyDescent="0.25">
      <c r="A3804" s="5" t="s">
        <v>123</v>
      </c>
      <c r="B3804" s="5" t="s">
        <v>125</v>
      </c>
      <c r="C3804" s="5">
        <v>2420</v>
      </c>
      <c r="D3804" s="5" t="s">
        <v>8</v>
      </c>
      <c r="E3804" s="5" t="s">
        <v>10</v>
      </c>
      <c r="F3804" s="6">
        <v>42370</v>
      </c>
      <c r="G3804">
        <v>0</v>
      </c>
    </row>
    <row r="3805" spans="1:7" x14ac:dyDescent="0.25">
      <c r="A3805" s="5" t="s">
        <v>123</v>
      </c>
      <c r="B3805" s="5" t="s">
        <v>125</v>
      </c>
      <c r="C3805" s="5">
        <v>2420</v>
      </c>
      <c r="D3805" s="5" t="s">
        <v>8</v>
      </c>
      <c r="E3805" s="5" t="s">
        <v>10</v>
      </c>
      <c r="F3805" s="6">
        <v>42736</v>
      </c>
      <c r="G3805">
        <v>0</v>
      </c>
    </row>
    <row r="3806" spans="1:7" x14ac:dyDescent="0.25">
      <c r="A3806" s="5" t="s">
        <v>123</v>
      </c>
      <c r="B3806" s="5" t="s">
        <v>125</v>
      </c>
      <c r="C3806" s="5">
        <v>2420</v>
      </c>
      <c r="D3806" s="5" t="s">
        <v>8</v>
      </c>
      <c r="E3806" s="5" t="s">
        <v>11</v>
      </c>
      <c r="F3806" s="6">
        <v>42370</v>
      </c>
      <c r="G3806">
        <v>0</v>
      </c>
    </row>
    <row r="3807" spans="1:7" x14ac:dyDescent="0.25">
      <c r="A3807" s="5" t="s">
        <v>123</v>
      </c>
      <c r="B3807" s="5" t="s">
        <v>125</v>
      </c>
      <c r="C3807" s="5">
        <v>2420</v>
      </c>
      <c r="D3807" s="5" t="s">
        <v>8</v>
      </c>
      <c r="E3807" s="5" t="s">
        <v>11</v>
      </c>
      <c r="F3807" s="6">
        <v>42736</v>
      </c>
      <c r="G3807">
        <v>0</v>
      </c>
    </row>
    <row r="3808" spans="1:7" x14ac:dyDescent="0.25">
      <c r="A3808" s="5" t="s">
        <v>123</v>
      </c>
      <c r="B3808" s="5" t="s">
        <v>125</v>
      </c>
      <c r="C3808" s="5">
        <v>2420</v>
      </c>
      <c r="D3808" s="5" t="s">
        <v>8</v>
      </c>
      <c r="E3808" s="5" t="s">
        <v>12</v>
      </c>
      <c r="F3808" s="6">
        <v>42370</v>
      </c>
      <c r="G3808">
        <v>0</v>
      </c>
    </row>
    <row r="3809" spans="1:7" x14ac:dyDescent="0.25">
      <c r="A3809" s="5" t="s">
        <v>123</v>
      </c>
      <c r="B3809" s="5" t="s">
        <v>125</v>
      </c>
      <c r="C3809" s="5">
        <v>2420</v>
      </c>
      <c r="D3809" s="5" t="s">
        <v>8</v>
      </c>
      <c r="E3809" s="5" t="s">
        <v>12</v>
      </c>
      <c r="F3809" s="6">
        <v>42736</v>
      </c>
      <c r="G3809">
        <v>0</v>
      </c>
    </row>
    <row r="3810" spans="1:7" x14ac:dyDescent="0.25">
      <c r="A3810" s="5" t="s">
        <v>123</v>
      </c>
      <c r="B3810" s="5" t="s">
        <v>125</v>
      </c>
      <c r="C3810" s="5">
        <v>2420</v>
      </c>
      <c r="D3810" s="5" t="s">
        <v>8</v>
      </c>
      <c r="E3810" s="5" t="s">
        <v>13</v>
      </c>
      <c r="F3810" s="6">
        <v>42370</v>
      </c>
      <c r="G3810">
        <v>0</v>
      </c>
    </row>
    <row r="3811" spans="1:7" x14ac:dyDescent="0.25">
      <c r="A3811" s="5" t="s">
        <v>123</v>
      </c>
      <c r="B3811" s="5" t="s">
        <v>125</v>
      </c>
      <c r="C3811" s="5">
        <v>2420</v>
      </c>
      <c r="D3811" s="5" t="s">
        <v>8</v>
      </c>
      <c r="E3811" s="5" t="s">
        <v>13</v>
      </c>
      <c r="F3811" s="6">
        <v>42736</v>
      </c>
      <c r="G3811">
        <v>0</v>
      </c>
    </row>
    <row r="3812" spans="1:7" x14ac:dyDescent="0.25">
      <c r="A3812" s="5" t="s">
        <v>123</v>
      </c>
      <c r="B3812" s="5" t="s">
        <v>125</v>
      </c>
      <c r="C3812" s="5">
        <v>2420</v>
      </c>
      <c r="D3812" s="5" t="s">
        <v>8</v>
      </c>
      <c r="E3812" s="5" t="s">
        <v>14</v>
      </c>
      <c r="F3812" s="6">
        <v>42370</v>
      </c>
      <c r="G3812">
        <v>0</v>
      </c>
    </row>
    <row r="3813" spans="1:7" x14ac:dyDescent="0.25">
      <c r="A3813" s="5" t="s">
        <v>123</v>
      </c>
      <c r="B3813" s="5" t="s">
        <v>125</v>
      </c>
      <c r="C3813" s="5">
        <v>2420</v>
      </c>
      <c r="D3813" s="5" t="s">
        <v>8</v>
      </c>
      <c r="E3813" s="5" t="s">
        <v>14</v>
      </c>
      <c r="F3813" s="6">
        <v>42736</v>
      </c>
      <c r="G3813">
        <v>0</v>
      </c>
    </row>
    <row r="3814" spans="1:7" x14ac:dyDescent="0.25">
      <c r="A3814" s="5" t="s">
        <v>123</v>
      </c>
      <c r="B3814" s="5" t="s">
        <v>125</v>
      </c>
      <c r="C3814" s="5">
        <v>2420</v>
      </c>
      <c r="D3814" s="5" t="s">
        <v>8</v>
      </c>
      <c r="E3814" s="5" t="s">
        <v>15</v>
      </c>
      <c r="F3814" s="6">
        <v>42370</v>
      </c>
      <c r="G3814">
        <v>0</v>
      </c>
    </row>
    <row r="3815" spans="1:7" x14ac:dyDescent="0.25">
      <c r="A3815" s="5" t="s">
        <v>123</v>
      </c>
      <c r="B3815" s="5" t="s">
        <v>125</v>
      </c>
      <c r="C3815" s="5">
        <v>2420</v>
      </c>
      <c r="D3815" s="5" t="s">
        <v>8</v>
      </c>
      <c r="E3815" s="5" t="s">
        <v>15</v>
      </c>
      <c r="F3815" s="6">
        <v>42736</v>
      </c>
      <c r="G3815">
        <v>0</v>
      </c>
    </row>
    <row r="3816" spans="1:7" x14ac:dyDescent="0.25">
      <c r="A3816" s="5" t="s">
        <v>123</v>
      </c>
      <c r="B3816" s="5" t="s">
        <v>125</v>
      </c>
      <c r="C3816" s="5">
        <v>2420</v>
      </c>
      <c r="D3816" s="5" t="s">
        <v>8</v>
      </c>
      <c r="E3816" s="5" t="s">
        <v>16</v>
      </c>
      <c r="F3816" s="6">
        <v>42370</v>
      </c>
      <c r="G3816">
        <v>0</v>
      </c>
    </row>
    <row r="3817" spans="1:7" x14ac:dyDescent="0.25">
      <c r="A3817" s="5" t="s">
        <v>123</v>
      </c>
      <c r="B3817" s="5" t="s">
        <v>125</v>
      </c>
      <c r="C3817" s="5">
        <v>2420</v>
      </c>
      <c r="D3817" s="5" t="s">
        <v>8</v>
      </c>
      <c r="E3817" s="5" t="s">
        <v>16</v>
      </c>
      <c r="F3817" s="6">
        <v>42736</v>
      </c>
      <c r="G3817">
        <v>0</v>
      </c>
    </row>
    <row r="3818" spans="1:7" x14ac:dyDescent="0.25">
      <c r="A3818" s="5" t="s">
        <v>123</v>
      </c>
      <c r="B3818" s="5" t="s">
        <v>125</v>
      </c>
      <c r="C3818" s="5">
        <v>2420</v>
      </c>
      <c r="D3818" s="5" t="s">
        <v>8</v>
      </c>
      <c r="E3818" s="5" t="s">
        <v>17</v>
      </c>
      <c r="F3818" s="6">
        <v>42370</v>
      </c>
      <c r="G3818">
        <v>0</v>
      </c>
    </row>
    <row r="3819" spans="1:7" x14ac:dyDescent="0.25">
      <c r="A3819" s="5" t="s">
        <v>123</v>
      </c>
      <c r="B3819" s="5" t="s">
        <v>125</v>
      </c>
      <c r="C3819" s="5">
        <v>2420</v>
      </c>
      <c r="D3819" s="5" t="s">
        <v>8</v>
      </c>
      <c r="E3819" s="5" t="s">
        <v>17</v>
      </c>
      <c r="F3819" s="6">
        <v>42736</v>
      </c>
      <c r="G3819">
        <v>0</v>
      </c>
    </row>
    <row r="3820" spans="1:7" x14ac:dyDescent="0.25">
      <c r="A3820" s="5" t="s">
        <v>123</v>
      </c>
      <c r="B3820" s="5" t="s">
        <v>125</v>
      </c>
      <c r="C3820" s="5">
        <v>2420</v>
      </c>
      <c r="D3820" s="5" t="s">
        <v>8</v>
      </c>
      <c r="E3820" s="5" t="s">
        <v>18</v>
      </c>
      <c r="F3820" s="6">
        <v>42370</v>
      </c>
      <c r="G3820">
        <v>0</v>
      </c>
    </row>
    <row r="3821" spans="1:7" x14ac:dyDescent="0.25">
      <c r="A3821" s="5" t="s">
        <v>123</v>
      </c>
      <c r="B3821" s="5" t="s">
        <v>125</v>
      </c>
      <c r="C3821" s="5">
        <v>2420</v>
      </c>
      <c r="D3821" s="5" t="s">
        <v>8</v>
      </c>
      <c r="E3821" s="5" t="s">
        <v>18</v>
      </c>
      <c r="F3821" s="6">
        <v>42736</v>
      </c>
      <c r="G3821">
        <v>0</v>
      </c>
    </row>
    <row r="3822" spans="1:7" x14ac:dyDescent="0.25">
      <c r="A3822" s="5" t="s">
        <v>123</v>
      </c>
      <c r="B3822" s="5" t="s">
        <v>125</v>
      </c>
      <c r="C3822" s="5">
        <v>2420</v>
      </c>
      <c r="D3822" s="5" t="s">
        <v>8</v>
      </c>
      <c r="E3822" s="5" t="s">
        <v>19</v>
      </c>
      <c r="F3822" s="6">
        <v>42370</v>
      </c>
      <c r="G3822">
        <v>0</v>
      </c>
    </row>
    <row r="3823" spans="1:7" x14ac:dyDescent="0.25">
      <c r="A3823" s="5" t="s">
        <v>123</v>
      </c>
      <c r="B3823" s="5" t="s">
        <v>125</v>
      </c>
      <c r="C3823" s="5">
        <v>2420</v>
      </c>
      <c r="D3823" s="5" t="s">
        <v>8</v>
      </c>
      <c r="E3823" s="5" t="s">
        <v>19</v>
      </c>
      <c r="F3823" s="6">
        <v>42736</v>
      </c>
      <c r="G3823">
        <v>0</v>
      </c>
    </row>
    <row r="3824" spans="1:7" x14ac:dyDescent="0.25">
      <c r="A3824" s="5" t="s">
        <v>123</v>
      </c>
      <c r="B3824" s="5" t="s">
        <v>125</v>
      </c>
      <c r="C3824" s="5">
        <v>2420</v>
      </c>
      <c r="D3824" s="5" t="s">
        <v>20</v>
      </c>
      <c r="E3824" s="5" t="s">
        <v>9</v>
      </c>
      <c r="F3824" s="6">
        <v>42370</v>
      </c>
      <c r="G3824">
        <v>0</v>
      </c>
    </row>
    <row r="3825" spans="1:7" x14ac:dyDescent="0.25">
      <c r="A3825" s="5" t="s">
        <v>123</v>
      </c>
      <c r="B3825" s="5" t="s">
        <v>125</v>
      </c>
      <c r="C3825" s="5">
        <v>2420</v>
      </c>
      <c r="D3825" s="5" t="s">
        <v>20</v>
      </c>
      <c r="E3825" s="5" t="s">
        <v>9</v>
      </c>
      <c r="F3825" s="6">
        <v>42736</v>
      </c>
      <c r="G3825">
        <v>1</v>
      </c>
    </row>
    <row r="3826" spans="1:7" x14ac:dyDescent="0.25">
      <c r="A3826" s="5" t="s">
        <v>123</v>
      </c>
      <c r="B3826" s="5" t="s">
        <v>125</v>
      </c>
      <c r="C3826" s="5">
        <v>2420</v>
      </c>
      <c r="D3826" s="5" t="s">
        <v>20</v>
      </c>
      <c r="E3826" s="5" t="s">
        <v>21</v>
      </c>
      <c r="F3826" s="6">
        <v>42370</v>
      </c>
      <c r="G3826">
        <v>0</v>
      </c>
    </row>
    <row r="3827" spans="1:7" x14ac:dyDescent="0.25">
      <c r="A3827" s="5" t="s">
        <v>123</v>
      </c>
      <c r="B3827" s="5" t="s">
        <v>125</v>
      </c>
      <c r="C3827" s="5">
        <v>2420</v>
      </c>
      <c r="D3827" s="5" t="s">
        <v>20</v>
      </c>
      <c r="E3827" s="5" t="s">
        <v>21</v>
      </c>
      <c r="F3827" s="6">
        <v>42736</v>
      </c>
      <c r="G3827">
        <v>0</v>
      </c>
    </row>
    <row r="3828" spans="1:7" x14ac:dyDescent="0.25">
      <c r="A3828" s="5" t="s">
        <v>123</v>
      </c>
      <c r="B3828" s="5" t="s">
        <v>125</v>
      </c>
      <c r="C3828" s="5">
        <v>2420</v>
      </c>
      <c r="D3828" s="5" t="s">
        <v>20</v>
      </c>
      <c r="E3828" s="5" t="s">
        <v>22</v>
      </c>
      <c r="F3828" s="6">
        <v>42370</v>
      </c>
      <c r="G3828">
        <v>0</v>
      </c>
    </row>
    <row r="3829" spans="1:7" x14ac:dyDescent="0.25">
      <c r="A3829" s="5" t="s">
        <v>123</v>
      </c>
      <c r="B3829" s="5" t="s">
        <v>125</v>
      </c>
      <c r="C3829" s="5">
        <v>2420</v>
      </c>
      <c r="D3829" s="5" t="s">
        <v>20</v>
      </c>
      <c r="E3829" s="5" t="s">
        <v>22</v>
      </c>
      <c r="F3829" s="6">
        <v>42736</v>
      </c>
      <c r="G3829">
        <v>0</v>
      </c>
    </row>
    <row r="3830" spans="1:7" x14ac:dyDescent="0.25">
      <c r="A3830" s="5" t="s">
        <v>123</v>
      </c>
      <c r="B3830" s="5" t="s">
        <v>125</v>
      </c>
      <c r="C3830" s="5">
        <v>2420</v>
      </c>
      <c r="D3830" s="5" t="s">
        <v>20</v>
      </c>
      <c r="E3830" s="5" t="s">
        <v>23</v>
      </c>
      <c r="F3830" s="6">
        <v>42370</v>
      </c>
      <c r="G3830">
        <v>0</v>
      </c>
    </row>
    <row r="3831" spans="1:7" x14ac:dyDescent="0.25">
      <c r="A3831" s="5" t="s">
        <v>123</v>
      </c>
      <c r="B3831" s="5" t="s">
        <v>125</v>
      </c>
      <c r="C3831" s="5">
        <v>2420</v>
      </c>
      <c r="D3831" s="5" t="s">
        <v>20</v>
      </c>
      <c r="E3831" s="5" t="s">
        <v>23</v>
      </c>
      <c r="F3831" s="6">
        <v>42736</v>
      </c>
      <c r="G3831">
        <v>0</v>
      </c>
    </row>
    <row r="3832" spans="1:7" x14ac:dyDescent="0.25">
      <c r="A3832" s="5" t="s">
        <v>123</v>
      </c>
      <c r="B3832" s="5" t="s">
        <v>125</v>
      </c>
      <c r="C3832" s="5">
        <v>2420</v>
      </c>
      <c r="D3832" s="5" t="s">
        <v>20</v>
      </c>
      <c r="E3832" s="5" t="s">
        <v>24</v>
      </c>
      <c r="F3832" s="6">
        <v>42370</v>
      </c>
      <c r="G3832">
        <v>0</v>
      </c>
    </row>
    <row r="3833" spans="1:7" x14ac:dyDescent="0.25">
      <c r="A3833" s="5" t="s">
        <v>123</v>
      </c>
      <c r="B3833" s="5" t="s">
        <v>125</v>
      </c>
      <c r="C3833" s="5">
        <v>2420</v>
      </c>
      <c r="D3833" s="5" t="s">
        <v>20</v>
      </c>
      <c r="E3833" s="5" t="s">
        <v>24</v>
      </c>
      <c r="F3833" s="6">
        <v>42736</v>
      </c>
      <c r="G3833">
        <v>0</v>
      </c>
    </row>
    <row r="3834" spans="1:7" x14ac:dyDescent="0.25">
      <c r="A3834" s="5" t="s">
        <v>123</v>
      </c>
      <c r="B3834" s="5" t="s">
        <v>125</v>
      </c>
      <c r="C3834" s="5">
        <v>2420</v>
      </c>
      <c r="D3834" s="5" t="s">
        <v>20</v>
      </c>
      <c r="E3834" s="5" t="s">
        <v>25</v>
      </c>
      <c r="F3834" s="6">
        <v>42370</v>
      </c>
      <c r="G3834">
        <v>0</v>
      </c>
    </row>
    <row r="3835" spans="1:7" x14ac:dyDescent="0.25">
      <c r="A3835" s="5" t="s">
        <v>123</v>
      </c>
      <c r="B3835" s="5" t="s">
        <v>125</v>
      </c>
      <c r="C3835" s="5">
        <v>2420</v>
      </c>
      <c r="D3835" s="5" t="s">
        <v>20</v>
      </c>
      <c r="E3835" s="5" t="s">
        <v>25</v>
      </c>
      <c r="F3835" s="6">
        <v>42736</v>
      </c>
      <c r="G3835">
        <v>0</v>
      </c>
    </row>
    <row r="3836" spans="1:7" x14ac:dyDescent="0.25">
      <c r="A3836" s="5" t="s">
        <v>123</v>
      </c>
      <c r="B3836" s="5" t="s">
        <v>125</v>
      </c>
      <c r="C3836" s="5">
        <v>2420</v>
      </c>
      <c r="D3836" s="5" t="s">
        <v>20</v>
      </c>
      <c r="E3836" s="5" t="s">
        <v>26</v>
      </c>
      <c r="F3836" s="6">
        <v>42370</v>
      </c>
      <c r="G3836">
        <v>76</v>
      </c>
    </row>
    <row r="3837" spans="1:7" x14ac:dyDescent="0.25">
      <c r="A3837" s="5" t="s">
        <v>123</v>
      </c>
      <c r="B3837" s="5" t="s">
        <v>125</v>
      </c>
      <c r="C3837" s="5">
        <v>2420</v>
      </c>
      <c r="D3837" s="5" t="s">
        <v>20</v>
      </c>
      <c r="E3837" s="5" t="s">
        <v>26</v>
      </c>
      <c r="F3837" s="6">
        <v>42736</v>
      </c>
      <c r="G3837">
        <v>108</v>
      </c>
    </row>
    <row r="3838" spans="1:7" x14ac:dyDescent="0.25">
      <c r="A3838" s="5" t="s">
        <v>123</v>
      </c>
      <c r="B3838" s="5" t="s">
        <v>125</v>
      </c>
      <c r="C3838" s="5">
        <v>2420</v>
      </c>
      <c r="D3838" s="5" t="s">
        <v>20</v>
      </c>
      <c r="E3838" s="5" t="s">
        <v>27</v>
      </c>
      <c r="F3838" s="6">
        <v>42370</v>
      </c>
      <c r="G3838">
        <v>0</v>
      </c>
    </row>
    <row r="3839" spans="1:7" x14ac:dyDescent="0.25">
      <c r="A3839" s="5" t="s">
        <v>123</v>
      </c>
      <c r="B3839" s="5" t="s">
        <v>125</v>
      </c>
      <c r="C3839" s="5">
        <v>2420</v>
      </c>
      <c r="D3839" s="5" t="s">
        <v>20</v>
      </c>
      <c r="E3839" s="5" t="s">
        <v>27</v>
      </c>
      <c r="F3839" s="6">
        <v>42736</v>
      </c>
      <c r="G3839">
        <v>0</v>
      </c>
    </row>
    <row r="3840" spans="1:7" x14ac:dyDescent="0.25">
      <c r="A3840" s="5" t="s">
        <v>123</v>
      </c>
      <c r="B3840" s="5" t="s">
        <v>125</v>
      </c>
      <c r="C3840" s="5">
        <v>2420</v>
      </c>
      <c r="D3840" s="5" t="s">
        <v>20</v>
      </c>
      <c r="E3840" s="5" t="s">
        <v>28</v>
      </c>
      <c r="F3840" s="6">
        <v>42370</v>
      </c>
      <c r="G3840">
        <v>0</v>
      </c>
    </row>
    <row r="3841" spans="1:7" x14ac:dyDescent="0.25">
      <c r="A3841" s="5" t="s">
        <v>123</v>
      </c>
      <c r="B3841" s="5" t="s">
        <v>125</v>
      </c>
      <c r="C3841" s="5">
        <v>2420</v>
      </c>
      <c r="D3841" s="5" t="s">
        <v>20</v>
      </c>
      <c r="E3841" s="5" t="s">
        <v>28</v>
      </c>
      <c r="F3841" s="6">
        <v>42736</v>
      </c>
      <c r="G3841">
        <v>0</v>
      </c>
    </row>
    <row r="3842" spans="1:7" x14ac:dyDescent="0.25">
      <c r="A3842" s="5" t="s">
        <v>123</v>
      </c>
      <c r="B3842" s="5" t="s">
        <v>125</v>
      </c>
      <c r="C3842" s="5">
        <v>2420</v>
      </c>
      <c r="D3842" s="5" t="s">
        <v>20</v>
      </c>
      <c r="E3842" s="5" t="s">
        <v>29</v>
      </c>
      <c r="F3842" s="6">
        <v>42370</v>
      </c>
      <c r="G3842">
        <v>77</v>
      </c>
    </row>
    <row r="3843" spans="1:7" x14ac:dyDescent="0.25">
      <c r="A3843" s="5" t="s">
        <v>123</v>
      </c>
      <c r="B3843" s="5" t="s">
        <v>125</v>
      </c>
      <c r="C3843" s="5">
        <v>2420</v>
      </c>
      <c r="D3843" s="5" t="s">
        <v>20</v>
      </c>
      <c r="E3843" s="5" t="s">
        <v>29</v>
      </c>
      <c r="F3843" s="6">
        <v>42736</v>
      </c>
      <c r="G3843">
        <v>110</v>
      </c>
    </row>
    <row r="3844" spans="1:7" x14ac:dyDescent="0.25">
      <c r="A3844" s="5" t="s">
        <v>123</v>
      </c>
      <c r="B3844" s="5" t="s">
        <v>125</v>
      </c>
      <c r="C3844" s="5">
        <v>2420</v>
      </c>
      <c r="D3844" s="5" t="s">
        <v>20</v>
      </c>
      <c r="E3844" s="5" t="s">
        <v>30</v>
      </c>
      <c r="F3844" s="6">
        <v>42370</v>
      </c>
      <c r="G3844">
        <v>77</v>
      </c>
    </row>
    <row r="3845" spans="1:7" x14ac:dyDescent="0.25">
      <c r="A3845" s="5" t="s">
        <v>123</v>
      </c>
      <c r="B3845" s="5" t="s">
        <v>125</v>
      </c>
      <c r="C3845" s="5">
        <v>2420</v>
      </c>
      <c r="D3845" s="5" t="s">
        <v>20</v>
      </c>
      <c r="E3845" s="5" t="s">
        <v>30</v>
      </c>
      <c r="F3845" s="6">
        <v>42736</v>
      </c>
      <c r="G3845">
        <v>108</v>
      </c>
    </row>
    <row r="3846" spans="1:7" x14ac:dyDescent="0.25">
      <c r="A3846" s="5" t="s">
        <v>123</v>
      </c>
      <c r="B3846" s="5" t="s">
        <v>125</v>
      </c>
      <c r="C3846" s="5">
        <v>2420</v>
      </c>
      <c r="D3846" s="5" t="s">
        <v>20</v>
      </c>
      <c r="E3846" s="5" t="s">
        <v>31</v>
      </c>
      <c r="F3846" s="6">
        <v>42370</v>
      </c>
      <c r="G3846">
        <v>124</v>
      </c>
    </row>
    <row r="3847" spans="1:7" x14ac:dyDescent="0.25">
      <c r="A3847" s="5" t="s">
        <v>123</v>
      </c>
      <c r="B3847" s="5" t="s">
        <v>125</v>
      </c>
      <c r="C3847" s="5">
        <v>2420</v>
      </c>
      <c r="D3847" s="5" t="s">
        <v>20</v>
      </c>
      <c r="E3847" s="5" t="s">
        <v>31</v>
      </c>
      <c r="F3847" s="6">
        <v>42736</v>
      </c>
      <c r="G3847">
        <v>225</v>
      </c>
    </row>
    <row r="3848" spans="1:7" x14ac:dyDescent="0.25">
      <c r="A3848" s="5" t="s">
        <v>123</v>
      </c>
      <c r="B3848" s="5" t="s">
        <v>125</v>
      </c>
      <c r="C3848" s="5">
        <v>2420</v>
      </c>
      <c r="D3848" s="5" t="s">
        <v>20</v>
      </c>
      <c r="E3848" s="5" t="s">
        <v>32</v>
      </c>
      <c r="F3848" s="6">
        <v>42370</v>
      </c>
      <c r="G3848">
        <v>77</v>
      </c>
    </row>
    <row r="3849" spans="1:7" x14ac:dyDescent="0.25">
      <c r="A3849" s="5" t="s">
        <v>123</v>
      </c>
      <c r="B3849" s="5" t="s">
        <v>125</v>
      </c>
      <c r="C3849" s="5">
        <v>2420</v>
      </c>
      <c r="D3849" s="5" t="s">
        <v>20</v>
      </c>
      <c r="E3849" s="5" t="s">
        <v>32</v>
      </c>
      <c r="F3849" s="6">
        <v>42736</v>
      </c>
      <c r="G3849">
        <v>114</v>
      </c>
    </row>
    <row r="3850" spans="1:7" x14ac:dyDescent="0.25">
      <c r="A3850" s="5" t="s">
        <v>123</v>
      </c>
      <c r="B3850" s="5" t="s">
        <v>125</v>
      </c>
      <c r="C3850" s="5">
        <v>2420</v>
      </c>
      <c r="D3850" s="5" t="s">
        <v>33</v>
      </c>
      <c r="E3850" s="5" t="s">
        <v>9</v>
      </c>
      <c r="F3850" s="6">
        <v>42370</v>
      </c>
      <c r="G3850">
        <v>0</v>
      </c>
    </row>
    <row r="3851" spans="1:7" x14ac:dyDescent="0.25">
      <c r="A3851" s="5" t="s">
        <v>123</v>
      </c>
      <c r="B3851" s="5" t="s">
        <v>125</v>
      </c>
      <c r="C3851" s="5">
        <v>2420</v>
      </c>
      <c r="D3851" s="5" t="s">
        <v>33</v>
      </c>
      <c r="E3851" s="5" t="s">
        <v>9</v>
      </c>
      <c r="F3851" s="6">
        <v>42736</v>
      </c>
      <c r="G3851">
        <v>0</v>
      </c>
    </row>
    <row r="3852" spans="1:7" x14ac:dyDescent="0.25">
      <c r="A3852" s="5" t="s">
        <v>123</v>
      </c>
      <c r="B3852" s="5" t="s">
        <v>125</v>
      </c>
      <c r="C3852" s="5">
        <v>2420</v>
      </c>
      <c r="D3852" s="5" t="s">
        <v>33</v>
      </c>
      <c r="E3852" s="5" t="s">
        <v>34</v>
      </c>
      <c r="F3852" s="6">
        <v>42370</v>
      </c>
      <c r="G3852">
        <v>0</v>
      </c>
    </row>
    <row r="3853" spans="1:7" x14ac:dyDescent="0.25">
      <c r="A3853" s="5" t="s">
        <v>123</v>
      </c>
      <c r="B3853" s="5" t="s">
        <v>125</v>
      </c>
      <c r="C3853" s="5">
        <v>2420</v>
      </c>
      <c r="D3853" s="5" t="s">
        <v>33</v>
      </c>
      <c r="E3853" s="5" t="s">
        <v>34</v>
      </c>
      <c r="F3853" s="6">
        <v>42736</v>
      </c>
      <c r="G3853">
        <v>0</v>
      </c>
    </row>
    <row r="3854" spans="1:7" x14ac:dyDescent="0.25">
      <c r="A3854" s="5" t="s">
        <v>123</v>
      </c>
      <c r="B3854" s="5" t="s">
        <v>125</v>
      </c>
      <c r="C3854" s="5">
        <v>2420</v>
      </c>
      <c r="D3854" s="5" t="s">
        <v>35</v>
      </c>
      <c r="E3854" s="5" t="s">
        <v>36</v>
      </c>
      <c r="F3854" s="6">
        <v>42370</v>
      </c>
      <c r="G3854">
        <v>0</v>
      </c>
    </row>
    <row r="3855" spans="1:7" x14ac:dyDescent="0.25">
      <c r="A3855" s="5" t="s">
        <v>123</v>
      </c>
      <c r="B3855" s="5" t="s">
        <v>125</v>
      </c>
      <c r="C3855" s="5">
        <v>2420</v>
      </c>
      <c r="D3855" s="5" t="s">
        <v>35</v>
      </c>
      <c r="E3855" s="5" t="s">
        <v>36</v>
      </c>
      <c r="F3855" s="6">
        <v>42736</v>
      </c>
      <c r="G3855">
        <v>0</v>
      </c>
    </row>
    <row r="3856" spans="1:7" x14ac:dyDescent="0.25">
      <c r="A3856" s="5" t="s">
        <v>123</v>
      </c>
      <c r="B3856" s="5" t="s">
        <v>125</v>
      </c>
      <c r="C3856" s="5">
        <v>2420</v>
      </c>
      <c r="D3856" s="5" t="s">
        <v>35</v>
      </c>
      <c r="E3856" s="5" t="s">
        <v>37</v>
      </c>
      <c r="F3856" s="6">
        <v>42370</v>
      </c>
      <c r="G3856">
        <v>0</v>
      </c>
    </row>
    <row r="3857" spans="1:7" x14ac:dyDescent="0.25">
      <c r="A3857" s="5" t="s">
        <v>123</v>
      </c>
      <c r="B3857" s="5" t="s">
        <v>125</v>
      </c>
      <c r="C3857" s="5">
        <v>2420</v>
      </c>
      <c r="D3857" s="5" t="s">
        <v>35</v>
      </c>
      <c r="E3857" s="5" t="s">
        <v>37</v>
      </c>
      <c r="F3857" s="6">
        <v>42736</v>
      </c>
      <c r="G3857">
        <v>0</v>
      </c>
    </row>
    <row r="3858" spans="1:7" x14ac:dyDescent="0.25">
      <c r="A3858" s="5" t="s">
        <v>123</v>
      </c>
      <c r="B3858" s="5" t="s">
        <v>125</v>
      </c>
      <c r="C3858" s="5">
        <v>2420</v>
      </c>
      <c r="D3858" s="5" t="s">
        <v>35</v>
      </c>
      <c r="E3858" s="5" t="s">
        <v>38</v>
      </c>
      <c r="F3858" s="6">
        <v>42370</v>
      </c>
      <c r="G3858">
        <v>0</v>
      </c>
    </row>
    <row r="3859" spans="1:7" x14ac:dyDescent="0.25">
      <c r="A3859" s="5" t="s">
        <v>123</v>
      </c>
      <c r="B3859" s="5" t="s">
        <v>125</v>
      </c>
      <c r="C3859" s="5">
        <v>2420</v>
      </c>
      <c r="D3859" s="5" t="s">
        <v>35</v>
      </c>
      <c r="E3859" s="5" t="s">
        <v>38</v>
      </c>
      <c r="F3859" s="6">
        <v>42736</v>
      </c>
      <c r="G3859">
        <v>0</v>
      </c>
    </row>
    <row r="3860" spans="1:7" x14ac:dyDescent="0.25">
      <c r="A3860" s="5" t="s">
        <v>123</v>
      </c>
      <c r="B3860" s="5" t="s">
        <v>125</v>
      </c>
      <c r="C3860" s="5">
        <v>2420</v>
      </c>
      <c r="D3860" s="5" t="s">
        <v>35</v>
      </c>
      <c r="E3860" s="5" t="s">
        <v>39</v>
      </c>
      <c r="F3860" s="6">
        <v>42370</v>
      </c>
      <c r="G3860">
        <v>0</v>
      </c>
    </row>
    <row r="3861" spans="1:7" x14ac:dyDescent="0.25">
      <c r="A3861" s="5" t="s">
        <v>123</v>
      </c>
      <c r="B3861" s="5" t="s">
        <v>125</v>
      </c>
      <c r="C3861" s="5">
        <v>2420</v>
      </c>
      <c r="D3861" s="5" t="s">
        <v>35</v>
      </c>
      <c r="E3861" s="5" t="s">
        <v>39</v>
      </c>
      <c r="F3861" s="6">
        <v>42736</v>
      </c>
      <c r="G3861">
        <v>0</v>
      </c>
    </row>
    <row r="3862" spans="1:7" x14ac:dyDescent="0.25">
      <c r="A3862" s="5" t="s">
        <v>123</v>
      </c>
      <c r="B3862" s="5" t="s">
        <v>125</v>
      </c>
      <c r="C3862" s="5">
        <v>2420</v>
      </c>
      <c r="D3862" s="5" t="s">
        <v>35</v>
      </c>
      <c r="E3862" s="5" t="s">
        <v>40</v>
      </c>
      <c r="F3862" s="6">
        <v>42370</v>
      </c>
      <c r="G3862">
        <v>0</v>
      </c>
    </row>
    <row r="3863" spans="1:7" x14ac:dyDescent="0.25">
      <c r="A3863" s="5" t="s">
        <v>123</v>
      </c>
      <c r="B3863" s="5" t="s">
        <v>125</v>
      </c>
      <c r="C3863" s="5">
        <v>2420</v>
      </c>
      <c r="D3863" s="5" t="s">
        <v>35</v>
      </c>
      <c r="E3863" s="5" t="s">
        <v>40</v>
      </c>
      <c r="F3863" s="6">
        <v>42736</v>
      </c>
      <c r="G3863">
        <v>0</v>
      </c>
    </row>
    <row r="3864" spans="1:7" x14ac:dyDescent="0.25">
      <c r="A3864" s="5" t="s">
        <v>123</v>
      </c>
      <c r="B3864" s="5" t="s">
        <v>125</v>
      </c>
      <c r="C3864" s="5">
        <v>2420</v>
      </c>
      <c r="D3864" s="5" t="s">
        <v>35</v>
      </c>
      <c r="E3864" s="5" t="s">
        <v>41</v>
      </c>
      <c r="F3864" s="6">
        <v>42370</v>
      </c>
      <c r="G3864">
        <v>0</v>
      </c>
    </row>
    <row r="3865" spans="1:7" x14ac:dyDescent="0.25">
      <c r="A3865" s="5" t="s">
        <v>123</v>
      </c>
      <c r="B3865" s="5" t="s">
        <v>125</v>
      </c>
      <c r="C3865" s="5">
        <v>2420</v>
      </c>
      <c r="D3865" s="5" t="s">
        <v>35</v>
      </c>
      <c r="E3865" s="5" t="s">
        <v>41</v>
      </c>
      <c r="F3865" s="6">
        <v>42736</v>
      </c>
      <c r="G3865">
        <v>0</v>
      </c>
    </row>
    <row r="3866" spans="1:7" x14ac:dyDescent="0.25">
      <c r="A3866" s="5" t="s">
        <v>123</v>
      </c>
      <c r="B3866" s="5" t="s">
        <v>125</v>
      </c>
      <c r="C3866" s="5">
        <v>2420</v>
      </c>
      <c r="D3866" s="5" t="s">
        <v>35</v>
      </c>
      <c r="E3866" s="5" t="s">
        <v>42</v>
      </c>
      <c r="F3866" s="6">
        <v>42370</v>
      </c>
      <c r="G3866">
        <v>0</v>
      </c>
    </row>
    <row r="3867" spans="1:7" x14ac:dyDescent="0.25">
      <c r="A3867" s="5" t="s">
        <v>123</v>
      </c>
      <c r="B3867" s="5" t="s">
        <v>125</v>
      </c>
      <c r="C3867" s="5">
        <v>2420</v>
      </c>
      <c r="D3867" s="5" t="s">
        <v>35</v>
      </c>
      <c r="E3867" s="5" t="s">
        <v>42</v>
      </c>
      <c r="F3867" s="6">
        <v>42736</v>
      </c>
      <c r="G3867">
        <v>0</v>
      </c>
    </row>
    <row r="3868" spans="1:7" x14ac:dyDescent="0.25">
      <c r="A3868" s="5" t="s">
        <v>123</v>
      </c>
      <c r="B3868" s="5" t="s">
        <v>125</v>
      </c>
      <c r="C3868" s="5">
        <v>2420</v>
      </c>
      <c r="D3868" s="5" t="s">
        <v>35</v>
      </c>
      <c r="E3868" s="5" t="s">
        <v>43</v>
      </c>
      <c r="F3868" s="6">
        <v>42370</v>
      </c>
      <c r="G3868">
        <v>0</v>
      </c>
    </row>
    <row r="3869" spans="1:7" x14ac:dyDescent="0.25">
      <c r="A3869" s="5" t="s">
        <v>123</v>
      </c>
      <c r="B3869" s="5" t="s">
        <v>125</v>
      </c>
      <c r="C3869" s="5">
        <v>2420</v>
      </c>
      <c r="D3869" s="5" t="s">
        <v>35</v>
      </c>
      <c r="E3869" s="5" t="s">
        <v>43</v>
      </c>
      <c r="F3869" s="6">
        <v>42736</v>
      </c>
      <c r="G3869">
        <v>0</v>
      </c>
    </row>
    <row r="3870" spans="1:7" x14ac:dyDescent="0.25">
      <c r="A3870" s="5" t="s">
        <v>123</v>
      </c>
      <c r="B3870" s="5" t="s">
        <v>125</v>
      </c>
      <c r="C3870" s="5">
        <v>2420</v>
      </c>
      <c r="D3870" s="5" t="s">
        <v>44</v>
      </c>
      <c r="E3870" s="5" t="s">
        <v>36</v>
      </c>
      <c r="F3870" s="6">
        <v>42370</v>
      </c>
      <c r="G3870">
        <v>0</v>
      </c>
    </row>
    <row r="3871" spans="1:7" x14ac:dyDescent="0.25">
      <c r="A3871" s="5" t="s">
        <v>123</v>
      </c>
      <c r="B3871" s="5" t="s">
        <v>125</v>
      </c>
      <c r="C3871" s="5">
        <v>2420</v>
      </c>
      <c r="D3871" s="5" t="s">
        <v>44</v>
      </c>
      <c r="E3871" s="5" t="s">
        <v>36</v>
      </c>
      <c r="F3871" s="6">
        <v>42736</v>
      </c>
      <c r="G3871">
        <v>0</v>
      </c>
    </row>
    <row r="3872" spans="1:7" x14ac:dyDescent="0.25">
      <c r="A3872" s="5" t="s">
        <v>123</v>
      </c>
      <c r="B3872" s="5" t="s">
        <v>125</v>
      </c>
      <c r="C3872" s="5">
        <v>2420</v>
      </c>
      <c r="D3872" s="5" t="s">
        <v>44</v>
      </c>
      <c r="E3872" s="5" t="s">
        <v>37</v>
      </c>
      <c r="F3872" s="6">
        <v>42370</v>
      </c>
      <c r="G3872">
        <v>0</v>
      </c>
    </row>
    <row r="3873" spans="1:7" x14ac:dyDescent="0.25">
      <c r="A3873" s="5" t="s">
        <v>123</v>
      </c>
      <c r="B3873" s="5" t="s">
        <v>125</v>
      </c>
      <c r="C3873" s="5">
        <v>2420</v>
      </c>
      <c r="D3873" s="5" t="s">
        <v>44</v>
      </c>
      <c r="E3873" s="5" t="s">
        <v>37</v>
      </c>
      <c r="F3873" s="6">
        <v>42736</v>
      </c>
      <c r="G3873">
        <v>0</v>
      </c>
    </row>
    <row r="3874" spans="1:7" x14ac:dyDescent="0.25">
      <c r="A3874" s="5" t="s">
        <v>123</v>
      </c>
      <c r="B3874" s="5" t="s">
        <v>125</v>
      </c>
      <c r="C3874" s="5">
        <v>2420</v>
      </c>
      <c r="D3874" s="5" t="s">
        <v>44</v>
      </c>
      <c r="E3874" s="5" t="s">
        <v>38</v>
      </c>
      <c r="F3874" s="6">
        <v>42370</v>
      </c>
      <c r="G3874">
        <v>0</v>
      </c>
    </row>
    <row r="3875" spans="1:7" x14ac:dyDescent="0.25">
      <c r="A3875" s="5" t="s">
        <v>123</v>
      </c>
      <c r="B3875" s="5" t="s">
        <v>125</v>
      </c>
      <c r="C3875" s="5">
        <v>2420</v>
      </c>
      <c r="D3875" s="5" t="s">
        <v>44</v>
      </c>
      <c r="E3875" s="5" t="s">
        <v>38</v>
      </c>
      <c r="F3875" s="6">
        <v>42736</v>
      </c>
      <c r="G3875">
        <v>0</v>
      </c>
    </row>
    <row r="3876" spans="1:7" x14ac:dyDescent="0.25">
      <c r="A3876" s="5" t="s">
        <v>123</v>
      </c>
      <c r="B3876" s="5" t="s">
        <v>125</v>
      </c>
      <c r="C3876" s="5">
        <v>2420</v>
      </c>
      <c r="D3876" s="5" t="s">
        <v>44</v>
      </c>
      <c r="E3876" s="5" t="s">
        <v>39</v>
      </c>
      <c r="F3876" s="6">
        <v>42370</v>
      </c>
      <c r="G3876">
        <v>0</v>
      </c>
    </row>
    <row r="3877" spans="1:7" x14ac:dyDescent="0.25">
      <c r="A3877" s="5" t="s">
        <v>123</v>
      </c>
      <c r="B3877" s="5" t="s">
        <v>125</v>
      </c>
      <c r="C3877" s="5">
        <v>2420</v>
      </c>
      <c r="D3877" s="5" t="s">
        <v>44</v>
      </c>
      <c r="E3877" s="5" t="s">
        <v>39</v>
      </c>
      <c r="F3877" s="6">
        <v>42736</v>
      </c>
      <c r="G3877">
        <v>0</v>
      </c>
    </row>
    <row r="3878" spans="1:7" x14ac:dyDescent="0.25">
      <c r="A3878" s="5" t="s">
        <v>123</v>
      </c>
      <c r="B3878" s="5" t="s">
        <v>125</v>
      </c>
      <c r="C3878" s="5">
        <v>2420</v>
      </c>
      <c r="D3878" s="5" t="s">
        <v>44</v>
      </c>
      <c r="E3878" s="5" t="s">
        <v>40</v>
      </c>
      <c r="F3878" s="6">
        <v>42370</v>
      </c>
      <c r="G3878">
        <v>0</v>
      </c>
    </row>
    <row r="3879" spans="1:7" x14ac:dyDescent="0.25">
      <c r="A3879" s="5" t="s">
        <v>123</v>
      </c>
      <c r="B3879" s="5" t="s">
        <v>125</v>
      </c>
      <c r="C3879" s="5">
        <v>2420</v>
      </c>
      <c r="D3879" s="5" t="s">
        <v>44</v>
      </c>
      <c r="E3879" s="5" t="s">
        <v>40</v>
      </c>
      <c r="F3879" s="6">
        <v>42736</v>
      </c>
      <c r="G3879">
        <v>0</v>
      </c>
    </row>
    <row r="3880" spans="1:7" x14ac:dyDescent="0.25">
      <c r="A3880" s="5" t="s">
        <v>123</v>
      </c>
      <c r="B3880" s="5" t="s">
        <v>125</v>
      </c>
      <c r="C3880" s="5">
        <v>2420</v>
      </c>
      <c r="D3880" s="5" t="s">
        <v>44</v>
      </c>
      <c r="E3880" s="5" t="s">
        <v>41</v>
      </c>
      <c r="F3880" s="6">
        <v>42370</v>
      </c>
      <c r="G3880">
        <v>0</v>
      </c>
    </row>
    <row r="3881" spans="1:7" x14ac:dyDescent="0.25">
      <c r="A3881" s="5" t="s">
        <v>123</v>
      </c>
      <c r="B3881" s="5" t="s">
        <v>125</v>
      </c>
      <c r="C3881" s="5">
        <v>2420</v>
      </c>
      <c r="D3881" s="5" t="s">
        <v>44</v>
      </c>
      <c r="E3881" s="5" t="s">
        <v>41</v>
      </c>
      <c r="F3881" s="6">
        <v>42736</v>
      </c>
      <c r="G3881">
        <v>0</v>
      </c>
    </row>
    <row r="3882" spans="1:7" x14ac:dyDescent="0.25">
      <c r="A3882" s="5" t="s">
        <v>123</v>
      </c>
      <c r="B3882" s="5" t="s">
        <v>125</v>
      </c>
      <c r="C3882" s="5">
        <v>2420</v>
      </c>
      <c r="D3882" s="5" t="s">
        <v>44</v>
      </c>
      <c r="E3882" s="5" t="s">
        <v>42</v>
      </c>
      <c r="F3882" s="6">
        <v>42370</v>
      </c>
      <c r="G3882">
        <v>0</v>
      </c>
    </row>
    <row r="3883" spans="1:7" x14ac:dyDescent="0.25">
      <c r="A3883" s="5" t="s">
        <v>123</v>
      </c>
      <c r="B3883" s="5" t="s">
        <v>125</v>
      </c>
      <c r="C3883" s="5">
        <v>2420</v>
      </c>
      <c r="D3883" s="5" t="s">
        <v>44</v>
      </c>
      <c r="E3883" s="5" t="s">
        <v>42</v>
      </c>
      <c r="F3883" s="6">
        <v>42736</v>
      </c>
      <c r="G3883">
        <v>0</v>
      </c>
    </row>
    <row r="3884" spans="1:7" x14ac:dyDescent="0.25">
      <c r="A3884" s="5" t="s">
        <v>123</v>
      </c>
      <c r="B3884" s="5" t="s">
        <v>125</v>
      </c>
      <c r="C3884" s="5">
        <v>2420</v>
      </c>
      <c r="D3884" s="5" t="s">
        <v>44</v>
      </c>
      <c r="E3884" s="5" t="s">
        <v>43</v>
      </c>
      <c r="F3884" s="6">
        <v>42370</v>
      </c>
      <c r="G3884">
        <v>0</v>
      </c>
    </row>
    <row r="3885" spans="1:7" x14ac:dyDescent="0.25">
      <c r="A3885" s="5" t="s">
        <v>123</v>
      </c>
      <c r="B3885" s="5" t="s">
        <v>125</v>
      </c>
      <c r="C3885" s="5">
        <v>2420</v>
      </c>
      <c r="D3885" s="5" t="s">
        <v>44</v>
      </c>
      <c r="E3885" s="5" t="s">
        <v>43</v>
      </c>
      <c r="F3885" s="6">
        <v>42736</v>
      </c>
      <c r="G3885">
        <v>0</v>
      </c>
    </row>
    <row r="3886" spans="1:7" x14ac:dyDescent="0.25">
      <c r="A3886" s="5" t="s">
        <v>123</v>
      </c>
      <c r="B3886" s="5" t="s">
        <v>125</v>
      </c>
      <c r="C3886" s="5">
        <v>2420</v>
      </c>
      <c r="D3886" s="5" t="s">
        <v>45</v>
      </c>
      <c r="E3886" s="5" t="s">
        <v>46</v>
      </c>
      <c r="F3886" s="6">
        <v>42370</v>
      </c>
      <c r="G3886">
        <v>0</v>
      </c>
    </row>
    <row r="3887" spans="1:7" x14ac:dyDescent="0.25">
      <c r="A3887" s="5" t="s">
        <v>123</v>
      </c>
      <c r="B3887" s="5" t="s">
        <v>125</v>
      </c>
      <c r="C3887" s="5">
        <v>2420</v>
      </c>
      <c r="D3887" s="5" t="s">
        <v>45</v>
      </c>
      <c r="E3887" s="5" t="s">
        <v>46</v>
      </c>
      <c r="F3887" s="6">
        <v>42736</v>
      </c>
      <c r="G3887">
        <v>0</v>
      </c>
    </row>
    <row r="3888" spans="1:7" x14ac:dyDescent="0.25">
      <c r="A3888" s="5" t="s">
        <v>123</v>
      </c>
      <c r="B3888" s="5" t="s">
        <v>125</v>
      </c>
      <c r="C3888" s="5">
        <v>2420</v>
      </c>
      <c r="D3888" s="5" t="s">
        <v>45</v>
      </c>
      <c r="E3888" s="5" t="s">
        <v>47</v>
      </c>
      <c r="F3888" s="6">
        <v>42370</v>
      </c>
      <c r="G3888">
        <v>0</v>
      </c>
    </row>
    <row r="3889" spans="1:7" x14ac:dyDescent="0.25">
      <c r="A3889" s="5" t="s">
        <v>123</v>
      </c>
      <c r="B3889" s="5" t="s">
        <v>125</v>
      </c>
      <c r="C3889" s="5">
        <v>2420</v>
      </c>
      <c r="D3889" s="5" t="s">
        <v>45</v>
      </c>
      <c r="E3889" s="5" t="s">
        <v>47</v>
      </c>
      <c r="F3889" s="6">
        <v>42736</v>
      </c>
      <c r="G3889">
        <v>0</v>
      </c>
    </row>
    <row r="3890" spans="1:7" x14ac:dyDescent="0.25">
      <c r="A3890" s="5" t="s">
        <v>123</v>
      </c>
      <c r="B3890" s="5" t="s">
        <v>125</v>
      </c>
      <c r="C3890" s="5">
        <v>2420</v>
      </c>
      <c r="D3890" s="5" t="s">
        <v>45</v>
      </c>
      <c r="E3890" s="5" t="s">
        <v>48</v>
      </c>
      <c r="F3890" s="6">
        <v>42370</v>
      </c>
      <c r="G3890">
        <v>20</v>
      </c>
    </row>
    <row r="3891" spans="1:7" x14ac:dyDescent="0.25">
      <c r="A3891" s="5" t="s">
        <v>123</v>
      </c>
      <c r="B3891" s="5" t="s">
        <v>125</v>
      </c>
      <c r="C3891" s="5">
        <v>2420</v>
      </c>
      <c r="D3891" s="5" t="s">
        <v>45</v>
      </c>
      <c r="E3891" s="5" t="s">
        <v>48</v>
      </c>
      <c r="F3891" s="6">
        <v>42736</v>
      </c>
      <c r="G3891">
        <v>17</v>
      </c>
    </row>
    <row r="3892" spans="1:7" x14ac:dyDescent="0.25">
      <c r="A3892" s="5" t="s">
        <v>123</v>
      </c>
      <c r="B3892" s="5" t="s">
        <v>125</v>
      </c>
      <c r="C3892" s="5">
        <v>2420</v>
      </c>
      <c r="D3892" s="5" t="s">
        <v>45</v>
      </c>
      <c r="E3892" s="5" t="s">
        <v>49</v>
      </c>
      <c r="F3892" s="6">
        <v>42370</v>
      </c>
      <c r="G3892">
        <v>23</v>
      </c>
    </row>
    <row r="3893" spans="1:7" x14ac:dyDescent="0.25">
      <c r="A3893" s="5" t="s">
        <v>123</v>
      </c>
      <c r="B3893" s="5" t="s">
        <v>125</v>
      </c>
      <c r="C3893" s="5">
        <v>2420</v>
      </c>
      <c r="D3893" s="5" t="s">
        <v>45</v>
      </c>
      <c r="E3893" s="5" t="s">
        <v>49</v>
      </c>
      <c r="F3893" s="6">
        <v>42736</v>
      </c>
      <c r="G3893">
        <v>9</v>
      </c>
    </row>
    <row r="3894" spans="1:7" x14ac:dyDescent="0.25">
      <c r="A3894" s="5" t="s">
        <v>123</v>
      </c>
      <c r="B3894" s="5" t="s">
        <v>125</v>
      </c>
      <c r="C3894" s="5">
        <v>2420</v>
      </c>
      <c r="D3894" s="5" t="s">
        <v>45</v>
      </c>
      <c r="E3894" s="5" t="s">
        <v>50</v>
      </c>
      <c r="F3894" s="6">
        <v>42370</v>
      </c>
      <c r="G3894">
        <v>0</v>
      </c>
    </row>
    <row r="3895" spans="1:7" x14ac:dyDescent="0.25">
      <c r="A3895" s="5" t="s">
        <v>123</v>
      </c>
      <c r="B3895" s="5" t="s">
        <v>125</v>
      </c>
      <c r="C3895" s="5">
        <v>2420</v>
      </c>
      <c r="D3895" s="5" t="s">
        <v>45</v>
      </c>
      <c r="E3895" s="5" t="s">
        <v>50</v>
      </c>
      <c r="F3895" s="6">
        <v>42736</v>
      </c>
      <c r="G3895">
        <v>0</v>
      </c>
    </row>
    <row r="3896" spans="1:7" x14ac:dyDescent="0.25">
      <c r="A3896" s="5" t="s">
        <v>123</v>
      </c>
      <c r="B3896" s="5" t="s">
        <v>125</v>
      </c>
      <c r="C3896" s="5">
        <v>2420</v>
      </c>
      <c r="D3896" s="5" t="s">
        <v>45</v>
      </c>
      <c r="E3896" s="5" t="s">
        <v>51</v>
      </c>
      <c r="F3896" s="6">
        <v>42370</v>
      </c>
      <c r="G3896">
        <v>0</v>
      </c>
    </row>
    <row r="3897" spans="1:7" x14ac:dyDescent="0.25">
      <c r="A3897" s="5" t="s">
        <v>123</v>
      </c>
      <c r="B3897" s="5" t="s">
        <v>125</v>
      </c>
      <c r="C3897" s="5">
        <v>2420</v>
      </c>
      <c r="D3897" s="5" t="s">
        <v>45</v>
      </c>
      <c r="E3897" s="5" t="s">
        <v>51</v>
      </c>
      <c r="F3897" s="6">
        <v>42736</v>
      </c>
      <c r="G3897">
        <v>0</v>
      </c>
    </row>
    <row r="3898" spans="1:7" x14ac:dyDescent="0.25">
      <c r="A3898" s="5" t="s">
        <v>123</v>
      </c>
      <c r="B3898" s="5" t="s">
        <v>125</v>
      </c>
      <c r="C3898" s="5">
        <v>2420</v>
      </c>
      <c r="D3898" s="5" t="s">
        <v>45</v>
      </c>
      <c r="E3898" s="5" t="s">
        <v>52</v>
      </c>
      <c r="F3898" s="6">
        <v>42370</v>
      </c>
      <c r="G3898">
        <v>0</v>
      </c>
    </row>
    <row r="3899" spans="1:7" x14ac:dyDescent="0.25">
      <c r="A3899" s="5" t="s">
        <v>123</v>
      </c>
      <c r="B3899" s="5" t="s">
        <v>125</v>
      </c>
      <c r="C3899" s="5">
        <v>2420</v>
      </c>
      <c r="D3899" s="5" t="s">
        <v>45</v>
      </c>
      <c r="E3899" s="5" t="s">
        <v>52</v>
      </c>
      <c r="F3899" s="6">
        <v>42736</v>
      </c>
      <c r="G3899">
        <v>0</v>
      </c>
    </row>
    <row r="3900" spans="1:7" x14ac:dyDescent="0.25">
      <c r="A3900" s="5" t="s">
        <v>123</v>
      </c>
      <c r="B3900" s="5" t="s">
        <v>125</v>
      </c>
      <c r="C3900" s="5">
        <v>2420</v>
      </c>
      <c r="D3900" s="5" t="s">
        <v>45</v>
      </c>
      <c r="E3900" s="5" t="s">
        <v>53</v>
      </c>
      <c r="F3900" s="6">
        <v>42370</v>
      </c>
      <c r="G3900">
        <v>8</v>
      </c>
    </row>
    <row r="3901" spans="1:7" x14ac:dyDescent="0.25">
      <c r="A3901" s="5" t="s">
        <v>123</v>
      </c>
      <c r="B3901" s="5" t="s">
        <v>125</v>
      </c>
      <c r="C3901" s="5">
        <v>2420</v>
      </c>
      <c r="D3901" s="5" t="s">
        <v>45</v>
      </c>
      <c r="E3901" s="5" t="s">
        <v>53</v>
      </c>
      <c r="F3901" s="6">
        <v>42736</v>
      </c>
      <c r="G3901">
        <v>26</v>
      </c>
    </row>
    <row r="3902" spans="1:7" x14ac:dyDescent="0.25">
      <c r="A3902" s="5" t="s">
        <v>123</v>
      </c>
      <c r="B3902" s="5" t="s">
        <v>125</v>
      </c>
      <c r="C3902" s="5">
        <v>2420</v>
      </c>
      <c r="D3902" s="5" t="s">
        <v>45</v>
      </c>
      <c r="E3902" s="5" t="s">
        <v>54</v>
      </c>
      <c r="F3902" s="6">
        <v>42370</v>
      </c>
      <c r="G3902">
        <v>0</v>
      </c>
    </row>
    <row r="3903" spans="1:7" x14ac:dyDescent="0.25">
      <c r="A3903" s="5" t="s">
        <v>123</v>
      </c>
      <c r="B3903" s="5" t="s">
        <v>125</v>
      </c>
      <c r="C3903" s="5">
        <v>2420</v>
      </c>
      <c r="D3903" s="5" t="s">
        <v>45</v>
      </c>
      <c r="E3903" s="5" t="s">
        <v>54</v>
      </c>
      <c r="F3903" s="6">
        <v>42736</v>
      </c>
      <c r="G3903">
        <v>0</v>
      </c>
    </row>
    <row r="3904" spans="1:7" x14ac:dyDescent="0.25">
      <c r="A3904" s="5" t="s">
        <v>123</v>
      </c>
      <c r="B3904" s="5" t="s">
        <v>125</v>
      </c>
      <c r="C3904" s="5">
        <v>2420</v>
      </c>
      <c r="D3904" s="5" t="s">
        <v>45</v>
      </c>
      <c r="E3904" s="5" t="s">
        <v>55</v>
      </c>
      <c r="F3904" s="6">
        <v>42370</v>
      </c>
      <c r="G3904">
        <v>0</v>
      </c>
    </row>
    <row r="3905" spans="1:7" x14ac:dyDescent="0.25">
      <c r="A3905" s="5" t="s">
        <v>123</v>
      </c>
      <c r="B3905" s="5" t="s">
        <v>125</v>
      </c>
      <c r="C3905" s="5">
        <v>2420</v>
      </c>
      <c r="D3905" s="5" t="s">
        <v>45</v>
      </c>
      <c r="E3905" s="5" t="s">
        <v>55</v>
      </c>
      <c r="F3905" s="6">
        <v>42736</v>
      </c>
      <c r="G3905">
        <v>0</v>
      </c>
    </row>
    <row r="3906" spans="1:7" x14ac:dyDescent="0.25">
      <c r="A3906" s="5" t="s">
        <v>123</v>
      </c>
      <c r="B3906" s="5" t="s">
        <v>125</v>
      </c>
      <c r="C3906" s="5">
        <v>2420</v>
      </c>
      <c r="D3906" s="5" t="s">
        <v>45</v>
      </c>
      <c r="E3906" s="5" t="s">
        <v>56</v>
      </c>
      <c r="F3906" s="6">
        <v>42370</v>
      </c>
      <c r="G3906">
        <v>0</v>
      </c>
    </row>
    <row r="3907" spans="1:7" x14ac:dyDescent="0.25">
      <c r="A3907" s="5" t="s">
        <v>123</v>
      </c>
      <c r="B3907" s="5" t="s">
        <v>125</v>
      </c>
      <c r="C3907" s="5">
        <v>2420</v>
      </c>
      <c r="D3907" s="5" t="s">
        <v>45</v>
      </c>
      <c r="E3907" s="5" t="s">
        <v>56</v>
      </c>
      <c r="F3907" s="6">
        <v>42736</v>
      </c>
      <c r="G3907">
        <v>1</v>
      </c>
    </row>
    <row r="3908" spans="1:7" x14ac:dyDescent="0.25">
      <c r="A3908" s="5" t="s">
        <v>123</v>
      </c>
      <c r="B3908" s="5" t="s">
        <v>125</v>
      </c>
      <c r="C3908" s="5">
        <v>2420</v>
      </c>
      <c r="D3908" s="5" t="s">
        <v>45</v>
      </c>
      <c r="E3908" s="5" t="s">
        <v>57</v>
      </c>
      <c r="F3908" s="6">
        <v>42370</v>
      </c>
      <c r="G3908">
        <v>0</v>
      </c>
    </row>
    <row r="3909" spans="1:7" x14ac:dyDescent="0.25">
      <c r="A3909" s="5" t="s">
        <v>123</v>
      </c>
      <c r="B3909" s="5" t="s">
        <v>125</v>
      </c>
      <c r="C3909" s="5">
        <v>2420</v>
      </c>
      <c r="D3909" s="5" t="s">
        <v>45</v>
      </c>
      <c r="E3909" s="5" t="s">
        <v>57</v>
      </c>
      <c r="F3909" s="6">
        <v>42736</v>
      </c>
      <c r="G3909">
        <v>0</v>
      </c>
    </row>
    <row r="3910" spans="1:7" x14ac:dyDescent="0.25">
      <c r="A3910" s="5" t="s">
        <v>123</v>
      </c>
      <c r="B3910" s="5" t="s">
        <v>125</v>
      </c>
      <c r="C3910" s="5">
        <v>2420</v>
      </c>
      <c r="D3910" s="5" t="s">
        <v>45</v>
      </c>
      <c r="E3910" s="5" t="s">
        <v>58</v>
      </c>
      <c r="F3910" s="6">
        <v>42370</v>
      </c>
      <c r="G3910">
        <v>0</v>
      </c>
    </row>
    <row r="3911" spans="1:7" x14ac:dyDescent="0.25">
      <c r="A3911" s="5" t="s">
        <v>123</v>
      </c>
      <c r="B3911" s="5" t="s">
        <v>125</v>
      </c>
      <c r="C3911" s="5">
        <v>2420</v>
      </c>
      <c r="D3911" s="5" t="s">
        <v>45</v>
      </c>
      <c r="E3911" s="5" t="s">
        <v>58</v>
      </c>
      <c r="F3911" s="6">
        <v>42736</v>
      </c>
      <c r="G3911">
        <v>0</v>
      </c>
    </row>
    <row r="3912" spans="1:7" x14ac:dyDescent="0.25">
      <c r="A3912" s="5" t="s">
        <v>123</v>
      </c>
      <c r="B3912" s="5" t="s">
        <v>125</v>
      </c>
      <c r="C3912" s="5">
        <v>2420</v>
      </c>
      <c r="D3912" s="5" t="s">
        <v>45</v>
      </c>
      <c r="E3912" s="5" t="s">
        <v>59</v>
      </c>
      <c r="F3912" s="6">
        <v>42370</v>
      </c>
      <c r="G3912">
        <v>0</v>
      </c>
    </row>
    <row r="3913" spans="1:7" x14ac:dyDescent="0.25">
      <c r="A3913" s="5" t="s">
        <v>123</v>
      </c>
      <c r="B3913" s="5" t="s">
        <v>125</v>
      </c>
      <c r="C3913" s="5">
        <v>2420</v>
      </c>
      <c r="D3913" s="5" t="s">
        <v>45</v>
      </c>
      <c r="E3913" s="5" t="s">
        <v>59</v>
      </c>
      <c r="F3913" s="6">
        <v>42736</v>
      </c>
      <c r="G3913">
        <v>0</v>
      </c>
    </row>
    <row r="3914" spans="1:7" x14ac:dyDescent="0.25">
      <c r="A3914" s="5" t="s">
        <v>123</v>
      </c>
      <c r="B3914" s="5" t="s">
        <v>125</v>
      </c>
      <c r="C3914" s="5">
        <v>2420</v>
      </c>
      <c r="D3914" s="5" t="s">
        <v>45</v>
      </c>
      <c r="E3914" s="5" t="s">
        <v>60</v>
      </c>
      <c r="F3914" s="6">
        <v>42370</v>
      </c>
      <c r="G3914">
        <v>0</v>
      </c>
    </row>
    <row r="3915" spans="1:7" x14ac:dyDescent="0.25">
      <c r="A3915" s="5" t="s">
        <v>123</v>
      </c>
      <c r="B3915" s="5" t="s">
        <v>125</v>
      </c>
      <c r="C3915" s="5">
        <v>2420</v>
      </c>
      <c r="D3915" s="5" t="s">
        <v>45</v>
      </c>
      <c r="E3915" s="5" t="s">
        <v>60</v>
      </c>
      <c r="F3915" s="6">
        <v>42736</v>
      </c>
      <c r="G3915">
        <v>0</v>
      </c>
    </row>
    <row r="3916" spans="1:7" x14ac:dyDescent="0.25">
      <c r="A3916" s="5" t="s">
        <v>123</v>
      </c>
      <c r="B3916" s="5" t="s">
        <v>125</v>
      </c>
      <c r="C3916" s="5">
        <v>2420</v>
      </c>
      <c r="D3916" s="5" t="s">
        <v>45</v>
      </c>
      <c r="E3916" s="5" t="s">
        <v>61</v>
      </c>
      <c r="F3916" s="6">
        <v>42370</v>
      </c>
      <c r="G3916">
        <v>0</v>
      </c>
    </row>
    <row r="3917" spans="1:7" x14ac:dyDescent="0.25">
      <c r="A3917" s="5" t="s">
        <v>123</v>
      </c>
      <c r="B3917" s="5" t="s">
        <v>125</v>
      </c>
      <c r="C3917" s="5">
        <v>2420</v>
      </c>
      <c r="D3917" s="5" t="s">
        <v>45</v>
      </c>
      <c r="E3917" s="5" t="s">
        <v>61</v>
      </c>
      <c r="F3917" s="6">
        <v>42736</v>
      </c>
      <c r="G3917">
        <v>0</v>
      </c>
    </row>
    <row r="3918" spans="1:7" x14ac:dyDescent="0.25">
      <c r="A3918" s="5" t="s">
        <v>123</v>
      </c>
      <c r="B3918" s="5" t="s">
        <v>125</v>
      </c>
      <c r="C3918" s="5">
        <v>2420</v>
      </c>
      <c r="D3918" s="5" t="s">
        <v>62</v>
      </c>
      <c r="E3918" s="5" t="s">
        <v>63</v>
      </c>
      <c r="F3918" s="6">
        <v>42370</v>
      </c>
      <c r="G3918">
        <v>0</v>
      </c>
    </row>
    <row r="3919" spans="1:7" x14ac:dyDescent="0.25">
      <c r="A3919" s="5" t="s">
        <v>123</v>
      </c>
      <c r="B3919" s="5" t="s">
        <v>125</v>
      </c>
      <c r="C3919" s="5">
        <v>2420</v>
      </c>
      <c r="D3919" s="5" t="s">
        <v>62</v>
      </c>
      <c r="E3919" s="5" t="s">
        <v>63</v>
      </c>
      <c r="F3919" s="6">
        <v>42736</v>
      </c>
      <c r="G3919">
        <v>0</v>
      </c>
    </row>
    <row r="3920" spans="1:7" x14ac:dyDescent="0.25">
      <c r="A3920" s="5" t="s">
        <v>123</v>
      </c>
      <c r="B3920" s="5" t="s">
        <v>125</v>
      </c>
      <c r="C3920" s="5">
        <v>2420</v>
      </c>
      <c r="D3920" s="5" t="s">
        <v>62</v>
      </c>
      <c r="E3920" s="5" t="s">
        <v>64</v>
      </c>
      <c r="F3920" s="6">
        <v>42370</v>
      </c>
      <c r="G3920">
        <v>0</v>
      </c>
    </row>
    <row r="3921" spans="1:7" x14ac:dyDescent="0.25">
      <c r="A3921" s="5" t="s">
        <v>123</v>
      </c>
      <c r="B3921" s="5" t="s">
        <v>125</v>
      </c>
      <c r="C3921" s="5">
        <v>2420</v>
      </c>
      <c r="D3921" s="5" t="s">
        <v>62</v>
      </c>
      <c r="E3921" s="5" t="s">
        <v>64</v>
      </c>
      <c r="F3921" s="6">
        <v>42736</v>
      </c>
      <c r="G3921">
        <v>0</v>
      </c>
    </row>
    <row r="3922" spans="1:7" x14ac:dyDescent="0.25">
      <c r="A3922" s="5" t="s">
        <v>123</v>
      </c>
      <c r="B3922" s="5" t="s">
        <v>125</v>
      </c>
      <c r="C3922" s="5">
        <v>2420</v>
      </c>
      <c r="D3922" s="5" t="s">
        <v>62</v>
      </c>
      <c r="E3922" s="5" t="s">
        <v>9</v>
      </c>
      <c r="F3922" s="6">
        <v>42370</v>
      </c>
      <c r="G3922">
        <v>0</v>
      </c>
    </row>
    <row r="3923" spans="1:7" x14ac:dyDescent="0.25">
      <c r="A3923" s="5" t="s">
        <v>123</v>
      </c>
      <c r="B3923" s="5" t="s">
        <v>125</v>
      </c>
      <c r="C3923" s="5">
        <v>2420</v>
      </c>
      <c r="D3923" s="5" t="s">
        <v>62</v>
      </c>
      <c r="E3923" s="5" t="s">
        <v>9</v>
      </c>
      <c r="F3923" s="6">
        <v>42736</v>
      </c>
      <c r="G3923">
        <v>0</v>
      </c>
    </row>
    <row r="3924" spans="1:7" x14ac:dyDescent="0.25">
      <c r="A3924" s="5" t="s">
        <v>123</v>
      </c>
      <c r="B3924" s="5" t="s">
        <v>125</v>
      </c>
      <c r="C3924" s="5">
        <v>2420</v>
      </c>
      <c r="D3924" s="5" t="s">
        <v>62</v>
      </c>
      <c r="E3924" s="5" t="s">
        <v>65</v>
      </c>
      <c r="F3924" s="6">
        <v>42370</v>
      </c>
      <c r="G3924">
        <v>0</v>
      </c>
    </row>
    <row r="3925" spans="1:7" x14ac:dyDescent="0.25">
      <c r="A3925" s="5" t="s">
        <v>123</v>
      </c>
      <c r="B3925" s="5" t="s">
        <v>125</v>
      </c>
      <c r="C3925" s="5">
        <v>2420</v>
      </c>
      <c r="D3925" s="5" t="s">
        <v>62</v>
      </c>
      <c r="E3925" s="5" t="s">
        <v>65</v>
      </c>
      <c r="F3925" s="6">
        <v>42736</v>
      </c>
      <c r="G3925">
        <v>0</v>
      </c>
    </row>
    <row r="3926" spans="1:7" x14ac:dyDescent="0.25">
      <c r="A3926" s="5" t="s">
        <v>123</v>
      </c>
      <c r="B3926" s="5" t="s">
        <v>125</v>
      </c>
      <c r="C3926" s="5">
        <v>2420</v>
      </c>
      <c r="D3926" s="5" t="s">
        <v>62</v>
      </c>
      <c r="E3926" s="5" t="s">
        <v>66</v>
      </c>
      <c r="F3926" s="6">
        <v>42370</v>
      </c>
      <c r="G3926">
        <v>0</v>
      </c>
    </row>
    <row r="3927" spans="1:7" x14ac:dyDescent="0.25">
      <c r="A3927" s="5" t="s">
        <v>123</v>
      </c>
      <c r="B3927" s="5" t="s">
        <v>125</v>
      </c>
      <c r="C3927" s="5">
        <v>2420</v>
      </c>
      <c r="D3927" s="5" t="s">
        <v>62</v>
      </c>
      <c r="E3927" s="5" t="s">
        <v>66</v>
      </c>
      <c r="F3927" s="6">
        <v>42736</v>
      </c>
      <c r="G3927">
        <v>0</v>
      </c>
    </row>
    <row r="3928" spans="1:7" x14ac:dyDescent="0.25">
      <c r="A3928" s="5" t="s">
        <v>123</v>
      </c>
      <c r="B3928" s="5" t="s">
        <v>125</v>
      </c>
      <c r="C3928" s="5">
        <v>2420</v>
      </c>
      <c r="D3928" s="5" t="s">
        <v>62</v>
      </c>
      <c r="E3928" s="5" t="s">
        <v>67</v>
      </c>
      <c r="F3928" s="6">
        <v>42370</v>
      </c>
      <c r="G3928">
        <v>0</v>
      </c>
    </row>
    <row r="3929" spans="1:7" x14ac:dyDescent="0.25">
      <c r="A3929" s="5" t="s">
        <v>123</v>
      </c>
      <c r="B3929" s="5" t="s">
        <v>125</v>
      </c>
      <c r="C3929" s="5">
        <v>2420</v>
      </c>
      <c r="D3929" s="5" t="s">
        <v>62</v>
      </c>
      <c r="E3929" s="5" t="s">
        <v>67</v>
      </c>
      <c r="F3929" s="6">
        <v>42736</v>
      </c>
      <c r="G3929">
        <v>0</v>
      </c>
    </row>
    <row r="3930" spans="1:7" x14ac:dyDescent="0.25">
      <c r="A3930" s="5" t="s">
        <v>123</v>
      </c>
      <c r="B3930" s="5" t="s">
        <v>125</v>
      </c>
      <c r="C3930" s="5">
        <v>2420</v>
      </c>
      <c r="D3930" s="5" t="s">
        <v>62</v>
      </c>
      <c r="E3930" s="5" t="s">
        <v>68</v>
      </c>
      <c r="F3930" s="6">
        <v>42370</v>
      </c>
      <c r="G3930">
        <v>0</v>
      </c>
    </row>
    <row r="3931" spans="1:7" x14ac:dyDescent="0.25">
      <c r="A3931" s="5" t="s">
        <v>123</v>
      </c>
      <c r="B3931" s="5" t="s">
        <v>125</v>
      </c>
      <c r="C3931" s="5">
        <v>2420</v>
      </c>
      <c r="D3931" s="5" t="s">
        <v>62</v>
      </c>
      <c r="E3931" s="5" t="s">
        <v>68</v>
      </c>
      <c r="F3931" s="6">
        <v>42736</v>
      </c>
      <c r="G3931">
        <v>0</v>
      </c>
    </row>
    <row r="3932" spans="1:7" x14ac:dyDescent="0.25">
      <c r="A3932" s="5" t="s">
        <v>123</v>
      </c>
      <c r="B3932" s="5" t="s">
        <v>125</v>
      </c>
      <c r="C3932" s="5">
        <v>2420</v>
      </c>
      <c r="D3932" s="5" t="s">
        <v>62</v>
      </c>
      <c r="E3932" s="5" t="s">
        <v>69</v>
      </c>
      <c r="F3932" s="6">
        <v>42370</v>
      </c>
      <c r="G3932">
        <v>0</v>
      </c>
    </row>
    <row r="3933" spans="1:7" x14ac:dyDescent="0.25">
      <c r="A3933" s="5" t="s">
        <v>123</v>
      </c>
      <c r="B3933" s="5" t="s">
        <v>125</v>
      </c>
      <c r="C3933" s="5">
        <v>2420</v>
      </c>
      <c r="D3933" s="5" t="s">
        <v>62</v>
      </c>
      <c r="E3933" s="5" t="s">
        <v>69</v>
      </c>
      <c r="F3933" s="6">
        <v>42736</v>
      </c>
      <c r="G3933">
        <v>0</v>
      </c>
    </row>
    <row r="3934" spans="1:7" x14ac:dyDescent="0.25">
      <c r="A3934" s="5" t="s">
        <v>123</v>
      </c>
      <c r="B3934" s="5" t="s">
        <v>125</v>
      </c>
      <c r="C3934" s="5">
        <v>2420</v>
      </c>
      <c r="D3934" s="5" t="s">
        <v>62</v>
      </c>
      <c r="E3934" s="5" t="s">
        <v>70</v>
      </c>
      <c r="F3934" s="6">
        <v>42370</v>
      </c>
      <c r="G3934">
        <v>0</v>
      </c>
    </row>
    <row r="3935" spans="1:7" x14ac:dyDescent="0.25">
      <c r="A3935" s="5" t="s">
        <v>123</v>
      </c>
      <c r="B3935" s="5" t="s">
        <v>125</v>
      </c>
      <c r="C3935" s="5">
        <v>2420</v>
      </c>
      <c r="D3935" s="5" t="s">
        <v>62</v>
      </c>
      <c r="E3935" s="5" t="s">
        <v>70</v>
      </c>
      <c r="F3935" s="6">
        <v>42736</v>
      </c>
      <c r="G3935">
        <v>0</v>
      </c>
    </row>
    <row r="3936" spans="1:7" x14ac:dyDescent="0.25">
      <c r="A3936" s="5" t="s">
        <v>123</v>
      </c>
      <c r="B3936" s="5" t="s">
        <v>125</v>
      </c>
      <c r="C3936" s="5">
        <v>2420</v>
      </c>
      <c r="D3936" s="5" t="s">
        <v>62</v>
      </c>
      <c r="E3936" s="5" t="s">
        <v>71</v>
      </c>
      <c r="F3936" s="6">
        <v>42370</v>
      </c>
      <c r="G3936">
        <v>0</v>
      </c>
    </row>
    <row r="3937" spans="1:7" x14ac:dyDescent="0.25">
      <c r="A3937" s="5" t="s">
        <v>123</v>
      </c>
      <c r="B3937" s="5" t="s">
        <v>125</v>
      </c>
      <c r="C3937" s="5">
        <v>2420</v>
      </c>
      <c r="D3937" s="5" t="s">
        <v>62</v>
      </c>
      <c r="E3937" s="5" t="s">
        <v>71</v>
      </c>
      <c r="F3937" s="6">
        <v>42736</v>
      </c>
      <c r="G3937">
        <v>0</v>
      </c>
    </row>
    <row r="3938" spans="1:7" x14ac:dyDescent="0.25">
      <c r="A3938" s="5" t="s">
        <v>123</v>
      </c>
      <c r="B3938" s="5" t="s">
        <v>125</v>
      </c>
      <c r="C3938" s="5">
        <v>2420</v>
      </c>
      <c r="D3938" s="5" t="s">
        <v>72</v>
      </c>
      <c r="E3938" s="5" t="s">
        <v>73</v>
      </c>
      <c r="F3938" s="6">
        <v>42370</v>
      </c>
      <c r="G3938">
        <v>0</v>
      </c>
    </row>
    <row r="3939" spans="1:7" x14ac:dyDescent="0.25">
      <c r="A3939" s="5" t="s">
        <v>123</v>
      </c>
      <c r="B3939" s="5" t="s">
        <v>125</v>
      </c>
      <c r="C3939" s="5">
        <v>2420</v>
      </c>
      <c r="D3939" s="5" t="s">
        <v>72</v>
      </c>
      <c r="E3939" s="5" t="s">
        <v>73</v>
      </c>
      <c r="F3939" s="6">
        <v>42736</v>
      </c>
      <c r="G3939">
        <v>0</v>
      </c>
    </row>
    <row r="3940" spans="1:7" x14ac:dyDescent="0.25">
      <c r="A3940" s="5" t="s">
        <v>123</v>
      </c>
      <c r="B3940" s="5" t="s">
        <v>125</v>
      </c>
      <c r="C3940" s="5">
        <v>2420</v>
      </c>
      <c r="D3940" s="5" t="s">
        <v>72</v>
      </c>
      <c r="E3940" s="5" t="s">
        <v>9</v>
      </c>
      <c r="F3940" s="6">
        <v>42370</v>
      </c>
      <c r="G3940">
        <v>0</v>
      </c>
    </row>
    <row r="3941" spans="1:7" x14ac:dyDescent="0.25">
      <c r="A3941" s="5" t="s">
        <v>123</v>
      </c>
      <c r="B3941" s="5" t="s">
        <v>125</v>
      </c>
      <c r="C3941" s="5">
        <v>2420</v>
      </c>
      <c r="D3941" s="5" t="s">
        <v>72</v>
      </c>
      <c r="E3941" s="5" t="s">
        <v>9</v>
      </c>
      <c r="F3941" s="6">
        <v>42736</v>
      </c>
      <c r="G3941">
        <v>0</v>
      </c>
    </row>
    <row r="3942" spans="1:7" x14ac:dyDescent="0.25">
      <c r="A3942" s="5" t="s">
        <v>123</v>
      </c>
      <c r="B3942" s="5" t="s">
        <v>125</v>
      </c>
      <c r="C3942" s="5">
        <v>2420</v>
      </c>
      <c r="D3942" s="5" t="s">
        <v>72</v>
      </c>
      <c r="E3942" s="5" t="s">
        <v>34</v>
      </c>
      <c r="F3942" s="6">
        <v>42370</v>
      </c>
      <c r="G3942">
        <v>0</v>
      </c>
    </row>
    <row r="3943" spans="1:7" x14ac:dyDescent="0.25">
      <c r="A3943" s="5" t="s">
        <v>123</v>
      </c>
      <c r="B3943" s="5" t="s">
        <v>125</v>
      </c>
      <c r="C3943" s="5">
        <v>2420</v>
      </c>
      <c r="D3943" s="5" t="s">
        <v>72</v>
      </c>
      <c r="E3943" s="5" t="s">
        <v>34</v>
      </c>
      <c r="F3943" s="6">
        <v>42736</v>
      </c>
      <c r="G3943">
        <v>0</v>
      </c>
    </row>
    <row r="3944" spans="1:7" x14ac:dyDescent="0.25">
      <c r="A3944" s="5" t="s">
        <v>123</v>
      </c>
      <c r="B3944" s="5" t="s">
        <v>125</v>
      </c>
      <c r="C3944" s="5">
        <v>2420</v>
      </c>
      <c r="D3944" s="5" t="s">
        <v>72</v>
      </c>
      <c r="E3944" s="5" t="s">
        <v>74</v>
      </c>
      <c r="F3944" s="6">
        <v>42370</v>
      </c>
      <c r="G3944">
        <v>0</v>
      </c>
    </row>
    <row r="3945" spans="1:7" x14ac:dyDescent="0.25">
      <c r="A3945" s="5" t="s">
        <v>123</v>
      </c>
      <c r="B3945" s="5" t="s">
        <v>125</v>
      </c>
      <c r="C3945" s="5">
        <v>2420</v>
      </c>
      <c r="D3945" s="5" t="s">
        <v>72</v>
      </c>
      <c r="E3945" s="5" t="s">
        <v>74</v>
      </c>
      <c r="F3945" s="6">
        <v>42736</v>
      </c>
      <c r="G3945">
        <v>0</v>
      </c>
    </row>
    <row r="3946" spans="1:7" x14ac:dyDescent="0.25">
      <c r="A3946" s="5" t="s">
        <v>123</v>
      </c>
      <c r="B3946" s="5" t="s">
        <v>125</v>
      </c>
      <c r="C3946" s="5">
        <v>2420</v>
      </c>
      <c r="D3946" s="5" t="s">
        <v>72</v>
      </c>
      <c r="E3946" s="5" t="s">
        <v>75</v>
      </c>
      <c r="F3946" s="6">
        <v>42370</v>
      </c>
      <c r="G3946">
        <v>0</v>
      </c>
    </row>
    <row r="3947" spans="1:7" x14ac:dyDescent="0.25">
      <c r="A3947" s="5" t="s">
        <v>123</v>
      </c>
      <c r="B3947" s="5" t="s">
        <v>125</v>
      </c>
      <c r="C3947" s="5">
        <v>2420</v>
      </c>
      <c r="D3947" s="5" t="s">
        <v>72</v>
      </c>
      <c r="E3947" s="5" t="s">
        <v>75</v>
      </c>
      <c r="F3947" s="6">
        <v>42736</v>
      </c>
      <c r="G3947">
        <v>0</v>
      </c>
    </row>
    <row r="3948" spans="1:7" x14ac:dyDescent="0.25">
      <c r="A3948" s="5" t="s">
        <v>123</v>
      </c>
      <c r="B3948" s="5" t="s">
        <v>125</v>
      </c>
      <c r="C3948" s="5">
        <v>2420</v>
      </c>
      <c r="D3948" s="5" t="s">
        <v>76</v>
      </c>
      <c r="E3948" s="5" t="s">
        <v>9</v>
      </c>
      <c r="F3948" s="6">
        <v>42370</v>
      </c>
      <c r="G3948">
        <v>0</v>
      </c>
    </row>
    <row r="3949" spans="1:7" x14ac:dyDescent="0.25">
      <c r="A3949" s="5" t="s">
        <v>123</v>
      </c>
      <c r="B3949" s="5" t="s">
        <v>125</v>
      </c>
      <c r="C3949" s="5">
        <v>2420</v>
      </c>
      <c r="D3949" s="5" t="s">
        <v>76</v>
      </c>
      <c r="E3949" s="5" t="s">
        <v>9</v>
      </c>
      <c r="F3949" s="6">
        <v>42736</v>
      </c>
      <c r="G3949">
        <v>0</v>
      </c>
    </row>
    <row r="3950" spans="1:7" x14ac:dyDescent="0.25">
      <c r="A3950" s="5" t="s">
        <v>123</v>
      </c>
      <c r="B3950" s="5" t="s">
        <v>125</v>
      </c>
      <c r="C3950" s="5">
        <v>2420</v>
      </c>
      <c r="D3950" s="5" t="s">
        <v>76</v>
      </c>
      <c r="E3950" s="5" t="s">
        <v>77</v>
      </c>
      <c r="F3950" s="6">
        <v>42370</v>
      </c>
      <c r="G3950">
        <v>0</v>
      </c>
    </row>
    <row r="3951" spans="1:7" x14ac:dyDescent="0.25">
      <c r="A3951" s="5" t="s">
        <v>123</v>
      </c>
      <c r="B3951" s="5" t="s">
        <v>125</v>
      </c>
      <c r="C3951" s="5">
        <v>2420</v>
      </c>
      <c r="D3951" s="5" t="s">
        <v>76</v>
      </c>
      <c r="E3951" s="5" t="s">
        <v>77</v>
      </c>
      <c r="F3951" s="6">
        <v>42736</v>
      </c>
      <c r="G3951">
        <v>0</v>
      </c>
    </row>
    <row r="3952" spans="1:7" x14ac:dyDescent="0.25">
      <c r="A3952" s="5" t="s">
        <v>123</v>
      </c>
      <c r="B3952" s="5" t="s">
        <v>125</v>
      </c>
      <c r="C3952" s="5">
        <v>2420</v>
      </c>
      <c r="D3952" s="5" t="s">
        <v>78</v>
      </c>
      <c r="E3952" s="5" t="s">
        <v>79</v>
      </c>
      <c r="F3952" s="6">
        <v>42370</v>
      </c>
      <c r="G3952">
        <v>0</v>
      </c>
    </row>
    <row r="3953" spans="1:7" x14ac:dyDescent="0.25">
      <c r="A3953" s="5" t="s">
        <v>123</v>
      </c>
      <c r="B3953" s="5" t="s">
        <v>125</v>
      </c>
      <c r="C3953" s="5">
        <v>2420</v>
      </c>
      <c r="D3953" s="5" t="s">
        <v>78</v>
      </c>
      <c r="E3953" s="5" t="s">
        <v>79</v>
      </c>
      <c r="F3953" s="6">
        <v>42736</v>
      </c>
      <c r="G3953">
        <v>0</v>
      </c>
    </row>
    <row r="3954" spans="1:7" x14ac:dyDescent="0.25">
      <c r="A3954" s="5" t="s">
        <v>123</v>
      </c>
      <c r="B3954" s="5" t="s">
        <v>125</v>
      </c>
      <c r="C3954" s="5">
        <v>2420</v>
      </c>
      <c r="D3954" s="5" t="s">
        <v>78</v>
      </c>
      <c r="E3954" s="5" t="s">
        <v>80</v>
      </c>
      <c r="F3954" s="6">
        <v>42370</v>
      </c>
      <c r="G3954">
        <v>0</v>
      </c>
    </row>
    <row r="3955" spans="1:7" x14ac:dyDescent="0.25">
      <c r="A3955" s="5" t="s">
        <v>123</v>
      </c>
      <c r="B3955" s="5" t="s">
        <v>125</v>
      </c>
      <c r="C3955" s="5">
        <v>2420</v>
      </c>
      <c r="D3955" s="5" t="s">
        <v>78</v>
      </c>
      <c r="E3955" s="5" t="s">
        <v>80</v>
      </c>
      <c r="F3955" s="6">
        <v>42736</v>
      </c>
      <c r="G3955">
        <v>0</v>
      </c>
    </row>
    <row r="3956" spans="1:7" x14ac:dyDescent="0.25">
      <c r="A3956" s="5" t="s">
        <v>123</v>
      </c>
      <c r="B3956" s="5" t="s">
        <v>125</v>
      </c>
      <c r="C3956" s="5">
        <v>2420</v>
      </c>
      <c r="D3956" s="5" t="s">
        <v>78</v>
      </c>
      <c r="E3956" s="5" t="s">
        <v>81</v>
      </c>
      <c r="F3956" s="6">
        <v>42370</v>
      </c>
      <c r="G3956">
        <v>378</v>
      </c>
    </row>
    <row r="3957" spans="1:7" x14ac:dyDescent="0.25">
      <c r="A3957" s="5" t="s">
        <v>123</v>
      </c>
      <c r="B3957" s="5" t="s">
        <v>125</v>
      </c>
      <c r="C3957" s="5">
        <v>2420</v>
      </c>
      <c r="D3957" s="5" t="s">
        <v>78</v>
      </c>
      <c r="E3957" s="5" t="s">
        <v>81</v>
      </c>
      <c r="F3957" s="6">
        <v>42736</v>
      </c>
      <c r="G3957">
        <v>542</v>
      </c>
    </row>
    <row r="3958" spans="1:7" x14ac:dyDescent="0.25">
      <c r="A3958" s="5" t="s">
        <v>123</v>
      </c>
      <c r="B3958" s="5" t="s">
        <v>125</v>
      </c>
      <c r="C3958" s="5">
        <v>2420</v>
      </c>
      <c r="D3958" s="5" t="s">
        <v>78</v>
      </c>
      <c r="E3958" s="5" t="s">
        <v>82</v>
      </c>
      <c r="F3958" s="6">
        <v>42370</v>
      </c>
      <c r="G3958">
        <v>0</v>
      </c>
    </row>
    <row r="3959" spans="1:7" x14ac:dyDescent="0.25">
      <c r="A3959" s="5" t="s">
        <v>123</v>
      </c>
      <c r="B3959" s="5" t="s">
        <v>125</v>
      </c>
      <c r="C3959" s="5">
        <v>2420</v>
      </c>
      <c r="D3959" s="5" t="s">
        <v>78</v>
      </c>
      <c r="E3959" s="5" t="s">
        <v>82</v>
      </c>
      <c r="F3959" s="6">
        <v>42736</v>
      </c>
      <c r="G3959">
        <v>0</v>
      </c>
    </row>
    <row r="3960" spans="1:7" x14ac:dyDescent="0.25">
      <c r="A3960" s="5" t="s">
        <v>123</v>
      </c>
      <c r="B3960" s="5" t="s">
        <v>125</v>
      </c>
      <c r="C3960" s="5">
        <v>2420</v>
      </c>
      <c r="D3960" s="5" t="s">
        <v>78</v>
      </c>
      <c r="E3960" s="5" t="s">
        <v>83</v>
      </c>
      <c r="F3960" s="6">
        <v>42370</v>
      </c>
      <c r="G3960">
        <v>0</v>
      </c>
    </row>
    <row r="3961" spans="1:7" x14ac:dyDescent="0.25">
      <c r="A3961" s="5" t="s">
        <v>123</v>
      </c>
      <c r="B3961" s="5" t="s">
        <v>125</v>
      </c>
      <c r="C3961" s="5">
        <v>2420</v>
      </c>
      <c r="D3961" s="5" t="s">
        <v>78</v>
      </c>
      <c r="E3961" s="5" t="s">
        <v>83</v>
      </c>
      <c r="F3961" s="6">
        <v>42736</v>
      </c>
      <c r="G3961">
        <v>0</v>
      </c>
    </row>
    <row r="3962" spans="1:7" x14ac:dyDescent="0.25">
      <c r="A3962" s="5" t="s">
        <v>123</v>
      </c>
      <c r="B3962" s="5" t="s">
        <v>125</v>
      </c>
      <c r="C3962" s="5">
        <v>2420</v>
      </c>
      <c r="D3962" s="5" t="s">
        <v>78</v>
      </c>
      <c r="E3962" s="5" t="s">
        <v>84</v>
      </c>
      <c r="F3962" s="6">
        <v>42370</v>
      </c>
      <c r="G3962">
        <v>0</v>
      </c>
    </row>
    <row r="3963" spans="1:7" x14ac:dyDescent="0.25">
      <c r="A3963" s="5" t="s">
        <v>123</v>
      </c>
      <c r="B3963" s="5" t="s">
        <v>125</v>
      </c>
      <c r="C3963" s="5">
        <v>2420</v>
      </c>
      <c r="D3963" s="5" t="s">
        <v>78</v>
      </c>
      <c r="E3963" s="5" t="s">
        <v>84</v>
      </c>
      <c r="F3963" s="6">
        <v>42736</v>
      </c>
      <c r="G3963">
        <v>0</v>
      </c>
    </row>
    <row r="3964" spans="1:7" x14ac:dyDescent="0.25">
      <c r="A3964" s="5" t="s">
        <v>123</v>
      </c>
      <c r="B3964" s="5" t="s">
        <v>125</v>
      </c>
      <c r="C3964" s="5">
        <v>2420</v>
      </c>
      <c r="D3964" s="5" t="s">
        <v>78</v>
      </c>
      <c r="E3964" s="5" t="s">
        <v>85</v>
      </c>
      <c r="F3964" s="6">
        <v>42370</v>
      </c>
      <c r="G3964">
        <v>0</v>
      </c>
    </row>
    <row r="3965" spans="1:7" x14ac:dyDescent="0.25">
      <c r="A3965" s="5" t="s">
        <v>123</v>
      </c>
      <c r="B3965" s="5" t="s">
        <v>125</v>
      </c>
      <c r="C3965" s="5">
        <v>2420</v>
      </c>
      <c r="D3965" s="5" t="s">
        <v>78</v>
      </c>
      <c r="E3965" s="5" t="s">
        <v>85</v>
      </c>
      <c r="F3965" s="6">
        <v>42736</v>
      </c>
      <c r="G3965">
        <v>0</v>
      </c>
    </row>
    <row r="3966" spans="1:7" x14ac:dyDescent="0.25">
      <c r="A3966" s="5" t="s">
        <v>123</v>
      </c>
      <c r="B3966" s="5" t="s">
        <v>125</v>
      </c>
      <c r="C3966" s="5">
        <v>2420</v>
      </c>
      <c r="D3966" s="5" t="s">
        <v>78</v>
      </c>
      <c r="E3966" s="5" t="s">
        <v>86</v>
      </c>
      <c r="F3966" s="6">
        <v>42370</v>
      </c>
      <c r="G3966">
        <v>0</v>
      </c>
    </row>
    <row r="3967" spans="1:7" x14ac:dyDescent="0.25">
      <c r="A3967" s="5" t="s">
        <v>123</v>
      </c>
      <c r="B3967" s="5" t="s">
        <v>125</v>
      </c>
      <c r="C3967" s="5">
        <v>2420</v>
      </c>
      <c r="D3967" s="5" t="s">
        <v>78</v>
      </c>
      <c r="E3967" s="5" t="s">
        <v>86</v>
      </c>
      <c r="F3967" s="6">
        <v>42736</v>
      </c>
      <c r="G3967">
        <v>0</v>
      </c>
    </row>
    <row r="3968" spans="1:7" x14ac:dyDescent="0.25">
      <c r="A3968" s="5" t="s">
        <v>123</v>
      </c>
      <c r="B3968" s="5" t="s">
        <v>125</v>
      </c>
      <c r="C3968" s="5">
        <v>2420</v>
      </c>
      <c r="D3968" s="5" t="s">
        <v>78</v>
      </c>
      <c r="E3968" s="5" t="s">
        <v>87</v>
      </c>
      <c r="F3968" s="6">
        <v>42370</v>
      </c>
      <c r="G3968">
        <v>0</v>
      </c>
    </row>
    <row r="3969" spans="1:7" x14ac:dyDescent="0.25">
      <c r="A3969" s="5" t="s">
        <v>123</v>
      </c>
      <c r="B3969" s="5" t="s">
        <v>125</v>
      </c>
      <c r="C3969" s="5">
        <v>2420</v>
      </c>
      <c r="D3969" s="5" t="s">
        <v>78</v>
      </c>
      <c r="E3969" s="5" t="s">
        <v>87</v>
      </c>
      <c r="F3969" s="6">
        <v>42736</v>
      </c>
      <c r="G3969">
        <v>0</v>
      </c>
    </row>
    <row r="3970" spans="1:7" x14ac:dyDescent="0.25">
      <c r="A3970" s="5" t="s">
        <v>123</v>
      </c>
      <c r="B3970" s="5" t="s">
        <v>125</v>
      </c>
      <c r="C3970" s="5">
        <v>2420</v>
      </c>
      <c r="D3970" s="5" t="s">
        <v>78</v>
      </c>
      <c r="E3970" s="5" t="s">
        <v>88</v>
      </c>
      <c r="F3970" s="6">
        <v>42370</v>
      </c>
      <c r="G3970">
        <v>97</v>
      </c>
    </row>
    <row r="3971" spans="1:7" x14ac:dyDescent="0.25">
      <c r="A3971" s="5" t="s">
        <v>123</v>
      </c>
      <c r="B3971" s="5" t="s">
        <v>125</v>
      </c>
      <c r="C3971" s="5">
        <v>2420</v>
      </c>
      <c r="D3971" s="5" t="s">
        <v>78</v>
      </c>
      <c r="E3971" s="5" t="s">
        <v>88</v>
      </c>
      <c r="F3971" s="6">
        <v>42736</v>
      </c>
      <c r="G3971">
        <v>139</v>
      </c>
    </row>
    <row r="3972" spans="1:7" x14ac:dyDescent="0.25">
      <c r="A3972" s="5" t="s">
        <v>123</v>
      </c>
      <c r="B3972" s="5" t="s">
        <v>125</v>
      </c>
      <c r="C3972" s="5">
        <v>2420</v>
      </c>
      <c r="D3972" s="5" t="s">
        <v>78</v>
      </c>
      <c r="E3972" s="5" t="s">
        <v>89</v>
      </c>
      <c r="F3972" s="6">
        <v>42370</v>
      </c>
      <c r="G3972">
        <v>789</v>
      </c>
    </row>
    <row r="3973" spans="1:7" x14ac:dyDescent="0.25">
      <c r="A3973" s="5" t="s">
        <v>123</v>
      </c>
      <c r="B3973" s="5" t="s">
        <v>125</v>
      </c>
      <c r="C3973" s="5">
        <v>2420</v>
      </c>
      <c r="D3973" s="5" t="s">
        <v>78</v>
      </c>
      <c r="E3973" s="5" t="s">
        <v>89</v>
      </c>
      <c r="F3973" s="6">
        <v>42736</v>
      </c>
      <c r="G3973">
        <v>1089</v>
      </c>
    </row>
    <row r="3974" spans="1:7" x14ac:dyDescent="0.25">
      <c r="A3974" s="5" t="s">
        <v>123</v>
      </c>
      <c r="B3974" s="5" t="s">
        <v>125</v>
      </c>
      <c r="C3974" s="5">
        <v>2420</v>
      </c>
      <c r="D3974" s="5" t="s">
        <v>78</v>
      </c>
      <c r="E3974" s="5" t="s">
        <v>90</v>
      </c>
      <c r="F3974" s="6">
        <v>42370</v>
      </c>
      <c r="G3974">
        <v>0</v>
      </c>
    </row>
    <row r="3975" spans="1:7" x14ac:dyDescent="0.25">
      <c r="A3975" s="5" t="s">
        <v>123</v>
      </c>
      <c r="B3975" s="5" t="s">
        <v>125</v>
      </c>
      <c r="C3975" s="5">
        <v>2420</v>
      </c>
      <c r="D3975" s="5" t="s">
        <v>78</v>
      </c>
      <c r="E3975" s="5" t="s">
        <v>90</v>
      </c>
      <c r="F3975" s="6">
        <v>42736</v>
      </c>
      <c r="G3975">
        <v>0</v>
      </c>
    </row>
    <row r="3976" spans="1:7" x14ac:dyDescent="0.25">
      <c r="A3976" s="5" t="s">
        <v>123</v>
      </c>
      <c r="B3976" s="5" t="s">
        <v>125</v>
      </c>
      <c r="C3976" s="5">
        <v>2420</v>
      </c>
      <c r="D3976" s="5" t="s">
        <v>78</v>
      </c>
      <c r="E3976" s="5" t="s">
        <v>91</v>
      </c>
      <c r="F3976" s="6">
        <v>42370</v>
      </c>
      <c r="G3976">
        <v>0</v>
      </c>
    </row>
    <row r="3977" spans="1:7" x14ac:dyDescent="0.25">
      <c r="A3977" s="5" t="s">
        <v>123</v>
      </c>
      <c r="B3977" s="5" t="s">
        <v>125</v>
      </c>
      <c r="C3977" s="5">
        <v>2420</v>
      </c>
      <c r="D3977" s="5" t="s">
        <v>78</v>
      </c>
      <c r="E3977" s="5" t="s">
        <v>91</v>
      </c>
      <c r="F3977" s="6">
        <v>42736</v>
      </c>
      <c r="G3977">
        <v>0</v>
      </c>
    </row>
    <row r="3978" spans="1:7" x14ac:dyDescent="0.25">
      <c r="A3978" s="5" t="s">
        <v>123</v>
      </c>
      <c r="B3978" s="5" t="s">
        <v>125</v>
      </c>
      <c r="C3978" s="5">
        <v>2420</v>
      </c>
      <c r="D3978" s="5" t="s">
        <v>78</v>
      </c>
      <c r="E3978" s="5" t="s">
        <v>92</v>
      </c>
      <c r="F3978" s="6">
        <v>42370</v>
      </c>
      <c r="G3978">
        <v>0</v>
      </c>
    </row>
    <row r="3979" spans="1:7" x14ac:dyDescent="0.25">
      <c r="A3979" s="5" t="s">
        <v>123</v>
      </c>
      <c r="B3979" s="5" t="s">
        <v>125</v>
      </c>
      <c r="C3979" s="5">
        <v>2420</v>
      </c>
      <c r="D3979" s="5" t="s">
        <v>78</v>
      </c>
      <c r="E3979" s="5" t="s">
        <v>92</v>
      </c>
      <c r="F3979" s="6">
        <v>42736</v>
      </c>
      <c r="G3979">
        <v>0</v>
      </c>
    </row>
    <row r="3980" spans="1:7" x14ac:dyDescent="0.25">
      <c r="A3980" s="5" t="s">
        <v>123</v>
      </c>
      <c r="B3980" s="5" t="s">
        <v>125</v>
      </c>
      <c r="C3980" s="5">
        <v>2420</v>
      </c>
      <c r="D3980" s="5" t="s">
        <v>78</v>
      </c>
      <c r="E3980" s="5" t="s">
        <v>93</v>
      </c>
      <c r="F3980" s="6">
        <v>42370</v>
      </c>
      <c r="G3980">
        <v>0</v>
      </c>
    </row>
    <row r="3981" spans="1:7" x14ac:dyDescent="0.25">
      <c r="A3981" s="5" t="s">
        <v>123</v>
      </c>
      <c r="B3981" s="5" t="s">
        <v>125</v>
      </c>
      <c r="C3981" s="5">
        <v>2420</v>
      </c>
      <c r="D3981" s="5" t="s">
        <v>78</v>
      </c>
      <c r="E3981" s="5" t="s">
        <v>93</v>
      </c>
      <c r="F3981" s="6">
        <v>42736</v>
      </c>
      <c r="G3981">
        <v>0</v>
      </c>
    </row>
    <row r="3982" spans="1:7" x14ac:dyDescent="0.25">
      <c r="A3982" s="5" t="s">
        <v>123</v>
      </c>
      <c r="B3982" s="5" t="s">
        <v>125</v>
      </c>
      <c r="C3982" s="5">
        <v>2420</v>
      </c>
      <c r="D3982" s="5" t="s">
        <v>78</v>
      </c>
      <c r="E3982" s="5" t="s">
        <v>94</v>
      </c>
      <c r="F3982" s="6">
        <v>42370</v>
      </c>
      <c r="G3982">
        <v>0</v>
      </c>
    </row>
    <row r="3983" spans="1:7" x14ac:dyDescent="0.25">
      <c r="A3983" s="5" t="s">
        <v>123</v>
      </c>
      <c r="B3983" s="5" t="s">
        <v>125</v>
      </c>
      <c r="C3983" s="5">
        <v>2420</v>
      </c>
      <c r="D3983" s="5" t="s">
        <v>78</v>
      </c>
      <c r="E3983" s="5" t="s">
        <v>94</v>
      </c>
      <c r="F3983" s="6">
        <v>42736</v>
      </c>
      <c r="G3983">
        <v>0</v>
      </c>
    </row>
    <row r="3984" spans="1:7" x14ac:dyDescent="0.25">
      <c r="A3984" s="5" t="s">
        <v>123</v>
      </c>
      <c r="B3984" s="5" t="s">
        <v>125</v>
      </c>
      <c r="C3984" s="5">
        <v>2420</v>
      </c>
      <c r="D3984" s="5" t="s">
        <v>78</v>
      </c>
      <c r="E3984" s="5" t="s">
        <v>95</v>
      </c>
      <c r="F3984" s="6">
        <v>42370</v>
      </c>
      <c r="G3984">
        <v>0</v>
      </c>
    </row>
    <row r="3985" spans="1:7" x14ac:dyDescent="0.25">
      <c r="A3985" s="5" t="s">
        <v>123</v>
      </c>
      <c r="B3985" s="5" t="s">
        <v>125</v>
      </c>
      <c r="C3985" s="5">
        <v>2420</v>
      </c>
      <c r="D3985" s="5" t="s">
        <v>78</v>
      </c>
      <c r="E3985" s="5" t="s">
        <v>95</v>
      </c>
      <c r="F3985" s="6">
        <v>42736</v>
      </c>
      <c r="G3985">
        <v>0</v>
      </c>
    </row>
    <row r="3986" spans="1:7" x14ac:dyDescent="0.25">
      <c r="A3986" s="5" t="s">
        <v>123</v>
      </c>
      <c r="B3986" s="5" t="s">
        <v>125</v>
      </c>
      <c r="C3986" s="5">
        <v>2420</v>
      </c>
      <c r="D3986" s="5" t="s">
        <v>78</v>
      </c>
      <c r="E3986" s="5" t="s">
        <v>96</v>
      </c>
      <c r="F3986" s="6">
        <v>42370</v>
      </c>
      <c r="G3986">
        <v>0</v>
      </c>
    </row>
    <row r="3987" spans="1:7" x14ac:dyDescent="0.25">
      <c r="A3987" s="5" t="s">
        <v>123</v>
      </c>
      <c r="B3987" s="5" t="s">
        <v>125</v>
      </c>
      <c r="C3987" s="5">
        <v>2420</v>
      </c>
      <c r="D3987" s="5" t="s">
        <v>78</v>
      </c>
      <c r="E3987" s="5" t="s">
        <v>96</v>
      </c>
      <c r="F3987" s="6">
        <v>42736</v>
      </c>
      <c r="G3987">
        <v>0</v>
      </c>
    </row>
    <row r="3988" spans="1:7" x14ac:dyDescent="0.25">
      <c r="A3988" s="5" t="s">
        <v>123</v>
      </c>
      <c r="B3988" s="5" t="s">
        <v>125</v>
      </c>
      <c r="C3988" s="5">
        <v>2420</v>
      </c>
      <c r="D3988" s="5" t="s">
        <v>78</v>
      </c>
      <c r="E3988" s="5" t="s">
        <v>97</v>
      </c>
      <c r="F3988" s="6">
        <v>42370</v>
      </c>
      <c r="G3988">
        <v>0</v>
      </c>
    </row>
    <row r="3989" spans="1:7" x14ac:dyDescent="0.25">
      <c r="A3989" s="5" t="s">
        <v>123</v>
      </c>
      <c r="B3989" s="5" t="s">
        <v>125</v>
      </c>
      <c r="C3989" s="5">
        <v>2420</v>
      </c>
      <c r="D3989" s="5" t="s">
        <v>78</v>
      </c>
      <c r="E3989" s="5" t="s">
        <v>97</v>
      </c>
      <c r="F3989" s="6">
        <v>42736</v>
      </c>
      <c r="G3989">
        <v>0</v>
      </c>
    </row>
    <row r="3990" spans="1:7" x14ac:dyDescent="0.25">
      <c r="A3990" s="5" t="s">
        <v>123</v>
      </c>
      <c r="B3990" s="5" t="s">
        <v>125</v>
      </c>
      <c r="C3990" s="5">
        <v>2420</v>
      </c>
      <c r="D3990" s="5" t="s">
        <v>78</v>
      </c>
      <c r="E3990" s="5" t="s">
        <v>98</v>
      </c>
      <c r="F3990" s="6">
        <v>42370</v>
      </c>
      <c r="G3990">
        <v>0</v>
      </c>
    </row>
    <row r="3991" spans="1:7" x14ac:dyDescent="0.25">
      <c r="A3991" s="5" t="s">
        <v>123</v>
      </c>
      <c r="B3991" s="5" t="s">
        <v>125</v>
      </c>
      <c r="C3991" s="5">
        <v>2420</v>
      </c>
      <c r="D3991" s="5" t="s">
        <v>78</v>
      </c>
      <c r="E3991" s="5" t="s">
        <v>98</v>
      </c>
      <c r="F3991" s="6">
        <v>42736</v>
      </c>
      <c r="G3991">
        <v>0</v>
      </c>
    </row>
    <row r="3992" spans="1:7" x14ac:dyDescent="0.25">
      <c r="A3992" s="5" t="s">
        <v>123</v>
      </c>
      <c r="B3992" s="5" t="s">
        <v>126</v>
      </c>
      <c r="C3992" s="5">
        <v>2400</v>
      </c>
      <c r="D3992" s="5" t="s">
        <v>8</v>
      </c>
      <c r="E3992" s="5" t="s">
        <v>9</v>
      </c>
      <c r="F3992" s="6">
        <v>42370</v>
      </c>
      <c r="G3992">
        <v>0</v>
      </c>
    </row>
    <row r="3993" spans="1:7" x14ac:dyDescent="0.25">
      <c r="A3993" s="5" t="s">
        <v>123</v>
      </c>
      <c r="B3993" s="5" t="s">
        <v>126</v>
      </c>
      <c r="C3993" s="5">
        <v>2400</v>
      </c>
      <c r="D3993" s="5" t="s">
        <v>8</v>
      </c>
      <c r="E3993" s="5" t="s">
        <v>9</v>
      </c>
      <c r="F3993" s="6">
        <v>42736</v>
      </c>
      <c r="G3993">
        <v>0</v>
      </c>
    </row>
    <row r="3994" spans="1:7" x14ac:dyDescent="0.25">
      <c r="A3994" s="5" t="s">
        <v>123</v>
      </c>
      <c r="B3994" s="5" t="s">
        <v>126</v>
      </c>
      <c r="C3994" s="5">
        <v>2400</v>
      </c>
      <c r="D3994" s="5" t="s">
        <v>8</v>
      </c>
      <c r="E3994" s="5" t="s">
        <v>10</v>
      </c>
      <c r="F3994" s="6">
        <v>42370</v>
      </c>
      <c r="G3994">
        <v>264</v>
      </c>
    </row>
    <row r="3995" spans="1:7" x14ac:dyDescent="0.25">
      <c r="A3995" s="5" t="s">
        <v>123</v>
      </c>
      <c r="B3995" s="5" t="s">
        <v>126</v>
      </c>
      <c r="C3995" s="5">
        <v>2400</v>
      </c>
      <c r="D3995" s="5" t="s">
        <v>8</v>
      </c>
      <c r="E3995" s="5" t="s">
        <v>10</v>
      </c>
      <c r="F3995" s="6">
        <v>42736</v>
      </c>
      <c r="G3995">
        <v>409</v>
      </c>
    </row>
    <row r="3996" spans="1:7" x14ac:dyDescent="0.25">
      <c r="A3996" s="5" t="s">
        <v>123</v>
      </c>
      <c r="B3996" s="5" t="s">
        <v>126</v>
      </c>
      <c r="C3996" s="5">
        <v>2400</v>
      </c>
      <c r="D3996" s="5" t="s">
        <v>8</v>
      </c>
      <c r="E3996" s="5" t="s">
        <v>11</v>
      </c>
      <c r="F3996" s="6">
        <v>42370</v>
      </c>
      <c r="G3996">
        <v>26</v>
      </c>
    </row>
    <row r="3997" spans="1:7" x14ac:dyDescent="0.25">
      <c r="A3997" s="5" t="s">
        <v>123</v>
      </c>
      <c r="B3997" s="5" t="s">
        <v>126</v>
      </c>
      <c r="C3997" s="5">
        <v>2400</v>
      </c>
      <c r="D3997" s="5" t="s">
        <v>8</v>
      </c>
      <c r="E3997" s="5" t="s">
        <v>11</v>
      </c>
      <c r="F3997" s="6">
        <v>42736</v>
      </c>
      <c r="G3997">
        <v>230</v>
      </c>
    </row>
    <row r="3998" spans="1:7" x14ac:dyDescent="0.25">
      <c r="A3998" s="5" t="s">
        <v>123</v>
      </c>
      <c r="B3998" s="5" t="s">
        <v>126</v>
      </c>
      <c r="C3998" s="5">
        <v>2400</v>
      </c>
      <c r="D3998" s="5" t="s">
        <v>8</v>
      </c>
      <c r="E3998" s="5" t="s">
        <v>12</v>
      </c>
      <c r="F3998" s="6">
        <v>42370</v>
      </c>
      <c r="G3998">
        <v>0</v>
      </c>
    </row>
    <row r="3999" spans="1:7" x14ac:dyDescent="0.25">
      <c r="A3999" s="5" t="s">
        <v>123</v>
      </c>
      <c r="B3999" s="5" t="s">
        <v>126</v>
      </c>
      <c r="C3999" s="5">
        <v>2400</v>
      </c>
      <c r="D3999" s="5" t="s">
        <v>8</v>
      </c>
      <c r="E3999" s="5" t="s">
        <v>12</v>
      </c>
      <c r="F3999" s="6">
        <v>42736</v>
      </c>
      <c r="G3999">
        <v>0</v>
      </c>
    </row>
    <row r="4000" spans="1:7" x14ac:dyDescent="0.25">
      <c r="A4000" s="5" t="s">
        <v>123</v>
      </c>
      <c r="B4000" s="5" t="s">
        <v>126</v>
      </c>
      <c r="C4000" s="5">
        <v>2400</v>
      </c>
      <c r="D4000" s="5" t="s">
        <v>8</v>
      </c>
      <c r="E4000" s="5" t="s">
        <v>13</v>
      </c>
      <c r="F4000" s="6">
        <v>42370</v>
      </c>
      <c r="G4000">
        <v>0</v>
      </c>
    </row>
    <row r="4001" spans="1:7" x14ac:dyDescent="0.25">
      <c r="A4001" s="5" t="s">
        <v>123</v>
      </c>
      <c r="B4001" s="5" t="s">
        <v>126</v>
      </c>
      <c r="C4001" s="5">
        <v>2400</v>
      </c>
      <c r="D4001" s="5" t="s">
        <v>8</v>
      </c>
      <c r="E4001" s="5" t="s">
        <v>13</v>
      </c>
      <c r="F4001" s="6">
        <v>42736</v>
      </c>
      <c r="G4001">
        <v>0</v>
      </c>
    </row>
    <row r="4002" spans="1:7" x14ac:dyDescent="0.25">
      <c r="A4002" s="5" t="s">
        <v>123</v>
      </c>
      <c r="B4002" s="5" t="s">
        <v>126</v>
      </c>
      <c r="C4002" s="5">
        <v>2400</v>
      </c>
      <c r="D4002" s="5" t="s">
        <v>8</v>
      </c>
      <c r="E4002" s="5" t="s">
        <v>14</v>
      </c>
      <c r="F4002" s="6">
        <v>42370</v>
      </c>
      <c r="G4002">
        <v>0</v>
      </c>
    </row>
    <row r="4003" spans="1:7" x14ac:dyDescent="0.25">
      <c r="A4003" s="5" t="s">
        <v>123</v>
      </c>
      <c r="B4003" s="5" t="s">
        <v>126</v>
      </c>
      <c r="C4003" s="5">
        <v>2400</v>
      </c>
      <c r="D4003" s="5" t="s">
        <v>8</v>
      </c>
      <c r="E4003" s="5" t="s">
        <v>14</v>
      </c>
      <c r="F4003" s="6">
        <v>42736</v>
      </c>
      <c r="G4003">
        <v>0</v>
      </c>
    </row>
    <row r="4004" spans="1:7" x14ac:dyDescent="0.25">
      <c r="A4004" s="5" t="s">
        <v>123</v>
      </c>
      <c r="B4004" s="5" t="s">
        <v>126</v>
      </c>
      <c r="C4004" s="5">
        <v>2400</v>
      </c>
      <c r="D4004" s="5" t="s">
        <v>8</v>
      </c>
      <c r="E4004" s="5" t="s">
        <v>15</v>
      </c>
      <c r="F4004" s="6">
        <v>42370</v>
      </c>
      <c r="G4004">
        <v>0</v>
      </c>
    </row>
    <row r="4005" spans="1:7" x14ac:dyDescent="0.25">
      <c r="A4005" s="5" t="s">
        <v>123</v>
      </c>
      <c r="B4005" s="5" t="s">
        <v>126</v>
      </c>
      <c r="C4005" s="5">
        <v>2400</v>
      </c>
      <c r="D4005" s="5" t="s">
        <v>8</v>
      </c>
      <c r="E4005" s="5" t="s">
        <v>15</v>
      </c>
      <c r="F4005" s="6">
        <v>42736</v>
      </c>
      <c r="G4005">
        <v>0</v>
      </c>
    </row>
    <row r="4006" spans="1:7" x14ac:dyDescent="0.25">
      <c r="A4006" s="5" t="s">
        <v>123</v>
      </c>
      <c r="B4006" s="5" t="s">
        <v>126</v>
      </c>
      <c r="C4006" s="5">
        <v>2400</v>
      </c>
      <c r="D4006" s="5" t="s">
        <v>8</v>
      </c>
      <c r="E4006" s="5" t="s">
        <v>16</v>
      </c>
      <c r="F4006" s="6">
        <v>42370</v>
      </c>
      <c r="G4006">
        <v>54</v>
      </c>
    </row>
    <row r="4007" spans="1:7" x14ac:dyDescent="0.25">
      <c r="A4007" s="5" t="s">
        <v>123</v>
      </c>
      <c r="B4007" s="5" t="s">
        <v>126</v>
      </c>
      <c r="C4007" s="5">
        <v>2400</v>
      </c>
      <c r="D4007" s="5" t="s">
        <v>8</v>
      </c>
      <c r="E4007" s="5" t="s">
        <v>16</v>
      </c>
      <c r="F4007" s="6">
        <v>42736</v>
      </c>
      <c r="G4007">
        <v>92</v>
      </c>
    </row>
    <row r="4008" spans="1:7" x14ac:dyDescent="0.25">
      <c r="A4008" s="5" t="s">
        <v>123</v>
      </c>
      <c r="B4008" s="5" t="s">
        <v>126</v>
      </c>
      <c r="C4008" s="5">
        <v>2400</v>
      </c>
      <c r="D4008" s="5" t="s">
        <v>8</v>
      </c>
      <c r="E4008" s="5" t="s">
        <v>17</v>
      </c>
      <c r="F4008" s="6">
        <v>42370</v>
      </c>
      <c r="G4008">
        <v>0</v>
      </c>
    </row>
    <row r="4009" spans="1:7" x14ac:dyDescent="0.25">
      <c r="A4009" s="5" t="s">
        <v>123</v>
      </c>
      <c r="B4009" s="5" t="s">
        <v>126</v>
      </c>
      <c r="C4009" s="5">
        <v>2400</v>
      </c>
      <c r="D4009" s="5" t="s">
        <v>8</v>
      </c>
      <c r="E4009" s="5" t="s">
        <v>17</v>
      </c>
      <c r="F4009" s="6">
        <v>42736</v>
      </c>
      <c r="G4009">
        <v>0</v>
      </c>
    </row>
    <row r="4010" spans="1:7" x14ac:dyDescent="0.25">
      <c r="A4010" s="5" t="s">
        <v>123</v>
      </c>
      <c r="B4010" s="5" t="s">
        <v>126</v>
      </c>
      <c r="C4010" s="5">
        <v>2400</v>
      </c>
      <c r="D4010" s="5" t="s">
        <v>8</v>
      </c>
      <c r="E4010" s="5" t="s">
        <v>18</v>
      </c>
      <c r="F4010" s="6">
        <v>42370</v>
      </c>
      <c r="G4010">
        <v>15</v>
      </c>
    </row>
    <row r="4011" spans="1:7" x14ac:dyDescent="0.25">
      <c r="A4011" s="5" t="s">
        <v>123</v>
      </c>
      <c r="B4011" s="5" t="s">
        <v>126</v>
      </c>
      <c r="C4011" s="5">
        <v>2400</v>
      </c>
      <c r="D4011" s="5" t="s">
        <v>8</v>
      </c>
      <c r="E4011" s="5" t="s">
        <v>18</v>
      </c>
      <c r="F4011" s="6">
        <v>42736</v>
      </c>
      <c r="G4011">
        <v>36</v>
      </c>
    </row>
    <row r="4012" spans="1:7" x14ac:dyDescent="0.25">
      <c r="A4012" s="5" t="s">
        <v>123</v>
      </c>
      <c r="B4012" s="5" t="s">
        <v>126</v>
      </c>
      <c r="C4012" s="5">
        <v>2400</v>
      </c>
      <c r="D4012" s="5" t="s">
        <v>8</v>
      </c>
      <c r="E4012" s="5" t="s">
        <v>19</v>
      </c>
      <c r="F4012" s="6">
        <v>42370</v>
      </c>
      <c r="G4012">
        <v>0</v>
      </c>
    </row>
    <row r="4013" spans="1:7" x14ac:dyDescent="0.25">
      <c r="A4013" s="5" t="s">
        <v>123</v>
      </c>
      <c r="B4013" s="5" t="s">
        <v>126</v>
      </c>
      <c r="C4013" s="5">
        <v>2400</v>
      </c>
      <c r="D4013" s="5" t="s">
        <v>8</v>
      </c>
      <c r="E4013" s="5" t="s">
        <v>19</v>
      </c>
      <c r="F4013" s="6">
        <v>42736</v>
      </c>
      <c r="G4013">
        <v>0</v>
      </c>
    </row>
    <row r="4014" spans="1:7" x14ac:dyDescent="0.25">
      <c r="A4014" s="5" t="s">
        <v>123</v>
      </c>
      <c r="B4014" s="5" t="s">
        <v>126</v>
      </c>
      <c r="C4014" s="5">
        <v>2400</v>
      </c>
      <c r="D4014" s="5" t="s">
        <v>20</v>
      </c>
      <c r="E4014" s="5" t="s">
        <v>9</v>
      </c>
      <c r="F4014" s="6">
        <v>42370</v>
      </c>
      <c r="G4014">
        <v>3</v>
      </c>
    </row>
    <row r="4015" spans="1:7" x14ac:dyDescent="0.25">
      <c r="A4015" s="5" t="s">
        <v>123</v>
      </c>
      <c r="B4015" s="5" t="s">
        <v>126</v>
      </c>
      <c r="C4015" s="5">
        <v>2400</v>
      </c>
      <c r="D4015" s="5" t="s">
        <v>20</v>
      </c>
      <c r="E4015" s="5" t="s">
        <v>9</v>
      </c>
      <c r="F4015" s="6">
        <v>42736</v>
      </c>
      <c r="G4015">
        <v>36</v>
      </c>
    </row>
    <row r="4016" spans="1:7" x14ac:dyDescent="0.25">
      <c r="A4016" s="5" t="s">
        <v>123</v>
      </c>
      <c r="B4016" s="5" t="s">
        <v>126</v>
      </c>
      <c r="C4016" s="5">
        <v>2400</v>
      </c>
      <c r="D4016" s="5" t="s">
        <v>20</v>
      </c>
      <c r="E4016" s="5" t="s">
        <v>21</v>
      </c>
      <c r="F4016" s="6">
        <v>42370</v>
      </c>
      <c r="G4016">
        <v>0</v>
      </c>
    </row>
    <row r="4017" spans="1:7" x14ac:dyDescent="0.25">
      <c r="A4017" s="5" t="s">
        <v>123</v>
      </c>
      <c r="B4017" s="5" t="s">
        <v>126</v>
      </c>
      <c r="C4017" s="5">
        <v>2400</v>
      </c>
      <c r="D4017" s="5" t="s">
        <v>20</v>
      </c>
      <c r="E4017" s="5" t="s">
        <v>21</v>
      </c>
      <c r="F4017" s="6">
        <v>42736</v>
      </c>
      <c r="G4017">
        <v>0</v>
      </c>
    </row>
    <row r="4018" spans="1:7" x14ac:dyDescent="0.25">
      <c r="A4018" s="5" t="s">
        <v>123</v>
      </c>
      <c r="B4018" s="5" t="s">
        <v>126</v>
      </c>
      <c r="C4018" s="5">
        <v>2400</v>
      </c>
      <c r="D4018" s="5" t="s">
        <v>20</v>
      </c>
      <c r="E4018" s="5" t="s">
        <v>22</v>
      </c>
      <c r="F4018" s="6">
        <v>42370</v>
      </c>
      <c r="G4018">
        <v>1</v>
      </c>
    </row>
    <row r="4019" spans="1:7" x14ac:dyDescent="0.25">
      <c r="A4019" s="5" t="s">
        <v>123</v>
      </c>
      <c r="B4019" s="5" t="s">
        <v>126</v>
      </c>
      <c r="C4019" s="5">
        <v>2400</v>
      </c>
      <c r="D4019" s="5" t="s">
        <v>20</v>
      </c>
      <c r="E4019" s="5" t="s">
        <v>22</v>
      </c>
      <c r="F4019" s="6">
        <v>42736</v>
      </c>
      <c r="G4019">
        <v>5</v>
      </c>
    </row>
    <row r="4020" spans="1:7" x14ac:dyDescent="0.25">
      <c r="A4020" s="5" t="s">
        <v>123</v>
      </c>
      <c r="B4020" s="5" t="s">
        <v>126</v>
      </c>
      <c r="C4020" s="5">
        <v>2400</v>
      </c>
      <c r="D4020" s="5" t="s">
        <v>20</v>
      </c>
      <c r="E4020" s="5" t="s">
        <v>23</v>
      </c>
      <c r="F4020" s="6">
        <v>42370</v>
      </c>
      <c r="G4020">
        <v>3</v>
      </c>
    </row>
    <row r="4021" spans="1:7" x14ac:dyDescent="0.25">
      <c r="A4021" s="5" t="s">
        <v>123</v>
      </c>
      <c r="B4021" s="5" t="s">
        <v>126</v>
      </c>
      <c r="C4021" s="5">
        <v>2400</v>
      </c>
      <c r="D4021" s="5" t="s">
        <v>20</v>
      </c>
      <c r="E4021" s="5" t="s">
        <v>23</v>
      </c>
      <c r="F4021" s="6">
        <v>42736</v>
      </c>
      <c r="G4021">
        <v>8</v>
      </c>
    </row>
    <row r="4022" spans="1:7" x14ac:dyDescent="0.25">
      <c r="A4022" s="5" t="s">
        <v>123</v>
      </c>
      <c r="B4022" s="5" t="s">
        <v>126</v>
      </c>
      <c r="C4022" s="5">
        <v>2400</v>
      </c>
      <c r="D4022" s="5" t="s">
        <v>20</v>
      </c>
      <c r="E4022" s="5" t="s">
        <v>24</v>
      </c>
      <c r="F4022" s="6">
        <v>42370</v>
      </c>
      <c r="G4022">
        <v>0</v>
      </c>
    </row>
    <row r="4023" spans="1:7" x14ac:dyDescent="0.25">
      <c r="A4023" s="5" t="s">
        <v>123</v>
      </c>
      <c r="B4023" s="5" t="s">
        <v>126</v>
      </c>
      <c r="C4023" s="5">
        <v>2400</v>
      </c>
      <c r="D4023" s="5" t="s">
        <v>20</v>
      </c>
      <c r="E4023" s="5" t="s">
        <v>24</v>
      </c>
      <c r="F4023" s="6">
        <v>42736</v>
      </c>
      <c r="G4023">
        <v>0</v>
      </c>
    </row>
    <row r="4024" spans="1:7" x14ac:dyDescent="0.25">
      <c r="A4024" s="5" t="s">
        <v>123</v>
      </c>
      <c r="B4024" s="5" t="s">
        <v>126</v>
      </c>
      <c r="C4024" s="5">
        <v>2400</v>
      </c>
      <c r="D4024" s="5" t="s">
        <v>20</v>
      </c>
      <c r="E4024" s="5" t="s">
        <v>25</v>
      </c>
      <c r="F4024" s="6">
        <v>42370</v>
      </c>
      <c r="G4024">
        <v>0</v>
      </c>
    </row>
    <row r="4025" spans="1:7" x14ac:dyDescent="0.25">
      <c r="A4025" s="5" t="s">
        <v>123</v>
      </c>
      <c r="B4025" s="5" t="s">
        <v>126</v>
      </c>
      <c r="C4025" s="5">
        <v>2400</v>
      </c>
      <c r="D4025" s="5" t="s">
        <v>20</v>
      </c>
      <c r="E4025" s="5" t="s">
        <v>25</v>
      </c>
      <c r="F4025" s="6">
        <v>42736</v>
      </c>
      <c r="G4025">
        <v>0</v>
      </c>
    </row>
    <row r="4026" spans="1:7" x14ac:dyDescent="0.25">
      <c r="A4026" s="5" t="s">
        <v>123</v>
      </c>
      <c r="B4026" s="5" t="s">
        <v>126</v>
      </c>
      <c r="C4026" s="5">
        <v>2400</v>
      </c>
      <c r="D4026" s="5" t="s">
        <v>20</v>
      </c>
      <c r="E4026" s="5" t="s">
        <v>26</v>
      </c>
      <c r="F4026" s="6">
        <v>42370</v>
      </c>
      <c r="G4026">
        <v>160</v>
      </c>
    </row>
    <row r="4027" spans="1:7" x14ac:dyDescent="0.25">
      <c r="A4027" s="5" t="s">
        <v>123</v>
      </c>
      <c r="B4027" s="5" t="s">
        <v>126</v>
      </c>
      <c r="C4027" s="5">
        <v>2400</v>
      </c>
      <c r="D4027" s="5" t="s">
        <v>20</v>
      </c>
      <c r="E4027" s="5" t="s">
        <v>26</v>
      </c>
      <c r="F4027" s="6">
        <v>42736</v>
      </c>
      <c r="G4027">
        <v>246</v>
      </c>
    </row>
    <row r="4028" spans="1:7" x14ac:dyDescent="0.25">
      <c r="A4028" s="5" t="s">
        <v>123</v>
      </c>
      <c r="B4028" s="5" t="s">
        <v>126</v>
      </c>
      <c r="C4028" s="5">
        <v>2400</v>
      </c>
      <c r="D4028" s="5" t="s">
        <v>20</v>
      </c>
      <c r="E4028" s="5" t="s">
        <v>27</v>
      </c>
      <c r="F4028" s="6">
        <v>42370</v>
      </c>
      <c r="G4028">
        <v>2</v>
      </c>
    </row>
    <row r="4029" spans="1:7" x14ac:dyDescent="0.25">
      <c r="A4029" s="5" t="s">
        <v>123</v>
      </c>
      <c r="B4029" s="5" t="s">
        <v>126</v>
      </c>
      <c r="C4029" s="5">
        <v>2400</v>
      </c>
      <c r="D4029" s="5" t="s">
        <v>20</v>
      </c>
      <c r="E4029" s="5" t="s">
        <v>27</v>
      </c>
      <c r="F4029" s="6">
        <v>42736</v>
      </c>
      <c r="G4029">
        <v>7</v>
      </c>
    </row>
    <row r="4030" spans="1:7" x14ac:dyDescent="0.25">
      <c r="A4030" s="5" t="s">
        <v>123</v>
      </c>
      <c r="B4030" s="5" t="s">
        <v>126</v>
      </c>
      <c r="C4030" s="5">
        <v>2400</v>
      </c>
      <c r="D4030" s="5" t="s">
        <v>20</v>
      </c>
      <c r="E4030" s="5" t="s">
        <v>28</v>
      </c>
      <c r="F4030" s="6">
        <v>42370</v>
      </c>
      <c r="G4030">
        <v>0</v>
      </c>
    </row>
    <row r="4031" spans="1:7" x14ac:dyDescent="0.25">
      <c r="A4031" s="5" t="s">
        <v>123</v>
      </c>
      <c r="B4031" s="5" t="s">
        <v>126</v>
      </c>
      <c r="C4031" s="5">
        <v>2400</v>
      </c>
      <c r="D4031" s="5" t="s">
        <v>20</v>
      </c>
      <c r="E4031" s="5" t="s">
        <v>28</v>
      </c>
      <c r="F4031" s="6">
        <v>42736</v>
      </c>
      <c r="G4031">
        <v>0</v>
      </c>
    </row>
    <row r="4032" spans="1:7" x14ac:dyDescent="0.25">
      <c r="A4032" s="5" t="s">
        <v>123</v>
      </c>
      <c r="B4032" s="5" t="s">
        <v>126</v>
      </c>
      <c r="C4032" s="5">
        <v>2400</v>
      </c>
      <c r="D4032" s="5" t="s">
        <v>20</v>
      </c>
      <c r="E4032" s="5" t="s">
        <v>29</v>
      </c>
      <c r="F4032" s="6">
        <v>42370</v>
      </c>
      <c r="G4032">
        <v>162</v>
      </c>
    </row>
    <row r="4033" spans="1:7" x14ac:dyDescent="0.25">
      <c r="A4033" s="5" t="s">
        <v>123</v>
      </c>
      <c r="B4033" s="5" t="s">
        <v>126</v>
      </c>
      <c r="C4033" s="5">
        <v>2400</v>
      </c>
      <c r="D4033" s="5" t="s">
        <v>20</v>
      </c>
      <c r="E4033" s="5" t="s">
        <v>29</v>
      </c>
      <c r="F4033" s="6">
        <v>42736</v>
      </c>
      <c r="G4033">
        <v>257</v>
      </c>
    </row>
    <row r="4034" spans="1:7" x14ac:dyDescent="0.25">
      <c r="A4034" s="5" t="s">
        <v>123</v>
      </c>
      <c r="B4034" s="5" t="s">
        <v>126</v>
      </c>
      <c r="C4034" s="5">
        <v>2400</v>
      </c>
      <c r="D4034" s="5" t="s">
        <v>20</v>
      </c>
      <c r="E4034" s="5" t="s">
        <v>30</v>
      </c>
      <c r="F4034" s="6">
        <v>42370</v>
      </c>
      <c r="G4034">
        <v>159</v>
      </c>
    </row>
    <row r="4035" spans="1:7" x14ac:dyDescent="0.25">
      <c r="A4035" s="5" t="s">
        <v>123</v>
      </c>
      <c r="B4035" s="5" t="s">
        <v>126</v>
      </c>
      <c r="C4035" s="5">
        <v>2400</v>
      </c>
      <c r="D4035" s="5" t="s">
        <v>20</v>
      </c>
      <c r="E4035" s="5" t="s">
        <v>30</v>
      </c>
      <c r="F4035" s="6">
        <v>42736</v>
      </c>
      <c r="G4035">
        <v>252</v>
      </c>
    </row>
    <row r="4036" spans="1:7" x14ac:dyDescent="0.25">
      <c r="A4036" s="5" t="s">
        <v>123</v>
      </c>
      <c r="B4036" s="5" t="s">
        <v>126</v>
      </c>
      <c r="C4036" s="5">
        <v>2400</v>
      </c>
      <c r="D4036" s="5" t="s">
        <v>20</v>
      </c>
      <c r="E4036" s="5" t="s">
        <v>31</v>
      </c>
      <c r="F4036" s="6">
        <v>42370</v>
      </c>
      <c r="G4036">
        <v>276</v>
      </c>
    </row>
    <row r="4037" spans="1:7" x14ac:dyDescent="0.25">
      <c r="A4037" s="5" t="s">
        <v>123</v>
      </c>
      <c r="B4037" s="5" t="s">
        <v>126</v>
      </c>
      <c r="C4037" s="5">
        <v>2400</v>
      </c>
      <c r="D4037" s="5" t="s">
        <v>20</v>
      </c>
      <c r="E4037" s="5" t="s">
        <v>31</v>
      </c>
      <c r="F4037" s="6">
        <v>42736</v>
      </c>
      <c r="G4037">
        <v>434</v>
      </c>
    </row>
    <row r="4038" spans="1:7" x14ac:dyDescent="0.25">
      <c r="A4038" s="5" t="s">
        <v>123</v>
      </c>
      <c r="B4038" s="5" t="s">
        <v>126</v>
      </c>
      <c r="C4038" s="5">
        <v>2400</v>
      </c>
      <c r="D4038" s="5" t="s">
        <v>20</v>
      </c>
      <c r="E4038" s="5" t="s">
        <v>32</v>
      </c>
      <c r="F4038" s="6">
        <v>42370</v>
      </c>
      <c r="G4038">
        <v>159</v>
      </c>
    </row>
    <row r="4039" spans="1:7" x14ac:dyDescent="0.25">
      <c r="A4039" s="5" t="s">
        <v>123</v>
      </c>
      <c r="B4039" s="5" t="s">
        <v>126</v>
      </c>
      <c r="C4039" s="5">
        <v>2400</v>
      </c>
      <c r="D4039" s="5" t="s">
        <v>20</v>
      </c>
      <c r="E4039" s="5" t="s">
        <v>32</v>
      </c>
      <c r="F4039" s="6">
        <v>42736</v>
      </c>
      <c r="G4039">
        <v>259</v>
      </c>
    </row>
    <row r="4040" spans="1:7" x14ac:dyDescent="0.25">
      <c r="A4040" s="5" t="s">
        <v>123</v>
      </c>
      <c r="B4040" s="5" t="s">
        <v>126</v>
      </c>
      <c r="C4040" s="5">
        <v>2400</v>
      </c>
      <c r="D4040" s="5" t="s">
        <v>33</v>
      </c>
      <c r="E4040" s="5" t="s">
        <v>9</v>
      </c>
      <c r="F4040" s="6">
        <v>42370</v>
      </c>
      <c r="G4040">
        <v>0</v>
      </c>
    </row>
    <row r="4041" spans="1:7" x14ac:dyDescent="0.25">
      <c r="A4041" s="5" t="s">
        <v>123</v>
      </c>
      <c r="B4041" s="5" t="s">
        <v>126</v>
      </c>
      <c r="C4041" s="5">
        <v>2400</v>
      </c>
      <c r="D4041" s="5" t="s">
        <v>33</v>
      </c>
      <c r="E4041" s="5" t="s">
        <v>9</v>
      </c>
      <c r="F4041" s="6">
        <v>42736</v>
      </c>
      <c r="G4041">
        <v>0</v>
      </c>
    </row>
    <row r="4042" spans="1:7" x14ac:dyDescent="0.25">
      <c r="A4042" s="5" t="s">
        <v>123</v>
      </c>
      <c r="B4042" s="5" t="s">
        <v>126</v>
      </c>
      <c r="C4042" s="5">
        <v>2400</v>
      </c>
      <c r="D4042" s="5" t="s">
        <v>33</v>
      </c>
      <c r="E4042" s="5" t="s">
        <v>34</v>
      </c>
      <c r="F4042" s="6">
        <v>42370</v>
      </c>
      <c r="G4042">
        <v>0</v>
      </c>
    </row>
    <row r="4043" spans="1:7" x14ac:dyDescent="0.25">
      <c r="A4043" s="5" t="s">
        <v>123</v>
      </c>
      <c r="B4043" s="5" t="s">
        <v>126</v>
      </c>
      <c r="C4043" s="5">
        <v>2400</v>
      </c>
      <c r="D4043" s="5" t="s">
        <v>33</v>
      </c>
      <c r="E4043" s="5" t="s">
        <v>34</v>
      </c>
      <c r="F4043" s="6">
        <v>42736</v>
      </c>
      <c r="G4043">
        <v>0</v>
      </c>
    </row>
    <row r="4044" spans="1:7" x14ac:dyDescent="0.25">
      <c r="A4044" s="5" t="s">
        <v>123</v>
      </c>
      <c r="B4044" s="5" t="s">
        <v>126</v>
      </c>
      <c r="C4044" s="5">
        <v>2400</v>
      </c>
      <c r="D4044" s="5" t="s">
        <v>35</v>
      </c>
      <c r="E4044" s="5" t="s">
        <v>36</v>
      </c>
      <c r="F4044" s="6">
        <v>42370</v>
      </c>
      <c r="G4044">
        <v>0</v>
      </c>
    </row>
    <row r="4045" spans="1:7" x14ac:dyDescent="0.25">
      <c r="A4045" s="5" t="s">
        <v>123</v>
      </c>
      <c r="B4045" s="5" t="s">
        <v>126</v>
      </c>
      <c r="C4045" s="5">
        <v>2400</v>
      </c>
      <c r="D4045" s="5" t="s">
        <v>35</v>
      </c>
      <c r="E4045" s="5" t="s">
        <v>36</v>
      </c>
      <c r="F4045" s="6">
        <v>42736</v>
      </c>
      <c r="G4045">
        <v>0</v>
      </c>
    </row>
    <row r="4046" spans="1:7" x14ac:dyDescent="0.25">
      <c r="A4046" s="5" t="s">
        <v>123</v>
      </c>
      <c r="B4046" s="5" t="s">
        <v>126</v>
      </c>
      <c r="C4046" s="5">
        <v>2400</v>
      </c>
      <c r="D4046" s="5" t="s">
        <v>35</v>
      </c>
      <c r="E4046" s="5" t="s">
        <v>37</v>
      </c>
      <c r="F4046" s="6">
        <v>42370</v>
      </c>
      <c r="G4046">
        <v>0</v>
      </c>
    </row>
    <row r="4047" spans="1:7" x14ac:dyDescent="0.25">
      <c r="A4047" s="5" t="s">
        <v>123</v>
      </c>
      <c r="B4047" s="5" t="s">
        <v>126</v>
      </c>
      <c r="C4047" s="5">
        <v>2400</v>
      </c>
      <c r="D4047" s="5" t="s">
        <v>35</v>
      </c>
      <c r="E4047" s="5" t="s">
        <v>37</v>
      </c>
      <c r="F4047" s="6">
        <v>42736</v>
      </c>
      <c r="G4047">
        <v>0</v>
      </c>
    </row>
    <row r="4048" spans="1:7" x14ac:dyDescent="0.25">
      <c r="A4048" s="5" t="s">
        <v>123</v>
      </c>
      <c r="B4048" s="5" t="s">
        <v>126</v>
      </c>
      <c r="C4048" s="5">
        <v>2400</v>
      </c>
      <c r="D4048" s="5" t="s">
        <v>35</v>
      </c>
      <c r="E4048" s="5" t="s">
        <v>38</v>
      </c>
      <c r="F4048" s="6">
        <v>42370</v>
      </c>
      <c r="G4048">
        <v>0</v>
      </c>
    </row>
    <row r="4049" spans="1:7" x14ac:dyDescent="0.25">
      <c r="A4049" s="5" t="s">
        <v>123</v>
      </c>
      <c r="B4049" s="5" t="s">
        <v>126</v>
      </c>
      <c r="C4049" s="5">
        <v>2400</v>
      </c>
      <c r="D4049" s="5" t="s">
        <v>35</v>
      </c>
      <c r="E4049" s="5" t="s">
        <v>38</v>
      </c>
      <c r="F4049" s="6">
        <v>42736</v>
      </c>
      <c r="G4049">
        <v>0</v>
      </c>
    </row>
    <row r="4050" spans="1:7" x14ac:dyDescent="0.25">
      <c r="A4050" s="5" t="s">
        <v>123</v>
      </c>
      <c r="B4050" s="5" t="s">
        <v>126</v>
      </c>
      <c r="C4050" s="5">
        <v>2400</v>
      </c>
      <c r="D4050" s="5" t="s">
        <v>35</v>
      </c>
      <c r="E4050" s="5" t="s">
        <v>39</v>
      </c>
      <c r="F4050" s="6">
        <v>42370</v>
      </c>
      <c r="G4050">
        <v>0</v>
      </c>
    </row>
    <row r="4051" spans="1:7" x14ac:dyDescent="0.25">
      <c r="A4051" s="5" t="s">
        <v>123</v>
      </c>
      <c r="B4051" s="5" t="s">
        <v>126</v>
      </c>
      <c r="C4051" s="5">
        <v>2400</v>
      </c>
      <c r="D4051" s="5" t="s">
        <v>35</v>
      </c>
      <c r="E4051" s="5" t="s">
        <v>39</v>
      </c>
      <c r="F4051" s="6">
        <v>42736</v>
      </c>
      <c r="G4051">
        <v>0</v>
      </c>
    </row>
    <row r="4052" spans="1:7" x14ac:dyDescent="0.25">
      <c r="A4052" s="5" t="s">
        <v>123</v>
      </c>
      <c r="B4052" s="5" t="s">
        <v>126</v>
      </c>
      <c r="C4052" s="5">
        <v>2400</v>
      </c>
      <c r="D4052" s="5" t="s">
        <v>35</v>
      </c>
      <c r="E4052" s="5" t="s">
        <v>40</v>
      </c>
      <c r="F4052" s="6">
        <v>42370</v>
      </c>
      <c r="G4052">
        <v>0</v>
      </c>
    </row>
    <row r="4053" spans="1:7" x14ac:dyDescent="0.25">
      <c r="A4053" s="5" t="s">
        <v>123</v>
      </c>
      <c r="B4053" s="5" t="s">
        <v>126</v>
      </c>
      <c r="C4053" s="5">
        <v>2400</v>
      </c>
      <c r="D4053" s="5" t="s">
        <v>35</v>
      </c>
      <c r="E4053" s="5" t="s">
        <v>40</v>
      </c>
      <c r="F4053" s="6">
        <v>42736</v>
      </c>
      <c r="G4053">
        <v>0</v>
      </c>
    </row>
    <row r="4054" spans="1:7" x14ac:dyDescent="0.25">
      <c r="A4054" s="5" t="s">
        <v>123</v>
      </c>
      <c r="B4054" s="5" t="s">
        <v>126</v>
      </c>
      <c r="C4054" s="5">
        <v>2400</v>
      </c>
      <c r="D4054" s="5" t="s">
        <v>35</v>
      </c>
      <c r="E4054" s="5" t="s">
        <v>41</v>
      </c>
      <c r="F4054" s="6">
        <v>42370</v>
      </c>
      <c r="G4054">
        <v>1</v>
      </c>
    </row>
    <row r="4055" spans="1:7" x14ac:dyDescent="0.25">
      <c r="A4055" s="5" t="s">
        <v>123</v>
      </c>
      <c r="B4055" s="5" t="s">
        <v>126</v>
      </c>
      <c r="C4055" s="5">
        <v>2400</v>
      </c>
      <c r="D4055" s="5" t="s">
        <v>35</v>
      </c>
      <c r="E4055" s="5" t="s">
        <v>41</v>
      </c>
      <c r="F4055" s="6">
        <v>42736</v>
      </c>
      <c r="G4055">
        <v>0</v>
      </c>
    </row>
    <row r="4056" spans="1:7" x14ac:dyDescent="0.25">
      <c r="A4056" s="5" t="s">
        <v>123</v>
      </c>
      <c r="B4056" s="5" t="s">
        <v>126</v>
      </c>
      <c r="C4056" s="5">
        <v>2400</v>
      </c>
      <c r="D4056" s="5" t="s">
        <v>35</v>
      </c>
      <c r="E4056" s="5" t="s">
        <v>42</v>
      </c>
      <c r="F4056" s="6">
        <v>42370</v>
      </c>
      <c r="G4056">
        <v>0</v>
      </c>
    </row>
    <row r="4057" spans="1:7" x14ac:dyDescent="0.25">
      <c r="A4057" s="5" t="s">
        <v>123</v>
      </c>
      <c r="B4057" s="5" t="s">
        <v>126</v>
      </c>
      <c r="C4057" s="5">
        <v>2400</v>
      </c>
      <c r="D4057" s="5" t="s">
        <v>35</v>
      </c>
      <c r="E4057" s="5" t="s">
        <v>42</v>
      </c>
      <c r="F4057" s="6">
        <v>42736</v>
      </c>
      <c r="G4057">
        <v>0</v>
      </c>
    </row>
    <row r="4058" spans="1:7" x14ac:dyDescent="0.25">
      <c r="A4058" s="5" t="s">
        <v>123</v>
      </c>
      <c r="B4058" s="5" t="s">
        <v>126</v>
      </c>
      <c r="C4058" s="5">
        <v>2400</v>
      </c>
      <c r="D4058" s="5" t="s">
        <v>35</v>
      </c>
      <c r="E4058" s="5" t="s">
        <v>43</v>
      </c>
      <c r="F4058" s="6">
        <v>42370</v>
      </c>
      <c r="G4058">
        <v>1</v>
      </c>
    </row>
    <row r="4059" spans="1:7" x14ac:dyDescent="0.25">
      <c r="A4059" s="5" t="s">
        <v>123</v>
      </c>
      <c r="B4059" s="5" t="s">
        <v>126</v>
      </c>
      <c r="C4059" s="5">
        <v>2400</v>
      </c>
      <c r="D4059" s="5" t="s">
        <v>35</v>
      </c>
      <c r="E4059" s="5" t="s">
        <v>43</v>
      </c>
      <c r="F4059" s="6">
        <v>42736</v>
      </c>
      <c r="G4059">
        <v>0</v>
      </c>
    </row>
    <row r="4060" spans="1:7" x14ac:dyDescent="0.25">
      <c r="A4060" s="5" t="s">
        <v>123</v>
      </c>
      <c r="B4060" s="5" t="s">
        <v>126</v>
      </c>
      <c r="C4060" s="5">
        <v>2400</v>
      </c>
      <c r="D4060" s="5" t="s">
        <v>44</v>
      </c>
      <c r="E4060" s="5" t="s">
        <v>36</v>
      </c>
      <c r="F4060" s="6">
        <v>42370</v>
      </c>
      <c r="G4060">
        <v>0</v>
      </c>
    </row>
    <row r="4061" spans="1:7" x14ac:dyDescent="0.25">
      <c r="A4061" s="5" t="s">
        <v>123</v>
      </c>
      <c r="B4061" s="5" t="s">
        <v>126</v>
      </c>
      <c r="C4061" s="5">
        <v>2400</v>
      </c>
      <c r="D4061" s="5" t="s">
        <v>44</v>
      </c>
      <c r="E4061" s="5" t="s">
        <v>36</v>
      </c>
      <c r="F4061" s="6">
        <v>42736</v>
      </c>
      <c r="G4061">
        <v>0</v>
      </c>
    </row>
    <row r="4062" spans="1:7" x14ac:dyDescent="0.25">
      <c r="A4062" s="5" t="s">
        <v>123</v>
      </c>
      <c r="B4062" s="5" t="s">
        <v>126</v>
      </c>
      <c r="C4062" s="5">
        <v>2400</v>
      </c>
      <c r="D4062" s="5" t="s">
        <v>44</v>
      </c>
      <c r="E4062" s="5" t="s">
        <v>37</v>
      </c>
      <c r="F4062" s="6">
        <v>42370</v>
      </c>
      <c r="G4062">
        <v>0</v>
      </c>
    </row>
    <row r="4063" spans="1:7" x14ac:dyDescent="0.25">
      <c r="A4063" s="5" t="s">
        <v>123</v>
      </c>
      <c r="B4063" s="5" t="s">
        <v>126</v>
      </c>
      <c r="C4063" s="5">
        <v>2400</v>
      </c>
      <c r="D4063" s="5" t="s">
        <v>44</v>
      </c>
      <c r="E4063" s="5" t="s">
        <v>37</v>
      </c>
      <c r="F4063" s="6">
        <v>42736</v>
      </c>
      <c r="G4063">
        <v>0</v>
      </c>
    </row>
    <row r="4064" spans="1:7" x14ac:dyDescent="0.25">
      <c r="A4064" s="5" t="s">
        <v>123</v>
      </c>
      <c r="B4064" s="5" t="s">
        <v>126</v>
      </c>
      <c r="C4064" s="5">
        <v>2400</v>
      </c>
      <c r="D4064" s="5" t="s">
        <v>44</v>
      </c>
      <c r="E4064" s="5" t="s">
        <v>38</v>
      </c>
      <c r="F4064" s="6">
        <v>42370</v>
      </c>
      <c r="G4064">
        <v>0</v>
      </c>
    </row>
    <row r="4065" spans="1:7" x14ac:dyDescent="0.25">
      <c r="A4065" s="5" t="s">
        <v>123</v>
      </c>
      <c r="B4065" s="5" t="s">
        <v>126</v>
      </c>
      <c r="C4065" s="5">
        <v>2400</v>
      </c>
      <c r="D4065" s="5" t="s">
        <v>44</v>
      </c>
      <c r="E4065" s="5" t="s">
        <v>38</v>
      </c>
      <c r="F4065" s="6">
        <v>42736</v>
      </c>
      <c r="G4065">
        <v>0</v>
      </c>
    </row>
    <row r="4066" spans="1:7" x14ac:dyDescent="0.25">
      <c r="A4066" s="5" t="s">
        <v>123</v>
      </c>
      <c r="B4066" s="5" t="s">
        <v>126</v>
      </c>
      <c r="C4066" s="5">
        <v>2400</v>
      </c>
      <c r="D4066" s="5" t="s">
        <v>44</v>
      </c>
      <c r="E4066" s="5" t="s">
        <v>39</v>
      </c>
      <c r="F4066" s="6">
        <v>42370</v>
      </c>
      <c r="G4066">
        <v>0</v>
      </c>
    </row>
    <row r="4067" spans="1:7" x14ac:dyDescent="0.25">
      <c r="A4067" s="5" t="s">
        <v>123</v>
      </c>
      <c r="B4067" s="5" t="s">
        <v>126</v>
      </c>
      <c r="C4067" s="5">
        <v>2400</v>
      </c>
      <c r="D4067" s="5" t="s">
        <v>44</v>
      </c>
      <c r="E4067" s="5" t="s">
        <v>39</v>
      </c>
      <c r="F4067" s="6">
        <v>42736</v>
      </c>
      <c r="G4067">
        <v>0</v>
      </c>
    </row>
    <row r="4068" spans="1:7" x14ac:dyDescent="0.25">
      <c r="A4068" s="5" t="s">
        <v>123</v>
      </c>
      <c r="B4068" s="5" t="s">
        <v>126</v>
      </c>
      <c r="C4068" s="5">
        <v>2400</v>
      </c>
      <c r="D4068" s="5" t="s">
        <v>44</v>
      </c>
      <c r="E4068" s="5" t="s">
        <v>40</v>
      </c>
      <c r="F4068" s="6">
        <v>42370</v>
      </c>
      <c r="G4068">
        <v>0</v>
      </c>
    </row>
    <row r="4069" spans="1:7" x14ac:dyDescent="0.25">
      <c r="A4069" s="5" t="s">
        <v>123</v>
      </c>
      <c r="B4069" s="5" t="s">
        <v>126</v>
      </c>
      <c r="C4069" s="5">
        <v>2400</v>
      </c>
      <c r="D4069" s="5" t="s">
        <v>44</v>
      </c>
      <c r="E4069" s="5" t="s">
        <v>40</v>
      </c>
      <c r="F4069" s="6">
        <v>42736</v>
      </c>
      <c r="G4069">
        <v>0</v>
      </c>
    </row>
    <row r="4070" spans="1:7" x14ac:dyDescent="0.25">
      <c r="A4070" s="5" t="s">
        <v>123</v>
      </c>
      <c r="B4070" s="5" t="s">
        <v>126</v>
      </c>
      <c r="C4070" s="5">
        <v>2400</v>
      </c>
      <c r="D4070" s="5" t="s">
        <v>44</v>
      </c>
      <c r="E4070" s="5" t="s">
        <v>41</v>
      </c>
      <c r="F4070" s="6">
        <v>42370</v>
      </c>
      <c r="G4070">
        <v>0</v>
      </c>
    </row>
    <row r="4071" spans="1:7" x14ac:dyDescent="0.25">
      <c r="A4071" s="5" t="s">
        <v>123</v>
      </c>
      <c r="B4071" s="5" t="s">
        <v>126</v>
      </c>
      <c r="C4071" s="5">
        <v>2400</v>
      </c>
      <c r="D4071" s="5" t="s">
        <v>44</v>
      </c>
      <c r="E4071" s="5" t="s">
        <v>41</v>
      </c>
      <c r="F4071" s="6">
        <v>42736</v>
      </c>
      <c r="G4071">
        <v>0</v>
      </c>
    </row>
    <row r="4072" spans="1:7" x14ac:dyDescent="0.25">
      <c r="A4072" s="5" t="s">
        <v>123</v>
      </c>
      <c r="B4072" s="5" t="s">
        <v>126</v>
      </c>
      <c r="C4072" s="5">
        <v>2400</v>
      </c>
      <c r="D4072" s="5" t="s">
        <v>44</v>
      </c>
      <c r="E4072" s="5" t="s">
        <v>42</v>
      </c>
      <c r="F4072" s="6">
        <v>42370</v>
      </c>
      <c r="G4072">
        <v>0</v>
      </c>
    </row>
    <row r="4073" spans="1:7" x14ac:dyDescent="0.25">
      <c r="A4073" s="5" t="s">
        <v>123</v>
      </c>
      <c r="B4073" s="5" t="s">
        <v>126</v>
      </c>
      <c r="C4073" s="5">
        <v>2400</v>
      </c>
      <c r="D4073" s="5" t="s">
        <v>44</v>
      </c>
      <c r="E4073" s="5" t="s">
        <v>42</v>
      </c>
      <c r="F4073" s="6">
        <v>42736</v>
      </c>
      <c r="G4073">
        <v>0</v>
      </c>
    </row>
    <row r="4074" spans="1:7" x14ac:dyDescent="0.25">
      <c r="A4074" s="5" t="s">
        <v>123</v>
      </c>
      <c r="B4074" s="5" t="s">
        <v>126</v>
      </c>
      <c r="C4074" s="5">
        <v>2400</v>
      </c>
      <c r="D4074" s="5" t="s">
        <v>44</v>
      </c>
      <c r="E4074" s="5" t="s">
        <v>43</v>
      </c>
      <c r="F4074" s="6">
        <v>42370</v>
      </c>
      <c r="G4074">
        <v>0</v>
      </c>
    </row>
    <row r="4075" spans="1:7" x14ac:dyDescent="0.25">
      <c r="A4075" s="5" t="s">
        <v>123</v>
      </c>
      <c r="B4075" s="5" t="s">
        <v>126</v>
      </c>
      <c r="C4075" s="5">
        <v>2400</v>
      </c>
      <c r="D4075" s="5" t="s">
        <v>44</v>
      </c>
      <c r="E4075" s="5" t="s">
        <v>43</v>
      </c>
      <c r="F4075" s="6">
        <v>42736</v>
      </c>
      <c r="G4075">
        <v>0</v>
      </c>
    </row>
    <row r="4076" spans="1:7" x14ac:dyDescent="0.25">
      <c r="A4076" s="5" t="s">
        <v>123</v>
      </c>
      <c r="B4076" s="5" t="s">
        <v>126</v>
      </c>
      <c r="C4076" s="5">
        <v>2400</v>
      </c>
      <c r="D4076" s="5" t="s">
        <v>45</v>
      </c>
      <c r="E4076" s="5" t="s">
        <v>46</v>
      </c>
      <c r="F4076" s="6">
        <v>42370</v>
      </c>
      <c r="G4076">
        <v>0</v>
      </c>
    </row>
    <row r="4077" spans="1:7" x14ac:dyDescent="0.25">
      <c r="A4077" s="5" t="s">
        <v>123</v>
      </c>
      <c r="B4077" s="5" t="s">
        <v>126</v>
      </c>
      <c r="C4077" s="5">
        <v>2400</v>
      </c>
      <c r="D4077" s="5" t="s">
        <v>45</v>
      </c>
      <c r="E4077" s="5" t="s">
        <v>46</v>
      </c>
      <c r="F4077" s="6">
        <v>42736</v>
      </c>
      <c r="G4077">
        <v>0</v>
      </c>
    </row>
    <row r="4078" spans="1:7" x14ac:dyDescent="0.25">
      <c r="A4078" s="5" t="s">
        <v>123</v>
      </c>
      <c r="B4078" s="5" t="s">
        <v>126</v>
      </c>
      <c r="C4078" s="5">
        <v>2400</v>
      </c>
      <c r="D4078" s="5" t="s">
        <v>45</v>
      </c>
      <c r="E4078" s="5" t="s">
        <v>47</v>
      </c>
      <c r="F4078" s="6">
        <v>42370</v>
      </c>
      <c r="G4078">
        <v>0</v>
      </c>
    </row>
    <row r="4079" spans="1:7" x14ac:dyDescent="0.25">
      <c r="A4079" s="5" t="s">
        <v>123</v>
      </c>
      <c r="B4079" s="5" t="s">
        <v>126</v>
      </c>
      <c r="C4079" s="5">
        <v>2400</v>
      </c>
      <c r="D4079" s="5" t="s">
        <v>45</v>
      </c>
      <c r="E4079" s="5" t="s">
        <v>47</v>
      </c>
      <c r="F4079" s="6">
        <v>42736</v>
      </c>
      <c r="G4079">
        <v>6</v>
      </c>
    </row>
    <row r="4080" spans="1:7" x14ac:dyDescent="0.25">
      <c r="A4080" s="5" t="s">
        <v>123</v>
      </c>
      <c r="B4080" s="5" t="s">
        <v>126</v>
      </c>
      <c r="C4080" s="5">
        <v>2400</v>
      </c>
      <c r="D4080" s="5" t="s">
        <v>45</v>
      </c>
      <c r="E4080" s="5" t="s">
        <v>48</v>
      </c>
      <c r="F4080" s="6">
        <v>42370</v>
      </c>
      <c r="G4080">
        <v>85</v>
      </c>
    </row>
    <row r="4081" spans="1:7" x14ac:dyDescent="0.25">
      <c r="A4081" s="5" t="s">
        <v>123</v>
      </c>
      <c r="B4081" s="5" t="s">
        <v>126</v>
      </c>
      <c r="C4081" s="5">
        <v>2400</v>
      </c>
      <c r="D4081" s="5" t="s">
        <v>45</v>
      </c>
      <c r="E4081" s="5" t="s">
        <v>48</v>
      </c>
      <c r="F4081" s="6">
        <v>42736</v>
      </c>
      <c r="G4081">
        <v>81</v>
      </c>
    </row>
    <row r="4082" spans="1:7" x14ac:dyDescent="0.25">
      <c r="A4082" s="5" t="s">
        <v>123</v>
      </c>
      <c r="B4082" s="5" t="s">
        <v>126</v>
      </c>
      <c r="C4082" s="5">
        <v>2400</v>
      </c>
      <c r="D4082" s="5" t="s">
        <v>45</v>
      </c>
      <c r="E4082" s="5" t="s">
        <v>49</v>
      </c>
      <c r="F4082" s="6">
        <v>42370</v>
      </c>
      <c r="G4082">
        <v>85</v>
      </c>
    </row>
    <row r="4083" spans="1:7" x14ac:dyDescent="0.25">
      <c r="A4083" s="5" t="s">
        <v>123</v>
      </c>
      <c r="B4083" s="5" t="s">
        <v>126</v>
      </c>
      <c r="C4083" s="5">
        <v>2400</v>
      </c>
      <c r="D4083" s="5" t="s">
        <v>45</v>
      </c>
      <c r="E4083" s="5" t="s">
        <v>49</v>
      </c>
      <c r="F4083" s="6">
        <v>42736</v>
      </c>
      <c r="G4083">
        <v>125</v>
      </c>
    </row>
    <row r="4084" spans="1:7" x14ac:dyDescent="0.25">
      <c r="A4084" s="5" t="s">
        <v>123</v>
      </c>
      <c r="B4084" s="5" t="s">
        <v>126</v>
      </c>
      <c r="C4084" s="5">
        <v>2400</v>
      </c>
      <c r="D4084" s="5" t="s">
        <v>45</v>
      </c>
      <c r="E4084" s="5" t="s">
        <v>50</v>
      </c>
      <c r="F4084" s="6">
        <v>42370</v>
      </c>
      <c r="G4084">
        <v>0</v>
      </c>
    </row>
    <row r="4085" spans="1:7" x14ac:dyDescent="0.25">
      <c r="A4085" s="5" t="s">
        <v>123</v>
      </c>
      <c r="B4085" s="5" t="s">
        <v>126</v>
      </c>
      <c r="C4085" s="5">
        <v>2400</v>
      </c>
      <c r="D4085" s="5" t="s">
        <v>45</v>
      </c>
      <c r="E4085" s="5" t="s">
        <v>50</v>
      </c>
      <c r="F4085" s="6">
        <v>42736</v>
      </c>
      <c r="G4085">
        <v>0</v>
      </c>
    </row>
    <row r="4086" spans="1:7" x14ac:dyDescent="0.25">
      <c r="A4086" s="5" t="s">
        <v>123</v>
      </c>
      <c r="B4086" s="5" t="s">
        <v>126</v>
      </c>
      <c r="C4086" s="5">
        <v>2400</v>
      </c>
      <c r="D4086" s="5" t="s">
        <v>45</v>
      </c>
      <c r="E4086" s="5" t="s">
        <v>51</v>
      </c>
      <c r="F4086" s="6">
        <v>42370</v>
      </c>
      <c r="G4086">
        <v>0</v>
      </c>
    </row>
    <row r="4087" spans="1:7" x14ac:dyDescent="0.25">
      <c r="A4087" s="5" t="s">
        <v>123</v>
      </c>
      <c r="B4087" s="5" t="s">
        <v>126</v>
      </c>
      <c r="C4087" s="5">
        <v>2400</v>
      </c>
      <c r="D4087" s="5" t="s">
        <v>45</v>
      </c>
      <c r="E4087" s="5" t="s">
        <v>51</v>
      </c>
      <c r="F4087" s="6">
        <v>42736</v>
      </c>
      <c r="G4087">
        <v>0</v>
      </c>
    </row>
    <row r="4088" spans="1:7" x14ac:dyDescent="0.25">
      <c r="A4088" s="5" t="s">
        <v>123</v>
      </c>
      <c r="B4088" s="5" t="s">
        <v>126</v>
      </c>
      <c r="C4088" s="5">
        <v>2400</v>
      </c>
      <c r="D4088" s="5" t="s">
        <v>45</v>
      </c>
      <c r="E4088" s="5" t="s">
        <v>52</v>
      </c>
      <c r="F4088" s="6">
        <v>42370</v>
      </c>
      <c r="G4088">
        <v>0</v>
      </c>
    </row>
    <row r="4089" spans="1:7" x14ac:dyDescent="0.25">
      <c r="A4089" s="5" t="s">
        <v>123</v>
      </c>
      <c r="B4089" s="5" t="s">
        <v>126</v>
      </c>
      <c r="C4089" s="5">
        <v>2400</v>
      </c>
      <c r="D4089" s="5" t="s">
        <v>45</v>
      </c>
      <c r="E4089" s="5" t="s">
        <v>52</v>
      </c>
      <c r="F4089" s="6">
        <v>42736</v>
      </c>
      <c r="G4089">
        <v>0</v>
      </c>
    </row>
    <row r="4090" spans="1:7" x14ac:dyDescent="0.25">
      <c r="A4090" s="5" t="s">
        <v>123</v>
      </c>
      <c r="B4090" s="5" t="s">
        <v>126</v>
      </c>
      <c r="C4090" s="5">
        <v>2400</v>
      </c>
      <c r="D4090" s="5" t="s">
        <v>45</v>
      </c>
      <c r="E4090" s="5" t="s">
        <v>53</v>
      </c>
      <c r="F4090" s="6">
        <v>42370</v>
      </c>
      <c r="G4090">
        <v>36</v>
      </c>
    </row>
    <row r="4091" spans="1:7" x14ac:dyDescent="0.25">
      <c r="A4091" s="5" t="s">
        <v>123</v>
      </c>
      <c r="B4091" s="5" t="s">
        <v>126</v>
      </c>
      <c r="C4091" s="5">
        <v>2400</v>
      </c>
      <c r="D4091" s="5" t="s">
        <v>45</v>
      </c>
      <c r="E4091" s="5" t="s">
        <v>53</v>
      </c>
      <c r="F4091" s="6">
        <v>42736</v>
      </c>
      <c r="G4091">
        <v>76</v>
      </c>
    </row>
    <row r="4092" spans="1:7" x14ac:dyDescent="0.25">
      <c r="A4092" s="5" t="s">
        <v>123</v>
      </c>
      <c r="B4092" s="5" t="s">
        <v>126</v>
      </c>
      <c r="C4092" s="5">
        <v>2400</v>
      </c>
      <c r="D4092" s="5" t="s">
        <v>45</v>
      </c>
      <c r="E4092" s="5" t="s">
        <v>54</v>
      </c>
      <c r="F4092" s="6">
        <v>42370</v>
      </c>
      <c r="G4092">
        <v>2</v>
      </c>
    </row>
    <row r="4093" spans="1:7" x14ac:dyDescent="0.25">
      <c r="A4093" s="5" t="s">
        <v>123</v>
      </c>
      <c r="B4093" s="5" t="s">
        <v>126</v>
      </c>
      <c r="C4093" s="5">
        <v>2400</v>
      </c>
      <c r="D4093" s="5" t="s">
        <v>45</v>
      </c>
      <c r="E4093" s="5" t="s">
        <v>54</v>
      </c>
      <c r="F4093" s="6">
        <v>42736</v>
      </c>
      <c r="G4093">
        <v>2</v>
      </c>
    </row>
    <row r="4094" spans="1:7" x14ac:dyDescent="0.25">
      <c r="A4094" s="5" t="s">
        <v>123</v>
      </c>
      <c r="B4094" s="5" t="s">
        <v>126</v>
      </c>
      <c r="C4094" s="5">
        <v>2400</v>
      </c>
      <c r="D4094" s="5" t="s">
        <v>45</v>
      </c>
      <c r="E4094" s="5" t="s">
        <v>55</v>
      </c>
      <c r="F4094" s="6">
        <v>42370</v>
      </c>
      <c r="G4094">
        <v>0</v>
      </c>
    </row>
    <row r="4095" spans="1:7" x14ac:dyDescent="0.25">
      <c r="A4095" s="5" t="s">
        <v>123</v>
      </c>
      <c r="B4095" s="5" t="s">
        <v>126</v>
      </c>
      <c r="C4095" s="5">
        <v>2400</v>
      </c>
      <c r="D4095" s="5" t="s">
        <v>45</v>
      </c>
      <c r="E4095" s="5" t="s">
        <v>55</v>
      </c>
      <c r="F4095" s="6">
        <v>42736</v>
      </c>
      <c r="G4095">
        <v>0</v>
      </c>
    </row>
    <row r="4096" spans="1:7" x14ac:dyDescent="0.25">
      <c r="A4096" s="5" t="s">
        <v>123</v>
      </c>
      <c r="B4096" s="5" t="s">
        <v>126</v>
      </c>
      <c r="C4096" s="5">
        <v>2400</v>
      </c>
      <c r="D4096" s="5" t="s">
        <v>45</v>
      </c>
      <c r="E4096" s="5" t="s">
        <v>56</v>
      </c>
      <c r="F4096" s="6">
        <v>42370</v>
      </c>
      <c r="G4096">
        <v>6</v>
      </c>
    </row>
    <row r="4097" spans="1:7" x14ac:dyDescent="0.25">
      <c r="A4097" s="5" t="s">
        <v>123</v>
      </c>
      <c r="B4097" s="5" t="s">
        <v>126</v>
      </c>
      <c r="C4097" s="5">
        <v>2400</v>
      </c>
      <c r="D4097" s="5" t="s">
        <v>45</v>
      </c>
      <c r="E4097" s="5" t="s">
        <v>56</v>
      </c>
      <c r="F4097" s="6">
        <v>42736</v>
      </c>
      <c r="G4097">
        <v>0</v>
      </c>
    </row>
    <row r="4098" spans="1:7" x14ac:dyDescent="0.25">
      <c r="A4098" s="5" t="s">
        <v>123</v>
      </c>
      <c r="B4098" s="5" t="s">
        <v>126</v>
      </c>
      <c r="C4098" s="5">
        <v>2400</v>
      </c>
      <c r="D4098" s="5" t="s">
        <v>45</v>
      </c>
      <c r="E4098" s="5" t="s">
        <v>57</v>
      </c>
      <c r="F4098" s="6">
        <v>42370</v>
      </c>
      <c r="G4098">
        <v>0</v>
      </c>
    </row>
    <row r="4099" spans="1:7" x14ac:dyDescent="0.25">
      <c r="A4099" s="5" t="s">
        <v>123</v>
      </c>
      <c r="B4099" s="5" t="s">
        <v>126</v>
      </c>
      <c r="C4099" s="5">
        <v>2400</v>
      </c>
      <c r="D4099" s="5" t="s">
        <v>45</v>
      </c>
      <c r="E4099" s="5" t="s">
        <v>57</v>
      </c>
      <c r="F4099" s="6">
        <v>42736</v>
      </c>
      <c r="G4099">
        <v>0</v>
      </c>
    </row>
    <row r="4100" spans="1:7" x14ac:dyDescent="0.25">
      <c r="A4100" s="5" t="s">
        <v>123</v>
      </c>
      <c r="B4100" s="5" t="s">
        <v>126</v>
      </c>
      <c r="C4100" s="5">
        <v>2400</v>
      </c>
      <c r="D4100" s="5" t="s">
        <v>45</v>
      </c>
      <c r="E4100" s="5" t="s">
        <v>58</v>
      </c>
      <c r="F4100" s="6">
        <v>42370</v>
      </c>
      <c r="G4100">
        <v>0</v>
      </c>
    </row>
    <row r="4101" spans="1:7" x14ac:dyDescent="0.25">
      <c r="A4101" s="5" t="s">
        <v>123</v>
      </c>
      <c r="B4101" s="5" t="s">
        <v>126</v>
      </c>
      <c r="C4101" s="5">
        <v>2400</v>
      </c>
      <c r="D4101" s="5" t="s">
        <v>45</v>
      </c>
      <c r="E4101" s="5" t="s">
        <v>58</v>
      </c>
      <c r="F4101" s="6">
        <v>42736</v>
      </c>
      <c r="G4101">
        <v>0</v>
      </c>
    </row>
    <row r="4102" spans="1:7" x14ac:dyDescent="0.25">
      <c r="A4102" s="5" t="s">
        <v>123</v>
      </c>
      <c r="B4102" s="5" t="s">
        <v>126</v>
      </c>
      <c r="C4102" s="5">
        <v>2400</v>
      </c>
      <c r="D4102" s="5" t="s">
        <v>45</v>
      </c>
      <c r="E4102" s="5" t="s">
        <v>59</v>
      </c>
      <c r="F4102" s="6">
        <v>42370</v>
      </c>
      <c r="G4102">
        <v>0</v>
      </c>
    </row>
    <row r="4103" spans="1:7" x14ac:dyDescent="0.25">
      <c r="A4103" s="5" t="s">
        <v>123</v>
      </c>
      <c r="B4103" s="5" t="s">
        <v>126</v>
      </c>
      <c r="C4103" s="5">
        <v>2400</v>
      </c>
      <c r="D4103" s="5" t="s">
        <v>45</v>
      </c>
      <c r="E4103" s="5" t="s">
        <v>59</v>
      </c>
      <c r="F4103" s="6">
        <v>42736</v>
      </c>
      <c r="G4103">
        <v>0</v>
      </c>
    </row>
    <row r="4104" spans="1:7" x14ac:dyDescent="0.25">
      <c r="A4104" s="5" t="s">
        <v>123</v>
      </c>
      <c r="B4104" s="5" t="s">
        <v>126</v>
      </c>
      <c r="C4104" s="5">
        <v>2400</v>
      </c>
      <c r="D4104" s="5" t="s">
        <v>45</v>
      </c>
      <c r="E4104" s="5" t="s">
        <v>60</v>
      </c>
      <c r="F4104" s="6">
        <v>42370</v>
      </c>
      <c r="G4104">
        <v>4</v>
      </c>
    </row>
    <row r="4105" spans="1:7" x14ac:dyDescent="0.25">
      <c r="A4105" s="5" t="s">
        <v>123</v>
      </c>
      <c r="B4105" s="5" t="s">
        <v>126</v>
      </c>
      <c r="C4105" s="5">
        <v>2400</v>
      </c>
      <c r="D4105" s="5" t="s">
        <v>45</v>
      </c>
      <c r="E4105" s="5" t="s">
        <v>60</v>
      </c>
      <c r="F4105" s="6">
        <v>42736</v>
      </c>
      <c r="G4105">
        <v>2</v>
      </c>
    </row>
    <row r="4106" spans="1:7" x14ac:dyDescent="0.25">
      <c r="A4106" s="5" t="s">
        <v>123</v>
      </c>
      <c r="B4106" s="5" t="s">
        <v>126</v>
      </c>
      <c r="C4106" s="5">
        <v>2400</v>
      </c>
      <c r="D4106" s="5" t="s">
        <v>45</v>
      </c>
      <c r="E4106" s="5" t="s">
        <v>61</v>
      </c>
      <c r="F4106" s="6">
        <v>42370</v>
      </c>
      <c r="G4106">
        <v>1</v>
      </c>
    </row>
    <row r="4107" spans="1:7" x14ac:dyDescent="0.25">
      <c r="A4107" s="5" t="s">
        <v>123</v>
      </c>
      <c r="B4107" s="5" t="s">
        <v>126</v>
      </c>
      <c r="C4107" s="5">
        <v>2400</v>
      </c>
      <c r="D4107" s="5" t="s">
        <v>45</v>
      </c>
      <c r="E4107" s="5" t="s">
        <v>61</v>
      </c>
      <c r="F4107" s="6">
        <v>42736</v>
      </c>
      <c r="G4107">
        <v>0</v>
      </c>
    </row>
    <row r="4108" spans="1:7" x14ac:dyDescent="0.25">
      <c r="A4108" s="5" t="s">
        <v>123</v>
      </c>
      <c r="B4108" s="5" t="s">
        <v>126</v>
      </c>
      <c r="C4108" s="5">
        <v>2400</v>
      </c>
      <c r="D4108" s="5" t="s">
        <v>62</v>
      </c>
      <c r="E4108" s="5" t="s">
        <v>63</v>
      </c>
      <c r="F4108" s="6">
        <v>42370</v>
      </c>
      <c r="G4108">
        <v>0</v>
      </c>
    </row>
    <row r="4109" spans="1:7" x14ac:dyDescent="0.25">
      <c r="A4109" s="5" t="s">
        <v>123</v>
      </c>
      <c r="B4109" s="5" t="s">
        <v>126</v>
      </c>
      <c r="C4109" s="5">
        <v>2400</v>
      </c>
      <c r="D4109" s="5" t="s">
        <v>62</v>
      </c>
      <c r="E4109" s="5" t="s">
        <v>63</v>
      </c>
      <c r="F4109" s="6">
        <v>42736</v>
      </c>
      <c r="G4109">
        <v>0</v>
      </c>
    </row>
    <row r="4110" spans="1:7" x14ac:dyDescent="0.25">
      <c r="A4110" s="5" t="s">
        <v>123</v>
      </c>
      <c r="B4110" s="5" t="s">
        <v>126</v>
      </c>
      <c r="C4110" s="5">
        <v>2400</v>
      </c>
      <c r="D4110" s="5" t="s">
        <v>62</v>
      </c>
      <c r="E4110" s="5" t="s">
        <v>64</v>
      </c>
      <c r="F4110" s="6">
        <v>42370</v>
      </c>
      <c r="G4110">
        <v>0</v>
      </c>
    </row>
    <row r="4111" spans="1:7" x14ac:dyDescent="0.25">
      <c r="A4111" s="5" t="s">
        <v>123</v>
      </c>
      <c r="B4111" s="5" t="s">
        <v>126</v>
      </c>
      <c r="C4111" s="5">
        <v>2400</v>
      </c>
      <c r="D4111" s="5" t="s">
        <v>62</v>
      </c>
      <c r="E4111" s="5" t="s">
        <v>64</v>
      </c>
      <c r="F4111" s="6">
        <v>42736</v>
      </c>
      <c r="G4111">
        <v>0</v>
      </c>
    </row>
    <row r="4112" spans="1:7" x14ac:dyDescent="0.25">
      <c r="A4112" s="5" t="s">
        <v>123</v>
      </c>
      <c r="B4112" s="5" t="s">
        <v>126</v>
      </c>
      <c r="C4112" s="5">
        <v>2400</v>
      </c>
      <c r="D4112" s="5" t="s">
        <v>62</v>
      </c>
      <c r="E4112" s="5" t="s">
        <v>9</v>
      </c>
      <c r="F4112" s="6">
        <v>42370</v>
      </c>
      <c r="G4112">
        <v>0</v>
      </c>
    </row>
    <row r="4113" spans="1:7" x14ac:dyDescent="0.25">
      <c r="A4113" s="5" t="s">
        <v>123</v>
      </c>
      <c r="B4113" s="5" t="s">
        <v>126</v>
      </c>
      <c r="C4113" s="5">
        <v>2400</v>
      </c>
      <c r="D4113" s="5" t="s">
        <v>62</v>
      </c>
      <c r="E4113" s="5" t="s">
        <v>9</v>
      </c>
      <c r="F4113" s="6">
        <v>42736</v>
      </c>
      <c r="G4113">
        <v>0</v>
      </c>
    </row>
    <row r="4114" spans="1:7" x14ac:dyDescent="0.25">
      <c r="A4114" s="5" t="s">
        <v>123</v>
      </c>
      <c r="B4114" s="5" t="s">
        <v>126</v>
      </c>
      <c r="C4114" s="5">
        <v>2400</v>
      </c>
      <c r="D4114" s="5" t="s">
        <v>62</v>
      </c>
      <c r="E4114" s="5" t="s">
        <v>65</v>
      </c>
      <c r="F4114" s="6">
        <v>42370</v>
      </c>
      <c r="G4114">
        <v>0</v>
      </c>
    </row>
    <row r="4115" spans="1:7" x14ac:dyDescent="0.25">
      <c r="A4115" s="5" t="s">
        <v>123</v>
      </c>
      <c r="B4115" s="5" t="s">
        <v>126</v>
      </c>
      <c r="C4115" s="5">
        <v>2400</v>
      </c>
      <c r="D4115" s="5" t="s">
        <v>62</v>
      </c>
      <c r="E4115" s="5" t="s">
        <v>65</v>
      </c>
      <c r="F4115" s="6">
        <v>42736</v>
      </c>
      <c r="G4115">
        <v>0</v>
      </c>
    </row>
    <row r="4116" spans="1:7" x14ac:dyDescent="0.25">
      <c r="A4116" s="5" t="s">
        <v>123</v>
      </c>
      <c r="B4116" s="5" t="s">
        <v>126</v>
      </c>
      <c r="C4116" s="5">
        <v>2400</v>
      </c>
      <c r="D4116" s="5" t="s">
        <v>62</v>
      </c>
      <c r="E4116" s="5" t="s">
        <v>66</v>
      </c>
      <c r="F4116" s="6">
        <v>42370</v>
      </c>
      <c r="G4116">
        <v>0</v>
      </c>
    </row>
    <row r="4117" spans="1:7" x14ac:dyDescent="0.25">
      <c r="A4117" s="5" t="s">
        <v>123</v>
      </c>
      <c r="B4117" s="5" t="s">
        <v>126</v>
      </c>
      <c r="C4117" s="5">
        <v>2400</v>
      </c>
      <c r="D4117" s="5" t="s">
        <v>62</v>
      </c>
      <c r="E4117" s="5" t="s">
        <v>66</v>
      </c>
      <c r="F4117" s="6">
        <v>42736</v>
      </c>
      <c r="G4117">
        <v>0</v>
      </c>
    </row>
    <row r="4118" spans="1:7" x14ac:dyDescent="0.25">
      <c r="A4118" s="5" t="s">
        <v>123</v>
      </c>
      <c r="B4118" s="5" t="s">
        <v>126</v>
      </c>
      <c r="C4118" s="5">
        <v>2400</v>
      </c>
      <c r="D4118" s="5" t="s">
        <v>62</v>
      </c>
      <c r="E4118" s="5" t="s">
        <v>67</v>
      </c>
      <c r="F4118" s="6">
        <v>42370</v>
      </c>
      <c r="G4118">
        <v>0</v>
      </c>
    </row>
    <row r="4119" spans="1:7" x14ac:dyDescent="0.25">
      <c r="A4119" s="5" t="s">
        <v>123</v>
      </c>
      <c r="B4119" s="5" t="s">
        <v>126</v>
      </c>
      <c r="C4119" s="5">
        <v>2400</v>
      </c>
      <c r="D4119" s="5" t="s">
        <v>62</v>
      </c>
      <c r="E4119" s="5" t="s">
        <v>67</v>
      </c>
      <c r="F4119" s="6">
        <v>42736</v>
      </c>
      <c r="G4119">
        <v>0</v>
      </c>
    </row>
    <row r="4120" spans="1:7" x14ac:dyDescent="0.25">
      <c r="A4120" s="5" t="s">
        <v>123</v>
      </c>
      <c r="B4120" s="5" t="s">
        <v>126</v>
      </c>
      <c r="C4120" s="5">
        <v>2400</v>
      </c>
      <c r="D4120" s="5" t="s">
        <v>62</v>
      </c>
      <c r="E4120" s="5" t="s">
        <v>68</v>
      </c>
      <c r="F4120" s="6">
        <v>42370</v>
      </c>
      <c r="G4120">
        <v>0</v>
      </c>
    </row>
    <row r="4121" spans="1:7" x14ac:dyDescent="0.25">
      <c r="A4121" s="5" t="s">
        <v>123</v>
      </c>
      <c r="B4121" s="5" t="s">
        <v>126</v>
      </c>
      <c r="C4121" s="5">
        <v>2400</v>
      </c>
      <c r="D4121" s="5" t="s">
        <v>62</v>
      </c>
      <c r="E4121" s="5" t="s">
        <v>68</v>
      </c>
      <c r="F4121" s="6">
        <v>42736</v>
      </c>
      <c r="G4121">
        <v>0</v>
      </c>
    </row>
    <row r="4122" spans="1:7" x14ac:dyDescent="0.25">
      <c r="A4122" s="5" t="s">
        <v>123</v>
      </c>
      <c r="B4122" s="5" t="s">
        <v>126</v>
      </c>
      <c r="C4122" s="5">
        <v>2400</v>
      </c>
      <c r="D4122" s="5" t="s">
        <v>62</v>
      </c>
      <c r="E4122" s="5" t="s">
        <v>69</v>
      </c>
      <c r="F4122" s="6">
        <v>42370</v>
      </c>
      <c r="G4122">
        <v>0</v>
      </c>
    </row>
    <row r="4123" spans="1:7" x14ac:dyDescent="0.25">
      <c r="A4123" s="5" t="s">
        <v>123</v>
      </c>
      <c r="B4123" s="5" t="s">
        <v>126</v>
      </c>
      <c r="C4123" s="5">
        <v>2400</v>
      </c>
      <c r="D4123" s="5" t="s">
        <v>62</v>
      </c>
      <c r="E4123" s="5" t="s">
        <v>69</v>
      </c>
      <c r="F4123" s="6">
        <v>42736</v>
      </c>
      <c r="G4123">
        <v>0</v>
      </c>
    </row>
    <row r="4124" spans="1:7" x14ac:dyDescent="0.25">
      <c r="A4124" s="5" t="s">
        <v>123</v>
      </c>
      <c r="B4124" s="5" t="s">
        <v>126</v>
      </c>
      <c r="C4124" s="5">
        <v>2400</v>
      </c>
      <c r="D4124" s="5" t="s">
        <v>62</v>
      </c>
      <c r="E4124" s="5" t="s">
        <v>70</v>
      </c>
      <c r="F4124" s="6">
        <v>42370</v>
      </c>
      <c r="G4124">
        <v>0</v>
      </c>
    </row>
    <row r="4125" spans="1:7" x14ac:dyDescent="0.25">
      <c r="A4125" s="5" t="s">
        <v>123</v>
      </c>
      <c r="B4125" s="5" t="s">
        <v>126</v>
      </c>
      <c r="C4125" s="5">
        <v>2400</v>
      </c>
      <c r="D4125" s="5" t="s">
        <v>62</v>
      </c>
      <c r="E4125" s="5" t="s">
        <v>70</v>
      </c>
      <c r="F4125" s="6">
        <v>42736</v>
      </c>
      <c r="G4125">
        <v>0</v>
      </c>
    </row>
    <row r="4126" spans="1:7" x14ac:dyDescent="0.25">
      <c r="A4126" s="5" t="s">
        <v>123</v>
      </c>
      <c r="B4126" s="5" t="s">
        <v>126</v>
      </c>
      <c r="C4126" s="5">
        <v>2400</v>
      </c>
      <c r="D4126" s="5" t="s">
        <v>62</v>
      </c>
      <c r="E4126" s="5" t="s">
        <v>71</v>
      </c>
      <c r="F4126" s="6">
        <v>42370</v>
      </c>
      <c r="G4126">
        <v>0</v>
      </c>
    </row>
    <row r="4127" spans="1:7" x14ac:dyDescent="0.25">
      <c r="A4127" s="5" t="s">
        <v>123</v>
      </c>
      <c r="B4127" s="5" t="s">
        <v>126</v>
      </c>
      <c r="C4127" s="5">
        <v>2400</v>
      </c>
      <c r="D4127" s="5" t="s">
        <v>62</v>
      </c>
      <c r="E4127" s="5" t="s">
        <v>71</v>
      </c>
      <c r="F4127" s="6">
        <v>42736</v>
      </c>
      <c r="G4127">
        <v>0</v>
      </c>
    </row>
    <row r="4128" spans="1:7" x14ac:dyDescent="0.25">
      <c r="A4128" s="5" t="s">
        <v>123</v>
      </c>
      <c r="B4128" s="5" t="s">
        <v>126</v>
      </c>
      <c r="C4128" s="5">
        <v>2400</v>
      </c>
      <c r="D4128" s="5" t="s">
        <v>72</v>
      </c>
      <c r="E4128" s="5" t="s">
        <v>73</v>
      </c>
      <c r="F4128" s="6">
        <v>42370</v>
      </c>
      <c r="G4128">
        <v>0</v>
      </c>
    </row>
    <row r="4129" spans="1:7" x14ac:dyDescent="0.25">
      <c r="A4129" s="5" t="s">
        <v>123</v>
      </c>
      <c r="B4129" s="5" t="s">
        <v>126</v>
      </c>
      <c r="C4129" s="5">
        <v>2400</v>
      </c>
      <c r="D4129" s="5" t="s">
        <v>72</v>
      </c>
      <c r="E4129" s="5" t="s">
        <v>73</v>
      </c>
      <c r="F4129" s="6">
        <v>42736</v>
      </c>
      <c r="G4129">
        <v>0</v>
      </c>
    </row>
    <row r="4130" spans="1:7" x14ac:dyDescent="0.25">
      <c r="A4130" s="5" t="s">
        <v>123</v>
      </c>
      <c r="B4130" s="5" t="s">
        <v>126</v>
      </c>
      <c r="C4130" s="5">
        <v>2400</v>
      </c>
      <c r="D4130" s="5" t="s">
        <v>72</v>
      </c>
      <c r="E4130" s="5" t="s">
        <v>9</v>
      </c>
      <c r="F4130" s="6">
        <v>42370</v>
      </c>
      <c r="G4130">
        <v>0</v>
      </c>
    </row>
    <row r="4131" spans="1:7" x14ac:dyDescent="0.25">
      <c r="A4131" s="5" t="s">
        <v>123</v>
      </c>
      <c r="B4131" s="5" t="s">
        <v>126</v>
      </c>
      <c r="C4131" s="5">
        <v>2400</v>
      </c>
      <c r="D4131" s="5" t="s">
        <v>72</v>
      </c>
      <c r="E4131" s="5" t="s">
        <v>9</v>
      </c>
      <c r="F4131" s="6">
        <v>42736</v>
      </c>
      <c r="G4131">
        <v>0</v>
      </c>
    </row>
    <row r="4132" spans="1:7" x14ac:dyDescent="0.25">
      <c r="A4132" s="5" t="s">
        <v>123</v>
      </c>
      <c r="B4132" s="5" t="s">
        <v>126</v>
      </c>
      <c r="C4132" s="5">
        <v>2400</v>
      </c>
      <c r="D4132" s="5" t="s">
        <v>72</v>
      </c>
      <c r="E4132" s="5" t="s">
        <v>34</v>
      </c>
      <c r="F4132" s="6">
        <v>42370</v>
      </c>
      <c r="G4132">
        <v>0</v>
      </c>
    </row>
    <row r="4133" spans="1:7" x14ac:dyDescent="0.25">
      <c r="A4133" s="5" t="s">
        <v>123</v>
      </c>
      <c r="B4133" s="5" t="s">
        <v>126</v>
      </c>
      <c r="C4133" s="5">
        <v>2400</v>
      </c>
      <c r="D4133" s="5" t="s">
        <v>72</v>
      </c>
      <c r="E4133" s="5" t="s">
        <v>34</v>
      </c>
      <c r="F4133" s="6">
        <v>42736</v>
      </c>
      <c r="G4133">
        <v>0</v>
      </c>
    </row>
    <row r="4134" spans="1:7" x14ac:dyDescent="0.25">
      <c r="A4134" s="5" t="s">
        <v>123</v>
      </c>
      <c r="B4134" s="5" t="s">
        <v>126</v>
      </c>
      <c r="C4134" s="5">
        <v>2400</v>
      </c>
      <c r="D4134" s="5" t="s">
        <v>72</v>
      </c>
      <c r="E4134" s="5" t="s">
        <v>74</v>
      </c>
      <c r="F4134" s="6">
        <v>42370</v>
      </c>
      <c r="G4134">
        <v>0</v>
      </c>
    </row>
    <row r="4135" spans="1:7" x14ac:dyDescent="0.25">
      <c r="A4135" s="5" t="s">
        <v>123</v>
      </c>
      <c r="B4135" s="5" t="s">
        <v>126</v>
      </c>
      <c r="C4135" s="5">
        <v>2400</v>
      </c>
      <c r="D4135" s="5" t="s">
        <v>72</v>
      </c>
      <c r="E4135" s="5" t="s">
        <v>74</v>
      </c>
      <c r="F4135" s="6">
        <v>42736</v>
      </c>
      <c r="G4135">
        <v>0</v>
      </c>
    </row>
    <row r="4136" spans="1:7" x14ac:dyDescent="0.25">
      <c r="A4136" s="5" t="s">
        <v>123</v>
      </c>
      <c r="B4136" s="5" t="s">
        <v>126</v>
      </c>
      <c r="C4136" s="5">
        <v>2400</v>
      </c>
      <c r="D4136" s="5" t="s">
        <v>72</v>
      </c>
      <c r="E4136" s="5" t="s">
        <v>75</v>
      </c>
      <c r="F4136" s="6">
        <v>42370</v>
      </c>
      <c r="G4136">
        <v>0</v>
      </c>
    </row>
    <row r="4137" spans="1:7" x14ac:dyDescent="0.25">
      <c r="A4137" s="5" t="s">
        <v>123</v>
      </c>
      <c r="B4137" s="5" t="s">
        <v>126</v>
      </c>
      <c r="C4137" s="5">
        <v>2400</v>
      </c>
      <c r="D4137" s="5" t="s">
        <v>72</v>
      </c>
      <c r="E4137" s="5" t="s">
        <v>75</v>
      </c>
      <c r="F4137" s="6">
        <v>42736</v>
      </c>
      <c r="G4137">
        <v>0</v>
      </c>
    </row>
    <row r="4138" spans="1:7" x14ac:dyDescent="0.25">
      <c r="A4138" s="5" t="s">
        <v>123</v>
      </c>
      <c r="B4138" s="5" t="s">
        <v>126</v>
      </c>
      <c r="C4138" s="5">
        <v>2400</v>
      </c>
      <c r="D4138" s="5" t="s">
        <v>76</v>
      </c>
      <c r="E4138" s="5" t="s">
        <v>9</v>
      </c>
      <c r="F4138" s="6">
        <v>42370</v>
      </c>
      <c r="G4138">
        <v>0</v>
      </c>
    </row>
    <row r="4139" spans="1:7" x14ac:dyDescent="0.25">
      <c r="A4139" s="5" t="s">
        <v>123</v>
      </c>
      <c r="B4139" s="5" t="s">
        <v>126</v>
      </c>
      <c r="C4139" s="5">
        <v>2400</v>
      </c>
      <c r="D4139" s="5" t="s">
        <v>76</v>
      </c>
      <c r="E4139" s="5" t="s">
        <v>9</v>
      </c>
      <c r="F4139" s="6">
        <v>42736</v>
      </c>
      <c r="G4139">
        <v>0</v>
      </c>
    </row>
    <row r="4140" spans="1:7" x14ac:dyDescent="0.25">
      <c r="A4140" s="5" t="s">
        <v>123</v>
      </c>
      <c r="B4140" s="5" t="s">
        <v>126</v>
      </c>
      <c r="C4140" s="5">
        <v>2400</v>
      </c>
      <c r="D4140" s="5" t="s">
        <v>76</v>
      </c>
      <c r="E4140" s="5" t="s">
        <v>77</v>
      </c>
      <c r="F4140" s="6">
        <v>42370</v>
      </c>
      <c r="G4140">
        <v>0</v>
      </c>
    </row>
    <row r="4141" spans="1:7" x14ac:dyDescent="0.25">
      <c r="A4141" s="5" t="s">
        <v>123</v>
      </c>
      <c r="B4141" s="5" t="s">
        <v>126</v>
      </c>
      <c r="C4141" s="5">
        <v>2400</v>
      </c>
      <c r="D4141" s="5" t="s">
        <v>76</v>
      </c>
      <c r="E4141" s="5" t="s">
        <v>77</v>
      </c>
      <c r="F4141" s="6">
        <v>42736</v>
      </c>
      <c r="G4141">
        <v>0</v>
      </c>
    </row>
    <row r="4142" spans="1:7" x14ac:dyDescent="0.25">
      <c r="A4142" s="5" t="s">
        <v>123</v>
      </c>
      <c r="B4142" s="5" t="s">
        <v>126</v>
      </c>
      <c r="C4142" s="5">
        <v>2400</v>
      </c>
      <c r="D4142" s="5" t="s">
        <v>78</v>
      </c>
      <c r="E4142" s="5" t="s">
        <v>79</v>
      </c>
      <c r="F4142" s="6">
        <v>42370</v>
      </c>
      <c r="G4142">
        <v>37</v>
      </c>
    </row>
    <row r="4143" spans="1:7" x14ac:dyDescent="0.25">
      <c r="A4143" s="5" t="s">
        <v>123</v>
      </c>
      <c r="B4143" s="5" t="s">
        <v>126</v>
      </c>
      <c r="C4143" s="5">
        <v>2400</v>
      </c>
      <c r="D4143" s="5" t="s">
        <v>78</v>
      </c>
      <c r="E4143" s="5" t="s">
        <v>79</v>
      </c>
      <c r="F4143" s="6">
        <v>42736</v>
      </c>
      <c r="G4143">
        <v>49</v>
      </c>
    </row>
    <row r="4144" spans="1:7" x14ac:dyDescent="0.25">
      <c r="A4144" s="5" t="s">
        <v>123</v>
      </c>
      <c r="B4144" s="5" t="s">
        <v>126</v>
      </c>
      <c r="C4144" s="5">
        <v>2400</v>
      </c>
      <c r="D4144" s="5" t="s">
        <v>78</v>
      </c>
      <c r="E4144" s="5" t="s">
        <v>80</v>
      </c>
      <c r="F4144" s="6">
        <v>42370</v>
      </c>
      <c r="G4144">
        <v>3</v>
      </c>
    </row>
    <row r="4145" spans="1:7" x14ac:dyDescent="0.25">
      <c r="A4145" s="5" t="s">
        <v>123</v>
      </c>
      <c r="B4145" s="5" t="s">
        <v>126</v>
      </c>
      <c r="C4145" s="5">
        <v>2400</v>
      </c>
      <c r="D4145" s="5" t="s">
        <v>78</v>
      </c>
      <c r="E4145" s="5" t="s">
        <v>80</v>
      </c>
      <c r="F4145" s="6">
        <v>42736</v>
      </c>
      <c r="G4145">
        <v>0</v>
      </c>
    </row>
    <row r="4146" spans="1:7" x14ac:dyDescent="0.25">
      <c r="A4146" s="5" t="s">
        <v>123</v>
      </c>
      <c r="B4146" s="5" t="s">
        <v>126</v>
      </c>
      <c r="C4146" s="5">
        <v>2400</v>
      </c>
      <c r="D4146" s="5" t="s">
        <v>78</v>
      </c>
      <c r="E4146" s="5" t="s">
        <v>81</v>
      </c>
      <c r="F4146" s="6">
        <v>42370</v>
      </c>
      <c r="G4146">
        <v>1638</v>
      </c>
    </row>
    <row r="4147" spans="1:7" x14ac:dyDescent="0.25">
      <c r="A4147" s="5" t="s">
        <v>123</v>
      </c>
      <c r="B4147" s="5" t="s">
        <v>126</v>
      </c>
      <c r="C4147" s="5">
        <v>2400</v>
      </c>
      <c r="D4147" s="5" t="s">
        <v>78</v>
      </c>
      <c r="E4147" s="5" t="s">
        <v>81</v>
      </c>
      <c r="F4147" s="6">
        <v>42736</v>
      </c>
      <c r="G4147">
        <v>2375</v>
      </c>
    </row>
    <row r="4148" spans="1:7" x14ac:dyDescent="0.25">
      <c r="A4148" s="5" t="s">
        <v>123</v>
      </c>
      <c r="B4148" s="5" t="s">
        <v>126</v>
      </c>
      <c r="C4148" s="5">
        <v>2400</v>
      </c>
      <c r="D4148" s="5" t="s">
        <v>78</v>
      </c>
      <c r="E4148" s="5" t="s">
        <v>82</v>
      </c>
      <c r="F4148" s="6">
        <v>42370</v>
      </c>
      <c r="G4148">
        <v>19</v>
      </c>
    </row>
    <row r="4149" spans="1:7" x14ac:dyDescent="0.25">
      <c r="A4149" s="5" t="s">
        <v>123</v>
      </c>
      <c r="B4149" s="5" t="s">
        <v>126</v>
      </c>
      <c r="C4149" s="5">
        <v>2400</v>
      </c>
      <c r="D4149" s="5" t="s">
        <v>78</v>
      </c>
      <c r="E4149" s="5" t="s">
        <v>82</v>
      </c>
      <c r="F4149" s="6">
        <v>42736</v>
      </c>
      <c r="G4149">
        <v>26</v>
      </c>
    </row>
    <row r="4150" spans="1:7" x14ac:dyDescent="0.25">
      <c r="A4150" s="5" t="s">
        <v>123</v>
      </c>
      <c r="B4150" s="5" t="s">
        <v>126</v>
      </c>
      <c r="C4150" s="5">
        <v>2400</v>
      </c>
      <c r="D4150" s="5" t="s">
        <v>78</v>
      </c>
      <c r="E4150" s="5" t="s">
        <v>83</v>
      </c>
      <c r="F4150" s="6">
        <v>42370</v>
      </c>
      <c r="G4150">
        <v>12</v>
      </c>
    </row>
    <row r="4151" spans="1:7" x14ac:dyDescent="0.25">
      <c r="A4151" s="5" t="s">
        <v>123</v>
      </c>
      <c r="B4151" s="5" t="s">
        <v>126</v>
      </c>
      <c r="C4151" s="5">
        <v>2400</v>
      </c>
      <c r="D4151" s="5" t="s">
        <v>78</v>
      </c>
      <c r="E4151" s="5" t="s">
        <v>83</v>
      </c>
      <c r="F4151" s="6">
        <v>42736</v>
      </c>
      <c r="G4151">
        <v>7</v>
      </c>
    </row>
    <row r="4152" spans="1:7" x14ac:dyDescent="0.25">
      <c r="A4152" s="5" t="s">
        <v>123</v>
      </c>
      <c r="B4152" s="5" t="s">
        <v>126</v>
      </c>
      <c r="C4152" s="5">
        <v>2400</v>
      </c>
      <c r="D4152" s="5" t="s">
        <v>78</v>
      </c>
      <c r="E4152" s="5" t="s">
        <v>84</v>
      </c>
      <c r="F4152" s="6">
        <v>42370</v>
      </c>
      <c r="G4152">
        <v>10</v>
      </c>
    </row>
    <row r="4153" spans="1:7" x14ac:dyDescent="0.25">
      <c r="A4153" s="5" t="s">
        <v>123</v>
      </c>
      <c r="B4153" s="5" t="s">
        <v>126</v>
      </c>
      <c r="C4153" s="5">
        <v>2400</v>
      </c>
      <c r="D4153" s="5" t="s">
        <v>78</v>
      </c>
      <c r="E4153" s="5" t="s">
        <v>84</v>
      </c>
      <c r="F4153" s="6">
        <v>42736</v>
      </c>
      <c r="G4153">
        <v>7</v>
      </c>
    </row>
    <row r="4154" spans="1:7" x14ac:dyDescent="0.25">
      <c r="A4154" s="5" t="s">
        <v>123</v>
      </c>
      <c r="B4154" s="5" t="s">
        <v>126</v>
      </c>
      <c r="C4154" s="5">
        <v>2400</v>
      </c>
      <c r="D4154" s="5" t="s">
        <v>78</v>
      </c>
      <c r="E4154" s="5" t="s">
        <v>85</v>
      </c>
      <c r="F4154" s="6">
        <v>42370</v>
      </c>
      <c r="G4154">
        <v>0</v>
      </c>
    </row>
    <row r="4155" spans="1:7" x14ac:dyDescent="0.25">
      <c r="A4155" s="5" t="s">
        <v>123</v>
      </c>
      <c r="B4155" s="5" t="s">
        <v>126</v>
      </c>
      <c r="C4155" s="5">
        <v>2400</v>
      </c>
      <c r="D4155" s="5" t="s">
        <v>78</v>
      </c>
      <c r="E4155" s="5" t="s">
        <v>85</v>
      </c>
      <c r="F4155" s="6">
        <v>42736</v>
      </c>
      <c r="G4155">
        <v>3</v>
      </c>
    </row>
    <row r="4156" spans="1:7" x14ac:dyDescent="0.25">
      <c r="A4156" s="5" t="s">
        <v>123</v>
      </c>
      <c r="B4156" s="5" t="s">
        <v>126</v>
      </c>
      <c r="C4156" s="5">
        <v>2400</v>
      </c>
      <c r="D4156" s="5" t="s">
        <v>78</v>
      </c>
      <c r="E4156" s="5" t="s">
        <v>86</v>
      </c>
      <c r="F4156" s="6">
        <v>42370</v>
      </c>
      <c r="G4156">
        <v>25</v>
      </c>
    </row>
    <row r="4157" spans="1:7" x14ac:dyDescent="0.25">
      <c r="A4157" s="5" t="s">
        <v>123</v>
      </c>
      <c r="B4157" s="5" t="s">
        <v>126</v>
      </c>
      <c r="C4157" s="5">
        <v>2400</v>
      </c>
      <c r="D4157" s="5" t="s">
        <v>78</v>
      </c>
      <c r="E4157" s="5" t="s">
        <v>86</v>
      </c>
      <c r="F4157" s="6">
        <v>42736</v>
      </c>
      <c r="G4157">
        <v>43</v>
      </c>
    </row>
    <row r="4158" spans="1:7" x14ac:dyDescent="0.25">
      <c r="A4158" s="5" t="s">
        <v>123</v>
      </c>
      <c r="B4158" s="5" t="s">
        <v>126</v>
      </c>
      <c r="C4158" s="5">
        <v>2400</v>
      </c>
      <c r="D4158" s="5" t="s">
        <v>78</v>
      </c>
      <c r="E4158" s="5" t="s">
        <v>87</v>
      </c>
      <c r="F4158" s="6">
        <v>42370</v>
      </c>
      <c r="G4158">
        <v>59</v>
      </c>
    </row>
    <row r="4159" spans="1:7" x14ac:dyDescent="0.25">
      <c r="A4159" s="5" t="s">
        <v>123</v>
      </c>
      <c r="B4159" s="5" t="s">
        <v>126</v>
      </c>
      <c r="C4159" s="5">
        <v>2400</v>
      </c>
      <c r="D4159" s="5" t="s">
        <v>78</v>
      </c>
      <c r="E4159" s="5" t="s">
        <v>87</v>
      </c>
      <c r="F4159" s="6">
        <v>42736</v>
      </c>
      <c r="G4159">
        <v>98</v>
      </c>
    </row>
    <row r="4160" spans="1:7" x14ac:dyDescent="0.25">
      <c r="A4160" s="5" t="s">
        <v>123</v>
      </c>
      <c r="B4160" s="5" t="s">
        <v>126</v>
      </c>
      <c r="C4160" s="5">
        <v>2400</v>
      </c>
      <c r="D4160" s="5" t="s">
        <v>78</v>
      </c>
      <c r="E4160" s="5" t="s">
        <v>88</v>
      </c>
      <c r="F4160" s="6">
        <v>42370</v>
      </c>
      <c r="G4160">
        <v>206</v>
      </c>
    </row>
    <row r="4161" spans="1:7" x14ac:dyDescent="0.25">
      <c r="A4161" s="5" t="s">
        <v>123</v>
      </c>
      <c r="B4161" s="5" t="s">
        <v>126</v>
      </c>
      <c r="C4161" s="5">
        <v>2400</v>
      </c>
      <c r="D4161" s="5" t="s">
        <v>78</v>
      </c>
      <c r="E4161" s="5" t="s">
        <v>88</v>
      </c>
      <c r="F4161" s="6">
        <v>42736</v>
      </c>
      <c r="G4161">
        <v>324</v>
      </c>
    </row>
    <row r="4162" spans="1:7" x14ac:dyDescent="0.25">
      <c r="A4162" s="5" t="s">
        <v>123</v>
      </c>
      <c r="B4162" s="5" t="s">
        <v>126</v>
      </c>
      <c r="C4162" s="5">
        <v>2400</v>
      </c>
      <c r="D4162" s="5" t="s">
        <v>78</v>
      </c>
      <c r="E4162" s="5" t="s">
        <v>89</v>
      </c>
      <c r="F4162" s="6">
        <v>42370</v>
      </c>
      <c r="G4162">
        <v>4018</v>
      </c>
    </row>
    <row r="4163" spans="1:7" x14ac:dyDescent="0.25">
      <c r="A4163" s="5" t="s">
        <v>123</v>
      </c>
      <c r="B4163" s="5" t="s">
        <v>126</v>
      </c>
      <c r="C4163" s="5">
        <v>2400</v>
      </c>
      <c r="D4163" s="5" t="s">
        <v>78</v>
      </c>
      <c r="E4163" s="5" t="s">
        <v>89</v>
      </c>
      <c r="F4163" s="6">
        <v>42736</v>
      </c>
      <c r="G4163">
        <v>5197</v>
      </c>
    </row>
    <row r="4164" spans="1:7" x14ac:dyDescent="0.25">
      <c r="A4164" s="5" t="s">
        <v>123</v>
      </c>
      <c r="B4164" s="5" t="s">
        <v>126</v>
      </c>
      <c r="C4164" s="5">
        <v>2400</v>
      </c>
      <c r="D4164" s="5" t="s">
        <v>78</v>
      </c>
      <c r="E4164" s="5" t="s">
        <v>90</v>
      </c>
      <c r="F4164" s="6">
        <v>42370</v>
      </c>
      <c r="G4164">
        <v>0</v>
      </c>
    </row>
    <row r="4165" spans="1:7" x14ac:dyDescent="0.25">
      <c r="A4165" s="5" t="s">
        <v>123</v>
      </c>
      <c r="B4165" s="5" t="s">
        <v>126</v>
      </c>
      <c r="C4165" s="5">
        <v>2400</v>
      </c>
      <c r="D4165" s="5" t="s">
        <v>78</v>
      </c>
      <c r="E4165" s="5" t="s">
        <v>90</v>
      </c>
      <c r="F4165" s="6">
        <v>42736</v>
      </c>
      <c r="G4165">
        <v>0</v>
      </c>
    </row>
    <row r="4166" spans="1:7" x14ac:dyDescent="0.25">
      <c r="A4166" s="5" t="s">
        <v>123</v>
      </c>
      <c r="B4166" s="5" t="s">
        <v>126</v>
      </c>
      <c r="C4166" s="5">
        <v>2400</v>
      </c>
      <c r="D4166" s="5" t="s">
        <v>78</v>
      </c>
      <c r="E4166" s="5" t="s">
        <v>91</v>
      </c>
      <c r="F4166" s="6">
        <v>42370</v>
      </c>
      <c r="G4166">
        <v>85</v>
      </c>
    </row>
    <row r="4167" spans="1:7" x14ac:dyDescent="0.25">
      <c r="A4167" s="5" t="s">
        <v>123</v>
      </c>
      <c r="B4167" s="5" t="s">
        <v>126</v>
      </c>
      <c r="C4167" s="5">
        <v>2400</v>
      </c>
      <c r="D4167" s="5" t="s">
        <v>78</v>
      </c>
      <c r="E4167" s="5" t="s">
        <v>91</v>
      </c>
      <c r="F4167" s="6">
        <v>42736</v>
      </c>
      <c r="G4167">
        <v>134</v>
      </c>
    </row>
    <row r="4168" spans="1:7" x14ac:dyDescent="0.25">
      <c r="A4168" s="5" t="s">
        <v>123</v>
      </c>
      <c r="B4168" s="5" t="s">
        <v>126</v>
      </c>
      <c r="C4168" s="5">
        <v>2400</v>
      </c>
      <c r="D4168" s="5" t="s">
        <v>78</v>
      </c>
      <c r="E4168" s="5" t="s">
        <v>92</v>
      </c>
      <c r="F4168" s="6">
        <v>42370</v>
      </c>
      <c r="G4168">
        <v>13</v>
      </c>
    </row>
    <row r="4169" spans="1:7" x14ac:dyDescent="0.25">
      <c r="A4169" s="5" t="s">
        <v>123</v>
      </c>
      <c r="B4169" s="5" t="s">
        <v>126</v>
      </c>
      <c r="C4169" s="5">
        <v>2400</v>
      </c>
      <c r="D4169" s="5" t="s">
        <v>78</v>
      </c>
      <c r="E4169" s="5" t="s">
        <v>92</v>
      </c>
      <c r="F4169" s="6">
        <v>42736</v>
      </c>
      <c r="G4169">
        <v>12</v>
      </c>
    </row>
    <row r="4170" spans="1:7" x14ac:dyDescent="0.25">
      <c r="A4170" s="5" t="s">
        <v>123</v>
      </c>
      <c r="B4170" s="5" t="s">
        <v>126</v>
      </c>
      <c r="C4170" s="5">
        <v>2400</v>
      </c>
      <c r="D4170" s="5" t="s">
        <v>78</v>
      </c>
      <c r="E4170" s="5" t="s">
        <v>93</v>
      </c>
      <c r="F4170" s="6">
        <v>42370</v>
      </c>
      <c r="G4170">
        <v>58</v>
      </c>
    </row>
    <row r="4171" spans="1:7" x14ac:dyDescent="0.25">
      <c r="A4171" s="5" t="s">
        <v>123</v>
      </c>
      <c r="B4171" s="5" t="s">
        <v>126</v>
      </c>
      <c r="C4171" s="5">
        <v>2400</v>
      </c>
      <c r="D4171" s="5" t="s">
        <v>78</v>
      </c>
      <c r="E4171" s="5" t="s">
        <v>93</v>
      </c>
      <c r="F4171" s="6">
        <v>42736</v>
      </c>
      <c r="G4171">
        <v>90</v>
      </c>
    </row>
    <row r="4172" spans="1:7" x14ac:dyDescent="0.25">
      <c r="A4172" s="5" t="s">
        <v>123</v>
      </c>
      <c r="B4172" s="5" t="s">
        <v>126</v>
      </c>
      <c r="C4172" s="5">
        <v>2400</v>
      </c>
      <c r="D4172" s="5" t="s">
        <v>78</v>
      </c>
      <c r="E4172" s="5" t="s">
        <v>94</v>
      </c>
      <c r="F4172" s="6">
        <v>42370</v>
      </c>
      <c r="G4172">
        <v>63</v>
      </c>
    </row>
    <row r="4173" spans="1:7" x14ac:dyDescent="0.25">
      <c r="A4173" s="5" t="s">
        <v>123</v>
      </c>
      <c r="B4173" s="5" t="s">
        <v>126</v>
      </c>
      <c r="C4173" s="5">
        <v>2400</v>
      </c>
      <c r="D4173" s="5" t="s">
        <v>78</v>
      </c>
      <c r="E4173" s="5" t="s">
        <v>94</v>
      </c>
      <c r="F4173" s="6">
        <v>42736</v>
      </c>
      <c r="G4173">
        <v>110</v>
      </c>
    </row>
    <row r="4174" spans="1:7" x14ac:dyDescent="0.25">
      <c r="A4174" s="5" t="s">
        <v>123</v>
      </c>
      <c r="B4174" s="5" t="s">
        <v>126</v>
      </c>
      <c r="C4174" s="5">
        <v>2400</v>
      </c>
      <c r="D4174" s="5" t="s">
        <v>78</v>
      </c>
      <c r="E4174" s="5" t="s">
        <v>95</v>
      </c>
      <c r="F4174" s="6">
        <v>42370</v>
      </c>
      <c r="G4174">
        <v>3</v>
      </c>
    </row>
    <row r="4175" spans="1:7" x14ac:dyDescent="0.25">
      <c r="A4175" s="5" t="s">
        <v>123</v>
      </c>
      <c r="B4175" s="5" t="s">
        <v>126</v>
      </c>
      <c r="C4175" s="5">
        <v>2400</v>
      </c>
      <c r="D4175" s="5" t="s">
        <v>78</v>
      </c>
      <c r="E4175" s="5" t="s">
        <v>95</v>
      </c>
      <c r="F4175" s="6">
        <v>42736</v>
      </c>
      <c r="G4175">
        <v>10</v>
      </c>
    </row>
    <row r="4176" spans="1:7" x14ac:dyDescent="0.25">
      <c r="A4176" s="5" t="s">
        <v>123</v>
      </c>
      <c r="B4176" s="5" t="s">
        <v>126</v>
      </c>
      <c r="C4176" s="5">
        <v>2400</v>
      </c>
      <c r="D4176" s="5" t="s">
        <v>78</v>
      </c>
      <c r="E4176" s="5" t="s">
        <v>96</v>
      </c>
      <c r="F4176" s="6">
        <v>42370</v>
      </c>
      <c r="G4176">
        <v>7</v>
      </c>
    </row>
    <row r="4177" spans="1:7" x14ac:dyDescent="0.25">
      <c r="A4177" s="5" t="s">
        <v>123</v>
      </c>
      <c r="B4177" s="5" t="s">
        <v>126</v>
      </c>
      <c r="C4177" s="5">
        <v>2400</v>
      </c>
      <c r="D4177" s="5" t="s">
        <v>78</v>
      </c>
      <c r="E4177" s="5" t="s">
        <v>96</v>
      </c>
      <c r="F4177" s="6">
        <v>42736</v>
      </c>
      <c r="G4177">
        <v>7</v>
      </c>
    </row>
    <row r="4178" spans="1:7" x14ac:dyDescent="0.25">
      <c r="A4178" s="5" t="s">
        <v>123</v>
      </c>
      <c r="B4178" s="5" t="s">
        <v>126</v>
      </c>
      <c r="C4178" s="5">
        <v>2400</v>
      </c>
      <c r="D4178" s="5" t="s">
        <v>78</v>
      </c>
      <c r="E4178" s="5" t="s">
        <v>97</v>
      </c>
      <c r="F4178" s="6">
        <v>42370</v>
      </c>
      <c r="G4178">
        <v>113</v>
      </c>
    </row>
    <row r="4179" spans="1:7" x14ac:dyDescent="0.25">
      <c r="A4179" s="5" t="s">
        <v>123</v>
      </c>
      <c r="B4179" s="5" t="s">
        <v>126</v>
      </c>
      <c r="C4179" s="5">
        <v>2400</v>
      </c>
      <c r="D4179" s="5" t="s">
        <v>78</v>
      </c>
      <c r="E4179" s="5" t="s">
        <v>97</v>
      </c>
      <c r="F4179" s="6">
        <v>42736</v>
      </c>
      <c r="G4179">
        <v>258</v>
      </c>
    </row>
    <row r="4180" spans="1:7" x14ac:dyDescent="0.25">
      <c r="A4180" s="5" t="s">
        <v>123</v>
      </c>
      <c r="B4180" s="5" t="s">
        <v>126</v>
      </c>
      <c r="C4180" s="5">
        <v>2400</v>
      </c>
      <c r="D4180" s="5" t="s">
        <v>78</v>
      </c>
      <c r="E4180" s="5" t="s">
        <v>98</v>
      </c>
      <c r="F4180" s="6">
        <v>42370</v>
      </c>
      <c r="G4180">
        <v>11</v>
      </c>
    </row>
    <row r="4181" spans="1:7" x14ac:dyDescent="0.25">
      <c r="A4181" s="5" t="s">
        <v>123</v>
      </c>
      <c r="B4181" s="5" t="s">
        <v>126</v>
      </c>
      <c r="C4181" s="5">
        <v>2400</v>
      </c>
      <c r="D4181" s="5" t="s">
        <v>78</v>
      </c>
      <c r="E4181" s="5" t="s">
        <v>98</v>
      </c>
      <c r="F4181" s="6">
        <v>42736</v>
      </c>
      <c r="G4181">
        <v>12</v>
      </c>
    </row>
    <row r="4182" spans="1:7" x14ac:dyDescent="0.25">
      <c r="A4182" s="5" t="s">
        <v>127</v>
      </c>
      <c r="B4182" s="5" t="s">
        <v>128</v>
      </c>
      <c r="C4182" s="5">
        <v>1230</v>
      </c>
      <c r="D4182" s="5" t="s">
        <v>8</v>
      </c>
      <c r="E4182" s="5" t="s">
        <v>9</v>
      </c>
      <c r="F4182" s="6">
        <v>42370</v>
      </c>
      <c r="G4182">
        <v>0</v>
      </c>
    </row>
    <row r="4183" spans="1:7" x14ac:dyDescent="0.25">
      <c r="A4183" s="5" t="s">
        <v>127</v>
      </c>
      <c r="B4183" s="5" t="s">
        <v>128</v>
      </c>
      <c r="C4183" s="5">
        <v>1230</v>
      </c>
      <c r="D4183" s="5" t="s">
        <v>8</v>
      </c>
      <c r="E4183" s="5" t="s">
        <v>9</v>
      </c>
      <c r="F4183" s="6">
        <v>42736</v>
      </c>
      <c r="G4183">
        <v>0</v>
      </c>
    </row>
    <row r="4184" spans="1:7" x14ac:dyDescent="0.25">
      <c r="A4184" s="5" t="s">
        <v>127</v>
      </c>
      <c r="B4184" s="5" t="s">
        <v>128</v>
      </c>
      <c r="C4184" s="5">
        <v>1230</v>
      </c>
      <c r="D4184" s="5" t="s">
        <v>8</v>
      </c>
      <c r="E4184" s="5" t="s">
        <v>10</v>
      </c>
      <c r="F4184" s="6">
        <v>42370</v>
      </c>
      <c r="G4184">
        <v>97</v>
      </c>
    </row>
    <row r="4185" spans="1:7" x14ac:dyDescent="0.25">
      <c r="A4185" s="5" t="s">
        <v>127</v>
      </c>
      <c r="B4185" s="5" t="s">
        <v>128</v>
      </c>
      <c r="C4185" s="5">
        <v>1230</v>
      </c>
      <c r="D4185" s="5" t="s">
        <v>8</v>
      </c>
      <c r="E4185" s="5" t="s">
        <v>10</v>
      </c>
      <c r="F4185" s="6">
        <v>42736</v>
      </c>
      <c r="G4185">
        <v>401</v>
      </c>
    </row>
    <row r="4186" spans="1:7" x14ac:dyDescent="0.25">
      <c r="A4186" s="5" t="s">
        <v>127</v>
      </c>
      <c r="B4186" s="5" t="s">
        <v>128</v>
      </c>
      <c r="C4186" s="5">
        <v>1230</v>
      </c>
      <c r="D4186" s="5" t="s">
        <v>8</v>
      </c>
      <c r="E4186" s="5" t="s">
        <v>11</v>
      </c>
      <c r="F4186" s="6">
        <v>42370</v>
      </c>
      <c r="G4186">
        <v>11</v>
      </c>
    </row>
    <row r="4187" spans="1:7" x14ac:dyDescent="0.25">
      <c r="A4187" s="5" t="s">
        <v>127</v>
      </c>
      <c r="B4187" s="5" t="s">
        <v>128</v>
      </c>
      <c r="C4187" s="5">
        <v>1230</v>
      </c>
      <c r="D4187" s="5" t="s">
        <v>8</v>
      </c>
      <c r="E4187" s="5" t="s">
        <v>11</v>
      </c>
      <c r="F4187" s="6">
        <v>42736</v>
      </c>
      <c r="G4187">
        <v>24</v>
      </c>
    </row>
    <row r="4188" spans="1:7" x14ac:dyDescent="0.25">
      <c r="A4188" s="5" t="s">
        <v>127</v>
      </c>
      <c r="B4188" s="5" t="s">
        <v>128</v>
      </c>
      <c r="C4188" s="5">
        <v>1230</v>
      </c>
      <c r="D4188" s="5" t="s">
        <v>8</v>
      </c>
      <c r="E4188" s="5" t="s">
        <v>12</v>
      </c>
      <c r="F4188" s="6">
        <v>42370</v>
      </c>
      <c r="G4188">
        <v>0</v>
      </c>
    </row>
    <row r="4189" spans="1:7" x14ac:dyDescent="0.25">
      <c r="A4189" s="5" t="s">
        <v>127</v>
      </c>
      <c r="B4189" s="5" t="s">
        <v>128</v>
      </c>
      <c r="C4189" s="5">
        <v>1230</v>
      </c>
      <c r="D4189" s="5" t="s">
        <v>8</v>
      </c>
      <c r="E4189" s="5" t="s">
        <v>12</v>
      </c>
      <c r="F4189" s="6">
        <v>42736</v>
      </c>
      <c r="G4189">
        <v>0</v>
      </c>
    </row>
    <row r="4190" spans="1:7" x14ac:dyDescent="0.25">
      <c r="A4190" s="5" t="s">
        <v>127</v>
      </c>
      <c r="B4190" s="5" t="s">
        <v>128</v>
      </c>
      <c r="C4190" s="5">
        <v>1230</v>
      </c>
      <c r="D4190" s="5" t="s">
        <v>8</v>
      </c>
      <c r="E4190" s="5" t="s">
        <v>13</v>
      </c>
      <c r="F4190" s="6">
        <v>42370</v>
      </c>
      <c r="G4190">
        <v>0</v>
      </c>
    </row>
    <row r="4191" spans="1:7" x14ac:dyDescent="0.25">
      <c r="A4191" s="5" t="s">
        <v>127</v>
      </c>
      <c r="B4191" s="5" t="s">
        <v>128</v>
      </c>
      <c r="C4191" s="5">
        <v>1230</v>
      </c>
      <c r="D4191" s="5" t="s">
        <v>8</v>
      </c>
      <c r="E4191" s="5" t="s">
        <v>13</v>
      </c>
      <c r="F4191" s="6">
        <v>42736</v>
      </c>
      <c r="G4191">
        <v>0</v>
      </c>
    </row>
    <row r="4192" spans="1:7" x14ac:dyDescent="0.25">
      <c r="A4192" s="5" t="s">
        <v>127</v>
      </c>
      <c r="B4192" s="5" t="s">
        <v>128</v>
      </c>
      <c r="C4192" s="5">
        <v>1230</v>
      </c>
      <c r="D4192" s="5" t="s">
        <v>8</v>
      </c>
      <c r="E4192" s="5" t="s">
        <v>14</v>
      </c>
      <c r="F4192" s="6">
        <v>42370</v>
      </c>
      <c r="G4192">
        <v>0</v>
      </c>
    </row>
    <row r="4193" spans="1:7" x14ac:dyDescent="0.25">
      <c r="A4193" s="5" t="s">
        <v>127</v>
      </c>
      <c r="B4193" s="5" t="s">
        <v>128</v>
      </c>
      <c r="C4193" s="5">
        <v>1230</v>
      </c>
      <c r="D4193" s="5" t="s">
        <v>8</v>
      </c>
      <c r="E4193" s="5" t="s">
        <v>14</v>
      </c>
      <c r="F4193" s="6">
        <v>42736</v>
      </c>
      <c r="G4193">
        <v>0</v>
      </c>
    </row>
    <row r="4194" spans="1:7" x14ac:dyDescent="0.25">
      <c r="A4194" s="5" t="s">
        <v>127</v>
      </c>
      <c r="B4194" s="5" t="s">
        <v>128</v>
      </c>
      <c r="C4194" s="5">
        <v>1230</v>
      </c>
      <c r="D4194" s="5" t="s">
        <v>8</v>
      </c>
      <c r="E4194" s="5" t="s">
        <v>15</v>
      </c>
      <c r="F4194" s="6">
        <v>42370</v>
      </c>
      <c r="G4194">
        <v>0</v>
      </c>
    </row>
    <row r="4195" spans="1:7" x14ac:dyDescent="0.25">
      <c r="A4195" s="5" t="s">
        <v>127</v>
      </c>
      <c r="B4195" s="5" t="s">
        <v>128</v>
      </c>
      <c r="C4195" s="5">
        <v>1230</v>
      </c>
      <c r="D4195" s="5" t="s">
        <v>8</v>
      </c>
      <c r="E4195" s="5" t="s">
        <v>15</v>
      </c>
      <c r="F4195" s="6">
        <v>42736</v>
      </c>
      <c r="G4195">
        <v>0</v>
      </c>
    </row>
    <row r="4196" spans="1:7" x14ac:dyDescent="0.25">
      <c r="A4196" s="5" t="s">
        <v>127</v>
      </c>
      <c r="B4196" s="5" t="s">
        <v>128</v>
      </c>
      <c r="C4196" s="5">
        <v>1230</v>
      </c>
      <c r="D4196" s="5" t="s">
        <v>8</v>
      </c>
      <c r="E4196" s="5" t="s">
        <v>16</v>
      </c>
      <c r="F4196" s="6">
        <v>42370</v>
      </c>
      <c r="G4196">
        <v>28</v>
      </c>
    </row>
    <row r="4197" spans="1:7" x14ac:dyDescent="0.25">
      <c r="A4197" s="5" t="s">
        <v>127</v>
      </c>
      <c r="B4197" s="5" t="s">
        <v>128</v>
      </c>
      <c r="C4197" s="5">
        <v>1230</v>
      </c>
      <c r="D4197" s="5" t="s">
        <v>8</v>
      </c>
      <c r="E4197" s="5" t="s">
        <v>16</v>
      </c>
      <c r="F4197" s="6">
        <v>42736</v>
      </c>
      <c r="G4197">
        <v>22</v>
      </c>
    </row>
    <row r="4198" spans="1:7" x14ac:dyDescent="0.25">
      <c r="A4198" s="5" t="s">
        <v>127</v>
      </c>
      <c r="B4198" s="5" t="s">
        <v>128</v>
      </c>
      <c r="C4198" s="5">
        <v>1230</v>
      </c>
      <c r="D4198" s="5" t="s">
        <v>8</v>
      </c>
      <c r="E4198" s="5" t="s">
        <v>17</v>
      </c>
      <c r="F4198" s="6">
        <v>42370</v>
      </c>
      <c r="G4198">
        <v>0</v>
      </c>
    </row>
    <row r="4199" spans="1:7" x14ac:dyDescent="0.25">
      <c r="A4199" s="5" t="s">
        <v>127</v>
      </c>
      <c r="B4199" s="5" t="s">
        <v>128</v>
      </c>
      <c r="C4199" s="5">
        <v>1230</v>
      </c>
      <c r="D4199" s="5" t="s">
        <v>8</v>
      </c>
      <c r="E4199" s="5" t="s">
        <v>17</v>
      </c>
      <c r="F4199" s="6">
        <v>42736</v>
      </c>
      <c r="G4199">
        <v>0</v>
      </c>
    </row>
    <row r="4200" spans="1:7" x14ac:dyDescent="0.25">
      <c r="A4200" s="5" t="s">
        <v>127</v>
      </c>
      <c r="B4200" s="5" t="s">
        <v>128</v>
      </c>
      <c r="C4200" s="5">
        <v>1230</v>
      </c>
      <c r="D4200" s="5" t="s">
        <v>8</v>
      </c>
      <c r="E4200" s="5" t="s">
        <v>18</v>
      </c>
      <c r="F4200" s="6">
        <v>42370</v>
      </c>
      <c r="G4200">
        <v>8</v>
      </c>
    </row>
    <row r="4201" spans="1:7" x14ac:dyDescent="0.25">
      <c r="A4201" s="5" t="s">
        <v>127</v>
      </c>
      <c r="B4201" s="5" t="s">
        <v>128</v>
      </c>
      <c r="C4201" s="5">
        <v>1230</v>
      </c>
      <c r="D4201" s="5" t="s">
        <v>8</v>
      </c>
      <c r="E4201" s="5" t="s">
        <v>18</v>
      </c>
      <c r="F4201" s="6">
        <v>42736</v>
      </c>
      <c r="G4201">
        <v>9</v>
      </c>
    </row>
    <row r="4202" spans="1:7" x14ac:dyDescent="0.25">
      <c r="A4202" s="5" t="s">
        <v>127</v>
      </c>
      <c r="B4202" s="5" t="s">
        <v>128</v>
      </c>
      <c r="C4202" s="5">
        <v>1230</v>
      </c>
      <c r="D4202" s="5" t="s">
        <v>8</v>
      </c>
      <c r="E4202" s="5" t="s">
        <v>19</v>
      </c>
      <c r="F4202" s="6">
        <v>42370</v>
      </c>
      <c r="G4202">
        <v>0</v>
      </c>
    </row>
    <row r="4203" spans="1:7" x14ac:dyDescent="0.25">
      <c r="A4203" s="5" t="s">
        <v>127</v>
      </c>
      <c r="B4203" s="5" t="s">
        <v>128</v>
      </c>
      <c r="C4203" s="5">
        <v>1230</v>
      </c>
      <c r="D4203" s="5" t="s">
        <v>8</v>
      </c>
      <c r="E4203" s="5" t="s">
        <v>19</v>
      </c>
      <c r="F4203" s="6">
        <v>42736</v>
      </c>
      <c r="G4203">
        <v>0</v>
      </c>
    </row>
    <row r="4204" spans="1:7" x14ac:dyDescent="0.25">
      <c r="A4204" s="5" t="s">
        <v>127</v>
      </c>
      <c r="B4204" s="5" t="s">
        <v>128</v>
      </c>
      <c r="C4204" s="5">
        <v>1230</v>
      </c>
      <c r="D4204" s="5" t="s">
        <v>20</v>
      </c>
      <c r="E4204" s="5" t="s">
        <v>9</v>
      </c>
      <c r="F4204" s="6">
        <v>42370</v>
      </c>
      <c r="G4204">
        <v>7</v>
      </c>
    </row>
    <row r="4205" spans="1:7" x14ac:dyDescent="0.25">
      <c r="A4205" s="5" t="s">
        <v>127</v>
      </c>
      <c r="B4205" s="5" t="s">
        <v>128</v>
      </c>
      <c r="C4205" s="5">
        <v>1230</v>
      </c>
      <c r="D4205" s="5" t="s">
        <v>20</v>
      </c>
      <c r="E4205" s="5" t="s">
        <v>9</v>
      </c>
      <c r="F4205" s="6">
        <v>42736</v>
      </c>
      <c r="G4205">
        <v>10</v>
      </c>
    </row>
    <row r="4206" spans="1:7" x14ac:dyDescent="0.25">
      <c r="A4206" s="5" t="s">
        <v>127</v>
      </c>
      <c r="B4206" s="5" t="s">
        <v>128</v>
      </c>
      <c r="C4206" s="5">
        <v>1230</v>
      </c>
      <c r="D4206" s="5" t="s">
        <v>20</v>
      </c>
      <c r="E4206" s="5" t="s">
        <v>21</v>
      </c>
      <c r="F4206" s="6">
        <v>42370</v>
      </c>
      <c r="G4206">
        <v>4</v>
      </c>
    </row>
    <row r="4207" spans="1:7" x14ac:dyDescent="0.25">
      <c r="A4207" s="5" t="s">
        <v>127</v>
      </c>
      <c r="B4207" s="5" t="s">
        <v>128</v>
      </c>
      <c r="C4207" s="5">
        <v>1230</v>
      </c>
      <c r="D4207" s="5" t="s">
        <v>20</v>
      </c>
      <c r="E4207" s="5" t="s">
        <v>21</v>
      </c>
      <c r="F4207" s="6">
        <v>42736</v>
      </c>
      <c r="G4207">
        <v>9</v>
      </c>
    </row>
    <row r="4208" spans="1:7" x14ac:dyDescent="0.25">
      <c r="A4208" s="5" t="s">
        <v>127</v>
      </c>
      <c r="B4208" s="5" t="s">
        <v>128</v>
      </c>
      <c r="C4208" s="5">
        <v>1230</v>
      </c>
      <c r="D4208" s="5" t="s">
        <v>20</v>
      </c>
      <c r="E4208" s="5" t="s">
        <v>22</v>
      </c>
      <c r="F4208" s="6">
        <v>42370</v>
      </c>
      <c r="G4208">
        <v>0</v>
      </c>
    </row>
    <row r="4209" spans="1:7" x14ac:dyDescent="0.25">
      <c r="A4209" s="5" t="s">
        <v>127</v>
      </c>
      <c r="B4209" s="5" t="s">
        <v>128</v>
      </c>
      <c r="C4209" s="5">
        <v>1230</v>
      </c>
      <c r="D4209" s="5" t="s">
        <v>20</v>
      </c>
      <c r="E4209" s="5" t="s">
        <v>22</v>
      </c>
      <c r="F4209" s="6">
        <v>42736</v>
      </c>
      <c r="G4209">
        <v>2</v>
      </c>
    </row>
    <row r="4210" spans="1:7" x14ac:dyDescent="0.25">
      <c r="A4210" s="5" t="s">
        <v>127</v>
      </c>
      <c r="B4210" s="5" t="s">
        <v>128</v>
      </c>
      <c r="C4210" s="5">
        <v>1230</v>
      </c>
      <c r="D4210" s="5" t="s">
        <v>20</v>
      </c>
      <c r="E4210" s="5" t="s">
        <v>23</v>
      </c>
      <c r="F4210" s="6">
        <v>42370</v>
      </c>
      <c r="G4210">
        <v>0</v>
      </c>
    </row>
    <row r="4211" spans="1:7" x14ac:dyDescent="0.25">
      <c r="A4211" s="5" t="s">
        <v>127</v>
      </c>
      <c r="B4211" s="5" t="s">
        <v>128</v>
      </c>
      <c r="C4211" s="5">
        <v>1230</v>
      </c>
      <c r="D4211" s="5" t="s">
        <v>20</v>
      </c>
      <c r="E4211" s="5" t="s">
        <v>23</v>
      </c>
      <c r="F4211" s="6">
        <v>42736</v>
      </c>
      <c r="G4211">
        <v>0</v>
      </c>
    </row>
    <row r="4212" spans="1:7" x14ac:dyDescent="0.25">
      <c r="A4212" s="5" t="s">
        <v>127</v>
      </c>
      <c r="B4212" s="5" t="s">
        <v>128</v>
      </c>
      <c r="C4212" s="5">
        <v>1230</v>
      </c>
      <c r="D4212" s="5" t="s">
        <v>20</v>
      </c>
      <c r="E4212" s="5" t="s">
        <v>24</v>
      </c>
      <c r="F4212" s="6">
        <v>42370</v>
      </c>
      <c r="G4212">
        <v>0</v>
      </c>
    </row>
    <row r="4213" spans="1:7" x14ac:dyDescent="0.25">
      <c r="A4213" s="5" t="s">
        <v>127</v>
      </c>
      <c r="B4213" s="5" t="s">
        <v>128</v>
      </c>
      <c r="C4213" s="5">
        <v>1230</v>
      </c>
      <c r="D4213" s="5" t="s">
        <v>20</v>
      </c>
      <c r="E4213" s="5" t="s">
        <v>24</v>
      </c>
      <c r="F4213" s="6">
        <v>42736</v>
      </c>
      <c r="G4213">
        <v>0</v>
      </c>
    </row>
    <row r="4214" spans="1:7" x14ac:dyDescent="0.25">
      <c r="A4214" s="5" t="s">
        <v>127</v>
      </c>
      <c r="B4214" s="5" t="s">
        <v>128</v>
      </c>
      <c r="C4214" s="5">
        <v>1230</v>
      </c>
      <c r="D4214" s="5" t="s">
        <v>20</v>
      </c>
      <c r="E4214" s="5" t="s">
        <v>25</v>
      </c>
      <c r="F4214" s="6">
        <v>42370</v>
      </c>
      <c r="G4214">
        <v>0</v>
      </c>
    </row>
    <row r="4215" spans="1:7" x14ac:dyDescent="0.25">
      <c r="A4215" s="5" t="s">
        <v>127</v>
      </c>
      <c r="B4215" s="5" t="s">
        <v>128</v>
      </c>
      <c r="C4215" s="5">
        <v>1230</v>
      </c>
      <c r="D4215" s="5" t="s">
        <v>20</v>
      </c>
      <c r="E4215" s="5" t="s">
        <v>25</v>
      </c>
      <c r="F4215" s="6">
        <v>42736</v>
      </c>
      <c r="G4215">
        <v>0</v>
      </c>
    </row>
    <row r="4216" spans="1:7" x14ac:dyDescent="0.25">
      <c r="A4216" s="5" t="s">
        <v>127</v>
      </c>
      <c r="B4216" s="5" t="s">
        <v>128</v>
      </c>
      <c r="C4216" s="5">
        <v>1230</v>
      </c>
      <c r="D4216" s="5" t="s">
        <v>20</v>
      </c>
      <c r="E4216" s="5" t="s">
        <v>26</v>
      </c>
      <c r="F4216" s="6">
        <v>42370</v>
      </c>
      <c r="G4216">
        <v>101</v>
      </c>
    </row>
    <row r="4217" spans="1:7" x14ac:dyDescent="0.25">
      <c r="A4217" s="5" t="s">
        <v>127</v>
      </c>
      <c r="B4217" s="5" t="s">
        <v>128</v>
      </c>
      <c r="C4217" s="5">
        <v>1230</v>
      </c>
      <c r="D4217" s="5" t="s">
        <v>20</v>
      </c>
      <c r="E4217" s="5" t="s">
        <v>26</v>
      </c>
      <c r="F4217" s="6">
        <v>42736</v>
      </c>
      <c r="G4217">
        <v>151</v>
      </c>
    </row>
    <row r="4218" spans="1:7" x14ac:dyDescent="0.25">
      <c r="A4218" s="5" t="s">
        <v>127</v>
      </c>
      <c r="B4218" s="5" t="s">
        <v>128</v>
      </c>
      <c r="C4218" s="5">
        <v>1230</v>
      </c>
      <c r="D4218" s="5" t="s">
        <v>20</v>
      </c>
      <c r="E4218" s="5" t="s">
        <v>27</v>
      </c>
      <c r="F4218" s="6">
        <v>42370</v>
      </c>
      <c r="G4218">
        <v>0</v>
      </c>
    </row>
    <row r="4219" spans="1:7" x14ac:dyDescent="0.25">
      <c r="A4219" s="5" t="s">
        <v>127</v>
      </c>
      <c r="B4219" s="5" t="s">
        <v>128</v>
      </c>
      <c r="C4219" s="5">
        <v>1230</v>
      </c>
      <c r="D4219" s="5" t="s">
        <v>20</v>
      </c>
      <c r="E4219" s="5" t="s">
        <v>27</v>
      </c>
      <c r="F4219" s="6">
        <v>42736</v>
      </c>
      <c r="G4219">
        <v>0</v>
      </c>
    </row>
    <row r="4220" spans="1:7" x14ac:dyDescent="0.25">
      <c r="A4220" s="5" t="s">
        <v>127</v>
      </c>
      <c r="B4220" s="5" t="s">
        <v>128</v>
      </c>
      <c r="C4220" s="5">
        <v>1230</v>
      </c>
      <c r="D4220" s="5" t="s">
        <v>20</v>
      </c>
      <c r="E4220" s="5" t="s">
        <v>28</v>
      </c>
      <c r="F4220" s="6">
        <v>42370</v>
      </c>
      <c r="G4220">
        <v>0</v>
      </c>
    </row>
    <row r="4221" spans="1:7" x14ac:dyDescent="0.25">
      <c r="A4221" s="5" t="s">
        <v>127</v>
      </c>
      <c r="B4221" s="5" t="s">
        <v>128</v>
      </c>
      <c r="C4221" s="5">
        <v>1230</v>
      </c>
      <c r="D4221" s="5" t="s">
        <v>20</v>
      </c>
      <c r="E4221" s="5" t="s">
        <v>28</v>
      </c>
      <c r="F4221" s="6">
        <v>42736</v>
      </c>
      <c r="G4221">
        <v>0</v>
      </c>
    </row>
    <row r="4222" spans="1:7" x14ac:dyDescent="0.25">
      <c r="A4222" s="5" t="s">
        <v>127</v>
      </c>
      <c r="B4222" s="5" t="s">
        <v>128</v>
      </c>
      <c r="C4222" s="5">
        <v>1230</v>
      </c>
      <c r="D4222" s="5" t="s">
        <v>20</v>
      </c>
      <c r="E4222" s="5" t="s">
        <v>29</v>
      </c>
      <c r="F4222" s="6">
        <v>42370</v>
      </c>
      <c r="G4222">
        <v>96</v>
      </c>
    </row>
    <row r="4223" spans="1:7" x14ac:dyDescent="0.25">
      <c r="A4223" s="5" t="s">
        <v>127</v>
      </c>
      <c r="B4223" s="5" t="s">
        <v>128</v>
      </c>
      <c r="C4223" s="5">
        <v>1230</v>
      </c>
      <c r="D4223" s="5" t="s">
        <v>20</v>
      </c>
      <c r="E4223" s="5" t="s">
        <v>29</v>
      </c>
      <c r="F4223" s="6">
        <v>42736</v>
      </c>
      <c r="G4223">
        <v>152</v>
      </c>
    </row>
    <row r="4224" spans="1:7" x14ac:dyDescent="0.25">
      <c r="A4224" s="5" t="s">
        <v>127</v>
      </c>
      <c r="B4224" s="5" t="s">
        <v>128</v>
      </c>
      <c r="C4224" s="5">
        <v>1230</v>
      </c>
      <c r="D4224" s="5" t="s">
        <v>20</v>
      </c>
      <c r="E4224" s="5" t="s">
        <v>30</v>
      </c>
      <c r="F4224" s="6">
        <v>42370</v>
      </c>
      <c r="G4224">
        <v>96</v>
      </c>
    </row>
    <row r="4225" spans="1:7" x14ac:dyDescent="0.25">
      <c r="A4225" s="5" t="s">
        <v>127</v>
      </c>
      <c r="B4225" s="5" t="s">
        <v>128</v>
      </c>
      <c r="C4225" s="5">
        <v>1230</v>
      </c>
      <c r="D4225" s="5" t="s">
        <v>20</v>
      </c>
      <c r="E4225" s="5" t="s">
        <v>30</v>
      </c>
      <c r="F4225" s="6">
        <v>42736</v>
      </c>
      <c r="G4225">
        <v>150</v>
      </c>
    </row>
    <row r="4226" spans="1:7" x14ac:dyDescent="0.25">
      <c r="A4226" s="5" t="s">
        <v>127</v>
      </c>
      <c r="B4226" s="5" t="s">
        <v>128</v>
      </c>
      <c r="C4226" s="5">
        <v>1230</v>
      </c>
      <c r="D4226" s="5" t="s">
        <v>20</v>
      </c>
      <c r="E4226" s="5" t="s">
        <v>31</v>
      </c>
      <c r="F4226" s="6">
        <v>42370</v>
      </c>
      <c r="G4226">
        <v>189</v>
      </c>
    </row>
    <row r="4227" spans="1:7" x14ac:dyDescent="0.25">
      <c r="A4227" s="5" t="s">
        <v>127</v>
      </c>
      <c r="B4227" s="5" t="s">
        <v>128</v>
      </c>
      <c r="C4227" s="5">
        <v>1230</v>
      </c>
      <c r="D4227" s="5" t="s">
        <v>20</v>
      </c>
      <c r="E4227" s="5" t="s">
        <v>31</v>
      </c>
      <c r="F4227" s="6">
        <v>42736</v>
      </c>
      <c r="G4227">
        <v>310</v>
      </c>
    </row>
    <row r="4228" spans="1:7" x14ac:dyDescent="0.25">
      <c r="A4228" s="5" t="s">
        <v>127</v>
      </c>
      <c r="B4228" s="5" t="s">
        <v>128</v>
      </c>
      <c r="C4228" s="5">
        <v>1230</v>
      </c>
      <c r="D4228" s="5" t="s">
        <v>20</v>
      </c>
      <c r="E4228" s="5" t="s">
        <v>32</v>
      </c>
      <c r="F4228" s="6">
        <v>42370</v>
      </c>
      <c r="G4228">
        <v>94</v>
      </c>
    </row>
    <row r="4229" spans="1:7" x14ac:dyDescent="0.25">
      <c r="A4229" s="5" t="s">
        <v>127</v>
      </c>
      <c r="B4229" s="5" t="s">
        <v>128</v>
      </c>
      <c r="C4229" s="5">
        <v>1230</v>
      </c>
      <c r="D4229" s="5" t="s">
        <v>20</v>
      </c>
      <c r="E4229" s="5" t="s">
        <v>32</v>
      </c>
      <c r="F4229" s="6">
        <v>42736</v>
      </c>
      <c r="G4229">
        <v>157</v>
      </c>
    </row>
    <row r="4230" spans="1:7" x14ac:dyDescent="0.25">
      <c r="A4230" s="5" t="s">
        <v>127</v>
      </c>
      <c r="B4230" s="5" t="s">
        <v>128</v>
      </c>
      <c r="C4230" s="5">
        <v>1230</v>
      </c>
      <c r="D4230" s="5" t="s">
        <v>33</v>
      </c>
      <c r="E4230" s="5" t="s">
        <v>9</v>
      </c>
      <c r="F4230" s="6">
        <v>42370</v>
      </c>
      <c r="G4230">
        <v>0</v>
      </c>
    </row>
    <row r="4231" spans="1:7" x14ac:dyDescent="0.25">
      <c r="A4231" s="5" t="s">
        <v>127</v>
      </c>
      <c r="B4231" s="5" t="s">
        <v>128</v>
      </c>
      <c r="C4231" s="5">
        <v>1230</v>
      </c>
      <c r="D4231" s="5" t="s">
        <v>33</v>
      </c>
      <c r="E4231" s="5" t="s">
        <v>9</v>
      </c>
      <c r="F4231" s="6">
        <v>42736</v>
      </c>
      <c r="G4231">
        <v>0</v>
      </c>
    </row>
    <row r="4232" spans="1:7" x14ac:dyDescent="0.25">
      <c r="A4232" s="5" t="s">
        <v>127</v>
      </c>
      <c r="B4232" s="5" t="s">
        <v>128</v>
      </c>
      <c r="C4232" s="5">
        <v>1230</v>
      </c>
      <c r="D4232" s="5" t="s">
        <v>33</v>
      </c>
      <c r="E4232" s="5" t="s">
        <v>34</v>
      </c>
      <c r="F4232" s="6">
        <v>42370</v>
      </c>
      <c r="G4232">
        <v>0</v>
      </c>
    </row>
    <row r="4233" spans="1:7" x14ac:dyDescent="0.25">
      <c r="A4233" s="5" t="s">
        <v>127</v>
      </c>
      <c r="B4233" s="5" t="s">
        <v>128</v>
      </c>
      <c r="C4233" s="5">
        <v>1230</v>
      </c>
      <c r="D4233" s="5" t="s">
        <v>33</v>
      </c>
      <c r="E4233" s="5" t="s">
        <v>34</v>
      </c>
      <c r="F4233" s="6">
        <v>42736</v>
      </c>
      <c r="G4233">
        <v>0</v>
      </c>
    </row>
    <row r="4234" spans="1:7" x14ac:dyDescent="0.25">
      <c r="A4234" s="5" t="s">
        <v>127</v>
      </c>
      <c r="B4234" s="5" t="s">
        <v>128</v>
      </c>
      <c r="C4234" s="5">
        <v>1230</v>
      </c>
      <c r="D4234" s="5" t="s">
        <v>35</v>
      </c>
      <c r="E4234" s="5" t="s">
        <v>36</v>
      </c>
      <c r="F4234" s="6">
        <v>42370</v>
      </c>
      <c r="G4234">
        <v>0</v>
      </c>
    </row>
    <row r="4235" spans="1:7" x14ac:dyDescent="0.25">
      <c r="A4235" s="5" t="s">
        <v>127</v>
      </c>
      <c r="B4235" s="5" t="s">
        <v>128</v>
      </c>
      <c r="C4235" s="5">
        <v>1230</v>
      </c>
      <c r="D4235" s="5" t="s">
        <v>35</v>
      </c>
      <c r="E4235" s="5" t="s">
        <v>36</v>
      </c>
      <c r="F4235" s="6">
        <v>42736</v>
      </c>
      <c r="G4235">
        <v>0</v>
      </c>
    </row>
    <row r="4236" spans="1:7" x14ac:dyDescent="0.25">
      <c r="A4236" s="5" t="s">
        <v>127</v>
      </c>
      <c r="B4236" s="5" t="s">
        <v>128</v>
      </c>
      <c r="C4236" s="5">
        <v>1230</v>
      </c>
      <c r="D4236" s="5" t="s">
        <v>35</v>
      </c>
      <c r="E4236" s="5" t="s">
        <v>37</v>
      </c>
      <c r="F4236" s="6">
        <v>42370</v>
      </c>
      <c r="G4236">
        <v>0</v>
      </c>
    </row>
    <row r="4237" spans="1:7" x14ac:dyDescent="0.25">
      <c r="A4237" s="5" t="s">
        <v>127</v>
      </c>
      <c r="B4237" s="5" t="s">
        <v>128</v>
      </c>
      <c r="C4237" s="5">
        <v>1230</v>
      </c>
      <c r="D4237" s="5" t="s">
        <v>35</v>
      </c>
      <c r="E4237" s="5" t="s">
        <v>37</v>
      </c>
      <c r="F4237" s="6">
        <v>42736</v>
      </c>
      <c r="G4237">
        <v>0</v>
      </c>
    </row>
    <row r="4238" spans="1:7" x14ac:dyDescent="0.25">
      <c r="A4238" s="5" t="s">
        <v>127</v>
      </c>
      <c r="B4238" s="5" t="s">
        <v>128</v>
      </c>
      <c r="C4238" s="5">
        <v>1230</v>
      </c>
      <c r="D4238" s="5" t="s">
        <v>35</v>
      </c>
      <c r="E4238" s="5" t="s">
        <v>38</v>
      </c>
      <c r="F4238" s="6">
        <v>42370</v>
      </c>
      <c r="G4238">
        <v>0</v>
      </c>
    </row>
    <row r="4239" spans="1:7" x14ac:dyDescent="0.25">
      <c r="A4239" s="5" t="s">
        <v>127</v>
      </c>
      <c r="B4239" s="5" t="s">
        <v>128</v>
      </c>
      <c r="C4239" s="5">
        <v>1230</v>
      </c>
      <c r="D4239" s="5" t="s">
        <v>35</v>
      </c>
      <c r="E4239" s="5" t="s">
        <v>38</v>
      </c>
      <c r="F4239" s="6">
        <v>42736</v>
      </c>
      <c r="G4239">
        <v>0</v>
      </c>
    </row>
    <row r="4240" spans="1:7" x14ac:dyDescent="0.25">
      <c r="A4240" s="5" t="s">
        <v>127</v>
      </c>
      <c r="B4240" s="5" t="s">
        <v>128</v>
      </c>
      <c r="C4240" s="5">
        <v>1230</v>
      </c>
      <c r="D4240" s="5" t="s">
        <v>35</v>
      </c>
      <c r="E4240" s="5" t="s">
        <v>39</v>
      </c>
      <c r="F4240" s="6">
        <v>42370</v>
      </c>
      <c r="G4240">
        <v>0</v>
      </c>
    </row>
    <row r="4241" spans="1:7" x14ac:dyDescent="0.25">
      <c r="A4241" s="5" t="s">
        <v>127</v>
      </c>
      <c r="B4241" s="5" t="s">
        <v>128</v>
      </c>
      <c r="C4241" s="5">
        <v>1230</v>
      </c>
      <c r="D4241" s="5" t="s">
        <v>35</v>
      </c>
      <c r="E4241" s="5" t="s">
        <v>39</v>
      </c>
      <c r="F4241" s="6">
        <v>42736</v>
      </c>
      <c r="G4241">
        <v>0</v>
      </c>
    </row>
    <row r="4242" spans="1:7" x14ac:dyDescent="0.25">
      <c r="A4242" s="5" t="s">
        <v>127</v>
      </c>
      <c r="B4242" s="5" t="s">
        <v>128</v>
      </c>
      <c r="C4242" s="5">
        <v>1230</v>
      </c>
      <c r="D4242" s="5" t="s">
        <v>35</v>
      </c>
      <c r="E4242" s="5" t="s">
        <v>40</v>
      </c>
      <c r="F4242" s="6">
        <v>42370</v>
      </c>
      <c r="G4242">
        <v>0</v>
      </c>
    </row>
    <row r="4243" spans="1:7" x14ac:dyDescent="0.25">
      <c r="A4243" s="5" t="s">
        <v>127</v>
      </c>
      <c r="B4243" s="5" t="s">
        <v>128</v>
      </c>
      <c r="C4243" s="5">
        <v>1230</v>
      </c>
      <c r="D4243" s="5" t="s">
        <v>35</v>
      </c>
      <c r="E4243" s="5" t="s">
        <v>40</v>
      </c>
      <c r="F4243" s="6">
        <v>42736</v>
      </c>
      <c r="G4243">
        <v>0</v>
      </c>
    </row>
    <row r="4244" spans="1:7" x14ac:dyDescent="0.25">
      <c r="A4244" s="5" t="s">
        <v>127</v>
      </c>
      <c r="B4244" s="5" t="s">
        <v>128</v>
      </c>
      <c r="C4244" s="5">
        <v>1230</v>
      </c>
      <c r="D4244" s="5" t="s">
        <v>35</v>
      </c>
      <c r="E4244" s="5" t="s">
        <v>41</v>
      </c>
      <c r="F4244" s="6">
        <v>42370</v>
      </c>
      <c r="G4244">
        <v>0</v>
      </c>
    </row>
    <row r="4245" spans="1:7" x14ac:dyDescent="0.25">
      <c r="A4245" s="5" t="s">
        <v>127</v>
      </c>
      <c r="B4245" s="5" t="s">
        <v>128</v>
      </c>
      <c r="C4245" s="5">
        <v>1230</v>
      </c>
      <c r="D4245" s="5" t="s">
        <v>35</v>
      </c>
      <c r="E4245" s="5" t="s">
        <v>41</v>
      </c>
      <c r="F4245" s="6">
        <v>42736</v>
      </c>
      <c r="G4245">
        <v>1</v>
      </c>
    </row>
    <row r="4246" spans="1:7" x14ac:dyDescent="0.25">
      <c r="A4246" s="5" t="s">
        <v>127</v>
      </c>
      <c r="B4246" s="5" t="s">
        <v>128</v>
      </c>
      <c r="C4246" s="5">
        <v>1230</v>
      </c>
      <c r="D4246" s="5" t="s">
        <v>35</v>
      </c>
      <c r="E4246" s="5" t="s">
        <v>42</v>
      </c>
      <c r="F4246" s="6">
        <v>42370</v>
      </c>
      <c r="G4246">
        <v>0</v>
      </c>
    </row>
    <row r="4247" spans="1:7" x14ac:dyDescent="0.25">
      <c r="A4247" s="5" t="s">
        <v>127</v>
      </c>
      <c r="B4247" s="5" t="s">
        <v>128</v>
      </c>
      <c r="C4247" s="5">
        <v>1230</v>
      </c>
      <c r="D4247" s="5" t="s">
        <v>35</v>
      </c>
      <c r="E4247" s="5" t="s">
        <v>42</v>
      </c>
      <c r="F4247" s="6">
        <v>42736</v>
      </c>
      <c r="G4247">
        <v>0</v>
      </c>
    </row>
    <row r="4248" spans="1:7" x14ac:dyDescent="0.25">
      <c r="A4248" s="5" t="s">
        <v>127</v>
      </c>
      <c r="B4248" s="5" t="s">
        <v>128</v>
      </c>
      <c r="C4248" s="5">
        <v>1230</v>
      </c>
      <c r="D4248" s="5" t="s">
        <v>35</v>
      </c>
      <c r="E4248" s="5" t="s">
        <v>43</v>
      </c>
      <c r="F4248" s="6">
        <v>42370</v>
      </c>
      <c r="G4248">
        <v>0</v>
      </c>
    </row>
    <row r="4249" spans="1:7" x14ac:dyDescent="0.25">
      <c r="A4249" s="5" t="s">
        <v>127</v>
      </c>
      <c r="B4249" s="5" t="s">
        <v>128</v>
      </c>
      <c r="C4249" s="5">
        <v>1230</v>
      </c>
      <c r="D4249" s="5" t="s">
        <v>35</v>
      </c>
      <c r="E4249" s="5" t="s">
        <v>43</v>
      </c>
      <c r="F4249" s="6">
        <v>42736</v>
      </c>
      <c r="G4249">
        <v>0</v>
      </c>
    </row>
    <row r="4250" spans="1:7" x14ac:dyDescent="0.25">
      <c r="A4250" s="5" t="s">
        <v>127</v>
      </c>
      <c r="B4250" s="5" t="s">
        <v>128</v>
      </c>
      <c r="C4250" s="5">
        <v>1230</v>
      </c>
      <c r="D4250" s="5" t="s">
        <v>44</v>
      </c>
      <c r="E4250" s="5" t="s">
        <v>36</v>
      </c>
      <c r="F4250" s="6">
        <v>42370</v>
      </c>
      <c r="G4250">
        <v>0</v>
      </c>
    </row>
    <row r="4251" spans="1:7" x14ac:dyDescent="0.25">
      <c r="A4251" s="5" t="s">
        <v>127</v>
      </c>
      <c r="B4251" s="5" t="s">
        <v>128</v>
      </c>
      <c r="C4251" s="5">
        <v>1230</v>
      </c>
      <c r="D4251" s="5" t="s">
        <v>44</v>
      </c>
      <c r="E4251" s="5" t="s">
        <v>36</v>
      </c>
      <c r="F4251" s="6">
        <v>42736</v>
      </c>
      <c r="G4251">
        <v>0</v>
      </c>
    </row>
    <row r="4252" spans="1:7" x14ac:dyDescent="0.25">
      <c r="A4252" s="5" t="s">
        <v>127</v>
      </c>
      <c r="B4252" s="5" t="s">
        <v>128</v>
      </c>
      <c r="C4252" s="5">
        <v>1230</v>
      </c>
      <c r="D4252" s="5" t="s">
        <v>44</v>
      </c>
      <c r="E4252" s="5" t="s">
        <v>37</v>
      </c>
      <c r="F4252" s="6">
        <v>42370</v>
      </c>
      <c r="G4252">
        <v>0</v>
      </c>
    </row>
    <row r="4253" spans="1:7" x14ac:dyDescent="0.25">
      <c r="A4253" s="5" t="s">
        <v>127</v>
      </c>
      <c r="B4253" s="5" t="s">
        <v>128</v>
      </c>
      <c r="C4253" s="5">
        <v>1230</v>
      </c>
      <c r="D4253" s="5" t="s">
        <v>44</v>
      </c>
      <c r="E4253" s="5" t="s">
        <v>37</v>
      </c>
      <c r="F4253" s="6">
        <v>42736</v>
      </c>
      <c r="G4253">
        <v>0</v>
      </c>
    </row>
    <row r="4254" spans="1:7" x14ac:dyDescent="0.25">
      <c r="A4254" s="5" t="s">
        <v>127</v>
      </c>
      <c r="B4254" s="5" t="s">
        <v>128</v>
      </c>
      <c r="C4254" s="5">
        <v>1230</v>
      </c>
      <c r="D4254" s="5" t="s">
        <v>44</v>
      </c>
      <c r="E4254" s="5" t="s">
        <v>38</v>
      </c>
      <c r="F4254" s="6">
        <v>42370</v>
      </c>
      <c r="G4254">
        <v>0</v>
      </c>
    </row>
    <row r="4255" spans="1:7" x14ac:dyDescent="0.25">
      <c r="A4255" s="5" t="s">
        <v>127</v>
      </c>
      <c r="B4255" s="5" t="s">
        <v>128</v>
      </c>
      <c r="C4255" s="5">
        <v>1230</v>
      </c>
      <c r="D4255" s="5" t="s">
        <v>44</v>
      </c>
      <c r="E4255" s="5" t="s">
        <v>38</v>
      </c>
      <c r="F4255" s="6">
        <v>42736</v>
      </c>
      <c r="G4255">
        <v>0</v>
      </c>
    </row>
    <row r="4256" spans="1:7" x14ac:dyDescent="0.25">
      <c r="A4256" s="5" t="s">
        <v>127</v>
      </c>
      <c r="B4256" s="5" t="s">
        <v>128</v>
      </c>
      <c r="C4256" s="5">
        <v>1230</v>
      </c>
      <c r="D4256" s="5" t="s">
        <v>44</v>
      </c>
      <c r="E4256" s="5" t="s">
        <v>39</v>
      </c>
      <c r="F4256" s="6">
        <v>42370</v>
      </c>
      <c r="G4256">
        <v>0</v>
      </c>
    </row>
    <row r="4257" spans="1:7" x14ac:dyDescent="0.25">
      <c r="A4257" s="5" t="s">
        <v>127</v>
      </c>
      <c r="B4257" s="5" t="s">
        <v>128</v>
      </c>
      <c r="C4257" s="5">
        <v>1230</v>
      </c>
      <c r="D4257" s="5" t="s">
        <v>44</v>
      </c>
      <c r="E4257" s="5" t="s">
        <v>39</v>
      </c>
      <c r="F4257" s="6">
        <v>42736</v>
      </c>
      <c r="G4257">
        <v>0</v>
      </c>
    </row>
    <row r="4258" spans="1:7" x14ac:dyDescent="0.25">
      <c r="A4258" s="5" t="s">
        <v>127</v>
      </c>
      <c r="B4258" s="5" t="s">
        <v>128</v>
      </c>
      <c r="C4258" s="5">
        <v>1230</v>
      </c>
      <c r="D4258" s="5" t="s">
        <v>44</v>
      </c>
      <c r="E4258" s="5" t="s">
        <v>40</v>
      </c>
      <c r="F4258" s="6">
        <v>42370</v>
      </c>
      <c r="G4258">
        <v>0</v>
      </c>
    </row>
    <row r="4259" spans="1:7" x14ac:dyDescent="0.25">
      <c r="A4259" s="5" t="s">
        <v>127</v>
      </c>
      <c r="B4259" s="5" t="s">
        <v>128</v>
      </c>
      <c r="C4259" s="5">
        <v>1230</v>
      </c>
      <c r="D4259" s="5" t="s">
        <v>44</v>
      </c>
      <c r="E4259" s="5" t="s">
        <v>40</v>
      </c>
      <c r="F4259" s="6">
        <v>42736</v>
      </c>
      <c r="G4259">
        <v>0</v>
      </c>
    </row>
    <row r="4260" spans="1:7" x14ac:dyDescent="0.25">
      <c r="A4260" s="5" t="s">
        <v>127</v>
      </c>
      <c r="B4260" s="5" t="s">
        <v>128</v>
      </c>
      <c r="C4260" s="5">
        <v>1230</v>
      </c>
      <c r="D4260" s="5" t="s">
        <v>44</v>
      </c>
      <c r="E4260" s="5" t="s">
        <v>41</v>
      </c>
      <c r="F4260" s="6">
        <v>42370</v>
      </c>
      <c r="G4260">
        <v>0</v>
      </c>
    </row>
    <row r="4261" spans="1:7" x14ac:dyDescent="0.25">
      <c r="A4261" s="5" t="s">
        <v>127</v>
      </c>
      <c r="B4261" s="5" t="s">
        <v>128</v>
      </c>
      <c r="C4261" s="5">
        <v>1230</v>
      </c>
      <c r="D4261" s="5" t="s">
        <v>44</v>
      </c>
      <c r="E4261" s="5" t="s">
        <v>41</v>
      </c>
      <c r="F4261" s="6">
        <v>42736</v>
      </c>
      <c r="G4261">
        <v>0</v>
      </c>
    </row>
    <row r="4262" spans="1:7" x14ac:dyDescent="0.25">
      <c r="A4262" s="5" t="s">
        <v>127</v>
      </c>
      <c r="B4262" s="5" t="s">
        <v>128</v>
      </c>
      <c r="C4262" s="5">
        <v>1230</v>
      </c>
      <c r="D4262" s="5" t="s">
        <v>44</v>
      </c>
      <c r="E4262" s="5" t="s">
        <v>42</v>
      </c>
      <c r="F4262" s="6">
        <v>42370</v>
      </c>
      <c r="G4262">
        <v>0</v>
      </c>
    </row>
    <row r="4263" spans="1:7" x14ac:dyDescent="0.25">
      <c r="A4263" s="5" t="s">
        <v>127</v>
      </c>
      <c r="B4263" s="5" t="s">
        <v>128</v>
      </c>
      <c r="C4263" s="5">
        <v>1230</v>
      </c>
      <c r="D4263" s="5" t="s">
        <v>44</v>
      </c>
      <c r="E4263" s="5" t="s">
        <v>42</v>
      </c>
      <c r="F4263" s="6">
        <v>42736</v>
      </c>
      <c r="G4263">
        <v>0</v>
      </c>
    </row>
    <row r="4264" spans="1:7" x14ac:dyDescent="0.25">
      <c r="A4264" s="5" t="s">
        <v>127</v>
      </c>
      <c r="B4264" s="5" t="s">
        <v>128</v>
      </c>
      <c r="C4264" s="5">
        <v>1230</v>
      </c>
      <c r="D4264" s="5" t="s">
        <v>44</v>
      </c>
      <c r="E4264" s="5" t="s">
        <v>43</v>
      </c>
      <c r="F4264" s="6">
        <v>42370</v>
      </c>
      <c r="G4264">
        <v>0</v>
      </c>
    </row>
    <row r="4265" spans="1:7" x14ac:dyDescent="0.25">
      <c r="A4265" s="5" t="s">
        <v>127</v>
      </c>
      <c r="B4265" s="5" t="s">
        <v>128</v>
      </c>
      <c r="C4265" s="5">
        <v>1230</v>
      </c>
      <c r="D4265" s="5" t="s">
        <v>44</v>
      </c>
      <c r="E4265" s="5" t="s">
        <v>43</v>
      </c>
      <c r="F4265" s="6">
        <v>42736</v>
      </c>
      <c r="G4265">
        <v>0</v>
      </c>
    </row>
    <row r="4266" spans="1:7" x14ac:dyDescent="0.25">
      <c r="A4266" s="5" t="s">
        <v>127</v>
      </c>
      <c r="B4266" s="5" t="s">
        <v>128</v>
      </c>
      <c r="C4266" s="5">
        <v>1230</v>
      </c>
      <c r="D4266" s="5" t="s">
        <v>45</v>
      </c>
      <c r="E4266" s="5" t="s">
        <v>46</v>
      </c>
      <c r="F4266" s="6">
        <v>42370</v>
      </c>
      <c r="G4266">
        <v>0</v>
      </c>
    </row>
    <row r="4267" spans="1:7" x14ac:dyDescent="0.25">
      <c r="A4267" s="5" t="s">
        <v>127</v>
      </c>
      <c r="B4267" s="5" t="s">
        <v>128</v>
      </c>
      <c r="C4267" s="5">
        <v>1230</v>
      </c>
      <c r="D4267" s="5" t="s">
        <v>45</v>
      </c>
      <c r="E4267" s="5" t="s">
        <v>46</v>
      </c>
      <c r="F4267" s="6">
        <v>42736</v>
      </c>
      <c r="G4267">
        <v>0</v>
      </c>
    </row>
    <row r="4268" spans="1:7" x14ac:dyDescent="0.25">
      <c r="A4268" s="5" t="s">
        <v>127</v>
      </c>
      <c r="B4268" s="5" t="s">
        <v>128</v>
      </c>
      <c r="C4268" s="5">
        <v>1230</v>
      </c>
      <c r="D4268" s="5" t="s">
        <v>45</v>
      </c>
      <c r="E4268" s="5" t="s">
        <v>47</v>
      </c>
      <c r="F4268" s="6">
        <v>42370</v>
      </c>
      <c r="G4268">
        <v>7</v>
      </c>
    </row>
    <row r="4269" spans="1:7" x14ac:dyDescent="0.25">
      <c r="A4269" s="5" t="s">
        <v>127</v>
      </c>
      <c r="B4269" s="5" t="s">
        <v>128</v>
      </c>
      <c r="C4269" s="5">
        <v>1230</v>
      </c>
      <c r="D4269" s="5" t="s">
        <v>45</v>
      </c>
      <c r="E4269" s="5" t="s">
        <v>47</v>
      </c>
      <c r="F4269" s="6">
        <v>42736</v>
      </c>
      <c r="G4269">
        <v>6</v>
      </c>
    </row>
    <row r="4270" spans="1:7" x14ac:dyDescent="0.25">
      <c r="A4270" s="5" t="s">
        <v>127</v>
      </c>
      <c r="B4270" s="5" t="s">
        <v>128</v>
      </c>
      <c r="C4270" s="5">
        <v>1230</v>
      </c>
      <c r="D4270" s="5" t="s">
        <v>45</v>
      </c>
      <c r="E4270" s="5" t="s">
        <v>48</v>
      </c>
      <c r="F4270" s="6">
        <v>42370</v>
      </c>
      <c r="G4270">
        <v>47</v>
      </c>
    </row>
    <row r="4271" spans="1:7" x14ac:dyDescent="0.25">
      <c r="A4271" s="5" t="s">
        <v>127</v>
      </c>
      <c r="B4271" s="5" t="s">
        <v>128</v>
      </c>
      <c r="C4271" s="5">
        <v>1230</v>
      </c>
      <c r="D4271" s="5" t="s">
        <v>45</v>
      </c>
      <c r="E4271" s="5" t="s">
        <v>48</v>
      </c>
      <c r="F4271" s="6">
        <v>42736</v>
      </c>
      <c r="G4271">
        <v>49</v>
      </c>
    </row>
    <row r="4272" spans="1:7" x14ac:dyDescent="0.25">
      <c r="A4272" s="5" t="s">
        <v>127</v>
      </c>
      <c r="B4272" s="5" t="s">
        <v>128</v>
      </c>
      <c r="C4272" s="5">
        <v>1230</v>
      </c>
      <c r="D4272" s="5" t="s">
        <v>45</v>
      </c>
      <c r="E4272" s="5" t="s">
        <v>49</v>
      </c>
      <c r="F4272" s="6">
        <v>42370</v>
      </c>
      <c r="G4272">
        <v>25</v>
      </c>
    </row>
    <row r="4273" spans="1:7" x14ac:dyDescent="0.25">
      <c r="A4273" s="5" t="s">
        <v>127</v>
      </c>
      <c r="B4273" s="5" t="s">
        <v>128</v>
      </c>
      <c r="C4273" s="5">
        <v>1230</v>
      </c>
      <c r="D4273" s="5" t="s">
        <v>45</v>
      </c>
      <c r="E4273" s="5" t="s">
        <v>49</v>
      </c>
      <c r="F4273" s="6">
        <v>42736</v>
      </c>
      <c r="G4273">
        <v>28</v>
      </c>
    </row>
    <row r="4274" spans="1:7" x14ac:dyDescent="0.25">
      <c r="A4274" s="5" t="s">
        <v>127</v>
      </c>
      <c r="B4274" s="5" t="s">
        <v>128</v>
      </c>
      <c r="C4274" s="5">
        <v>1230</v>
      </c>
      <c r="D4274" s="5" t="s">
        <v>45</v>
      </c>
      <c r="E4274" s="5" t="s">
        <v>50</v>
      </c>
      <c r="F4274" s="6">
        <v>42370</v>
      </c>
      <c r="G4274">
        <v>0</v>
      </c>
    </row>
    <row r="4275" spans="1:7" x14ac:dyDescent="0.25">
      <c r="A4275" s="5" t="s">
        <v>127</v>
      </c>
      <c r="B4275" s="5" t="s">
        <v>128</v>
      </c>
      <c r="C4275" s="5">
        <v>1230</v>
      </c>
      <c r="D4275" s="5" t="s">
        <v>45</v>
      </c>
      <c r="E4275" s="5" t="s">
        <v>50</v>
      </c>
      <c r="F4275" s="6">
        <v>42736</v>
      </c>
      <c r="G4275">
        <v>5</v>
      </c>
    </row>
    <row r="4276" spans="1:7" x14ac:dyDescent="0.25">
      <c r="A4276" s="5" t="s">
        <v>127</v>
      </c>
      <c r="B4276" s="5" t="s">
        <v>128</v>
      </c>
      <c r="C4276" s="5">
        <v>1230</v>
      </c>
      <c r="D4276" s="5" t="s">
        <v>45</v>
      </c>
      <c r="E4276" s="5" t="s">
        <v>51</v>
      </c>
      <c r="F4276" s="6">
        <v>42370</v>
      </c>
      <c r="G4276">
        <v>0</v>
      </c>
    </row>
    <row r="4277" spans="1:7" x14ac:dyDescent="0.25">
      <c r="A4277" s="5" t="s">
        <v>127</v>
      </c>
      <c r="B4277" s="5" t="s">
        <v>128</v>
      </c>
      <c r="C4277" s="5">
        <v>1230</v>
      </c>
      <c r="D4277" s="5" t="s">
        <v>45</v>
      </c>
      <c r="E4277" s="5" t="s">
        <v>51</v>
      </c>
      <c r="F4277" s="6">
        <v>42736</v>
      </c>
      <c r="G4277">
        <v>0</v>
      </c>
    </row>
    <row r="4278" spans="1:7" x14ac:dyDescent="0.25">
      <c r="A4278" s="5" t="s">
        <v>127</v>
      </c>
      <c r="B4278" s="5" t="s">
        <v>128</v>
      </c>
      <c r="C4278" s="5">
        <v>1230</v>
      </c>
      <c r="D4278" s="5" t="s">
        <v>45</v>
      </c>
      <c r="E4278" s="5" t="s">
        <v>52</v>
      </c>
      <c r="F4278" s="6">
        <v>42370</v>
      </c>
      <c r="G4278">
        <v>0</v>
      </c>
    </row>
    <row r="4279" spans="1:7" x14ac:dyDescent="0.25">
      <c r="A4279" s="5" t="s">
        <v>127</v>
      </c>
      <c r="B4279" s="5" t="s">
        <v>128</v>
      </c>
      <c r="C4279" s="5">
        <v>1230</v>
      </c>
      <c r="D4279" s="5" t="s">
        <v>45</v>
      </c>
      <c r="E4279" s="5" t="s">
        <v>52</v>
      </c>
      <c r="F4279" s="6">
        <v>42736</v>
      </c>
      <c r="G4279">
        <v>0</v>
      </c>
    </row>
    <row r="4280" spans="1:7" x14ac:dyDescent="0.25">
      <c r="A4280" s="5" t="s">
        <v>127</v>
      </c>
      <c r="B4280" s="5" t="s">
        <v>128</v>
      </c>
      <c r="C4280" s="5">
        <v>1230</v>
      </c>
      <c r="D4280" s="5" t="s">
        <v>45</v>
      </c>
      <c r="E4280" s="5" t="s">
        <v>53</v>
      </c>
      <c r="F4280" s="6">
        <v>42370</v>
      </c>
      <c r="G4280">
        <v>70</v>
      </c>
    </row>
    <row r="4281" spans="1:7" x14ac:dyDescent="0.25">
      <c r="A4281" s="5" t="s">
        <v>127</v>
      </c>
      <c r="B4281" s="5" t="s">
        <v>128</v>
      </c>
      <c r="C4281" s="5">
        <v>1230</v>
      </c>
      <c r="D4281" s="5" t="s">
        <v>45</v>
      </c>
      <c r="E4281" s="5" t="s">
        <v>53</v>
      </c>
      <c r="F4281" s="6">
        <v>42736</v>
      </c>
      <c r="G4281">
        <v>59</v>
      </c>
    </row>
    <row r="4282" spans="1:7" x14ac:dyDescent="0.25">
      <c r="A4282" s="5" t="s">
        <v>127</v>
      </c>
      <c r="B4282" s="5" t="s">
        <v>128</v>
      </c>
      <c r="C4282" s="5">
        <v>1230</v>
      </c>
      <c r="D4282" s="5" t="s">
        <v>45</v>
      </c>
      <c r="E4282" s="5" t="s">
        <v>54</v>
      </c>
      <c r="F4282" s="6">
        <v>42370</v>
      </c>
      <c r="G4282">
        <v>0</v>
      </c>
    </row>
    <row r="4283" spans="1:7" x14ac:dyDescent="0.25">
      <c r="A4283" s="5" t="s">
        <v>127</v>
      </c>
      <c r="B4283" s="5" t="s">
        <v>128</v>
      </c>
      <c r="C4283" s="5">
        <v>1230</v>
      </c>
      <c r="D4283" s="5" t="s">
        <v>45</v>
      </c>
      <c r="E4283" s="5" t="s">
        <v>54</v>
      </c>
      <c r="F4283" s="6">
        <v>42736</v>
      </c>
      <c r="G4283">
        <v>8</v>
      </c>
    </row>
    <row r="4284" spans="1:7" x14ac:dyDescent="0.25">
      <c r="A4284" s="5" t="s">
        <v>127</v>
      </c>
      <c r="B4284" s="5" t="s">
        <v>128</v>
      </c>
      <c r="C4284" s="5">
        <v>1230</v>
      </c>
      <c r="D4284" s="5" t="s">
        <v>45</v>
      </c>
      <c r="E4284" s="5" t="s">
        <v>55</v>
      </c>
      <c r="F4284" s="6">
        <v>42370</v>
      </c>
      <c r="G4284">
        <v>0</v>
      </c>
    </row>
    <row r="4285" spans="1:7" x14ac:dyDescent="0.25">
      <c r="A4285" s="5" t="s">
        <v>127</v>
      </c>
      <c r="B4285" s="5" t="s">
        <v>128</v>
      </c>
      <c r="C4285" s="5">
        <v>1230</v>
      </c>
      <c r="D4285" s="5" t="s">
        <v>45</v>
      </c>
      <c r="E4285" s="5" t="s">
        <v>55</v>
      </c>
      <c r="F4285" s="6">
        <v>42736</v>
      </c>
      <c r="G4285">
        <v>0</v>
      </c>
    </row>
    <row r="4286" spans="1:7" x14ac:dyDescent="0.25">
      <c r="A4286" s="5" t="s">
        <v>127</v>
      </c>
      <c r="B4286" s="5" t="s">
        <v>128</v>
      </c>
      <c r="C4286" s="5">
        <v>1230</v>
      </c>
      <c r="D4286" s="5" t="s">
        <v>45</v>
      </c>
      <c r="E4286" s="5" t="s">
        <v>56</v>
      </c>
      <c r="F4286" s="6">
        <v>42370</v>
      </c>
      <c r="G4286">
        <v>4</v>
      </c>
    </row>
    <row r="4287" spans="1:7" x14ac:dyDescent="0.25">
      <c r="A4287" s="5" t="s">
        <v>127</v>
      </c>
      <c r="B4287" s="5" t="s">
        <v>128</v>
      </c>
      <c r="C4287" s="5">
        <v>1230</v>
      </c>
      <c r="D4287" s="5" t="s">
        <v>45</v>
      </c>
      <c r="E4287" s="5" t="s">
        <v>56</v>
      </c>
      <c r="F4287" s="6">
        <v>42736</v>
      </c>
      <c r="G4287">
        <v>1</v>
      </c>
    </row>
    <row r="4288" spans="1:7" x14ac:dyDescent="0.25">
      <c r="A4288" s="5" t="s">
        <v>127</v>
      </c>
      <c r="B4288" s="5" t="s">
        <v>128</v>
      </c>
      <c r="C4288" s="5">
        <v>1230</v>
      </c>
      <c r="D4288" s="5" t="s">
        <v>45</v>
      </c>
      <c r="E4288" s="5" t="s">
        <v>57</v>
      </c>
      <c r="F4288" s="6">
        <v>42370</v>
      </c>
      <c r="G4288">
        <v>2</v>
      </c>
    </row>
    <row r="4289" spans="1:7" x14ac:dyDescent="0.25">
      <c r="A4289" s="5" t="s">
        <v>127</v>
      </c>
      <c r="B4289" s="5" t="s">
        <v>128</v>
      </c>
      <c r="C4289" s="5">
        <v>1230</v>
      </c>
      <c r="D4289" s="5" t="s">
        <v>45</v>
      </c>
      <c r="E4289" s="5" t="s">
        <v>57</v>
      </c>
      <c r="F4289" s="6">
        <v>42736</v>
      </c>
      <c r="G4289">
        <v>6</v>
      </c>
    </row>
    <row r="4290" spans="1:7" x14ac:dyDescent="0.25">
      <c r="A4290" s="5" t="s">
        <v>127</v>
      </c>
      <c r="B4290" s="5" t="s">
        <v>128</v>
      </c>
      <c r="C4290" s="5">
        <v>1230</v>
      </c>
      <c r="D4290" s="5" t="s">
        <v>45</v>
      </c>
      <c r="E4290" s="5" t="s">
        <v>58</v>
      </c>
      <c r="F4290" s="6">
        <v>42370</v>
      </c>
      <c r="G4290">
        <v>4</v>
      </c>
    </row>
    <row r="4291" spans="1:7" x14ac:dyDescent="0.25">
      <c r="A4291" s="5" t="s">
        <v>127</v>
      </c>
      <c r="B4291" s="5" t="s">
        <v>128</v>
      </c>
      <c r="C4291" s="5">
        <v>1230</v>
      </c>
      <c r="D4291" s="5" t="s">
        <v>45</v>
      </c>
      <c r="E4291" s="5" t="s">
        <v>58</v>
      </c>
      <c r="F4291" s="6">
        <v>42736</v>
      </c>
      <c r="G4291">
        <v>15</v>
      </c>
    </row>
    <row r="4292" spans="1:7" x14ac:dyDescent="0.25">
      <c r="A4292" s="5" t="s">
        <v>127</v>
      </c>
      <c r="B4292" s="5" t="s">
        <v>128</v>
      </c>
      <c r="C4292" s="5">
        <v>1230</v>
      </c>
      <c r="D4292" s="5" t="s">
        <v>45</v>
      </c>
      <c r="E4292" s="5" t="s">
        <v>59</v>
      </c>
      <c r="F4292" s="6">
        <v>42370</v>
      </c>
      <c r="G4292">
        <v>1</v>
      </c>
    </row>
    <row r="4293" spans="1:7" x14ac:dyDescent="0.25">
      <c r="A4293" s="5" t="s">
        <v>127</v>
      </c>
      <c r="B4293" s="5" t="s">
        <v>128</v>
      </c>
      <c r="C4293" s="5">
        <v>1230</v>
      </c>
      <c r="D4293" s="5" t="s">
        <v>45</v>
      </c>
      <c r="E4293" s="5" t="s">
        <v>59</v>
      </c>
      <c r="F4293" s="6">
        <v>42736</v>
      </c>
      <c r="G4293">
        <v>1</v>
      </c>
    </row>
    <row r="4294" spans="1:7" x14ac:dyDescent="0.25">
      <c r="A4294" s="5" t="s">
        <v>127</v>
      </c>
      <c r="B4294" s="5" t="s">
        <v>128</v>
      </c>
      <c r="C4294" s="5">
        <v>1230</v>
      </c>
      <c r="D4294" s="5" t="s">
        <v>45</v>
      </c>
      <c r="E4294" s="5" t="s">
        <v>60</v>
      </c>
      <c r="F4294" s="6">
        <v>42370</v>
      </c>
      <c r="G4294">
        <v>6</v>
      </c>
    </row>
    <row r="4295" spans="1:7" x14ac:dyDescent="0.25">
      <c r="A4295" s="5" t="s">
        <v>127</v>
      </c>
      <c r="B4295" s="5" t="s">
        <v>128</v>
      </c>
      <c r="C4295" s="5">
        <v>1230</v>
      </c>
      <c r="D4295" s="5" t="s">
        <v>45</v>
      </c>
      <c r="E4295" s="5" t="s">
        <v>60</v>
      </c>
      <c r="F4295" s="6">
        <v>42736</v>
      </c>
      <c r="G4295">
        <v>4</v>
      </c>
    </row>
    <row r="4296" spans="1:7" x14ac:dyDescent="0.25">
      <c r="A4296" s="5" t="s">
        <v>127</v>
      </c>
      <c r="B4296" s="5" t="s">
        <v>128</v>
      </c>
      <c r="C4296" s="5">
        <v>1230</v>
      </c>
      <c r="D4296" s="5" t="s">
        <v>45</v>
      </c>
      <c r="E4296" s="5" t="s">
        <v>61</v>
      </c>
      <c r="F4296" s="6">
        <v>42370</v>
      </c>
      <c r="G4296">
        <v>0</v>
      </c>
    </row>
    <row r="4297" spans="1:7" x14ac:dyDescent="0.25">
      <c r="A4297" s="5" t="s">
        <v>127</v>
      </c>
      <c r="B4297" s="5" t="s">
        <v>128</v>
      </c>
      <c r="C4297" s="5">
        <v>1230</v>
      </c>
      <c r="D4297" s="5" t="s">
        <v>45</v>
      </c>
      <c r="E4297" s="5" t="s">
        <v>61</v>
      </c>
      <c r="F4297" s="6">
        <v>42736</v>
      </c>
      <c r="G4297">
        <v>3</v>
      </c>
    </row>
    <row r="4298" spans="1:7" x14ac:dyDescent="0.25">
      <c r="A4298" s="5" t="s">
        <v>127</v>
      </c>
      <c r="B4298" s="5" t="s">
        <v>128</v>
      </c>
      <c r="C4298" s="5">
        <v>1230</v>
      </c>
      <c r="D4298" s="5" t="s">
        <v>62</v>
      </c>
      <c r="E4298" s="5" t="s">
        <v>63</v>
      </c>
      <c r="F4298" s="6">
        <v>42370</v>
      </c>
      <c r="G4298">
        <v>0</v>
      </c>
    </row>
    <row r="4299" spans="1:7" x14ac:dyDescent="0.25">
      <c r="A4299" s="5" t="s">
        <v>127</v>
      </c>
      <c r="B4299" s="5" t="s">
        <v>128</v>
      </c>
      <c r="C4299" s="5">
        <v>1230</v>
      </c>
      <c r="D4299" s="5" t="s">
        <v>62</v>
      </c>
      <c r="E4299" s="5" t="s">
        <v>63</v>
      </c>
      <c r="F4299" s="6">
        <v>42736</v>
      </c>
      <c r="G4299">
        <v>0</v>
      </c>
    </row>
    <row r="4300" spans="1:7" x14ac:dyDescent="0.25">
      <c r="A4300" s="5" t="s">
        <v>127</v>
      </c>
      <c r="B4300" s="5" t="s">
        <v>128</v>
      </c>
      <c r="C4300" s="5">
        <v>1230</v>
      </c>
      <c r="D4300" s="5" t="s">
        <v>62</v>
      </c>
      <c r="E4300" s="5" t="s">
        <v>64</v>
      </c>
      <c r="F4300" s="6">
        <v>42370</v>
      </c>
      <c r="G4300">
        <v>0</v>
      </c>
    </row>
    <row r="4301" spans="1:7" x14ac:dyDescent="0.25">
      <c r="A4301" s="5" t="s">
        <v>127</v>
      </c>
      <c r="B4301" s="5" t="s">
        <v>128</v>
      </c>
      <c r="C4301" s="5">
        <v>1230</v>
      </c>
      <c r="D4301" s="5" t="s">
        <v>62</v>
      </c>
      <c r="E4301" s="5" t="s">
        <v>64</v>
      </c>
      <c r="F4301" s="6">
        <v>42736</v>
      </c>
      <c r="G4301">
        <v>0</v>
      </c>
    </row>
    <row r="4302" spans="1:7" x14ac:dyDescent="0.25">
      <c r="A4302" s="5" t="s">
        <v>127</v>
      </c>
      <c r="B4302" s="5" t="s">
        <v>128</v>
      </c>
      <c r="C4302" s="5">
        <v>1230</v>
      </c>
      <c r="D4302" s="5" t="s">
        <v>62</v>
      </c>
      <c r="E4302" s="5" t="s">
        <v>9</v>
      </c>
      <c r="F4302" s="6">
        <v>42370</v>
      </c>
      <c r="G4302">
        <v>0</v>
      </c>
    </row>
    <row r="4303" spans="1:7" x14ac:dyDescent="0.25">
      <c r="A4303" s="5" t="s">
        <v>127</v>
      </c>
      <c r="B4303" s="5" t="s">
        <v>128</v>
      </c>
      <c r="C4303" s="5">
        <v>1230</v>
      </c>
      <c r="D4303" s="5" t="s">
        <v>62</v>
      </c>
      <c r="E4303" s="5" t="s">
        <v>9</v>
      </c>
      <c r="F4303" s="6">
        <v>42736</v>
      </c>
      <c r="G4303">
        <v>0</v>
      </c>
    </row>
    <row r="4304" spans="1:7" x14ac:dyDescent="0.25">
      <c r="A4304" s="5" t="s">
        <v>127</v>
      </c>
      <c r="B4304" s="5" t="s">
        <v>128</v>
      </c>
      <c r="C4304" s="5">
        <v>1230</v>
      </c>
      <c r="D4304" s="5" t="s">
        <v>62</v>
      </c>
      <c r="E4304" s="5" t="s">
        <v>65</v>
      </c>
      <c r="F4304" s="6">
        <v>42370</v>
      </c>
      <c r="G4304">
        <v>0</v>
      </c>
    </row>
    <row r="4305" spans="1:7" x14ac:dyDescent="0.25">
      <c r="A4305" s="5" t="s">
        <v>127</v>
      </c>
      <c r="B4305" s="5" t="s">
        <v>128</v>
      </c>
      <c r="C4305" s="5">
        <v>1230</v>
      </c>
      <c r="D4305" s="5" t="s">
        <v>62</v>
      </c>
      <c r="E4305" s="5" t="s">
        <v>65</v>
      </c>
      <c r="F4305" s="6">
        <v>42736</v>
      </c>
      <c r="G4305">
        <v>0</v>
      </c>
    </row>
    <row r="4306" spans="1:7" x14ac:dyDescent="0.25">
      <c r="A4306" s="5" t="s">
        <v>127</v>
      </c>
      <c r="B4306" s="5" t="s">
        <v>128</v>
      </c>
      <c r="C4306" s="5">
        <v>1230</v>
      </c>
      <c r="D4306" s="5" t="s">
        <v>62</v>
      </c>
      <c r="E4306" s="5" t="s">
        <v>66</v>
      </c>
      <c r="F4306" s="6">
        <v>42370</v>
      </c>
      <c r="G4306">
        <v>0</v>
      </c>
    </row>
    <row r="4307" spans="1:7" x14ac:dyDescent="0.25">
      <c r="A4307" s="5" t="s">
        <v>127</v>
      </c>
      <c r="B4307" s="5" t="s">
        <v>128</v>
      </c>
      <c r="C4307" s="5">
        <v>1230</v>
      </c>
      <c r="D4307" s="5" t="s">
        <v>62</v>
      </c>
      <c r="E4307" s="5" t="s">
        <v>66</v>
      </c>
      <c r="F4307" s="6">
        <v>42736</v>
      </c>
      <c r="G4307">
        <v>0</v>
      </c>
    </row>
    <row r="4308" spans="1:7" x14ac:dyDescent="0.25">
      <c r="A4308" s="5" t="s">
        <v>127</v>
      </c>
      <c r="B4308" s="5" t="s">
        <v>128</v>
      </c>
      <c r="C4308" s="5">
        <v>1230</v>
      </c>
      <c r="D4308" s="5" t="s">
        <v>62</v>
      </c>
      <c r="E4308" s="5" t="s">
        <v>67</v>
      </c>
      <c r="F4308" s="6">
        <v>42370</v>
      </c>
      <c r="G4308">
        <v>0</v>
      </c>
    </row>
    <row r="4309" spans="1:7" x14ac:dyDescent="0.25">
      <c r="A4309" s="5" t="s">
        <v>127</v>
      </c>
      <c r="B4309" s="5" t="s">
        <v>128</v>
      </c>
      <c r="C4309" s="5">
        <v>1230</v>
      </c>
      <c r="D4309" s="5" t="s">
        <v>62</v>
      </c>
      <c r="E4309" s="5" t="s">
        <v>67</v>
      </c>
      <c r="F4309" s="6">
        <v>42736</v>
      </c>
      <c r="G4309">
        <v>0</v>
      </c>
    </row>
    <row r="4310" spans="1:7" x14ac:dyDescent="0.25">
      <c r="A4310" s="5" t="s">
        <v>127</v>
      </c>
      <c r="B4310" s="5" t="s">
        <v>128</v>
      </c>
      <c r="C4310" s="5">
        <v>1230</v>
      </c>
      <c r="D4310" s="5" t="s">
        <v>62</v>
      </c>
      <c r="E4310" s="5" t="s">
        <v>68</v>
      </c>
      <c r="F4310" s="6">
        <v>42370</v>
      </c>
      <c r="G4310">
        <v>0</v>
      </c>
    </row>
    <row r="4311" spans="1:7" x14ac:dyDescent="0.25">
      <c r="A4311" s="5" t="s">
        <v>127</v>
      </c>
      <c r="B4311" s="5" t="s">
        <v>128</v>
      </c>
      <c r="C4311" s="5">
        <v>1230</v>
      </c>
      <c r="D4311" s="5" t="s">
        <v>62</v>
      </c>
      <c r="E4311" s="5" t="s">
        <v>68</v>
      </c>
      <c r="F4311" s="6">
        <v>42736</v>
      </c>
      <c r="G4311">
        <v>0</v>
      </c>
    </row>
    <row r="4312" spans="1:7" x14ac:dyDescent="0.25">
      <c r="A4312" s="5" t="s">
        <v>127</v>
      </c>
      <c r="B4312" s="5" t="s">
        <v>128</v>
      </c>
      <c r="C4312" s="5">
        <v>1230</v>
      </c>
      <c r="D4312" s="5" t="s">
        <v>62</v>
      </c>
      <c r="E4312" s="5" t="s">
        <v>69</v>
      </c>
      <c r="F4312" s="6">
        <v>42370</v>
      </c>
      <c r="G4312">
        <v>0</v>
      </c>
    </row>
    <row r="4313" spans="1:7" x14ac:dyDescent="0.25">
      <c r="A4313" s="5" t="s">
        <v>127</v>
      </c>
      <c r="B4313" s="5" t="s">
        <v>128</v>
      </c>
      <c r="C4313" s="5">
        <v>1230</v>
      </c>
      <c r="D4313" s="5" t="s">
        <v>62</v>
      </c>
      <c r="E4313" s="5" t="s">
        <v>69</v>
      </c>
      <c r="F4313" s="6">
        <v>42736</v>
      </c>
      <c r="G4313">
        <v>0</v>
      </c>
    </row>
    <row r="4314" spans="1:7" x14ac:dyDescent="0.25">
      <c r="A4314" s="5" t="s">
        <v>127</v>
      </c>
      <c r="B4314" s="5" t="s">
        <v>128</v>
      </c>
      <c r="C4314" s="5">
        <v>1230</v>
      </c>
      <c r="D4314" s="5" t="s">
        <v>62</v>
      </c>
      <c r="E4314" s="5" t="s">
        <v>70</v>
      </c>
      <c r="F4314" s="6">
        <v>42370</v>
      </c>
      <c r="G4314">
        <v>0</v>
      </c>
    </row>
    <row r="4315" spans="1:7" x14ac:dyDescent="0.25">
      <c r="A4315" s="5" t="s">
        <v>127</v>
      </c>
      <c r="B4315" s="5" t="s">
        <v>128</v>
      </c>
      <c r="C4315" s="5">
        <v>1230</v>
      </c>
      <c r="D4315" s="5" t="s">
        <v>62</v>
      </c>
      <c r="E4315" s="5" t="s">
        <v>70</v>
      </c>
      <c r="F4315" s="6">
        <v>42736</v>
      </c>
      <c r="G4315">
        <v>0</v>
      </c>
    </row>
    <row r="4316" spans="1:7" x14ac:dyDescent="0.25">
      <c r="A4316" s="5" t="s">
        <v>127</v>
      </c>
      <c r="B4316" s="5" t="s">
        <v>128</v>
      </c>
      <c r="C4316" s="5">
        <v>1230</v>
      </c>
      <c r="D4316" s="5" t="s">
        <v>62</v>
      </c>
      <c r="E4316" s="5" t="s">
        <v>71</v>
      </c>
      <c r="F4316" s="6">
        <v>42370</v>
      </c>
      <c r="G4316">
        <v>0</v>
      </c>
    </row>
    <row r="4317" spans="1:7" x14ac:dyDescent="0.25">
      <c r="A4317" s="5" t="s">
        <v>127</v>
      </c>
      <c r="B4317" s="5" t="s">
        <v>128</v>
      </c>
      <c r="C4317" s="5">
        <v>1230</v>
      </c>
      <c r="D4317" s="5" t="s">
        <v>62</v>
      </c>
      <c r="E4317" s="5" t="s">
        <v>71</v>
      </c>
      <c r="F4317" s="6">
        <v>42736</v>
      </c>
      <c r="G4317">
        <v>0</v>
      </c>
    </row>
    <row r="4318" spans="1:7" x14ac:dyDescent="0.25">
      <c r="A4318" s="5" t="s">
        <v>127</v>
      </c>
      <c r="B4318" s="5" t="s">
        <v>128</v>
      </c>
      <c r="C4318" s="5">
        <v>1230</v>
      </c>
      <c r="D4318" s="5" t="s">
        <v>72</v>
      </c>
      <c r="E4318" s="5" t="s">
        <v>73</v>
      </c>
      <c r="F4318" s="6">
        <v>42370</v>
      </c>
      <c r="G4318">
        <v>0</v>
      </c>
    </row>
    <row r="4319" spans="1:7" x14ac:dyDescent="0.25">
      <c r="A4319" s="5" t="s">
        <v>127</v>
      </c>
      <c r="B4319" s="5" t="s">
        <v>128</v>
      </c>
      <c r="C4319" s="5">
        <v>1230</v>
      </c>
      <c r="D4319" s="5" t="s">
        <v>72</v>
      </c>
      <c r="E4319" s="5" t="s">
        <v>73</v>
      </c>
      <c r="F4319" s="6">
        <v>42736</v>
      </c>
      <c r="G4319">
        <v>0</v>
      </c>
    </row>
    <row r="4320" spans="1:7" x14ac:dyDescent="0.25">
      <c r="A4320" s="5" t="s">
        <v>127</v>
      </c>
      <c r="B4320" s="5" t="s">
        <v>128</v>
      </c>
      <c r="C4320" s="5">
        <v>1230</v>
      </c>
      <c r="D4320" s="5" t="s">
        <v>72</v>
      </c>
      <c r="E4320" s="5" t="s">
        <v>9</v>
      </c>
      <c r="F4320" s="6">
        <v>42370</v>
      </c>
      <c r="G4320">
        <v>0</v>
      </c>
    </row>
    <row r="4321" spans="1:7" x14ac:dyDescent="0.25">
      <c r="A4321" s="5" t="s">
        <v>127</v>
      </c>
      <c r="B4321" s="5" t="s">
        <v>128</v>
      </c>
      <c r="C4321" s="5">
        <v>1230</v>
      </c>
      <c r="D4321" s="5" t="s">
        <v>72</v>
      </c>
      <c r="E4321" s="5" t="s">
        <v>9</v>
      </c>
      <c r="F4321" s="6">
        <v>42736</v>
      </c>
      <c r="G4321">
        <v>0</v>
      </c>
    </row>
    <row r="4322" spans="1:7" x14ac:dyDescent="0.25">
      <c r="A4322" s="5" t="s">
        <v>127</v>
      </c>
      <c r="B4322" s="5" t="s">
        <v>128</v>
      </c>
      <c r="C4322" s="5">
        <v>1230</v>
      </c>
      <c r="D4322" s="5" t="s">
        <v>72</v>
      </c>
      <c r="E4322" s="5" t="s">
        <v>34</v>
      </c>
      <c r="F4322" s="6">
        <v>42370</v>
      </c>
      <c r="G4322">
        <v>0</v>
      </c>
    </row>
    <row r="4323" spans="1:7" x14ac:dyDescent="0.25">
      <c r="A4323" s="5" t="s">
        <v>127</v>
      </c>
      <c r="B4323" s="5" t="s">
        <v>128</v>
      </c>
      <c r="C4323" s="5">
        <v>1230</v>
      </c>
      <c r="D4323" s="5" t="s">
        <v>72</v>
      </c>
      <c r="E4323" s="5" t="s">
        <v>34</v>
      </c>
      <c r="F4323" s="6">
        <v>42736</v>
      </c>
      <c r="G4323">
        <v>0</v>
      </c>
    </row>
    <row r="4324" spans="1:7" x14ac:dyDescent="0.25">
      <c r="A4324" s="5" t="s">
        <v>127</v>
      </c>
      <c r="B4324" s="5" t="s">
        <v>128</v>
      </c>
      <c r="C4324" s="5">
        <v>1230</v>
      </c>
      <c r="D4324" s="5" t="s">
        <v>72</v>
      </c>
      <c r="E4324" s="5" t="s">
        <v>74</v>
      </c>
      <c r="F4324" s="6">
        <v>42370</v>
      </c>
      <c r="G4324">
        <v>0</v>
      </c>
    </row>
    <row r="4325" spans="1:7" x14ac:dyDescent="0.25">
      <c r="A4325" s="5" t="s">
        <v>127</v>
      </c>
      <c r="B4325" s="5" t="s">
        <v>128</v>
      </c>
      <c r="C4325" s="5">
        <v>1230</v>
      </c>
      <c r="D4325" s="5" t="s">
        <v>72</v>
      </c>
      <c r="E4325" s="5" t="s">
        <v>74</v>
      </c>
      <c r="F4325" s="6">
        <v>42736</v>
      </c>
      <c r="G4325">
        <v>0</v>
      </c>
    </row>
    <row r="4326" spans="1:7" x14ac:dyDescent="0.25">
      <c r="A4326" s="5" t="s">
        <v>127</v>
      </c>
      <c r="B4326" s="5" t="s">
        <v>128</v>
      </c>
      <c r="C4326" s="5">
        <v>1230</v>
      </c>
      <c r="D4326" s="5" t="s">
        <v>72</v>
      </c>
      <c r="E4326" s="5" t="s">
        <v>75</v>
      </c>
      <c r="F4326" s="6">
        <v>42370</v>
      </c>
      <c r="G4326">
        <v>0</v>
      </c>
    </row>
    <row r="4327" spans="1:7" x14ac:dyDescent="0.25">
      <c r="A4327" s="5" t="s">
        <v>127</v>
      </c>
      <c r="B4327" s="5" t="s">
        <v>128</v>
      </c>
      <c r="C4327" s="5">
        <v>1230</v>
      </c>
      <c r="D4327" s="5" t="s">
        <v>72</v>
      </c>
      <c r="E4327" s="5" t="s">
        <v>75</v>
      </c>
      <c r="F4327" s="6">
        <v>42736</v>
      </c>
      <c r="G4327">
        <v>0</v>
      </c>
    </row>
    <row r="4328" spans="1:7" x14ac:dyDescent="0.25">
      <c r="A4328" s="5" t="s">
        <v>127</v>
      </c>
      <c r="B4328" s="5" t="s">
        <v>128</v>
      </c>
      <c r="C4328" s="5">
        <v>1230</v>
      </c>
      <c r="D4328" s="5" t="s">
        <v>76</v>
      </c>
      <c r="E4328" s="5" t="s">
        <v>9</v>
      </c>
      <c r="F4328" s="6">
        <v>42370</v>
      </c>
      <c r="G4328">
        <v>0</v>
      </c>
    </row>
    <row r="4329" spans="1:7" x14ac:dyDescent="0.25">
      <c r="A4329" s="5" t="s">
        <v>127</v>
      </c>
      <c r="B4329" s="5" t="s">
        <v>128</v>
      </c>
      <c r="C4329" s="5">
        <v>1230</v>
      </c>
      <c r="D4329" s="5" t="s">
        <v>76</v>
      </c>
      <c r="E4329" s="5" t="s">
        <v>9</v>
      </c>
      <c r="F4329" s="6">
        <v>42736</v>
      </c>
      <c r="G4329">
        <v>0</v>
      </c>
    </row>
    <row r="4330" spans="1:7" x14ac:dyDescent="0.25">
      <c r="A4330" s="5" t="s">
        <v>127</v>
      </c>
      <c r="B4330" s="5" t="s">
        <v>128</v>
      </c>
      <c r="C4330" s="5">
        <v>1230</v>
      </c>
      <c r="D4330" s="5" t="s">
        <v>76</v>
      </c>
      <c r="E4330" s="5" t="s">
        <v>77</v>
      </c>
      <c r="F4330" s="6">
        <v>42370</v>
      </c>
      <c r="G4330">
        <v>59</v>
      </c>
    </row>
    <row r="4331" spans="1:7" x14ac:dyDescent="0.25">
      <c r="A4331" s="5" t="s">
        <v>127</v>
      </c>
      <c r="B4331" s="5" t="s">
        <v>128</v>
      </c>
      <c r="C4331" s="5">
        <v>1230</v>
      </c>
      <c r="D4331" s="5" t="s">
        <v>76</v>
      </c>
      <c r="E4331" s="5" t="s">
        <v>77</v>
      </c>
      <c r="F4331" s="6">
        <v>42736</v>
      </c>
      <c r="G4331">
        <v>15</v>
      </c>
    </row>
    <row r="4332" spans="1:7" x14ac:dyDescent="0.25">
      <c r="A4332" s="5" t="s">
        <v>127</v>
      </c>
      <c r="B4332" s="5" t="s">
        <v>128</v>
      </c>
      <c r="C4332" s="5">
        <v>1230</v>
      </c>
      <c r="D4332" s="5" t="s">
        <v>78</v>
      </c>
      <c r="E4332" s="5" t="s">
        <v>79</v>
      </c>
      <c r="F4332" s="6">
        <v>42370</v>
      </c>
      <c r="G4332">
        <v>188</v>
      </c>
    </row>
    <row r="4333" spans="1:7" x14ac:dyDescent="0.25">
      <c r="A4333" s="5" t="s">
        <v>127</v>
      </c>
      <c r="B4333" s="5" t="s">
        <v>128</v>
      </c>
      <c r="C4333" s="5">
        <v>1230</v>
      </c>
      <c r="D4333" s="5" t="s">
        <v>78</v>
      </c>
      <c r="E4333" s="5" t="s">
        <v>79</v>
      </c>
      <c r="F4333" s="6">
        <v>42736</v>
      </c>
      <c r="G4333">
        <v>213</v>
      </c>
    </row>
    <row r="4334" spans="1:7" x14ac:dyDescent="0.25">
      <c r="A4334" s="5" t="s">
        <v>127</v>
      </c>
      <c r="B4334" s="5" t="s">
        <v>128</v>
      </c>
      <c r="C4334" s="5">
        <v>1230</v>
      </c>
      <c r="D4334" s="5" t="s">
        <v>78</v>
      </c>
      <c r="E4334" s="5" t="s">
        <v>80</v>
      </c>
      <c r="F4334" s="6">
        <v>42370</v>
      </c>
      <c r="G4334">
        <v>19</v>
      </c>
    </row>
    <row r="4335" spans="1:7" x14ac:dyDescent="0.25">
      <c r="A4335" s="5" t="s">
        <v>127</v>
      </c>
      <c r="B4335" s="5" t="s">
        <v>128</v>
      </c>
      <c r="C4335" s="5">
        <v>1230</v>
      </c>
      <c r="D4335" s="5" t="s">
        <v>78</v>
      </c>
      <c r="E4335" s="5" t="s">
        <v>80</v>
      </c>
      <c r="F4335" s="6">
        <v>42736</v>
      </c>
      <c r="G4335">
        <v>37</v>
      </c>
    </row>
    <row r="4336" spans="1:7" x14ac:dyDescent="0.25">
      <c r="A4336" s="5" t="s">
        <v>127</v>
      </c>
      <c r="B4336" s="5" t="s">
        <v>128</v>
      </c>
      <c r="C4336" s="5">
        <v>1230</v>
      </c>
      <c r="D4336" s="5" t="s">
        <v>78</v>
      </c>
      <c r="E4336" s="5" t="s">
        <v>81</v>
      </c>
      <c r="F4336" s="6">
        <v>42370</v>
      </c>
      <c r="G4336">
        <v>762</v>
      </c>
    </row>
    <row r="4337" spans="1:7" x14ac:dyDescent="0.25">
      <c r="A4337" s="5" t="s">
        <v>127</v>
      </c>
      <c r="B4337" s="5" t="s">
        <v>128</v>
      </c>
      <c r="C4337" s="5">
        <v>1230</v>
      </c>
      <c r="D4337" s="5" t="s">
        <v>78</v>
      </c>
      <c r="E4337" s="5" t="s">
        <v>81</v>
      </c>
      <c r="F4337" s="6">
        <v>42736</v>
      </c>
      <c r="G4337">
        <v>1116</v>
      </c>
    </row>
    <row r="4338" spans="1:7" x14ac:dyDescent="0.25">
      <c r="A4338" s="5" t="s">
        <v>127</v>
      </c>
      <c r="B4338" s="5" t="s">
        <v>128</v>
      </c>
      <c r="C4338" s="5">
        <v>1230</v>
      </c>
      <c r="D4338" s="5" t="s">
        <v>78</v>
      </c>
      <c r="E4338" s="5" t="s">
        <v>82</v>
      </c>
      <c r="F4338" s="6">
        <v>42370</v>
      </c>
      <c r="G4338">
        <v>9</v>
      </c>
    </row>
    <row r="4339" spans="1:7" x14ac:dyDescent="0.25">
      <c r="A4339" s="5" t="s">
        <v>127</v>
      </c>
      <c r="B4339" s="5" t="s">
        <v>128</v>
      </c>
      <c r="C4339" s="5">
        <v>1230</v>
      </c>
      <c r="D4339" s="5" t="s">
        <v>78</v>
      </c>
      <c r="E4339" s="5" t="s">
        <v>82</v>
      </c>
      <c r="F4339" s="6">
        <v>42736</v>
      </c>
      <c r="G4339">
        <v>15</v>
      </c>
    </row>
    <row r="4340" spans="1:7" x14ac:dyDescent="0.25">
      <c r="A4340" s="5" t="s">
        <v>127</v>
      </c>
      <c r="B4340" s="5" t="s">
        <v>128</v>
      </c>
      <c r="C4340" s="5">
        <v>1230</v>
      </c>
      <c r="D4340" s="5" t="s">
        <v>78</v>
      </c>
      <c r="E4340" s="5" t="s">
        <v>83</v>
      </c>
      <c r="F4340" s="6">
        <v>42370</v>
      </c>
      <c r="G4340">
        <v>28</v>
      </c>
    </row>
    <row r="4341" spans="1:7" x14ac:dyDescent="0.25">
      <c r="A4341" s="5" t="s">
        <v>127</v>
      </c>
      <c r="B4341" s="5" t="s">
        <v>128</v>
      </c>
      <c r="C4341" s="5">
        <v>1230</v>
      </c>
      <c r="D4341" s="5" t="s">
        <v>78</v>
      </c>
      <c r="E4341" s="5" t="s">
        <v>83</v>
      </c>
      <c r="F4341" s="6">
        <v>42736</v>
      </c>
      <c r="G4341">
        <v>38</v>
      </c>
    </row>
    <row r="4342" spans="1:7" x14ac:dyDescent="0.25">
      <c r="A4342" s="5" t="s">
        <v>127</v>
      </c>
      <c r="B4342" s="5" t="s">
        <v>128</v>
      </c>
      <c r="C4342" s="5">
        <v>1230</v>
      </c>
      <c r="D4342" s="5" t="s">
        <v>78</v>
      </c>
      <c r="E4342" s="5" t="s">
        <v>84</v>
      </c>
      <c r="F4342" s="6">
        <v>42370</v>
      </c>
      <c r="G4342">
        <v>8</v>
      </c>
    </row>
    <row r="4343" spans="1:7" x14ac:dyDescent="0.25">
      <c r="A4343" s="5" t="s">
        <v>127</v>
      </c>
      <c r="B4343" s="5" t="s">
        <v>128</v>
      </c>
      <c r="C4343" s="5">
        <v>1230</v>
      </c>
      <c r="D4343" s="5" t="s">
        <v>78</v>
      </c>
      <c r="E4343" s="5" t="s">
        <v>84</v>
      </c>
      <c r="F4343" s="6">
        <v>42736</v>
      </c>
      <c r="G4343">
        <v>12</v>
      </c>
    </row>
    <row r="4344" spans="1:7" x14ac:dyDescent="0.25">
      <c r="A4344" s="5" t="s">
        <v>127</v>
      </c>
      <c r="B4344" s="5" t="s">
        <v>128</v>
      </c>
      <c r="C4344" s="5">
        <v>1230</v>
      </c>
      <c r="D4344" s="5" t="s">
        <v>78</v>
      </c>
      <c r="E4344" s="5" t="s">
        <v>85</v>
      </c>
      <c r="F4344" s="6">
        <v>42370</v>
      </c>
      <c r="G4344">
        <v>4</v>
      </c>
    </row>
    <row r="4345" spans="1:7" x14ac:dyDescent="0.25">
      <c r="A4345" s="5" t="s">
        <v>127</v>
      </c>
      <c r="B4345" s="5" t="s">
        <v>128</v>
      </c>
      <c r="C4345" s="5">
        <v>1230</v>
      </c>
      <c r="D4345" s="5" t="s">
        <v>78</v>
      </c>
      <c r="E4345" s="5" t="s">
        <v>85</v>
      </c>
      <c r="F4345" s="6">
        <v>42736</v>
      </c>
      <c r="G4345">
        <v>4</v>
      </c>
    </row>
    <row r="4346" spans="1:7" x14ac:dyDescent="0.25">
      <c r="A4346" s="5" t="s">
        <v>127</v>
      </c>
      <c r="B4346" s="5" t="s">
        <v>128</v>
      </c>
      <c r="C4346" s="5">
        <v>1230</v>
      </c>
      <c r="D4346" s="5" t="s">
        <v>78</v>
      </c>
      <c r="E4346" s="5" t="s">
        <v>86</v>
      </c>
      <c r="F4346" s="6">
        <v>42370</v>
      </c>
      <c r="G4346">
        <v>23</v>
      </c>
    </row>
    <row r="4347" spans="1:7" x14ac:dyDescent="0.25">
      <c r="A4347" s="5" t="s">
        <v>127</v>
      </c>
      <c r="B4347" s="5" t="s">
        <v>128</v>
      </c>
      <c r="C4347" s="5">
        <v>1230</v>
      </c>
      <c r="D4347" s="5" t="s">
        <v>78</v>
      </c>
      <c r="E4347" s="5" t="s">
        <v>86</v>
      </c>
      <c r="F4347" s="6">
        <v>42736</v>
      </c>
      <c r="G4347">
        <v>30</v>
      </c>
    </row>
    <row r="4348" spans="1:7" x14ac:dyDescent="0.25">
      <c r="A4348" s="5" t="s">
        <v>127</v>
      </c>
      <c r="B4348" s="5" t="s">
        <v>128</v>
      </c>
      <c r="C4348" s="5">
        <v>1230</v>
      </c>
      <c r="D4348" s="5" t="s">
        <v>78</v>
      </c>
      <c r="E4348" s="5" t="s">
        <v>87</v>
      </c>
      <c r="F4348" s="6">
        <v>42370</v>
      </c>
      <c r="G4348">
        <v>187</v>
      </c>
    </row>
    <row r="4349" spans="1:7" x14ac:dyDescent="0.25">
      <c r="A4349" s="5" t="s">
        <v>127</v>
      </c>
      <c r="B4349" s="5" t="s">
        <v>128</v>
      </c>
      <c r="C4349" s="5">
        <v>1230</v>
      </c>
      <c r="D4349" s="5" t="s">
        <v>78</v>
      </c>
      <c r="E4349" s="5" t="s">
        <v>87</v>
      </c>
      <c r="F4349" s="6">
        <v>42736</v>
      </c>
      <c r="G4349">
        <v>83</v>
      </c>
    </row>
    <row r="4350" spans="1:7" x14ac:dyDescent="0.25">
      <c r="A4350" s="5" t="s">
        <v>127</v>
      </c>
      <c r="B4350" s="5" t="s">
        <v>128</v>
      </c>
      <c r="C4350" s="5">
        <v>1230</v>
      </c>
      <c r="D4350" s="5" t="s">
        <v>78</v>
      </c>
      <c r="E4350" s="5" t="s">
        <v>88</v>
      </c>
      <c r="F4350" s="6">
        <v>42370</v>
      </c>
      <c r="G4350">
        <v>136</v>
      </c>
    </row>
    <row r="4351" spans="1:7" x14ac:dyDescent="0.25">
      <c r="A4351" s="5" t="s">
        <v>127</v>
      </c>
      <c r="B4351" s="5" t="s">
        <v>128</v>
      </c>
      <c r="C4351" s="5">
        <v>1230</v>
      </c>
      <c r="D4351" s="5" t="s">
        <v>78</v>
      </c>
      <c r="E4351" s="5" t="s">
        <v>88</v>
      </c>
      <c r="F4351" s="6">
        <v>42736</v>
      </c>
      <c r="G4351">
        <v>206</v>
      </c>
    </row>
    <row r="4352" spans="1:7" x14ac:dyDescent="0.25">
      <c r="A4352" s="5" t="s">
        <v>127</v>
      </c>
      <c r="B4352" s="5" t="s">
        <v>128</v>
      </c>
      <c r="C4352" s="5">
        <v>1230</v>
      </c>
      <c r="D4352" s="5" t="s">
        <v>78</v>
      </c>
      <c r="E4352" s="5" t="s">
        <v>89</v>
      </c>
      <c r="F4352" s="6">
        <v>42370</v>
      </c>
      <c r="G4352">
        <v>2824</v>
      </c>
    </row>
    <row r="4353" spans="1:7" x14ac:dyDescent="0.25">
      <c r="A4353" s="5" t="s">
        <v>127</v>
      </c>
      <c r="B4353" s="5" t="s">
        <v>128</v>
      </c>
      <c r="C4353" s="5">
        <v>1230</v>
      </c>
      <c r="D4353" s="5" t="s">
        <v>78</v>
      </c>
      <c r="E4353" s="5" t="s">
        <v>89</v>
      </c>
      <c r="F4353" s="6">
        <v>42736</v>
      </c>
      <c r="G4353">
        <v>3860</v>
      </c>
    </row>
    <row r="4354" spans="1:7" x14ac:dyDescent="0.25">
      <c r="A4354" s="5" t="s">
        <v>127</v>
      </c>
      <c r="B4354" s="5" t="s">
        <v>128</v>
      </c>
      <c r="C4354" s="5">
        <v>1230</v>
      </c>
      <c r="D4354" s="5" t="s">
        <v>78</v>
      </c>
      <c r="E4354" s="5" t="s">
        <v>90</v>
      </c>
      <c r="F4354" s="6">
        <v>42370</v>
      </c>
      <c r="G4354">
        <v>11</v>
      </c>
    </row>
    <row r="4355" spans="1:7" x14ac:dyDescent="0.25">
      <c r="A4355" s="5" t="s">
        <v>127</v>
      </c>
      <c r="B4355" s="5" t="s">
        <v>128</v>
      </c>
      <c r="C4355" s="5">
        <v>1230</v>
      </c>
      <c r="D4355" s="5" t="s">
        <v>78</v>
      </c>
      <c r="E4355" s="5" t="s">
        <v>90</v>
      </c>
      <c r="F4355" s="6">
        <v>42736</v>
      </c>
      <c r="G4355">
        <v>0</v>
      </c>
    </row>
    <row r="4356" spans="1:7" x14ac:dyDescent="0.25">
      <c r="A4356" s="5" t="s">
        <v>127</v>
      </c>
      <c r="B4356" s="5" t="s">
        <v>128</v>
      </c>
      <c r="C4356" s="5">
        <v>1230</v>
      </c>
      <c r="D4356" s="5" t="s">
        <v>78</v>
      </c>
      <c r="E4356" s="5" t="s">
        <v>91</v>
      </c>
      <c r="F4356" s="6">
        <v>42370</v>
      </c>
      <c r="G4356">
        <v>133</v>
      </c>
    </row>
    <row r="4357" spans="1:7" x14ac:dyDescent="0.25">
      <c r="A4357" s="5" t="s">
        <v>127</v>
      </c>
      <c r="B4357" s="5" t="s">
        <v>128</v>
      </c>
      <c r="C4357" s="5">
        <v>1230</v>
      </c>
      <c r="D4357" s="5" t="s">
        <v>78</v>
      </c>
      <c r="E4357" s="5" t="s">
        <v>91</v>
      </c>
      <c r="F4357" s="6">
        <v>42736</v>
      </c>
      <c r="G4357">
        <v>174</v>
      </c>
    </row>
    <row r="4358" spans="1:7" x14ac:dyDescent="0.25">
      <c r="A4358" s="5" t="s">
        <v>127</v>
      </c>
      <c r="B4358" s="5" t="s">
        <v>128</v>
      </c>
      <c r="C4358" s="5">
        <v>1230</v>
      </c>
      <c r="D4358" s="5" t="s">
        <v>78</v>
      </c>
      <c r="E4358" s="5" t="s">
        <v>92</v>
      </c>
      <c r="F4358" s="6">
        <v>42370</v>
      </c>
      <c r="G4358">
        <v>7</v>
      </c>
    </row>
    <row r="4359" spans="1:7" x14ac:dyDescent="0.25">
      <c r="A4359" s="5" t="s">
        <v>127</v>
      </c>
      <c r="B4359" s="5" t="s">
        <v>128</v>
      </c>
      <c r="C4359" s="5">
        <v>1230</v>
      </c>
      <c r="D4359" s="5" t="s">
        <v>78</v>
      </c>
      <c r="E4359" s="5" t="s">
        <v>92</v>
      </c>
      <c r="F4359" s="6">
        <v>42736</v>
      </c>
      <c r="G4359">
        <v>15</v>
      </c>
    </row>
    <row r="4360" spans="1:7" x14ac:dyDescent="0.25">
      <c r="A4360" s="5" t="s">
        <v>127</v>
      </c>
      <c r="B4360" s="5" t="s">
        <v>128</v>
      </c>
      <c r="C4360" s="5">
        <v>1230</v>
      </c>
      <c r="D4360" s="5" t="s">
        <v>78</v>
      </c>
      <c r="E4360" s="5" t="s">
        <v>93</v>
      </c>
      <c r="F4360" s="6">
        <v>42370</v>
      </c>
      <c r="G4360">
        <v>39</v>
      </c>
    </row>
    <row r="4361" spans="1:7" x14ac:dyDescent="0.25">
      <c r="A4361" s="5" t="s">
        <v>127</v>
      </c>
      <c r="B4361" s="5" t="s">
        <v>128</v>
      </c>
      <c r="C4361" s="5">
        <v>1230</v>
      </c>
      <c r="D4361" s="5" t="s">
        <v>78</v>
      </c>
      <c r="E4361" s="5" t="s">
        <v>93</v>
      </c>
      <c r="F4361" s="6">
        <v>42736</v>
      </c>
      <c r="G4361">
        <v>102</v>
      </c>
    </row>
    <row r="4362" spans="1:7" x14ac:dyDescent="0.25">
      <c r="A4362" s="5" t="s">
        <v>127</v>
      </c>
      <c r="B4362" s="5" t="s">
        <v>128</v>
      </c>
      <c r="C4362" s="5">
        <v>1230</v>
      </c>
      <c r="D4362" s="5" t="s">
        <v>78</v>
      </c>
      <c r="E4362" s="5" t="s">
        <v>94</v>
      </c>
      <c r="F4362" s="6">
        <v>42370</v>
      </c>
      <c r="G4362">
        <v>45</v>
      </c>
    </row>
    <row r="4363" spans="1:7" x14ac:dyDescent="0.25">
      <c r="A4363" s="5" t="s">
        <v>127</v>
      </c>
      <c r="B4363" s="5" t="s">
        <v>128</v>
      </c>
      <c r="C4363" s="5">
        <v>1230</v>
      </c>
      <c r="D4363" s="5" t="s">
        <v>78</v>
      </c>
      <c r="E4363" s="5" t="s">
        <v>94</v>
      </c>
      <c r="F4363" s="6">
        <v>42736</v>
      </c>
      <c r="G4363">
        <v>156</v>
      </c>
    </row>
    <row r="4364" spans="1:7" x14ac:dyDescent="0.25">
      <c r="A4364" s="5" t="s">
        <v>127</v>
      </c>
      <c r="B4364" s="5" t="s">
        <v>128</v>
      </c>
      <c r="C4364" s="5">
        <v>1230</v>
      </c>
      <c r="D4364" s="5" t="s">
        <v>78</v>
      </c>
      <c r="E4364" s="5" t="s">
        <v>95</v>
      </c>
      <c r="F4364" s="6">
        <v>42370</v>
      </c>
      <c r="G4364">
        <v>12</v>
      </c>
    </row>
    <row r="4365" spans="1:7" x14ac:dyDescent="0.25">
      <c r="A4365" s="5" t="s">
        <v>127</v>
      </c>
      <c r="B4365" s="5" t="s">
        <v>128</v>
      </c>
      <c r="C4365" s="5">
        <v>1230</v>
      </c>
      <c r="D4365" s="5" t="s">
        <v>78</v>
      </c>
      <c r="E4365" s="5" t="s">
        <v>95</v>
      </c>
      <c r="F4365" s="6">
        <v>42736</v>
      </c>
      <c r="G4365">
        <v>29</v>
      </c>
    </row>
    <row r="4366" spans="1:7" x14ac:dyDescent="0.25">
      <c r="A4366" s="5" t="s">
        <v>127</v>
      </c>
      <c r="B4366" s="5" t="s">
        <v>128</v>
      </c>
      <c r="C4366" s="5">
        <v>1230</v>
      </c>
      <c r="D4366" s="5" t="s">
        <v>78</v>
      </c>
      <c r="E4366" s="5" t="s">
        <v>96</v>
      </c>
      <c r="F4366" s="6">
        <v>42370</v>
      </c>
      <c r="G4366">
        <v>28</v>
      </c>
    </row>
    <row r="4367" spans="1:7" x14ac:dyDescent="0.25">
      <c r="A4367" s="5" t="s">
        <v>127</v>
      </c>
      <c r="B4367" s="5" t="s">
        <v>128</v>
      </c>
      <c r="C4367" s="5">
        <v>1230</v>
      </c>
      <c r="D4367" s="5" t="s">
        <v>78</v>
      </c>
      <c r="E4367" s="5" t="s">
        <v>96</v>
      </c>
      <c r="F4367" s="6">
        <v>42736</v>
      </c>
      <c r="G4367">
        <v>38</v>
      </c>
    </row>
    <row r="4368" spans="1:7" x14ac:dyDescent="0.25">
      <c r="A4368" s="5" t="s">
        <v>127</v>
      </c>
      <c r="B4368" s="5" t="s">
        <v>128</v>
      </c>
      <c r="C4368" s="5">
        <v>1230</v>
      </c>
      <c r="D4368" s="5" t="s">
        <v>78</v>
      </c>
      <c r="E4368" s="5" t="s">
        <v>97</v>
      </c>
      <c r="F4368" s="6">
        <v>42370</v>
      </c>
      <c r="G4368">
        <v>166</v>
      </c>
    </row>
    <row r="4369" spans="1:7" x14ac:dyDescent="0.25">
      <c r="A4369" s="5" t="s">
        <v>127</v>
      </c>
      <c r="B4369" s="5" t="s">
        <v>128</v>
      </c>
      <c r="C4369" s="5">
        <v>1230</v>
      </c>
      <c r="D4369" s="5" t="s">
        <v>78</v>
      </c>
      <c r="E4369" s="5" t="s">
        <v>97</v>
      </c>
      <c r="F4369" s="6">
        <v>42736</v>
      </c>
      <c r="G4369">
        <v>275</v>
      </c>
    </row>
    <row r="4370" spans="1:7" x14ac:dyDescent="0.25">
      <c r="A4370" s="5" t="s">
        <v>127</v>
      </c>
      <c r="B4370" s="5" t="s">
        <v>128</v>
      </c>
      <c r="C4370" s="5">
        <v>1230</v>
      </c>
      <c r="D4370" s="5" t="s">
        <v>78</v>
      </c>
      <c r="E4370" s="5" t="s">
        <v>98</v>
      </c>
      <c r="F4370" s="6">
        <v>42370</v>
      </c>
      <c r="G4370">
        <v>28</v>
      </c>
    </row>
    <row r="4371" spans="1:7" x14ac:dyDescent="0.25">
      <c r="A4371" s="5" t="s">
        <v>127</v>
      </c>
      <c r="B4371" s="5" t="s">
        <v>128</v>
      </c>
      <c r="C4371" s="5">
        <v>1230</v>
      </c>
      <c r="D4371" s="5" t="s">
        <v>78</v>
      </c>
      <c r="E4371" s="5" t="s">
        <v>98</v>
      </c>
      <c r="F4371" s="6">
        <v>42736</v>
      </c>
      <c r="G4371">
        <v>21</v>
      </c>
    </row>
    <row r="4372" spans="1:7" x14ac:dyDescent="0.25">
      <c r="A4372" s="5" t="s">
        <v>127</v>
      </c>
      <c r="B4372" s="5" t="s">
        <v>129</v>
      </c>
      <c r="C4372" s="5">
        <v>1200</v>
      </c>
      <c r="D4372" s="5" t="s">
        <v>8</v>
      </c>
      <c r="E4372" s="5" t="s">
        <v>9</v>
      </c>
      <c r="F4372" s="6">
        <v>42370</v>
      </c>
      <c r="G4372">
        <v>0</v>
      </c>
    </row>
    <row r="4373" spans="1:7" x14ac:dyDescent="0.25">
      <c r="A4373" s="5" t="s">
        <v>127</v>
      </c>
      <c r="B4373" s="5" t="s">
        <v>129</v>
      </c>
      <c r="C4373" s="5">
        <v>1200</v>
      </c>
      <c r="D4373" s="5" t="s">
        <v>8</v>
      </c>
      <c r="E4373" s="5" t="s">
        <v>9</v>
      </c>
      <c r="F4373" s="6">
        <v>42736</v>
      </c>
      <c r="G4373">
        <v>0</v>
      </c>
    </row>
    <row r="4374" spans="1:7" x14ac:dyDescent="0.25">
      <c r="A4374" s="5" t="s">
        <v>127</v>
      </c>
      <c r="B4374" s="5" t="s">
        <v>129</v>
      </c>
      <c r="C4374" s="5">
        <v>1200</v>
      </c>
      <c r="D4374" s="5" t="s">
        <v>8</v>
      </c>
      <c r="E4374" s="5" t="s">
        <v>10</v>
      </c>
      <c r="F4374" s="6">
        <v>42370</v>
      </c>
      <c r="G4374">
        <v>248</v>
      </c>
    </row>
    <row r="4375" spans="1:7" x14ac:dyDescent="0.25">
      <c r="A4375" s="5" t="s">
        <v>127</v>
      </c>
      <c r="B4375" s="5" t="s">
        <v>129</v>
      </c>
      <c r="C4375" s="5">
        <v>1200</v>
      </c>
      <c r="D4375" s="5" t="s">
        <v>8</v>
      </c>
      <c r="E4375" s="5" t="s">
        <v>10</v>
      </c>
      <c r="F4375" s="6">
        <v>42736</v>
      </c>
      <c r="G4375">
        <v>466</v>
      </c>
    </row>
    <row r="4376" spans="1:7" x14ac:dyDescent="0.25">
      <c r="A4376" s="5" t="s">
        <v>127</v>
      </c>
      <c r="B4376" s="5" t="s">
        <v>129</v>
      </c>
      <c r="C4376" s="5">
        <v>1200</v>
      </c>
      <c r="D4376" s="5" t="s">
        <v>8</v>
      </c>
      <c r="E4376" s="5" t="s">
        <v>11</v>
      </c>
      <c r="F4376" s="6">
        <v>42370</v>
      </c>
      <c r="G4376">
        <v>52</v>
      </c>
    </row>
    <row r="4377" spans="1:7" x14ac:dyDescent="0.25">
      <c r="A4377" s="5" t="s">
        <v>127</v>
      </c>
      <c r="B4377" s="5" t="s">
        <v>129</v>
      </c>
      <c r="C4377" s="5">
        <v>1200</v>
      </c>
      <c r="D4377" s="5" t="s">
        <v>8</v>
      </c>
      <c r="E4377" s="5" t="s">
        <v>11</v>
      </c>
      <c r="F4377" s="6">
        <v>42736</v>
      </c>
      <c r="G4377">
        <v>103</v>
      </c>
    </row>
    <row r="4378" spans="1:7" x14ac:dyDescent="0.25">
      <c r="A4378" s="5" t="s">
        <v>127</v>
      </c>
      <c r="B4378" s="5" t="s">
        <v>129</v>
      </c>
      <c r="C4378" s="5">
        <v>1200</v>
      </c>
      <c r="D4378" s="5" t="s">
        <v>8</v>
      </c>
      <c r="E4378" s="5" t="s">
        <v>12</v>
      </c>
      <c r="F4378" s="6">
        <v>42370</v>
      </c>
      <c r="G4378">
        <v>0</v>
      </c>
    </row>
    <row r="4379" spans="1:7" x14ac:dyDescent="0.25">
      <c r="A4379" s="5" t="s">
        <v>127</v>
      </c>
      <c r="B4379" s="5" t="s">
        <v>129</v>
      </c>
      <c r="C4379" s="5">
        <v>1200</v>
      </c>
      <c r="D4379" s="5" t="s">
        <v>8</v>
      </c>
      <c r="E4379" s="5" t="s">
        <v>12</v>
      </c>
      <c r="F4379" s="6">
        <v>42736</v>
      </c>
      <c r="G4379">
        <v>0</v>
      </c>
    </row>
    <row r="4380" spans="1:7" x14ac:dyDescent="0.25">
      <c r="A4380" s="5" t="s">
        <v>127</v>
      </c>
      <c r="B4380" s="5" t="s">
        <v>129</v>
      </c>
      <c r="C4380" s="5">
        <v>1200</v>
      </c>
      <c r="D4380" s="5" t="s">
        <v>8</v>
      </c>
      <c r="E4380" s="5" t="s">
        <v>13</v>
      </c>
      <c r="F4380" s="6">
        <v>42370</v>
      </c>
      <c r="G4380">
        <v>0</v>
      </c>
    </row>
    <row r="4381" spans="1:7" x14ac:dyDescent="0.25">
      <c r="A4381" s="5" t="s">
        <v>127</v>
      </c>
      <c r="B4381" s="5" t="s">
        <v>129</v>
      </c>
      <c r="C4381" s="5">
        <v>1200</v>
      </c>
      <c r="D4381" s="5" t="s">
        <v>8</v>
      </c>
      <c r="E4381" s="5" t="s">
        <v>13</v>
      </c>
      <c r="F4381" s="6">
        <v>42736</v>
      </c>
      <c r="G4381">
        <v>0</v>
      </c>
    </row>
    <row r="4382" spans="1:7" x14ac:dyDescent="0.25">
      <c r="A4382" s="5" t="s">
        <v>127</v>
      </c>
      <c r="B4382" s="5" t="s">
        <v>129</v>
      </c>
      <c r="C4382" s="5">
        <v>1200</v>
      </c>
      <c r="D4382" s="5" t="s">
        <v>8</v>
      </c>
      <c r="E4382" s="5" t="s">
        <v>14</v>
      </c>
      <c r="F4382" s="6">
        <v>42370</v>
      </c>
      <c r="G4382">
        <v>0</v>
      </c>
    </row>
    <row r="4383" spans="1:7" x14ac:dyDescent="0.25">
      <c r="A4383" s="5" t="s">
        <v>127</v>
      </c>
      <c r="B4383" s="5" t="s">
        <v>129</v>
      </c>
      <c r="C4383" s="5">
        <v>1200</v>
      </c>
      <c r="D4383" s="5" t="s">
        <v>8</v>
      </c>
      <c r="E4383" s="5" t="s">
        <v>14</v>
      </c>
      <c r="F4383" s="6">
        <v>42736</v>
      </c>
      <c r="G4383">
        <v>0</v>
      </c>
    </row>
    <row r="4384" spans="1:7" x14ac:dyDescent="0.25">
      <c r="A4384" s="5" t="s">
        <v>127</v>
      </c>
      <c r="B4384" s="5" t="s">
        <v>129</v>
      </c>
      <c r="C4384" s="5">
        <v>1200</v>
      </c>
      <c r="D4384" s="5" t="s">
        <v>8</v>
      </c>
      <c r="E4384" s="5" t="s">
        <v>15</v>
      </c>
      <c r="F4384" s="6">
        <v>42370</v>
      </c>
      <c r="G4384">
        <v>0</v>
      </c>
    </row>
    <row r="4385" spans="1:7" x14ac:dyDescent="0.25">
      <c r="A4385" s="5" t="s">
        <v>127</v>
      </c>
      <c r="B4385" s="5" t="s">
        <v>129</v>
      </c>
      <c r="C4385" s="5">
        <v>1200</v>
      </c>
      <c r="D4385" s="5" t="s">
        <v>8</v>
      </c>
      <c r="E4385" s="5" t="s">
        <v>15</v>
      </c>
      <c r="F4385" s="6">
        <v>42736</v>
      </c>
      <c r="G4385">
        <v>0</v>
      </c>
    </row>
    <row r="4386" spans="1:7" x14ac:dyDescent="0.25">
      <c r="A4386" s="5" t="s">
        <v>127</v>
      </c>
      <c r="B4386" s="5" t="s">
        <v>129</v>
      </c>
      <c r="C4386" s="5">
        <v>1200</v>
      </c>
      <c r="D4386" s="5" t="s">
        <v>8</v>
      </c>
      <c r="E4386" s="5" t="s">
        <v>16</v>
      </c>
      <c r="F4386" s="6">
        <v>42370</v>
      </c>
      <c r="G4386">
        <v>56</v>
      </c>
    </row>
    <row r="4387" spans="1:7" x14ac:dyDescent="0.25">
      <c r="A4387" s="5" t="s">
        <v>127</v>
      </c>
      <c r="B4387" s="5" t="s">
        <v>129</v>
      </c>
      <c r="C4387" s="5">
        <v>1200</v>
      </c>
      <c r="D4387" s="5" t="s">
        <v>8</v>
      </c>
      <c r="E4387" s="5" t="s">
        <v>16</v>
      </c>
      <c r="F4387" s="6">
        <v>42736</v>
      </c>
      <c r="G4387">
        <v>99</v>
      </c>
    </row>
    <row r="4388" spans="1:7" x14ac:dyDescent="0.25">
      <c r="A4388" s="5" t="s">
        <v>127</v>
      </c>
      <c r="B4388" s="5" t="s">
        <v>129</v>
      </c>
      <c r="C4388" s="5">
        <v>1200</v>
      </c>
      <c r="D4388" s="5" t="s">
        <v>8</v>
      </c>
      <c r="E4388" s="5" t="s">
        <v>17</v>
      </c>
      <c r="F4388" s="6">
        <v>42370</v>
      </c>
      <c r="G4388">
        <v>0</v>
      </c>
    </row>
    <row r="4389" spans="1:7" x14ac:dyDescent="0.25">
      <c r="A4389" s="5" t="s">
        <v>127</v>
      </c>
      <c r="B4389" s="5" t="s">
        <v>129</v>
      </c>
      <c r="C4389" s="5">
        <v>1200</v>
      </c>
      <c r="D4389" s="5" t="s">
        <v>8</v>
      </c>
      <c r="E4389" s="5" t="s">
        <v>17</v>
      </c>
      <c r="F4389" s="6">
        <v>42736</v>
      </c>
      <c r="G4389">
        <v>0</v>
      </c>
    </row>
    <row r="4390" spans="1:7" x14ac:dyDescent="0.25">
      <c r="A4390" s="5" t="s">
        <v>127</v>
      </c>
      <c r="B4390" s="5" t="s">
        <v>129</v>
      </c>
      <c r="C4390" s="5">
        <v>1200</v>
      </c>
      <c r="D4390" s="5" t="s">
        <v>8</v>
      </c>
      <c r="E4390" s="5" t="s">
        <v>18</v>
      </c>
      <c r="F4390" s="6">
        <v>42370</v>
      </c>
      <c r="G4390">
        <v>10</v>
      </c>
    </row>
    <row r="4391" spans="1:7" x14ac:dyDescent="0.25">
      <c r="A4391" s="5" t="s">
        <v>127</v>
      </c>
      <c r="B4391" s="5" t="s">
        <v>129</v>
      </c>
      <c r="C4391" s="5">
        <v>1200</v>
      </c>
      <c r="D4391" s="5" t="s">
        <v>8</v>
      </c>
      <c r="E4391" s="5" t="s">
        <v>18</v>
      </c>
      <c r="F4391" s="6">
        <v>42736</v>
      </c>
      <c r="G4391">
        <v>22</v>
      </c>
    </row>
    <row r="4392" spans="1:7" x14ac:dyDescent="0.25">
      <c r="A4392" s="5" t="s">
        <v>127</v>
      </c>
      <c r="B4392" s="5" t="s">
        <v>129</v>
      </c>
      <c r="C4392" s="5">
        <v>1200</v>
      </c>
      <c r="D4392" s="5" t="s">
        <v>8</v>
      </c>
      <c r="E4392" s="5" t="s">
        <v>19</v>
      </c>
      <c r="F4392" s="6">
        <v>42370</v>
      </c>
      <c r="G4392">
        <v>0</v>
      </c>
    </row>
    <row r="4393" spans="1:7" x14ac:dyDescent="0.25">
      <c r="A4393" s="5" t="s">
        <v>127</v>
      </c>
      <c r="B4393" s="5" t="s">
        <v>129</v>
      </c>
      <c r="C4393" s="5">
        <v>1200</v>
      </c>
      <c r="D4393" s="5" t="s">
        <v>8</v>
      </c>
      <c r="E4393" s="5" t="s">
        <v>19</v>
      </c>
      <c r="F4393" s="6">
        <v>42736</v>
      </c>
      <c r="G4393">
        <v>0</v>
      </c>
    </row>
    <row r="4394" spans="1:7" x14ac:dyDescent="0.25">
      <c r="A4394" s="5" t="s">
        <v>127</v>
      </c>
      <c r="B4394" s="5" t="s">
        <v>129</v>
      </c>
      <c r="C4394" s="5">
        <v>1200</v>
      </c>
      <c r="D4394" s="5" t="s">
        <v>20</v>
      </c>
      <c r="E4394" s="5" t="s">
        <v>9</v>
      </c>
      <c r="F4394" s="6">
        <v>42370</v>
      </c>
      <c r="G4394">
        <v>44</v>
      </c>
    </row>
    <row r="4395" spans="1:7" x14ac:dyDescent="0.25">
      <c r="A4395" s="5" t="s">
        <v>127</v>
      </c>
      <c r="B4395" s="5" t="s">
        <v>129</v>
      </c>
      <c r="C4395" s="5">
        <v>1200</v>
      </c>
      <c r="D4395" s="5" t="s">
        <v>20</v>
      </c>
      <c r="E4395" s="5" t="s">
        <v>9</v>
      </c>
      <c r="F4395" s="6">
        <v>42736</v>
      </c>
      <c r="G4395">
        <v>38</v>
      </c>
    </row>
    <row r="4396" spans="1:7" x14ac:dyDescent="0.25">
      <c r="A4396" s="5" t="s">
        <v>127</v>
      </c>
      <c r="B4396" s="5" t="s">
        <v>129</v>
      </c>
      <c r="C4396" s="5">
        <v>1200</v>
      </c>
      <c r="D4396" s="5" t="s">
        <v>20</v>
      </c>
      <c r="E4396" s="5" t="s">
        <v>21</v>
      </c>
      <c r="F4396" s="6">
        <v>42370</v>
      </c>
      <c r="G4396">
        <v>0</v>
      </c>
    </row>
    <row r="4397" spans="1:7" x14ac:dyDescent="0.25">
      <c r="A4397" s="5" t="s">
        <v>127</v>
      </c>
      <c r="B4397" s="5" t="s">
        <v>129</v>
      </c>
      <c r="C4397" s="5">
        <v>1200</v>
      </c>
      <c r="D4397" s="5" t="s">
        <v>20</v>
      </c>
      <c r="E4397" s="5" t="s">
        <v>21</v>
      </c>
      <c r="F4397" s="6">
        <v>42736</v>
      </c>
      <c r="G4397">
        <v>0</v>
      </c>
    </row>
    <row r="4398" spans="1:7" x14ac:dyDescent="0.25">
      <c r="A4398" s="5" t="s">
        <v>127</v>
      </c>
      <c r="B4398" s="5" t="s">
        <v>129</v>
      </c>
      <c r="C4398" s="5">
        <v>1200</v>
      </c>
      <c r="D4398" s="5" t="s">
        <v>20</v>
      </c>
      <c r="E4398" s="5" t="s">
        <v>22</v>
      </c>
      <c r="F4398" s="6">
        <v>42370</v>
      </c>
      <c r="G4398">
        <v>36</v>
      </c>
    </row>
    <row r="4399" spans="1:7" x14ac:dyDescent="0.25">
      <c r="A4399" s="5" t="s">
        <v>127</v>
      </c>
      <c r="B4399" s="5" t="s">
        <v>129</v>
      </c>
      <c r="C4399" s="5">
        <v>1200</v>
      </c>
      <c r="D4399" s="5" t="s">
        <v>20</v>
      </c>
      <c r="E4399" s="5" t="s">
        <v>22</v>
      </c>
      <c r="F4399" s="6">
        <v>42736</v>
      </c>
      <c r="G4399">
        <v>0</v>
      </c>
    </row>
    <row r="4400" spans="1:7" x14ac:dyDescent="0.25">
      <c r="A4400" s="5" t="s">
        <v>127</v>
      </c>
      <c r="B4400" s="5" t="s">
        <v>129</v>
      </c>
      <c r="C4400" s="5">
        <v>1200</v>
      </c>
      <c r="D4400" s="5" t="s">
        <v>20</v>
      </c>
      <c r="E4400" s="5" t="s">
        <v>23</v>
      </c>
      <c r="F4400" s="6">
        <v>42370</v>
      </c>
      <c r="G4400">
        <v>124</v>
      </c>
    </row>
    <row r="4401" spans="1:7" x14ac:dyDescent="0.25">
      <c r="A4401" s="5" t="s">
        <v>127</v>
      </c>
      <c r="B4401" s="5" t="s">
        <v>129</v>
      </c>
      <c r="C4401" s="5">
        <v>1200</v>
      </c>
      <c r="D4401" s="5" t="s">
        <v>20</v>
      </c>
      <c r="E4401" s="5" t="s">
        <v>23</v>
      </c>
      <c r="F4401" s="6">
        <v>42736</v>
      </c>
      <c r="G4401">
        <v>3</v>
      </c>
    </row>
    <row r="4402" spans="1:7" x14ac:dyDescent="0.25">
      <c r="A4402" s="5" t="s">
        <v>127</v>
      </c>
      <c r="B4402" s="5" t="s">
        <v>129</v>
      </c>
      <c r="C4402" s="5">
        <v>1200</v>
      </c>
      <c r="D4402" s="5" t="s">
        <v>20</v>
      </c>
      <c r="E4402" s="5" t="s">
        <v>24</v>
      </c>
      <c r="F4402" s="6">
        <v>42370</v>
      </c>
      <c r="G4402">
        <v>0</v>
      </c>
    </row>
    <row r="4403" spans="1:7" x14ac:dyDescent="0.25">
      <c r="A4403" s="5" t="s">
        <v>127</v>
      </c>
      <c r="B4403" s="5" t="s">
        <v>129</v>
      </c>
      <c r="C4403" s="5">
        <v>1200</v>
      </c>
      <c r="D4403" s="5" t="s">
        <v>20</v>
      </c>
      <c r="E4403" s="5" t="s">
        <v>24</v>
      </c>
      <c r="F4403" s="6">
        <v>42736</v>
      </c>
      <c r="G4403">
        <v>0</v>
      </c>
    </row>
    <row r="4404" spans="1:7" x14ac:dyDescent="0.25">
      <c r="A4404" s="5" t="s">
        <v>127</v>
      </c>
      <c r="B4404" s="5" t="s">
        <v>129</v>
      </c>
      <c r="C4404" s="5">
        <v>1200</v>
      </c>
      <c r="D4404" s="5" t="s">
        <v>20</v>
      </c>
      <c r="E4404" s="5" t="s">
        <v>25</v>
      </c>
      <c r="F4404" s="6">
        <v>42370</v>
      </c>
      <c r="G4404">
        <v>2</v>
      </c>
    </row>
    <row r="4405" spans="1:7" x14ac:dyDescent="0.25">
      <c r="A4405" s="5" t="s">
        <v>127</v>
      </c>
      <c r="B4405" s="5" t="s">
        <v>129</v>
      </c>
      <c r="C4405" s="5">
        <v>1200</v>
      </c>
      <c r="D4405" s="5" t="s">
        <v>20</v>
      </c>
      <c r="E4405" s="5" t="s">
        <v>25</v>
      </c>
      <c r="F4405" s="6">
        <v>42736</v>
      </c>
      <c r="G4405">
        <v>1</v>
      </c>
    </row>
    <row r="4406" spans="1:7" x14ac:dyDescent="0.25">
      <c r="A4406" s="5" t="s">
        <v>127</v>
      </c>
      <c r="B4406" s="5" t="s">
        <v>129</v>
      </c>
      <c r="C4406" s="5">
        <v>1200</v>
      </c>
      <c r="D4406" s="5" t="s">
        <v>20</v>
      </c>
      <c r="E4406" s="5" t="s">
        <v>26</v>
      </c>
      <c r="F4406" s="6">
        <v>42370</v>
      </c>
      <c r="G4406">
        <v>188</v>
      </c>
    </row>
    <row r="4407" spans="1:7" x14ac:dyDescent="0.25">
      <c r="A4407" s="5" t="s">
        <v>127</v>
      </c>
      <c r="B4407" s="5" t="s">
        <v>129</v>
      </c>
      <c r="C4407" s="5">
        <v>1200</v>
      </c>
      <c r="D4407" s="5" t="s">
        <v>20</v>
      </c>
      <c r="E4407" s="5" t="s">
        <v>26</v>
      </c>
      <c r="F4407" s="6">
        <v>42736</v>
      </c>
      <c r="G4407">
        <v>252</v>
      </c>
    </row>
    <row r="4408" spans="1:7" x14ac:dyDescent="0.25">
      <c r="A4408" s="5" t="s">
        <v>127</v>
      </c>
      <c r="B4408" s="5" t="s">
        <v>129</v>
      </c>
      <c r="C4408" s="5">
        <v>1200</v>
      </c>
      <c r="D4408" s="5" t="s">
        <v>20</v>
      </c>
      <c r="E4408" s="5" t="s">
        <v>27</v>
      </c>
      <c r="F4408" s="6">
        <v>42370</v>
      </c>
      <c r="G4408">
        <v>0</v>
      </c>
    </row>
    <row r="4409" spans="1:7" x14ac:dyDescent="0.25">
      <c r="A4409" s="5" t="s">
        <v>127</v>
      </c>
      <c r="B4409" s="5" t="s">
        <v>129</v>
      </c>
      <c r="C4409" s="5">
        <v>1200</v>
      </c>
      <c r="D4409" s="5" t="s">
        <v>20</v>
      </c>
      <c r="E4409" s="5" t="s">
        <v>27</v>
      </c>
      <c r="F4409" s="6">
        <v>42736</v>
      </c>
      <c r="G4409">
        <v>3</v>
      </c>
    </row>
    <row r="4410" spans="1:7" x14ac:dyDescent="0.25">
      <c r="A4410" s="5" t="s">
        <v>127</v>
      </c>
      <c r="B4410" s="5" t="s">
        <v>129</v>
      </c>
      <c r="C4410" s="5">
        <v>1200</v>
      </c>
      <c r="D4410" s="5" t="s">
        <v>20</v>
      </c>
      <c r="E4410" s="5" t="s">
        <v>28</v>
      </c>
      <c r="F4410" s="6">
        <v>42370</v>
      </c>
      <c r="G4410">
        <v>0</v>
      </c>
    </row>
    <row r="4411" spans="1:7" x14ac:dyDescent="0.25">
      <c r="A4411" s="5" t="s">
        <v>127</v>
      </c>
      <c r="B4411" s="5" t="s">
        <v>129</v>
      </c>
      <c r="C4411" s="5">
        <v>1200</v>
      </c>
      <c r="D4411" s="5" t="s">
        <v>20</v>
      </c>
      <c r="E4411" s="5" t="s">
        <v>28</v>
      </c>
      <c r="F4411" s="6">
        <v>42736</v>
      </c>
      <c r="G4411">
        <v>0</v>
      </c>
    </row>
    <row r="4412" spans="1:7" x14ac:dyDescent="0.25">
      <c r="A4412" s="5" t="s">
        <v>127</v>
      </c>
      <c r="B4412" s="5" t="s">
        <v>129</v>
      </c>
      <c r="C4412" s="5">
        <v>1200</v>
      </c>
      <c r="D4412" s="5" t="s">
        <v>20</v>
      </c>
      <c r="E4412" s="5" t="s">
        <v>29</v>
      </c>
      <c r="F4412" s="6">
        <v>42370</v>
      </c>
      <c r="G4412">
        <v>191</v>
      </c>
    </row>
    <row r="4413" spans="1:7" x14ac:dyDescent="0.25">
      <c r="A4413" s="5" t="s">
        <v>127</v>
      </c>
      <c r="B4413" s="5" t="s">
        <v>129</v>
      </c>
      <c r="C4413" s="5">
        <v>1200</v>
      </c>
      <c r="D4413" s="5" t="s">
        <v>20</v>
      </c>
      <c r="E4413" s="5" t="s">
        <v>29</v>
      </c>
      <c r="F4413" s="6">
        <v>42736</v>
      </c>
      <c r="G4413">
        <v>259</v>
      </c>
    </row>
    <row r="4414" spans="1:7" x14ac:dyDescent="0.25">
      <c r="A4414" s="5" t="s">
        <v>127</v>
      </c>
      <c r="B4414" s="5" t="s">
        <v>129</v>
      </c>
      <c r="C4414" s="5">
        <v>1200</v>
      </c>
      <c r="D4414" s="5" t="s">
        <v>20</v>
      </c>
      <c r="E4414" s="5" t="s">
        <v>30</v>
      </c>
      <c r="F4414" s="6">
        <v>42370</v>
      </c>
      <c r="G4414">
        <v>188</v>
      </c>
    </row>
    <row r="4415" spans="1:7" x14ac:dyDescent="0.25">
      <c r="A4415" s="5" t="s">
        <v>127</v>
      </c>
      <c r="B4415" s="5" t="s">
        <v>129</v>
      </c>
      <c r="C4415" s="5">
        <v>1200</v>
      </c>
      <c r="D4415" s="5" t="s">
        <v>20</v>
      </c>
      <c r="E4415" s="5" t="s">
        <v>30</v>
      </c>
      <c r="F4415" s="6">
        <v>42736</v>
      </c>
      <c r="G4415">
        <v>256</v>
      </c>
    </row>
    <row r="4416" spans="1:7" x14ac:dyDescent="0.25">
      <c r="A4416" s="5" t="s">
        <v>127</v>
      </c>
      <c r="B4416" s="5" t="s">
        <v>129</v>
      </c>
      <c r="C4416" s="5">
        <v>1200</v>
      </c>
      <c r="D4416" s="5" t="s">
        <v>20</v>
      </c>
      <c r="E4416" s="5" t="s">
        <v>31</v>
      </c>
      <c r="F4416" s="6">
        <v>42370</v>
      </c>
      <c r="G4416">
        <v>287</v>
      </c>
    </row>
    <row r="4417" spans="1:7" x14ac:dyDescent="0.25">
      <c r="A4417" s="5" t="s">
        <v>127</v>
      </c>
      <c r="B4417" s="5" t="s">
        <v>129</v>
      </c>
      <c r="C4417" s="5">
        <v>1200</v>
      </c>
      <c r="D4417" s="5" t="s">
        <v>20</v>
      </c>
      <c r="E4417" s="5" t="s">
        <v>31</v>
      </c>
      <c r="F4417" s="6">
        <v>42736</v>
      </c>
      <c r="G4417">
        <v>431</v>
      </c>
    </row>
    <row r="4418" spans="1:7" x14ac:dyDescent="0.25">
      <c r="A4418" s="5" t="s">
        <v>127</v>
      </c>
      <c r="B4418" s="5" t="s">
        <v>129</v>
      </c>
      <c r="C4418" s="5">
        <v>1200</v>
      </c>
      <c r="D4418" s="5" t="s">
        <v>20</v>
      </c>
      <c r="E4418" s="5" t="s">
        <v>32</v>
      </c>
      <c r="F4418" s="6">
        <v>42370</v>
      </c>
      <c r="G4418">
        <v>189</v>
      </c>
    </row>
    <row r="4419" spans="1:7" x14ac:dyDescent="0.25">
      <c r="A4419" s="5" t="s">
        <v>127</v>
      </c>
      <c r="B4419" s="5" t="s">
        <v>129</v>
      </c>
      <c r="C4419" s="5">
        <v>1200</v>
      </c>
      <c r="D4419" s="5" t="s">
        <v>20</v>
      </c>
      <c r="E4419" s="5" t="s">
        <v>32</v>
      </c>
      <c r="F4419" s="6">
        <v>42736</v>
      </c>
      <c r="G4419">
        <v>258</v>
      </c>
    </row>
    <row r="4420" spans="1:7" x14ac:dyDescent="0.25">
      <c r="A4420" s="5" t="s">
        <v>127</v>
      </c>
      <c r="B4420" s="5" t="s">
        <v>129</v>
      </c>
      <c r="C4420" s="5">
        <v>1200</v>
      </c>
      <c r="D4420" s="5" t="s">
        <v>33</v>
      </c>
      <c r="E4420" s="5" t="s">
        <v>9</v>
      </c>
      <c r="F4420" s="6">
        <v>42370</v>
      </c>
      <c r="G4420">
        <v>0</v>
      </c>
    </row>
    <row r="4421" spans="1:7" x14ac:dyDescent="0.25">
      <c r="A4421" s="5" t="s">
        <v>127</v>
      </c>
      <c r="B4421" s="5" t="s">
        <v>129</v>
      </c>
      <c r="C4421" s="5">
        <v>1200</v>
      </c>
      <c r="D4421" s="5" t="s">
        <v>33</v>
      </c>
      <c r="E4421" s="5" t="s">
        <v>9</v>
      </c>
      <c r="F4421" s="6">
        <v>42736</v>
      </c>
      <c r="G4421">
        <v>0</v>
      </c>
    </row>
    <row r="4422" spans="1:7" x14ac:dyDescent="0.25">
      <c r="A4422" s="5" t="s">
        <v>127</v>
      </c>
      <c r="B4422" s="5" t="s">
        <v>129</v>
      </c>
      <c r="C4422" s="5">
        <v>1200</v>
      </c>
      <c r="D4422" s="5" t="s">
        <v>33</v>
      </c>
      <c r="E4422" s="5" t="s">
        <v>34</v>
      </c>
      <c r="F4422" s="6">
        <v>42370</v>
      </c>
      <c r="G4422">
        <v>0</v>
      </c>
    </row>
    <row r="4423" spans="1:7" x14ac:dyDescent="0.25">
      <c r="A4423" s="5" t="s">
        <v>127</v>
      </c>
      <c r="B4423" s="5" t="s">
        <v>129</v>
      </c>
      <c r="C4423" s="5">
        <v>1200</v>
      </c>
      <c r="D4423" s="5" t="s">
        <v>33</v>
      </c>
      <c r="E4423" s="5" t="s">
        <v>34</v>
      </c>
      <c r="F4423" s="6">
        <v>42736</v>
      </c>
      <c r="G4423">
        <v>0</v>
      </c>
    </row>
    <row r="4424" spans="1:7" x14ac:dyDescent="0.25">
      <c r="A4424" s="5" t="s">
        <v>127</v>
      </c>
      <c r="B4424" s="5" t="s">
        <v>129</v>
      </c>
      <c r="C4424" s="5">
        <v>1200</v>
      </c>
      <c r="D4424" s="5" t="s">
        <v>35</v>
      </c>
      <c r="E4424" s="5" t="s">
        <v>36</v>
      </c>
      <c r="F4424" s="6">
        <v>42370</v>
      </c>
      <c r="G4424">
        <v>0</v>
      </c>
    </row>
    <row r="4425" spans="1:7" x14ac:dyDescent="0.25">
      <c r="A4425" s="5" t="s">
        <v>127</v>
      </c>
      <c r="B4425" s="5" t="s">
        <v>129</v>
      </c>
      <c r="C4425" s="5">
        <v>1200</v>
      </c>
      <c r="D4425" s="5" t="s">
        <v>35</v>
      </c>
      <c r="E4425" s="5" t="s">
        <v>36</v>
      </c>
      <c r="F4425" s="6">
        <v>42736</v>
      </c>
      <c r="G4425">
        <v>0</v>
      </c>
    </row>
    <row r="4426" spans="1:7" x14ac:dyDescent="0.25">
      <c r="A4426" s="5" t="s">
        <v>127</v>
      </c>
      <c r="B4426" s="5" t="s">
        <v>129</v>
      </c>
      <c r="C4426" s="5">
        <v>1200</v>
      </c>
      <c r="D4426" s="5" t="s">
        <v>35</v>
      </c>
      <c r="E4426" s="5" t="s">
        <v>37</v>
      </c>
      <c r="F4426" s="6">
        <v>42370</v>
      </c>
      <c r="G4426">
        <v>0</v>
      </c>
    </row>
    <row r="4427" spans="1:7" x14ac:dyDescent="0.25">
      <c r="A4427" s="5" t="s">
        <v>127</v>
      </c>
      <c r="B4427" s="5" t="s">
        <v>129</v>
      </c>
      <c r="C4427" s="5">
        <v>1200</v>
      </c>
      <c r="D4427" s="5" t="s">
        <v>35</v>
      </c>
      <c r="E4427" s="5" t="s">
        <v>37</v>
      </c>
      <c r="F4427" s="6">
        <v>42736</v>
      </c>
      <c r="G4427">
        <v>0</v>
      </c>
    </row>
    <row r="4428" spans="1:7" x14ac:dyDescent="0.25">
      <c r="A4428" s="5" t="s">
        <v>127</v>
      </c>
      <c r="B4428" s="5" t="s">
        <v>129</v>
      </c>
      <c r="C4428" s="5">
        <v>1200</v>
      </c>
      <c r="D4428" s="5" t="s">
        <v>35</v>
      </c>
      <c r="E4428" s="5" t="s">
        <v>38</v>
      </c>
      <c r="F4428" s="6">
        <v>42370</v>
      </c>
      <c r="G4428">
        <v>0</v>
      </c>
    </row>
    <row r="4429" spans="1:7" x14ac:dyDescent="0.25">
      <c r="A4429" s="5" t="s">
        <v>127</v>
      </c>
      <c r="B4429" s="5" t="s">
        <v>129</v>
      </c>
      <c r="C4429" s="5">
        <v>1200</v>
      </c>
      <c r="D4429" s="5" t="s">
        <v>35</v>
      </c>
      <c r="E4429" s="5" t="s">
        <v>38</v>
      </c>
      <c r="F4429" s="6">
        <v>42736</v>
      </c>
      <c r="G4429">
        <v>0</v>
      </c>
    </row>
    <row r="4430" spans="1:7" x14ac:dyDescent="0.25">
      <c r="A4430" s="5" t="s">
        <v>127</v>
      </c>
      <c r="B4430" s="5" t="s">
        <v>129</v>
      </c>
      <c r="C4430" s="5">
        <v>1200</v>
      </c>
      <c r="D4430" s="5" t="s">
        <v>35</v>
      </c>
      <c r="E4430" s="5" t="s">
        <v>39</v>
      </c>
      <c r="F4430" s="6">
        <v>42370</v>
      </c>
      <c r="G4430">
        <v>0</v>
      </c>
    </row>
    <row r="4431" spans="1:7" x14ac:dyDescent="0.25">
      <c r="A4431" s="5" t="s">
        <v>127</v>
      </c>
      <c r="B4431" s="5" t="s">
        <v>129</v>
      </c>
      <c r="C4431" s="5">
        <v>1200</v>
      </c>
      <c r="D4431" s="5" t="s">
        <v>35</v>
      </c>
      <c r="E4431" s="5" t="s">
        <v>39</v>
      </c>
      <c r="F4431" s="6">
        <v>42736</v>
      </c>
      <c r="G4431">
        <v>0</v>
      </c>
    </row>
    <row r="4432" spans="1:7" x14ac:dyDescent="0.25">
      <c r="A4432" s="5" t="s">
        <v>127</v>
      </c>
      <c r="B4432" s="5" t="s">
        <v>129</v>
      </c>
      <c r="C4432" s="5">
        <v>1200</v>
      </c>
      <c r="D4432" s="5" t="s">
        <v>35</v>
      </c>
      <c r="E4432" s="5" t="s">
        <v>40</v>
      </c>
      <c r="F4432" s="6">
        <v>42370</v>
      </c>
      <c r="G4432">
        <v>2</v>
      </c>
    </row>
    <row r="4433" spans="1:7" x14ac:dyDescent="0.25">
      <c r="A4433" s="5" t="s">
        <v>127</v>
      </c>
      <c r="B4433" s="5" t="s">
        <v>129</v>
      </c>
      <c r="C4433" s="5">
        <v>1200</v>
      </c>
      <c r="D4433" s="5" t="s">
        <v>35</v>
      </c>
      <c r="E4433" s="5" t="s">
        <v>40</v>
      </c>
      <c r="F4433" s="6">
        <v>42736</v>
      </c>
      <c r="G4433">
        <v>4</v>
      </c>
    </row>
    <row r="4434" spans="1:7" x14ac:dyDescent="0.25">
      <c r="A4434" s="5" t="s">
        <v>127</v>
      </c>
      <c r="B4434" s="5" t="s">
        <v>129</v>
      </c>
      <c r="C4434" s="5">
        <v>1200</v>
      </c>
      <c r="D4434" s="5" t="s">
        <v>35</v>
      </c>
      <c r="E4434" s="5" t="s">
        <v>41</v>
      </c>
      <c r="F4434" s="6">
        <v>42370</v>
      </c>
      <c r="G4434">
        <v>0</v>
      </c>
    </row>
    <row r="4435" spans="1:7" x14ac:dyDescent="0.25">
      <c r="A4435" s="5" t="s">
        <v>127</v>
      </c>
      <c r="B4435" s="5" t="s">
        <v>129</v>
      </c>
      <c r="C4435" s="5">
        <v>1200</v>
      </c>
      <c r="D4435" s="5" t="s">
        <v>35</v>
      </c>
      <c r="E4435" s="5" t="s">
        <v>41</v>
      </c>
      <c r="F4435" s="6">
        <v>42736</v>
      </c>
      <c r="G4435">
        <v>8</v>
      </c>
    </row>
    <row r="4436" spans="1:7" x14ac:dyDescent="0.25">
      <c r="A4436" s="5" t="s">
        <v>127</v>
      </c>
      <c r="B4436" s="5" t="s">
        <v>129</v>
      </c>
      <c r="C4436" s="5">
        <v>1200</v>
      </c>
      <c r="D4436" s="5" t="s">
        <v>35</v>
      </c>
      <c r="E4436" s="5" t="s">
        <v>42</v>
      </c>
      <c r="F4436" s="6">
        <v>42370</v>
      </c>
      <c r="G4436">
        <v>0</v>
      </c>
    </row>
    <row r="4437" spans="1:7" x14ac:dyDescent="0.25">
      <c r="A4437" s="5" t="s">
        <v>127</v>
      </c>
      <c r="B4437" s="5" t="s">
        <v>129</v>
      </c>
      <c r="C4437" s="5">
        <v>1200</v>
      </c>
      <c r="D4437" s="5" t="s">
        <v>35</v>
      </c>
      <c r="E4437" s="5" t="s">
        <v>42</v>
      </c>
      <c r="F4437" s="6">
        <v>42736</v>
      </c>
      <c r="G4437">
        <v>0</v>
      </c>
    </row>
    <row r="4438" spans="1:7" x14ac:dyDescent="0.25">
      <c r="A4438" s="5" t="s">
        <v>127</v>
      </c>
      <c r="B4438" s="5" t="s">
        <v>129</v>
      </c>
      <c r="C4438" s="5">
        <v>1200</v>
      </c>
      <c r="D4438" s="5" t="s">
        <v>35</v>
      </c>
      <c r="E4438" s="5" t="s">
        <v>43</v>
      </c>
      <c r="F4438" s="6">
        <v>42370</v>
      </c>
      <c r="G4438">
        <v>0</v>
      </c>
    </row>
    <row r="4439" spans="1:7" x14ac:dyDescent="0.25">
      <c r="A4439" s="5" t="s">
        <v>127</v>
      </c>
      <c r="B4439" s="5" t="s">
        <v>129</v>
      </c>
      <c r="C4439" s="5">
        <v>1200</v>
      </c>
      <c r="D4439" s="5" t="s">
        <v>35</v>
      </c>
      <c r="E4439" s="5" t="s">
        <v>43</v>
      </c>
      <c r="F4439" s="6">
        <v>42736</v>
      </c>
      <c r="G4439">
        <v>0</v>
      </c>
    </row>
    <row r="4440" spans="1:7" x14ac:dyDescent="0.25">
      <c r="A4440" s="5" t="s">
        <v>127</v>
      </c>
      <c r="B4440" s="5" t="s">
        <v>129</v>
      </c>
      <c r="C4440" s="5">
        <v>1200</v>
      </c>
      <c r="D4440" s="5" t="s">
        <v>44</v>
      </c>
      <c r="E4440" s="5" t="s">
        <v>36</v>
      </c>
      <c r="F4440" s="6">
        <v>42370</v>
      </c>
      <c r="G4440">
        <v>0</v>
      </c>
    </row>
    <row r="4441" spans="1:7" x14ac:dyDescent="0.25">
      <c r="A4441" s="5" t="s">
        <v>127</v>
      </c>
      <c r="B4441" s="5" t="s">
        <v>129</v>
      </c>
      <c r="C4441" s="5">
        <v>1200</v>
      </c>
      <c r="D4441" s="5" t="s">
        <v>44</v>
      </c>
      <c r="E4441" s="5" t="s">
        <v>36</v>
      </c>
      <c r="F4441" s="6">
        <v>42736</v>
      </c>
      <c r="G4441">
        <v>0</v>
      </c>
    </row>
    <row r="4442" spans="1:7" x14ac:dyDescent="0.25">
      <c r="A4442" s="5" t="s">
        <v>127</v>
      </c>
      <c r="B4442" s="5" t="s">
        <v>129</v>
      </c>
      <c r="C4442" s="5">
        <v>1200</v>
      </c>
      <c r="D4442" s="5" t="s">
        <v>44</v>
      </c>
      <c r="E4442" s="5" t="s">
        <v>37</v>
      </c>
      <c r="F4442" s="6">
        <v>42370</v>
      </c>
      <c r="G4442">
        <v>5</v>
      </c>
    </row>
    <row r="4443" spans="1:7" x14ac:dyDescent="0.25">
      <c r="A4443" s="5" t="s">
        <v>127</v>
      </c>
      <c r="B4443" s="5" t="s">
        <v>129</v>
      </c>
      <c r="C4443" s="5">
        <v>1200</v>
      </c>
      <c r="D4443" s="5" t="s">
        <v>44</v>
      </c>
      <c r="E4443" s="5" t="s">
        <v>37</v>
      </c>
      <c r="F4443" s="6">
        <v>42736</v>
      </c>
      <c r="G4443">
        <v>5</v>
      </c>
    </row>
    <row r="4444" spans="1:7" x14ac:dyDescent="0.25">
      <c r="A4444" s="5" t="s">
        <v>127</v>
      </c>
      <c r="B4444" s="5" t="s">
        <v>129</v>
      </c>
      <c r="C4444" s="5">
        <v>1200</v>
      </c>
      <c r="D4444" s="5" t="s">
        <v>44</v>
      </c>
      <c r="E4444" s="5" t="s">
        <v>38</v>
      </c>
      <c r="F4444" s="6">
        <v>42370</v>
      </c>
      <c r="G4444">
        <v>0</v>
      </c>
    </row>
    <row r="4445" spans="1:7" x14ac:dyDescent="0.25">
      <c r="A4445" s="5" t="s">
        <v>127</v>
      </c>
      <c r="B4445" s="5" t="s">
        <v>129</v>
      </c>
      <c r="C4445" s="5">
        <v>1200</v>
      </c>
      <c r="D4445" s="5" t="s">
        <v>44</v>
      </c>
      <c r="E4445" s="5" t="s">
        <v>38</v>
      </c>
      <c r="F4445" s="6">
        <v>42736</v>
      </c>
      <c r="G4445">
        <v>0</v>
      </c>
    </row>
    <row r="4446" spans="1:7" x14ac:dyDescent="0.25">
      <c r="A4446" s="5" t="s">
        <v>127</v>
      </c>
      <c r="B4446" s="5" t="s">
        <v>129</v>
      </c>
      <c r="C4446" s="5">
        <v>1200</v>
      </c>
      <c r="D4446" s="5" t="s">
        <v>44</v>
      </c>
      <c r="E4446" s="5" t="s">
        <v>39</v>
      </c>
      <c r="F4446" s="6">
        <v>42370</v>
      </c>
      <c r="G4446">
        <v>0</v>
      </c>
    </row>
    <row r="4447" spans="1:7" x14ac:dyDescent="0.25">
      <c r="A4447" s="5" t="s">
        <v>127</v>
      </c>
      <c r="B4447" s="5" t="s">
        <v>129</v>
      </c>
      <c r="C4447" s="5">
        <v>1200</v>
      </c>
      <c r="D4447" s="5" t="s">
        <v>44</v>
      </c>
      <c r="E4447" s="5" t="s">
        <v>39</v>
      </c>
      <c r="F4447" s="6">
        <v>42736</v>
      </c>
      <c r="G4447">
        <v>0</v>
      </c>
    </row>
    <row r="4448" spans="1:7" x14ac:dyDescent="0.25">
      <c r="A4448" s="5" t="s">
        <v>127</v>
      </c>
      <c r="B4448" s="5" t="s">
        <v>129</v>
      </c>
      <c r="C4448" s="5">
        <v>1200</v>
      </c>
      <c r="D4448" s="5" t="s">
        <v>44</v>
      </c>
      <c r="E4448" s="5" t="s">
        <v>40</v>
      </c>
      <c r="F4448" s="6">
        <v>42370</v>
      </c>
      <c r="G4448">
        <v>2</v>
      </c>
    </row>
    <row r="4449" spans="1:7" x14ac:dyDescent="0.25">
      <c r="A4449" s="5" t="s">
        <v>127</v>
      </c>
      <c r="B4449" s="5" t="s">
        <v>129</v>
      </c>
      <c r="C4449" s="5">
        <v>1200</v>
      </c>
      <c r="D4449" s="5" t="s">
        <v>44</v>
      </c>
      <c r="E4449" s="5" t="s">
        <v>40</v>
      </c>
      <c r="F4449" s="6">
        <v>42736</v>
      </c>
      <c r="G4449">
        <v>2</v>
      </c>
    </row>
    <row r="4450" spans="1:7" x14ac:dyDescent="0.25">
      <c r="A4450" s="5" t="s">
        <v>127</v>
      </c>
      <c r="B4450" s="5" t="s">
        <v>129</v>
      </c>
      <c r="C4450" s="5">
        <v>1200</v>
      </c>
      <c r="D4450" s="5" t="s">
        <v>44</v>
      </c>
      <c r="E4450" s="5" t="s">
        <v>41</v>
      </c>
      <c r="F4450" s="6">
        <v>42370</v>
      </c>
      <c r="G4450">
        <v>1</v>
      </c>
    </row>
    <row r="4451" spans="1:7" x14ac:dyDescent="0.25">
      <c r="A4451" s="5" t="s">
        <v>127</v>
      </c>
      <c r="B4451" s="5" t="s">
        <v>129</v>
      </c>
      <c r="C4451" s="5">
        <v>1200</v>
      </c>
      <c r="D4451" s="5" t="s">
        <v>44</v>
      </c>
      <c r="E4451" s="5" t="s">
        <v>41</v>
      </c>
      <c r="F4451" s="6">
        <v>42736</v>
      </c>
      <c r="G4451">
        <v>1</v>
      </c>
    </row>
    <row r="4452" spans="1:7" x14ac:dyDescent="0.25">
      <c r="A4452" s="5" t="s">
        <v>127</v>
      </c>
      <c r="B4452" s="5" t="s">
        <v>129</v>
      </c>
      <c r="C4452" s="5">
        <v>1200</v>
      </c>
      <c r="D4452" s="5" t="s">
        <v>44</v>
      </c>
      <c r="E4452" s="5" t="s">
        <v>42</v>
      </c>
      <c r="F4452" s="6">
        <v>42370</v>
      </c>
      <c r="G4452">
        <v>0</v>
      </c>
    </row>
    <row r="4453" spans="1:7" x14ac:dyDescent="0.25">
      <c r="A4453" s="5" t="s">
        <v>127</v>
      </c>
      <c r="B4453" s="5" t="s">
        <v>129</v>
      </c>
      <c r="C4453" s="5">
        <v>1200</v>
      </c>
      <c r="D4453" s="5" t="s">
        <v>44</v>
      </c>
      <c r="E4453" s="5" t="s">
        <v>42</v>
      </c>
      <c r="F4453" s="6">
        <v>42736</v>
      </c>
      <c r="G4453">
        <v>0</v>
      </c>
    </row>
    <row r="4454" spans="1:7" x14ac:dyDescent="0.25">
      <c r="A4454" s="5" t="s">
        <v>127</v>
      </c>
      <c r="B4454" s="5" t="s">
        <v>129</v>
      </c>
      <c r="C4454" s="5">
        <v>1200</v>
      </c>
      <c r="D4454" s="5" t="s">
        <v>44</v>
      </c>
      <c r="E4454" s="5" t="s">
        <v>43</v>
      </c>
      <c r="F4454" s="6">
        <v>42370</v>
      </c>
      <c r="G4454">
        <v>0</v>
      </c>
    </row>
    <row r="4455" spans="1:7" x14ac:dyDescent="0.25">
      <c r="A4455" s="5" t="s">
        <v>127</v>
      </c>
      <c r="B4455" s="5" t="s">
        <v>129</v>
      </c>
      <c r="C4455" s="5">
        <v>1200</v>
      </c>
      <c r="D4455" s="5" t="s">
        <v>44</v>
      </c>
      <c r="E4455" s="5" t="s">
        <v>43</v>
      </c>
      <c r="F4455" s="6">
        <v>42736</v>
      </c>
      <c r="G4455">
        <v>0</v>
      </c>
    </row>
    <row r="4456" spans="1:7" x14ac:dyDescent="0.25">
      <c r="A4456" s="5" t="s">
        <v>127</v>
      </c>
      <c r="B4456" s="5" t="s">
        <v>129</v>
      </c>
      <c r="C4456" s="5">
        <v>1200</v>
      </c>
      <c r="D4456" s="5" t="s">
        <v>45</v>
      </c>
      <c r="E4456" s="5" t="s">
        <v>46</v>
      </c>
      <c r="F4456" s="6">
        <v>42370</v>
      </c>
      <c r="G4456">
        <v>0</v>
      </c>
    </row>
    <row r="4457" spans="1:7" x14ac:dyDescent="0.25">
      <c r="A4457" s="5" t="s">
        <v>127</v>
      </c>
      <c r="B4457" s="5" t="s">
        <v>129</v>
      </c>
      <c r="C4457" s="5">
        <v>1200</v>
      </c>
      <c r="D4457" s="5" t="s">
        <v>45</v>
      </c>
      <c r="E4457" s="5" t="s">
        <v>46</v>
      </c>
      <c r="F4457" s="6">
        <v>42736</v>
      </c>
      <c r="G4457">
        <v>0</v>
      </c>
    </row>
    <row r="4458" spans="1:7" x14ac:dyDescent="0.25">
      <c r="A4458" s="5" t="s">
        <v>127</v>
      </c>
      <c r="B4458" s="5" t="s">
        <v>129</v>
      </c>
      <c r="C4458" s="5">
        <v>1200</v>
      </c>
      <c r="D4458" s="5" t="s">
        <v>45</v>
      </c>
      <c r="E4458" s="5" t="s">
        <v>47</v>
      </c>
      <c r="F4458" s="6">
        <v>42370</v>
      </c>
      <c r="G4458">
        <v>6</v>
      </c>
    </row>
    <row r="4459" spans="1:7" x14ac:dyDescent="0.25">
      <c r="A4459" s="5" t="s">
        <v>127</v>
      </c>
      <c r="B4459" s="5" t="s">
        <v>129</v>
      </c>
      <c r="C4459" s="5">
        <v>1200</v>
      </c>
      <c r="D4459" s="5" t="s">
        <v>45</v>
      </c>
      <c r="E4459" s="5" t="s">
        <v>47</v>
      </c>
      <c r="F4459" s="6">
        <v>42736</v>
      </c>
      <c r="G4459">
        <v>15</v>
      </c>
    </row>
    <row r="4460" spans="1:7" x14ac:dyDescent="0.25">
      <c r="A4460" s="5" t="s">
        <v>127</v>
      </c>
      <c r="B4460" s="5" t="s">
        <v>129</v>
      </c>
      <c r="C4460" s="5">
        <v>1200</v>
      </c>
      <c r="D4460" s="5" t="s">
        <v>45</v>
      </c>
      <c r="E4460" s="5" t="s">
        <v>48</v>
      </c>
      <c r="F4460" s="6">
        <v>42370</v>
      </c>
      <c r="G4460">
        <v>154</v>
      </c>
    </row>
    <row r="4461" spans="1:7" x14ac:dyDescent="0.25">
      <c r="A4461" s="5" t="s">
        <v>127</v>
      </c>
      <c r="B4461" s="5" t="s">
        <v>129</v>
      </c>
      <c r="C4461" s="5">
        <v>1200</v>
      </c>
      <c r="D4461" s="5" t="s">
        <v>45</v>
      </c>
      <c r="E4461" s="5" t="s">
        <v>48</v>
      </c>
      <c r="F4461" s="6">
        <v>42736</v>
      </c>
      <c r="G4461">
        <v>215</v>
      </c>
    </row>
    <row r="4462" spans="1:7" x14ac:dyDescent="0.25">
      <c r="A4462" s="5" t="s">
        <v>127</v>
      </c>
      <c r="B4462" s="5" t="s">
        <v>129</v>
      </c>
      <c r="C4462" s="5">
        <v>1200</v>
      </c>
      <c r="D4462" s="5" t="s">
        <v>45</v>
      </c>
      <c r="E4462" s="5" t="s">
        <v>49</v>
      </c>
      <c r="F4462" s="6">
        <v>42370</v>
      </c>
      <c r="G4462">
        <v>60</v>
      </c>
    </row>
    <row r="4463" spans="1:7" x14ac:dyDescent="0.25">
      <c r="A4463" s="5" t="s">
        <v>127</v>
      </c>
      <c r="B4463" s="5" t="s">
        <v>129</v>
      </c>
      <c r="C4463" s="5">
        <v>1200</v>
      </c>
      <c r="D4463" s="5" t="s">
        <v>45</v>
      </c>
      <c r="E4463" s="5" t="s">
        <v>49</v>
      </c>
      <c r="F4463" s="6">
        <v>42736</v>
      </c>
      <c r="G4463">
        <v>77</v>
      </c>
    </row>
    <row r="4464" spans="1:7" x14ac:dyDescent="0.25">
      <c r="A4464" s="5" t="s">
        <v>127</v>
      </c>
      <c r="B4464" s="5" t="s">
        <v>129</v>
      </c>
      <c r="C4464" s="5">
        <v>1200</v>
      </c>
      <c r="D4464" s="5" t="s">
        <v>45</v>
      </c>
      <c r="E4464" s="5" t="s">
        <v>50</v>
      </c>
      <c r="F4464" s="6">
        <v>42370</v>
      </c>
      <c r="G4464">
        <v>1</v>
      </c>
    </row>
    <row r="4465" spans="1:7" x14ac:dyDescent="0.25">
      <c r="A4465" s="5" t="s">
        <v>127</v>
      </c>
      <c r="B4465" s="5" t="s">
        <v>129</v>
      </c>
      <c r="C4465" s="5">
        <v>1200</v>
      </c>
      <c r="D4465" s="5" t="s">
        <v>45</v>
      </c>
      <c r="E4465" s="5" t="s">
        <v>50</v>
      </c>
      <c r="F4465" s="6">
        <v>42736</v>
      </c>
      <c r="G4465">
        <v>1</v>
      </c>
    </row>
    <row r="4466" spans="1:7" x14ac:dyDescent="0.25">
      <c r="A4466" s="5" t="s">
        <v>127</v>
      </c>
      <c r="B4466" s="5" t="s">
        <v>129</v>
      </c>
      <c r="C4466" s="5">
        <v>1200</v>
      </c>
      <c r="D4466" s="5" t="s">
        <v>45</v>
      </c>
      <c r="E4466" s="5" t="s">
        <v>51</v>
      </c>
      <c r="F4466" s="6">
        <v>42370</v>
      </c>
      <c r="G4466">
        <v>0</v>
      </c>
    </row>
    <row r="4467" spans="1:7" x14ac:dyDescent="0.25">
      <c r="A4467" s="5" t="s">
        <v>127</v>
      </c>
      <c r="B4467" s="5" t="s">
        <v>129</v>
      </c>
      <c r="C4467" s="5">
        <v>1200</v>
      </c>
      <c r="D4467" s="5" t="s">
        <v>45</v>
      </c>
      <c r="E4467" s="5" t="s">
        <v>51</v>
      </c>
      <c r="F4467" s="6">
        <v>42736</v>
      </c>
      <c r="G4467">
        <v>0</v>
      </c>
    </row>
    <row r="4468" spans="1:7" x14ac:dyDescent="0.25">
      <c r="A4468" s="5" t="s">
        <v>127</v>
      </c>
      <c r="B4468" s="5" t="s">
        <v>129</v>
      </c>
      <c r="C4468" s="5">
        <v>1200</v>
      </c>
      <c r="D4468" s="5" t="s">
        <v>45</v>
      </c>
      <c r="E4468" s="5" t="s">
        <v>52</v>
      </c>
      <c r="F4468" s="6">
        <v>42370</v>
      </c>
      <c r="G4468">
        <v>1</v>
      </c>
    </row>
    <row r="4469" spans="1:7" x14ac:dyDescent="0.25">
      <c r="A4469" s="5" t="s">
        <v>127</v>
      </c>
      <c r="B4469" s="5" t="s">
        <v>129</v>
      </c>
      <c r="C4469" s="5">
        <v>1200</v>
      </c>
      <c r="D4469" s="5" t="s">
        <v>45</v>
      </c>
      <c r="E4469" s="5" t="s">
        <v>52</v>
      </c>
      <c r="F4469" s="6">
        <v>42736</v>
      </c>
      <c r="G4469">
        <v>0</v>
      </c>
    </row>
    <row r="4470" spans="1:7" x14ac:dyDescent="0.25">
      <c r="A4470" s="5" t="s">
        <v>127</v>
      </c>
      <c r="B4470" s="5" t="s">
        <v>129</v>
      </c>
      <c r="C4470" s="5">
        <v>1200</v>
      </c>
      <c r="D4470" s="5" t="s">
        <v>45</v>
      </c>
      <c r="E4470" s="5" t="s">
        <v>53</v>
      </c>
      <c r="F4470" s="6">
        <v>42370</v>
      </c>
      <c r="G4470">
        <v>34</v>
      </c>
    </row>
    <row r="4471" spans="1:7" x14ac:dyDescent="0.25">
      <c r="A4471" s="5" t="s">
        <v>127</v>
      </c>
      <c r="B4471" s="5" t="s">
        <v>129</v>
      </c>
      <c r="C4471" s="5">
        <v>1200</v>
      </c>
      <c r="D4471" s="5" t="s">
        <v>45</v>
      </c>
      <c r="E4471" s="5" t="s">
        <v>53</v>
      </c>
      <c r="F4471" s="6">
        <v>42736</v>
      </c>
      <c r="G4471">
        <v>111</v>
      </c>
    </row>
    <row r="4472" spans="1:7" x14ac:dyDescent="0.25">
      <c r="A4472" s="5" t="s">
        <v>127</v>
      </c>
      <c r="B4472" s="5" t="s">
        <v>129</v>
      </c>
      <c r="C4472" s="5">
        <v>1200</v>
      </c>
      <c r="D4472" s="5" t="s">
        <v>45</v>
      </c>
      <c r="E4472" s="5" t="s">
        <v>54</v>
      </c>
      <c r="F4472" s="6">
        <v>42370</v>
      </c>
      <c r="G4472">
        <v>1</v>
      </c>
    </row>
    <row r="4473" spans="1:7" x14ac:dyDescent="0.25">
      <c r="A4473" s="5" t="s">
        <v>127</v>
      </c>
      <c r="B4473" s="5" t="s">
        <v>129</v>
      </c>
      <c r="C4473" s="5">
        <v>1200</v>
      </c>
      <c r="D4473" s="5" t="s">
        <v>45</v>
      </c>
      <c r="E4473" s="5" t="s">
        <v>54</v>
      </c>
      <c r="F4473" s="6">
        <v>42736</v>
      </c>
      <c r="G4473">
        <v>0</v>
      </c>
    </row>
    <row r="4474" spans="1:7" x14ac:dyDescent="0.25">
      <c r="A4474" s="5" t="s">
        <v>127</v>
      </c>
      <c r="B4474" s="5" t="s">
        <v>129</v>
      </c>
      <c r="C4474" s="5">
        <v>1200</v>
      </c>
      <c r="D4474" s="5" t="s">
        <v>45</v>
      </c>
      <c r="E4474" s="5" t="s">
        <v>55</v>
      </c>
      <c r="F4474" s="6">
        <v>42370</v>
      </c>
      <c r="G4474">
        <v>7</v>
      </c>
    </row>
    <row r="4475" spans="1:7" x14ac:dyDescent="0.25">
      <c r="A4475" s="5" t="s">
        <v>127</v>
      </c>
      <c r="B4475" s="5" t="s">
        <v>129</v>
      </c>
      <c r="C4475" s="5">
        <v>1200</v>
      </c>
      <c r="D4475" s="5" t="s">
        <v>45</v>
      </c>
      <c r="E4475" s="5" t="s">
        <v>55</v>
      </c>
      <c r="F4475" s="6">
        <v>42736</v>
      </c>
      <c r="G4475">
        <v>0</v>
      </c>
    </row>
    <row r="4476" spans="1:7" x14ac:dyDescent="0.25">
      <c r="A4476" s="5" t="s">
        <v>127</v>
      </c>
      <c r="B4476" s="5" t="s">
        <v>129</v>
      </c>
      <c r="C4476" s="5">
        <v>1200</v>
      </c>
      <c r="D4476" s="5" t="s">
        <v>45</v>
      </c>
      <c r="E4476" s="5" t="s">
        <v>56</v>
      </c>
      <c r="F4476" s="6">
        <v>42370</v>
      </c>
      <c r="G4476">
        <v>3</v>
      </c>
    </row>
    <row r="4477" spans="1:7" x14ac:dyDescent="0.25">
      <c r="A4477" s="5" t="s">
        <v>127</v>
      </c>
      <c r="B4477" s="5" t="s">
        <v>129</v>
      </c>
      <c r="C4477" s="5">
        <v>1200</v>
      </c>
      <c r="D4477" s="5" t="s">
        <v>45</v>
      </c>
      <c r="E4477" s="5" t="s">
        <v>56</v>
      </c>
      <c r="F4477" s="6">
        <v>42736</v>
      </c>
      <c r="G4477">
        <v>4</v>
      </c>
    </row>
    <row r="4478" spans="1:7" x14ac:dyDescent="0.25">
      <c r="A4478" s="5" t="s">
        <v>127</v>
      </c>
      <c r="B4478" s="5" t="s">
        <v>129</v>
      </c>
      <c r="C4478" s="5">
        <v>1200</v>
      </c>
      <c r="D4478" s="5" t="s">
        <v>45</v>
      </c>
      <c r="E4478" s="5" t="s">
        <v>57</v>
      </c>
      <c r="F4478" s="6">
        <v>42370</v>
      </c>
      <c r="G4478">
        <v>7</v>
      </c>
    </row>
    <row r="4479" spans="1:7" x14ac:dyDescent="0.25">
      <c r="A4479" s="5" t="s">
        <v>127</v>
      </c>
      <c r="B4479" s="5" t="s">
        <v>129</v>
      </c>
      <c r="C4479" s="5">
        <v>1200</v>
      </c>
      <c r="D4479" s="5" t="s">
        <v>45</v>
      </c>
      <c r="E4479" s="5" t="s">
        <v>57</v>
      </c>
      <c r="F4479" s="6">
        <v>42736</v>
      </c>
      <c r="G4479">
        <v>9</v>
      </c>
    </row>
    <row r="4480" spans="1:7" x14ac:dyDescent="0.25">
      <c r="A4480" s="5" t="s">
        <v>127</v>
      </c>
      <c r="B4480" s="5" t="s">
        <v>129</v>
      </c>
      <c r="C4480" s="5">
        <v>1200</v>
      </c>
      <c r="D4480" s="5" t="s">
        <v>45</v>
      </c>
      <c r="E4480" s="5" t="s">
        <v>58</v>
      </c>
      <c r="F4480" s="6">
        <v>42370</v>
      </c>
      <c r="G4480">
        <v>0</v>
      </c>
    </row>
    <row r="4481" spans="1:7" x14ac:dyDescent="0.25">
      <c r="A4481" s="5" t="s">
        <v>127</v>
      </c>
      <c r="B4481" s="5" t="s">
        <v>129</v>
      </c>
      <c r="C4481" s="5">
        <v>1200</v>
      </c>
      <c r="D4481" s="5" t="s">
        <v>45</v>
      </c>
      <c r="E4481" s="5" t="s">
        <v>58</v>
      </c>
      <c r="F4481" s="6">
        <v>42736</v>
      </c>
      <c r="G4481">
        <v>0</v>
      </c>
    </row>
    <row r="4482" spans="1:7" x14ac:dyDescent="0.25">
      <c r="A4482" s="5" t="s">
        <v>127</v>
      </c>
      <c r="B4482" s="5" t="s">
        <v>129</v>
      </c>
      <c r="C4482" s="5">
        <v>1200</v>
      </c>
      <c r="D4482" s="5" t="s">
        <v>45</v>
      </c>
      <c r="E4482" s="5" t="s">
        <v>59</v>
      </c>
      <c r="F4482" s="6">
        <v>42370</v>
      </c>
      <c r="G4482">
        <v>1</v>
      </c>
    </row>
    <row r="4483" spans="1:7" x14ac:dyDescent="0.25">
      <c r="A4483" s="5" t="s">
        <v>127</v>
      </c>
      <c r="B4483" s="5" t="s">
        <v>129</v>
      </c>
      <c r="C4483" s="5">
        <v>1200</v>
      </c>
      <c r="D4483" s="5" t="s">
        <v>45</v>
      </c>
      <c r="E4483" s="5" t="s">
        <v>59</v>
      </c>
      <c r="F4483" s="6">
        <v>42736</v>
      </c>
      <c r="G4483">
        <v>5</v>
      </c>
    </row>
    <row r="4484" spans="1:7" x14ac:dyDescent="0.25">
      <c r="A4484" s="5" t="s">
        <v>127</v>
      </c>
      <c r="B4484" s="5" t="s">
        <v>129</v>
      </c>
      <c r="C4484" s="5">
        <v>1200</v>
      </c>
      <c r="D4484" s="5" t="s">
        <v>45</v>
      </c>
      <c r="E4484" s="5" t="s">
        <v>60</v>
      </c>
      <c r="F4484" s="6">
        <v>42370</v>
      </c>
      <c r="G4484">
        <v>9</v>
      </c>
    </row>
    <row r="4485" spans="1:7" x14ac:dyDescent="0.25">
      <c r="A4485" s="5" t="s">
        <v>127</v>
      </c>
      <c r="B4485" s="5" t="s">
        <v>129</v>
      </c>
      <c r="C4485" s="5">
        <v>1200</v>
      </c>
      <c r="D4485" s="5" t="s">
        <v>45</v>
      </c>
      <c r="E4485" s="5" t="s">
        <v>60</v>
      </c>
      <c r="F4485" s="6">
        <v>42736</v>
      </c>
      <c r="G4485">
        <v>1</v>
      </c>
    </row>
    <row r="4486" spans="1:7" x14ac:dyDescent="0.25">
      <c r="A4486" s="5" t="s">
        <v>127</v>
      </c>
      <c r="B4486" s="5" t="s">
        <v>129</v>
      </c>
      <c r="C4486" s="5">
        <v>1200</v>
      </c>
      <c r="D4486" s="5" t="s">
        <v>45</v>
      </c>
      <c r="E4486" s="5" t="s">
        <v>61</v>
      </c>
      <c r="F4486" s="6">
        <v>42370</v>
      </c>
      <c r="G4486">
        <v>1</v>
      </c>
    </row>
    <row r="4487" spans="1:7" x14ac:dyDescent="0.25">
      <c r="A4487" s="5" t="s">
        <v>127</v>
      </c>
      <c r="B4487" s="5" t="s">
        <v>129</v>
      </c>
      <c r="C4487" s="5">
        <v>1200</v>
      </c>
      <c r="D4487" s="5" t="s">
        <v>45</v>
      </c>
      <c r="E4487" s="5" t="s">
        <v>61</v>
      </c>
      <c r="F4487" s="6">
        <v>42736</v>
      </c>
      <c r="G4487">
        <v>5</v>
      </c>
    </row>
    <row r="4488" spans="1:7" x14ac:dyDescent="0.25">
      <c r="A4488" s="5" t="s">
        <v>127</v>
      </c>
      <c r="B4488" s="5" t="s">
        <v>129</v>
      </c>
      <c r="C4488" s="5">
        <v>1200</v>
      </c>
      <c r="D4488" s="5" t="s">
        <v>62</v>
      </c>
      <c r="E4488" s="5" t="s">
        <v>63</v>
      </c>
      <c r="F4488" s="6">
        <v>42370</v>
      </c>
      <c r="G4488">
        <v>0</v>
      </c>
    </row>
    <row r="4489" spans="1:7" x14ac:dyDescent="0.25">
      <c r="A4489" s="5" t="s">
        <v>127</v>
      </c>
      <c r="B4489" s="5" t="s">
        <v>129</v>
      </c>
      <c r="C4489" s="5">
        <v>1200</v>
      </c>
      <c r="D4489" s="5" t="s">
        <v>62</v>
      </c>
      <c r="E4489" s="5" t="s">
        <v>63</v>
      </c>
      <c r="F4489" s="6">
        <v>42736</v>
      </c>
      <c r="G4489">
        <v>0</v>
      </c>
    </row>
    <row r="4490" spans="1:7" x14ac:dyDescent="0.25">
      <c r="A4490" s="5" t="s">
        <v>127</v>
      </c>
      <c r="B4490" s="5" t="s">
        <v>129</v>
      </c>
      <c r="C4490" s="5">
        <v>1200</v>
      </c>
      <c r="D4490" s="5" t="s">
        <v>62</v>
      </c>
      <c r="E4490" s="5" t="s">
        <v>64</v>
      </c>
      <c r="F4490" s="6">
        <v>42370</v>
      </c>
      <c r="G4490">
        <v>0</v>
      </c>
    </row>
    <row r="4491" spans="1:7" x14ac:dyDescent="0.25">
      <c r="A4491" s="5" t="s">
        <v>127</v>
      </c>
      <c r="B4491" s="5" t="s">
        <v>129</v>
      </c>
      <c r="C4491" s="5">
        <v>1200</v>
      </c>
      <c r="D4491" s="5" t="s">
        <v>62</v>
      </c>
      <c r="E4491" s="5" t="s">
        <v>64</v>
      </c>
      <c r="F4491" s="6">
        <v>42736</v>
      </c>
      <c r="G4491">
        <v>0</v>
      </c>
    </row>
    <row r="4492" spans="1:7" x14ac:dyDescent="0.25">
      <c r="A4492" s="5" t="s">
        <v>127</v>
      </c>
      <c r="B4492" s="5" t="s">
        <v>129</v>
      </c>
      <c r="C4492" s="5">
        <v>1200</v>
      </c>
      <c r="D4492" s="5" t="s">
        <v>62</v>
      </c>
      <c r="E4492" s="5" t="s">
        <v>9</v>
      </c>
      <c r="F4492" s="6">
        <v>42370</v>
      </c>
      <c r="G4492">
        <v>0</v>
      </c>
    </row>
    <row r="4493" spans="1:7" x14ac:dyDescent="0.25">
      <c r="A4493" s="5" t="s">
        <v>127</v>
      </c>
      <c r="B4493" s="5" t="s">
        <v>129</v>
      </c>
      <c r="C4493" s="5">
        <v>1200</v>
      </c>
      <c r="D4493" s="5" t="s">
        <v>62</v>
      </c>
      <c r="E4493" s="5" t="s">
        <v>9</v>
      </c>
      <c r="F4493" s="6">
        <v>42736</v>
      </c>
      <c r="G4493">
        <v>0</v>
      </c>
    </row>
    <row r="4494" spans="1:7" x14ac:dyDescent="0.25">
      <c r="A4494" s="5" t="s">
        <v>127</v>
      </c>
      <c r="B4494" s="5" t="s">
        <v>129</v>
      </c>
      <c r="C4494" s="5">
        <v>1200</v>
      </c>
      <c r="D4494" s="5" t="s">
        <v>62</v>
      </c>
      <c r="E4494" s="5" t="s">
        <v>65</v>
      </c>
      <c r="F4494" s="6">
        <v>42370</v>
      </c>
      <c r="G4494">
        <v>0</v>
      </c>
    </row>
    <row r="4495" spans="1:7" x14ac:dyDescent="0.25">
      <c r="A4495" s="5" t="s">
        <v>127</v>
      </c>
      <c r="B4495" s="5" t="s">
        <v>129</v>
      </c>
      <c r="C4495" s="5">
        <v>1200</v>
      </c>
      <c r="D4495" s="5" t="s">
        <v>62</v>
      </c>
      <c r="E4495" s="5" t="s">
        <v>65</v>
      </c>
      <c r="F4495" s="6">
        <v>42736</v>
      </c>
      <c r="G4495">
        <v>0</v>
      </c>
    </row>
    <row r="4496" spans="1:7" x14ac:dyDescent="0.25">
      <c r="A4496" s="5" t="s">
        <v>127</v>
      </c>
      <c r="B4496" s="5" t="s">
        <v>129</v>
      </c>
      <c r="C4496" s="5">
        <v>1200</v>
      </c>
      <c r="D4496" s="5" t="s">
        <v>62</v>
      </c>
      <c r="E4496" s="5" t="s">
        <v>66</v>
      </c>
      <c r="F4496" s="6">
        <v>42370</v>
      </c>
      <c r="G4496">
        <v>0</v>
      </c>
    </row>
    <row r="4497" spans="1:7" x14ac:dyDescent="0.25">
      <c r="A4497" s="5" t="s">
        <v>127</v>
      </c>
      <c r="B4497" s="5" t="s">
        <v>129</v>
      </c>
      <c r="C4497" s="5">
        <v>1200</v>
      </c>
      <c r="D4497" s="5" t="s">
        <v>62</v>
      </c>
      <c r="E4497" s="5" t="s">
        <v>66</v>
      </c>
      <c r="F4497" s="6">
        <v>42736</v>
      </c>
      <c r="G4497">
        <v>0</v>
      </c>
    </row>
    <row r="4498" spans="1:7" x14ac:dyDescent="0.25">
      <c r="A4498" s="5" t="s">
        <v>127</v>
      </c>
      <c r="B4498" s="5" t="s">
        <v>129</v>
      </c>
      <c r="C4498" s="5">
        <v>1200</v>
      </c>
      <c r="D4498" s="5" t="s">
        <v>62</v>
      </c>
      <c r="E4498" s="5" t="s">
        <v>67</v>
      </c>
      <c r="F4498" s="6">
        <v>42370</v>
      </c>
      <c r="G4498">
        <v>0</v>
      </c>
    </row>
    <row r="4499" spans="1:7" x14ac:dyDescent="0.25">
      <c r="A4499" s="5" t="s">
        <v>127</v>
      </c>
      <c r="B4499" s="5" t="s">
        <v>129</v>
      </c>
      <c r="C4499" s="5">
        <v>1200</v>
      </c>
      <c r="D4499" s="5" t="s">
        <v>62</v>
      </c>
      <c r="E4499" s="5" t="s">
        <v>67</v>
      </c>
      <c r="F4499" s="6">
        <v>42736</v>
      </c>
      <c r="G4499">
        <v>0</v>
      </c>
    </row>
    <row r="4500" spans="1:7" x14ac:dyDescent="0.25">
      <c r="A4500" s="5" t="s">
        <v>127</v>
      </c>
      <c r="B4500" s="5" t="s">
        <v>129</v>
      </c>
      <c r="C4500" s="5">
        <v>1200</v>
      </c>
      <c r="D4500" s="5" t="s">
        <v>62</v>
      </c>
      <c r="E4500" s="5" t="s">
        <v>68</v>
      </c>
      <c r="F4500" s="6">
        <v>42370</v>
      </c>
      <c r="G4500">
        <v>0</v>
      </c>
    </row>
    <row r="4501" spans="1:7" x14ac:dyDescent="0.25">
      <c r="A4501" s="5" t="s">
        <v>127</v>
      </c>
      <c r="B4501" s="5" t="s">
        <v>129</v>
      </c>
      <c r="C4501" s="5">
        <v>1200</v>
      </c>
      <c r="D4501" s="5" t="s">
        <v>62</v>
      </c>
      <c r="E4501" s="5" t="s">
        <v>68</v>
      </c>
      <c r="F4501" s="6">
        <v>42736</v>
      </c>
      <c r="G4501">
        <v>0</v>
      </c>
    </row>
    <row r="4502" spans="1:7" x14ac:dyDescent="0.25">
      <c r="A4502" s="5" t="s">
        <v>127</v>
      </c>
      <c r="B4502" s="5" t="s">
        <v>129</v>
      </c>
      <c r="C4502" s="5">
        <v>1200</v>
      </c>
      <c r="D4502" s="5" t="s">
        <v>62</v>
      </c>
      <c r="E4502" s="5" t="s">
        <v>69</v>
      </c>
      <c r="F4502" s="6">
        <v>42370</v>
      </c>
      <c r="G4502">
        <v>0</v>
      </c>
    </row>
    <row r="4503" spans="1:7" x14ac:dyDescent="0.25">
      <c r="A4503" s="5" t="s">
        <v>127</v>
      </c>
      <c r="B4503" s="5" t="s">
        <v>129</v>
      </c>
      <c r="C4503" s="5">
        <v>1200</v>
      </c>
      <c r="D4503" s="5" t="s">
        <v>62</v>
      </c>
      <c r="E4503" s="5" t="s">
        <v>69</v>
      </c>
      <c r="F4503" s="6">
        <v>42736</v>
      </c>
      <c r="G4503">
        <v>0</v>
      </c>
    </row>
    <row r="4504" spans="1:7" x14ac:dyDescent="0.25">
      <c r="A4504" s="5" t="s">
        <v>127</v>
      </c>
      <c r="B4504" s="5" t="s">
        <v>129</v>
      </c>
      <c r="C4504" s="5">
        <v>1200</v>
      </c>
      <c r="D4504" s="5" t="s">
        <v>62</v>
      </c>
      <c r="E4504" s="5" t="s">
        <v>70</v>
      </c>
      <c r="F4504" s="6">
        <v>42370</v>
      </c>
      <c r="G4504">
        <v>0</v>
      </c>
    </row>
    <row r="4505" spans="1:7" x14ac:dyDescent="0.25">
      <c r="A4505" s="5" t="s">
        <v>127</v>
      </c>
      <c r="B4505" s="5" t="s">
        <v>129</v>
      </c>
      <c r="C4505" s="5">
        <v>1200</v>
      </c>
      <c r="D4505" s="5" t="s">
        <v>62</v>
      </c>
      <c r="E4505" s="5" t="s">
        <v>70</v>
      </c>
      <c r="F4505" s="6">
        <v>42736</v>
      </c>
      <c r="G4505">
        <v>0</v>
      </c>
    </row>
    <row r="4506" spans="1:7" x14ac:dyDescent="0.25">
      <c r="A4506" s="5" t="s">
        <v>127</v>
      </c>
      <c r="B4506" s="5" t="s">
        <v>129</v>
      </c>
      <c r="C4506" s="5">
        <v>1200</v>
      </c>
      <c r="D4506" s="5" t="s">
        <v>62</v>
      </c>
      <c r="E4506" s="5" t="s">
        <v>71</v>
      </c>
      <c r="F4506" s="6">
        <v>42370</v>
      </c>
      <c r="G4506">
        <v>0</v>
      </c>
    </row>
    <row r="4507" spans="1:7" x14ac:dyDescent="0.25">
      <c r="A4507" s="5" t="s">
        <v>127</v>
      </c>
      <c r="B4507" s="5" t="s">
        <v>129</v>
      </c>
      <c r="C4507" s="5">
        <v>1200</v>
      </c>
      <c r="D4507" s="5" t="s">
        <v>62</v>
      </c>
      <c r="E4507" s="5" t="s">
        <v>71</v>
      </c>
      <c r="F4507" s="6">
        <v>42736</v>
      </c>
      <c r="G4507">
        <v>0</v>
      </c>
    </row>
    <row r="4508" spans="1:7" x14ac:dyDescent="0.25">
      <c r="A4508" s="5" t="s">
        <v>127</v>
      </c>
      <c r="B4508" s="5" t="s">
        <v>129</v>
      </c>
      <c r="C4508" s="5">
        <v>1200</v>
      </c>
      <c r="D4508" s="5" t="s">
        <v>72</v>
      </c>
      <c r="E4508" s="5" t="s">
        <v>73</v>
      </c>
      <c r="F4508" s="6">
        <v>42370</v>
      </c>
      <c r="G4508">
        <v>0</v>
      </c>
    </row>
    <row r="4509" spans="1:7" x14ac:dyDescent="0.25">
      <c r="A4509" s="5" t="s">
        <v>127</v>
      </c>
      <c r="B4509" s="5" t="s">
        <v>129</v>
      </c>
      <c r="C4509" s="5">
        <v>1200</v>
      </c>
      <c r="D4509" s="5" t="s">
        <v>72</v>
      </c>
      <c r="E4509" s="5" t="s">
        <v>73</v>
      </c>
      <c r="F4509" s="6">
        <v>42736</v>
      </c>
      <c r="G4509">
        <v>0</v>
      </c>
    </row>
    <row r="4510" spans="1:7" x14ac:dyDescent="0.25">
      <c r="A4510" s="5" t="s">
        <v>127</v>
      </c>
      <c r="B4510" s="5" t="s">
        <v>129</v>
      </c>
      <c r="C4510" s="5">
        <v>1200</v>
      </c>
      <c r="D4510" s="5" t="s">
        <v>72</v>
      </c>
      <c r="E4510" s="5" t="s">
        <v>9</v>
      </c>
      <c r="F4510" s="6">
        <v>42370</v>
      </c>
      <c r="G4510">
        <v>0</v>
      </c>
    </row>
    <row r="4511" spans="1:7" x14ac:dyDescent="0.25">
      <c r="A4511" s="5" t="s">
        <v>127</v>
      </c>
      <c r="B4511" s="5" t="s">
        <v>129</v>
      </c>
      <c r="C4511" s="5">
        <v>1200</v>
      </c>
      <c r="D4511" s="5" t="s">
        <v>72</v>
      </c>
      <c r="E4511" s="5" t="s">
        <v>9</v>
      </c>
      <c r="F4511" s="6">
        <v>42736</v>
      </c>
      <c r="G4511">
        <v>0</v>
      </c>
    </row>
    <row r="4512" spans="1:7" x14ac:dyDescent="0.25">
      <c r="A4512" s="5" t="s">
        <v>127</v>
      </c>
      <c r="B4512" s="5" t="s">
        <v>129</v>
      </c>
      <c r="C4512" s="5">
        <v>1200</v>
      </c>
      <c r="D4512" s="5" t="s">
        <v>72</v>
      </c>
      <c r="E4512" s="5" t="s">
        <v>34</v>
      </c>
      <c r="F4512" s="6">
        <v>42370</v>
      </c>
      <c r="G4512">
        <v>0</v>
      </c>
    </row>
    <row r="4513" spans="1:7" x14ac:dyDescent="0.25">
      <c r="A4513" s="5" t="s">
        <v>127</v>
      </c>
      <c r="B4513" s="5" t="s">
        <v>129</v>
      </c>
      <c r="C4513" s="5">
        <v>1200</v>
      </c>
      <c r="D4513" s="5" t="s">
        <v>72</v>
      </c>
      <c r="E4513" s="5" t="s">
        <v>34</v>
      </c>
      <c r="F4513" s="6">
        <v>42736</v>
      </c>
      <c r="G4513">
        <v>0</v>
      </c>
    </row>
    <row r="4514" spans="1:7" x14ac:dyDescent="0.25">
      <c r="A4514" s="5" t="s">
        <v>127</v>
      </c>
      <c r="B4514" s="5" t="s">
        <v>129</v>
      </c>
      <c r="C4514" s="5">
        <v>1200</v>
      </c>
      <c r="D4514" s="5" t="s">
        <v>72</v>
      </c>
      <c r="E4514" s="5" t="s">
        <v>74</v>
      </c>
      <c r="F4514" s="6">
        <v>42370</v>
      </c>
      <c r="G4514">
        <v>0</v>
      </c>
    </row>
    <row r="4515" spans="1:7" x14ac:dyDescent="0.25">
      <c r="A4515" s="5" t="s">
        <v>127</v>
      </c>
      <c r="B4515" s="5" t="s">
        <v>129</v>
      </c>
      <c r="C4515" s="5">
        <v>1200</v>
      </c>
      <c r="D4515" s="5" t="s">
        <v>72</v>
      </c>
      <c r="E4515" s="5" t="s">
        <v>74</v>
      </c>
      <c r="F4515" s="6">
        <v>42736</v>
      </c>
      <c r="G4515">
        <v>0</v>
      </c>
    </row>
    <row r="4516" spans="1:7" x14ac:dyDescent="0.25">
      <c r="A4516" s="5" t="s">
        <v>127</v>
      </c>
      <c r="B4516" s="5" t="s">
        <v>129</v>
      </c>
      <c r="C4516" s="5">
        <v>1200</v>
      </c>
      <c r="D4516" s="5" t="s">
        <v>72</v>
      </c>
      <c r="E4516" s="5" t="s">
        <v>75</v>
      </c>
      <c r="F4516" s="6">
        <v>42370</v>
      </c>
      <c r="G4516">
        <v>0</v>
      </c>
    </row>
    <row r="4517" spans="1:7" x14ac:dyDescent="0.25">
      <c r="A4517" s="5" t="s">
        <v>127</v>
      </c>
      <c r="B4517" s="5" t="s">
        <v>129</v>
      </c>
      <c r="C4517" s="5">
        <v>1200</v>
      </c>
      <c r="D4517" s="5" t="s">
        <v>72</v>
      </c>
      <c r="E4517" s="5" t="s">
        <v>75</v>
      </c>
      <c r="F4517" s="6">
        <v>42736</v>
      </c>
      <c r="G4517">
        <v>0</v>
      </c>
    </row>
    <row r="4518" spans="1:7" x14ac:dyDescent="0.25">
      <c r="A4518" s="5" t="s">
        <v>127</v>
      </c>
      <c r="B4518" s="5" t="s">
        <v>129</v>
      </c>
      <c r="C4518" s="5">
        <v>1200</v>
      </c>
      <c r="D4518" s="5" t="s">
        <v>76</v>
      </c>
      <c r="E4518" s="5" t="s">
        <v>9</v>
      </c>
      <c r="F4518" s="6">
        <v>42370</v>
      </c>
      <c r="G4518">
        <v>0</v>
      </c>
    </row>
    <row r="4519" spans="1:7" x14ac:dyDescent="0.25">
      <c r="A4519" s="5" t="s">
        <v>127</v>
      </c>
      <c r="B4519" s="5" t="s">
        <v>129</v>
      </c>
      <c r="C4519" s="5">
        <v>1200</v>
      </c>
      <c r="D4519" s="5" t="s">
        <v>76</v>
      </c>
      <c r="E4519" s="5" t="s">
        <v>9</v>
      </c>
      <c r="F4519" s="6">
        <v>42736</v>
      </c>
      <c r="G4519">
        <v>0</v>
      </c>
    </row>
    <row r="4520" spans="1:7" x14ac:dyDescent="0.25">
      <c r="A4520" s="5" t="s">
        <v>127</v>
      </c>
      <c r="B4520" s="5" t="s">
        <v>129</v>
      </c>
      <c r="C4520" s="5">
        <v>1200</v>
      </c>
      <c r="D4520" s="5" t="s">
        <v>76</v>
      </c>
      <c r="E4520" s="5" t="s">
        <v>77</v>
      </c>
      <c r="F4520" s="6">
        <v>42370</v>
      </c>
      <c r="G4520">
        <v>8</v>
      </c>
    </row>
    <row r="4521" spans="1:7" x14ac:dyDescent="0.25">
      <c r="A4521" s="5" t="s">
        <v>127</v>
      </c>
      <c r="B4521" s="5" t="s">
        <v>129</v>
      </c>
      <c r="C4521" s="5">
        <v>1200</v>
      </c>
      <c r="D4521" s="5" t="s">
        <v>76</v>
      </c>
      <c r="E4521" s="5" t="s">
        <v>77</v>
      </c>
      <c r="F4521" s="6">
        <v>42736</v>
      </c>
      <c r="G4521">
        <v>5</v>
      </c>
    </row>
    <row r="4522" spans="1:7" x14ac:dyDescent="0.25">
      <c r="A4522" s="5" t="s">
        <v>127</v>
      </c>
      <c r="B4522" s="5" t="s">
        <v>129</v>
      </c>
      <c r="C4522" s="5">
        <v>1200</v>
      </c>
      <c r="D4522" s="5" t="s">
        <v>78</v>
      </c>
      <c r="E4522" s="5" t="s">
        <v>79</v>
      </c>
      <c r="F4522" s="6">
        <v>42370</v>
      </c>
      <c r="G4522">
        <v>363</v>
      </c>
    </row>
    <row r="4523" spans="1:7" x14ac:dyDescent="0.25">
      <c r="A4523" s="5" t="s">
        <v>127</v>
      </c>
      <c r="B4523" s="5" t="s">
        <v>129</v>
      </c>
      <c r="C4523" s="5">
        <v>1200</v>
      </c>
      <c r="D4523" s="5" t="s">
        <v>78</v>
      </c>
      <c r="E4523" s="5" t="s">
        <v>79</v>
      </c>
      <c r="F4523" s="6">
        <v>42736</v>
      </c>
      <c r="G4523">
        <v>496</v>
      </c>
    </row>
    <row r="4524" spans="1:7" x14ac:dyDescent="0.25">
      <c r="A4524" s="5" t="s">
        <v>127</v>
      </c>
      <c r="B4524" s="5" t="s">
        <v>129</v>
      </c>
      <c r="C4524" s="5">
        <v>1200</v>
      </c>
      <c r="D4524" s="5" t="s">
        <v>78</v>
      </c>
      <c r="E4524" s="5" t="s">
        <v>80</v>
      </c>
      <c r="F4524" s="6">
        <v>42370</v>
      </c>
      <c r="G4524">
        <v>18</v>
      </c>
    </row>
    <row r="4525" spans="1:7" x14ac:dyDescent="0.25">
      <c r="A4525" s="5" t="s">
        <v>127</v>
      </c>
      <c r="B4525" s="5" t="s">
        <v>129</v>
      </c>
      <c r="C4525" s="5">
        <v>1200</v>
      </c>
      <c r="D4525" s="5" t="s">
        <v>78</v>
      </c>
      <c r="E4525" s="5" t="s">
        <v>80</v>
      </c>
      <c r="F4525" s="6">
        <v>42736</v>
      </c>
      <c r="G4525">
        <v>34</v>
      </c>
    </row>
    <row r="4526" spans="1:7" x14ac:dyDescent="0.25">
      <c r="A4526" s="5" t="s">
        <v>127</v>
      </c>
      <c r="B4526" s="5" t="s">
        <v>129</v>
      </c>
      <c r="C4526" s="5">
        <v>1200</v>
      </c>
      <c r="D4526" s="5" t="s">
        <v>78</v>
      </c>
      <c r="E4526" s="5" t="s">
        <v>81</v>
      </c>
      <c r="F4526" s="6">
        <v>42370</v>
      </c>
      <c r="G4526">
        <v>1369</v>
      </c>
    </row>
    <row r="4527" spans="1:7" x14ac:dyDescent="0.25">
      <c r="A4527" s="5" t="s">
        <v>127</v>
      </c>
      <c r="B4527" s="5" t="s">
        <v>129</v>
      </c>
      <c r="C4527" s="5">
        <v>1200</v>
      </c>
      <c r="D4527" s="5" t="s">
        <v>78</v>
      </c>
      <c r="E4527" s="5" t="s">
        <v>81</v>
      </c>
      <c r="F4527" s="6">
        <v>42736</v>
      </c>
      <c r="G4527">
        <v>1976</v>
      </c>
    </row>
    <row r="4528" spans="1:7" x14ac:dyDescent="0.25">
      <c r="A4528" s="5" t="s">
        <v>127</v>
      </c>
      <c r="B4528" s="5" t="s">
        <v>129</v>
      </c>
      <c r="C4528" s="5">
        <v>1200</v>
      </c>
      <c r="D4528" s="5" t="s">
        <v>78</v>
      </c>
      <c r="E4528" s="5" t="s">
        <v>82</v>
      </c>
      <c r="F4528" s="6">
        <v>42370</v>
      </c>
      <c r="G4528">
        <v>29</v>
      </c>
    </row>
    <row r="4529" spans="1:7" x14ac:dyDescent="0.25">
      <c r="A4529" s="5" t="s">
        <v>127</v>
      </c>
      <c r="B4529" s="5" t="s">
        <v>129</v>
      </c>
      <c r="C4529" s="5">
        <v>1200</v>
      </c>
      <c r="D4529" s="5" t="s">
        <v>78</v>
      </c>
      <c r="E4529" s="5" t="s">
        <v>82</v>
      </c>
      <c r="F4529" s="6">
        <v>42736</v>
      </c>
      <c r="G4529">
        <v>38</v>
      </c>
    </row>
    <row r="4530" spans="1:7" x14ac:dyDescent="0.25">
      <c r="A4530" s="5" t="s">
        <v>127</v>
      </c>
      <c r="B4530" s="5" t="s">
        <v>129</v>
      </c>
      <c r="C4530" s="5">
        <v>1200</v>
      </c>
      <c r="D4530" s="5" t="s">
        <v>78</v>
      </c>
      <c r="E4530" s="5" t="s">
        <v>83</v>
      </c>
      <c r="F4530" s="6">
        <v>42370</v>
      </c>
      <c r="G4530">
        <v>29</v>
      </c>
    </row>
    <row r="4531" spans="1:7" x14ac:dyDescent="0.25">
      <c r="A4531" s="5" t="s">
        <v>127</v>
      </c>
      <c r="B4531" s="5" t="s">
        <v>129</v>
      </c>
      <c r="C4531" s="5">
        <v>1200</v>
      </c>
      <c r="D4531" s="5" t="s">
        <v>78</v>
      </c>
      <c r="E4531" s="5" t="s">
        <v>83</v>
      </c>
      <c r="F4531" s="6">
        <v>42736</v>
      </c>
      <c r="G4531">
        <v>50</v>
      </c>
    </row>
    <row r="4532" spans="1:7" x14ac:dyDescent="0.25">
      <c r="A4532" s="5" t="s">
        <v>127</v>
      </c>
      <c r="B4532" s="5" t="s">
        <v>129</v>
      </c>
      <c r="C4532" s="5">
        <v>1200</v>
      </c>
      <c r="D4532" s="5" t="s">
        <v>78</v>
      </c>
      <c r="E4532" s="5" t="s">
        <v>84</v>
      </c>
      <c r="F4532" s="6">
        <v>42370</v>
      </c>
      <c r="G4532">
        <v>2</v>
      </c>
    </row>
    <row r="4533" spans="1:7" x14ac:dyDescent="0.25">
      <c r="A4533" s="5" t="s">
        <v>127</v>
      </c>
      <c r="B4533" s="5" t="s">
        <v>129</v>
      </c>
      <c r="C4533" s="5">
        <v>1200</v>
      </c>
      <c r="D4533" s="5" t="s">
        <v>78</v>
      </c>
      <c r="E4533" s="5" t="s">
        <v>84</v>
      </c>
      <c r="F4533" s="6">
        <v>42736</v>
      </c>
      <c r="G4533">
        <v>4</v>
      </c>
    </row>
    <row r="4534" spans="1:7" x14ac:dyDescent="0.25">
      <c r="A4534" s="5" t="s">
        <v>127</v>
      </c>
      <c r="B4534" s="5" t="s">
        <v>129</v>
      </c>
      <c r="C4534" s="5">
        <v>1200</v>
      </c>
      <c r="D4534" s="5" t="s">
        <v>78</v>
      </c>
      <c r="E4534" s="5" t="s">
        <v>85</v>
      </c>
      <c r="F4534" s="6">
        <v>42370</v>
      </c>
      <c r="G4534">
        <v>4</v>
      </c>
    </row>
    <row r="4535" spans="1:7" x14ac:dyDescent="0.25">
      <c r="A4535" s="5" t="s">
        <v>127</v>
      </c>
      <c r="B4535" s="5" t="s">
        <v>129</v>
      </c>
      <c r="C4535" s="5">
        <v>1200</v>
      </c>
      <c r="D4535" s="5" t="s">
        <v>78</v>
      </c>
      <c r="E4535" s="5" t="s">
        <v>85</v>
      </c>
      <c r="F4535" s="6">
        <v>42736</v>
      </c>
      <c r="G4535">
        <v>16</v>
      </c>
    </row>
    <row r="4536" spans="1:7" x14ac:dyDescent="0.25">
      <c r="A4536" s="5" t="s">
        <v>127</v>
      </c>
      <c r="B4536" s="5" t="s">
        <v>129</v>
      </c>
      <c r="C4536" s="5">
        <v>1200</v>
      </c>
      <c r="D4536" s="5" t="s">
        <v>78</v>
      </c>
      <c r="E4536" s="5" t="s">
        <v>86</v>
      </c>
      <c r="F4536" s="6">
        <v>42370</v>
      </c>
      <c r="G4536">
        <v>2</v>
      </c>
    </row>
    <row r="4537" spans="1:7" x14ac:dyDescent="0.25">
      <c r="A4537" s="5" t="s">
        <v>127</v>
      </c>
      <c r="B4537" s="5" t="s">
        <v>129</v>
      </c>
      <c r="C4537" s="5">
        <v>1200</v>
      </c>
      <c r="D4537" s="5" t="s">
        <v>78</v>
      </c>
      <c r="E4537" s="5" t="s">
        <v>86</v>
      </c>
      <c r="F4537" s="6">
        <v>42736</v>
      </c>
      <c r="G4537">
        <v>0</v>
      </c>
    </row>
    <row r="4538" spans="1:7" x14ac:dyDescent="0.25">
      <c r="A4538" s="5" t="s">
        <v>127</v>
      </c>
      <c r="B4538" s="5" t="s">
        <v>129</v>
      </c>
      <c r="C4538" s="5">
        <v>1200</v>
      </c>
      <c r="D4538" s="5" t="s">
        <v>78</v>
      </c>
      <c r="E4538" s="5" t="s">
        <v>87</v>
      </c>
      <c r="F4538" s="6">
        <v>42370</v>
      </c>
      <c r="G4538">
        <v>46</v>
      </c>
    </row>
    <row r="4539" spans="1:7" x14ac:dyDescent="0.25">
      <c r="A4539" s="5" t="s">
        <v>127</v>
      </c>
      <c r="B4539" s="5" t="s">
        <v>129</v>
      </c>
      <c r="C4539" s="5">
        <v>1200</v>
      </c>
      <c r="D4539" s="5" t="s">
        <v>78</v>
      </c>
      <c r="E4539" s="5" t="s">
        <v>87</v>
      </c>
      <c r="F4539" s="6">
        <v>42736</v>
      </c>
      <c r="G4539">
        <v>40</v>
      </c>
    </row>
    <row r="4540" spans="1:7" x14ac:dyDescent="0.25">
      <c r="A4540" s="5" t="s">
        <v>127</v>
      </c>
      <c r="B4540" s="5" t="s">
        <v>129</v>
      </c>
      <c r="C4540" s="5">
        <v>1200</v>
      </c>
      <c r="D4540" s="5" t="s">
        <v>78</v>
      </c>
      <c r="E4540" s="5" t="s">
        <v>88</v>
      </c>
      <c r="F4540" s="6">
        <v>42370</v>
      </c>
      <c r="G4540">
        <v>303</v>
      </c>
    </row>
    <row r="4541" spans="1:7" x14ac:dyDescent="0.25">
      <c r="A4541" s="5" t="s">
        <v>127</v>
      </c>
      <c r="B4541" s="5" t="s">
        <v>129</v>
      </c>
      <c r="C4541" s="5">
        <v>1200</v>
      </c>
      <c r="D4541" s="5" t="s">
        <v>78</v>
      </c>
      <c r="E4541" s="5" t="s">
        <v>88</v>
      </c>
      <c r="F4541" s="6">
        <v>42736</v>
      </c>
      <c r="G4541">
        <v>431</v>
      </c>
    </row>
    <row r="4542" spans="1:7" x14ac:dyDescent="0.25">
      <c r="A4542" s="5" t="s">
        <v>127</v>
      </c>
      <c r="B4542" s="5" t="s">
        <v>129</v>
      </c>
      <c r="C4542" s="5">
        <v>1200</v>
      </c>
      <c r="D4542" s="5" t="s">
        <v>78</v>
      </c>
      <c r="E4542" s="5" t="s">
        <v>89</v>
      </c>
      <c r="F4542" s="6">
        <v>42370</v>
      </c>
      <c r="G4542">
        <v>3952</v>
      </c>
    </row>
    <row r="4543" spans="1:7" x14ac:dyDescent="0.25">
      <c r="A4543" s="5" t="s">
        <v>127</v>
      </c>
      <c r="B4543" s="5" t="s">
        <v>129</v>
      </c>
      <c r="C4543" s="5">
        <v>1200</v>
      </c>
      <c r="D4543" s="5" t="s">
        <v>78</v>
      </c>
      <c r="E4543" s="5" t="s">
        <v>89</v>
      </c>
      <c r="F4543" s="6">
        <v>42736</v>
      </c>
      <c r="G4543">
        <v>8438</v>
      </c>
    </row>
    <row r="4544" spans="1:7" x14ac:dyDescent="0.25">
      <c r="A4544" s="5" t="s">
        <v>127</v>
      </c>
      <c r="B4544" s="5" t="s">
        <v>129</v>
      </c>
      <c r="C4544" s="5">
        <v>1200</v>
      </c>
      <c r="D4544" s="5" t="s">
        <v>78</v>
      </c>
      <c r="E4544" s="5" t="s">
        <v>90</v>
      </c>
      <c r="F4544" s="6">
        <v>42370</v>
      </c>
      <c r="G4544">
        <v>0</v>
      </c>
    </row>
    <row r="4545" spans="1:7" x14ac:dyDescent="0.25">
      <c r="A4545" s="5" t="s">
        <v>127</v>
      </c>
      <c r="B4545" s="5" t="s">
        <v>129</v>
      </c>
      <c r="C4545" s="5">
        <v>1200</v>
      </c>
      <c r="D4545" s="5" t="s">
        <v>78</v>
      </c>
      <c r="E4545" s="5" t="s">
        <v>90</v>
      </c>
      <c r="F4545" s="6">
        <v>42736</v>
      </c>
      <c r="G4545">
        <v>0</v>
      </c>
    </row>
    <row r="4546" spans="1:7" x14ac:dyDescent="0.25">
      <c r="A4546" s="5" t="s">
        <v>127</v>
      </c>
      <c r="B4546" s="5" t="s">
        <v>129</v>
      </c>
      <c r="C4546" s="5">
        <v>1200</v>
      </c>
      <c r="D4546" s="5" t="s">
        <v>78</v>
      </c>
      <c r="E4546" s="5" t="s">
        <v>91</v>
      </c>
      <c r="F4546" s="6">
        <v>42370</v>
      </c>
      <c r="G4546">
        <v>103</v>
      </c>
    </row>
    <row r="4547" spans="1:7" x14ac:dyDescent="0.25">
      <c r="A4547" s="5" t="s">
        <v>127</v>
      </c>
      <c r="B4547" s="5" t="s">
        <v>129</v>
      </c>
      <c r="C4547" s="5">
        <v>1200</v>
      </c>
      <c r="D4547" s="5" t="s">
        <v>78</v>
      </c>
      <c r="E4547" s="5" t="s">
        <v>91</v>
      </c>
      <c r="F4547" s="6">
        <v>42736</v>
      </c>
      <c r="G4547">
        <v>166</v>
      </c>
    </row>
    <row r="4548" spans="1:7" x14ac:dyDescent="0.25">
      <c r="A4548" s="5" t="s">
        <v>127</v>
      </c>
      <c r="B4548" s="5" t="s">
        <v>129</v>
      </c>
      <c r="C4548" s="5">
        <v>1200</v>
      </c>
      <c r="D4548" s="5" t="s">
        <v>78</v>
      </c>
      <c r="E4548" s="5" t="s">
        <v>92</v>
      </c>
      <c r="F4548" s="6">
        <v>42370</v>
      </c>
      <c r="G4548">
        <v>7</v>
      </c>
    </row>
    <row r="4549" spans="1:7" x14ac:dyDescent="0.25">
      <c r="A4549" s="5" t="s">
        <v>127</v>
      </c>
      <c r="B4549" s="5" t="s">
        <v>129</v>
      </c>
      <c r="C4549" s="5">
        <v>1200</v>
      </c>
      <c r="D4549" s="5" t="s">
        <v>78</v>
      </c>
      <c r="E4549" s="5" t="s">
        <v>92</v>
      </c>
      <c r="F4549" s="6">
        <v>42736</v>
      </c>
      <c r="G4549">
        <v>24</v>
      </c>
    </row>
    <row r="4550" spans="1:7" x14ac:dyDescent="0.25">
      <c r="A4550" s="5" t="s">
        <v>127</v>
      </c>
      <c r="B4550" s="5" t="s">
        <v>129</v>
      </c>
      <c r="C4550" s="5">
        <v>1200</v>
      </c>
      <c r="D4550" s="5" t="s">
        <v>78</v>
      </c>
      <c r="E4550" s="5" t="s">
        <v>93</v>
      </c>
      <c r="F4550" s="6">
        <v>42370</v>
      </c>
      <c r="G4550">
        <v>80</v>
      </c>
    </row>
    <row r="4551" spans="1:7" x14ac:dyDescent="0.25">
      <c r="A4551" s="5" t="s">
        <v>127</v>
      </c>
      <c r="B4551" s="5" t="s">
        <v>129</v>
      </c>
      <c r="C4551" s="5">
        <v>1200</v>
      </c>
      <c r="D4551" s="5" t="s">
        <v>78</v>
      </c>
      <c r="E4551" s="5" t="s">
        <v>93</v>
      </c>
      <c r="F4551" s="6">
        <v>42736</v>
      </c>
      <c r="G4551">
        <v>113</v>
      </c>
    </row>
    <row r="4552" spans="1:7" x14ac:dyDescent="0.25">
      <c r="A4552" s="5" t="s">
        <v>127</v>
      </c>
      <c r="B4552" s="5" t="s">
        <v>129</v>
      </c>
      <c r="C4552" s="5">
        <v>1200</v>
      </c>
      <c r="D4552" s="5" t="s">
        <v>78</v>
      </c>
      <c r="E4552" s="5" t="s">
        <v>94</v>
      </c>
      <c r="F4552" s="6">
        <v>42370</v>
      </c>
      <c r="G4552">
        <v>101</v>
      </c>
    </row>
    <row r="4553" spans="1:7" x14ac:dyDescent="0.25">
      <c r="A4553" s="5" t="s">
        <v>127</v>
      </c>
      <c r="B4553" s="5" t="s">
        <v>129</v>
      </c>
      <c r="C4553" s="5">
        <v>1200</v>
      </c>
      <c r="D4553" s="5" t="s">
        <v>78</v>
      </c>
      <c r="E4553" s="5" t="s">
        <v>94</v>
      </c>
      <c r="F4553" s="6">
        <v>42736</v>
      </c>
      <c r="G4553">
        <v>174</v>
      </c>
    </row>
    <row r="4554" spans="1:7" x14ac:dyDescent="0.25">
      <c r="A4554" s="5" t="s">
        <v>127</v>
      </c>
      <c r="B4554" s="5" t="s">
        <v>129</v>
      </c>
      <c r="C4554" s="5">
        <v>1200</v>
      </c>
      <c r="D4554" s="5" t="s">
        <v>78</v>
      </c>
      <c r="E4554" s="5" t="s">
        <v>95</v>
      </c>
      <c r="F4554" s="6">
        <v>42370</v>
      </c>
      <c r="G4554">
        <v>18</v>
      </c>
    </row>
    <row r="4555" spans="1:7" x14ac:dyDescent="0.25">
      <c r="A4555" s="5" t="s">
        <v>127</v>
      </c>
      <c r="B4555" s="5" t="s">
        <v>129</v>
      </c>
      <c r="C4555" s="5">
        <v>1200</v>
      </c>
      <c r="D4555" s="5" t="s">
        <v>78</v>
      </c>
      <c r="E4555" s="5" t="s">
        <v>95</v>
      </c>
      <c r="F4555" s="6">
        <v>42736</v>
      </c>
      <c r="G4555">
        <v>27</v>
      </c>
    </row>
    <row r="4556" spans="1:7" x14ac:dyDescent="0.25">
      <c r="A4556" s="5" t="s">
        <v>127</v>
      </c>
      <c r="B4556" s="5" t="s">
        <v>129</v>
      </c>
      <c r="C4556" s="5">
        <v>1200</v>
      </c>
      <c r="D4556" s="5" t="s">
        <v>78</v>
      </c>
      <c r="E4556" s="5" t="s">
        <v>96</v>
      </c>
      <c r="F4556" s="6">
        <v>42370</v>
      </c>
      <c r="G4556">
        <v>31</v>
      </c>
    </row>
    <row r="4557" spans="1:7" x14ac:dyDescent="0.25">
      <c r="A4557" s="5" t="s">
        <v>127</v>
      </c>
      <c r="B4557" s="5" t="s">
        <v>129</v>
      </c>
      <c r="C4557" s="5">
        <v>1200</v>
      </c>
      <c r="D4557" s="5" t="s">
        <v>78</v>
      </c>
      <c r="E4557" s="5" t="s">
        <v>96</v>
      </c>
      <c r="F4557" s="6">
        <v>42736</v>
      </c>
      <c r="G4557">
        <v>50</v>
      </c>
    </row>
    <row r="4558" spans="1:7" x14ac:dyDescent="0.25">
      <c r="A4558" s="5" t="s">
        <v>127</v>
      </c>
      <c r="B4558" s="5" t="s">
        <v>129</v>
      </c>
      <c r="C4558" s="5">
        <v>1200</v>
      </c>
      <c r="D4558" s="5" t="s">
        <v>78</v>
      </c>
      <c r="E4558" s="5" t="s">
        <v>97</v>
      </c>
      <c r="F4558" s="6">
        <v>42370</v>
      </c>
      <c r="G4558">
        <v>133</v>
      </c>
    </row>
    <row r="4559" spans="1:7" x14ac:dyDescent="0.25">
      <c r="A4559" s="5" t="s">
        <v>127</v>
      </c>
      <c r="B4559" s="5" t="s">
        <v>129</v>
      </c>
      <c r="C4559" s="5">
        <v>1200</v>
      </c>
      <c r="D4559" s="5" t="s">
        <v>78</v>
      </c>
      <c r="E4559" s="5" t="s">
        <v>97</v>
      </c>
      <c r="F4559" s="6">
        <v>42736</v>
      </c>
      <c r="G4559">
        <v>379</v>
      </c>
    </row>
    <row r="4560" spans="1:7" x14ac:dyDescent="0.25">
      <c r="A4560" s="5" t="s">
        <v>127</v>
      </c>
      <c r="B4560" s="5" t="s">
        <v>129</v>
      </c>
      <c r="C4560" s="5">
        <v>1200</v>
      </c>
      <c r="D4560" s="5" t="s">
        <v>78</v>
      </c>
      <c r="E4560" s="5" t="s">
        <v>98</v>
      </c>
      <c r="F4560" s="6">
        <v>42370</v>
      </c>
      <c r="G4560">
        <v>46</v>
      </c>
    </row>
    <row r="4561" spans="1:7" x14ac:dyDescent="0.25">
      <c r="A4561" s="5" t="s">
        <v>127</v>
      </c>
      <c r="B4561" s="5" t="s">
        <v>129</v>
      </c>
      <c r="C4561" s="5">
        <v>1200</v>
      </c>
      <c r="D4561" s="5" t="s">
        <v>78</v>
      </c>
      <c r="E4561" s="5" t="s">
        <v>98</v>
      </c>
      <c r="F4561" s="6">
        <v>42736</v>
      </c>
      <c r="G4561">
        <v>57</v>
      </c>
    </row>
    <row r="4562" spans="1:7" x14ac:dyDescent="0.25">
      <c r="A4562" s="5" t="s">
        <v>130</v>
      </c>
      <c r="B4562" s="5" t="s">
        <v>131</v>
      </c>
      <c r="C4562" s="5">
        <v>2210</v>
      </c>
      <c r="D4562" s="5" t="s">
        <v>8</v>
      </c>
      <c r="E4562" s="5" t="s">
        <v>9</v>
      </c>
      <c r="F4562" s="6">
        <v>42370</v>
      </c>
      <c r="G4562">
        <v>0</v>
      </c>
    </row>
    <row r="4563" spans="1:7" x14ac:dyDescent="0.25">
      <c r="A4563" s="5" t="s">
        <v>130</v>
      </c>
      <c r="B4563" s="5" t="s">
        <v>131</v>
      </c>
      <c r="C4563" s="5">
        <v>2210</v>
      </c>
      <c r="D4563" s="5" t="s">
        <v>8</v>
      </c>
      <c r="E4563" s="5" t="s">
        <v>9</v>
      </c>
      <c r="F4563" s="6">
        <v>42736</v>
      </c>
      <c r="G4563">
        <v>0</v>
      </c>
    </row>
    <row r="4564" spans="1:7" x14ac:dyDescent="0.25">
      <c r="A4564" s="5" t="s">
        <v>130</v>
      </c>
      <c r="B4564" s="5" t="s">
        <v>131</v>
      </c>
      <c r="C4564" s="5">
        <v>2210</v>
      </c>
      <c r="D4564" s="5" t="s">
        <v>8</v>
      </c>
      <c r="E4564" s="5" t="s">
        <v>10</v>
      </c>
      <c r="F4564" s="6">
        <v>42370</v>
      </c>
      <c r="G4564">
        <v>0</v>
      </c>
    </row>
    <row r="4565" spans="1:7" x14ac:dyDescent="0.25">
      <c r="A4565" s="5" t="s">
        <v>130</v>
      </c>
      <c r="B4565" s="5" t="s">
        <v>131</v>
      </c>
      <c r="C4565" s="5">
        <v>2210</v>
      </c>
      <c r="D4565" s="5" t="s">
        <v>8</v>
      </c>
      <c r="E4565" s="5" t="s">
        <v>10</v>
      </c>
      <c r="F4565" s="6">
        <v>42736</v>
      </c>
      <c r="G4565">
        <v>0</v>
      </c>
    </row>
    <row r="4566" spans="1:7" x14ac:dyDescent="0.25">
      <c r="A4566" s="5" t="s">
        <v>130</v>
      </c>
      <c r="B4566" s="5" t="s">
        <v>131</v>
      </c>
      <c r="C4566" s="5">
        <v>2210</v>
      </c>
      <c r="D4566" s="5" t="s">
        <v>8</v>
      </c>
      <c r="E4566" s="5" t="s">
        <v>11</v>
      </c>
      <c r="F4566" s="6">
        <v>42370</v>
      </c>
      <c r="G4566">
        <v>0</v>
      </c>
    </row>
    <row r="4567" spans="1:7" x14ac:dyDescent="0.25">
      <c r="A4567" s="5" t="s">
        <v>130</v>
      </c>
      <c r="B4567" s="5" t="s">
        <v>131</v>
      </c>
      <c r="C4567" s="5">
        <v>2210</v>
      </c>
      <c r="D4567" s="5" t="s">
        <v>8</v>
      </c>
      <c r="E4567" s="5" t="s">
        <v>11</v>
      </c>
      <c r="F4567" s="6">
        <v>42736</v>
      </c>
      <c r="G4567">
        <v>0</v>
      </c>
    </row>
    <row r="4568" spans="1:7" x14ac:dyDescent="0.25">
      <c r="A4568" s="5" t="s">
        <v>130</v>
      </c>
      <c r="B4568" s="5" t="s">
        <v>131</v>
      </c>
      <c r="C4568" s="5">
        <v>2210</v>
      </c>
      <c r="D4568" s="5" t="s">
        <v>8</v>
      </c>
      <c r="E4568" s="5" t="s">
        <v>12</v>
      </c>
      <c r="F4568" s="6">
        <v>42370</v>
      </c>
      <c r="G4568">
        <v>0</v>
      </c>
    </row>
    <row r="4569" spans="1:7" x14ac:dyDescent="0.25">
      <c r="A4569" s="5" t="s">
        <v>130</v>
      </c>
      <c r="B4569" s="5" t="s">
        <v>131</v>
      </c>
      <c r="C4569" s="5">
        <v>2210</v>
      </c>
      <c r="D4569" s="5" t="s">
        <v>8</v>
      </c>
      <c r="E4569" s="5" t="s">
        <v>12</v>
      </c>
      <c r="F4569" s="6">
        <v>42736</v>
      </c>
      <c r="G4569">
        <v>0</v>
      </c>
    </row>
    <row r="4570" spans="1:7" x14ac:dyDescent="0.25">
      <c r="A4570" s="5" t="s">
        <v>130</v>
      </c>
      <c r="B4570" s="5" t="s">
        <v>131</v>
      </c>
      <c r="C4570" s="5">
        <v>2210</v>
      </c>
      <c r="D4570" s="5" t="s">
        <v>8</v>
      </c>
      <c r="E4570" s="5" t="s">
        <v>13</v>
      </c>
      <c r="F4570" s="6">
        <v>42370</v>
      </c>
      <c r="G4570">
        <v>0</v>
      </c>
    </row>
    <row r="4571" spans="1:7" x14ac:dyDescent="0.25">
      <c r="A4571" s="5" t="s">
        <v>130</v>
      </c>
      <c r="B4571" s="5" t="s">
        <v>131</v>
      </c>
      <c r="C4571" s="5">
        <v>2210</v>
      </c>
      <c r="D4571" s="5" t="s">
        <v>8</v>
      </c>
      <c r="E4571" s="5" t="s">
        <v>13</v>
      </c>
      <c r="F4571" s="6">
        <v>42736</v>
      </c>
      <c r="G4571">
        <v>0</v>
      </c>
    </row>
    <row r="4572" spans="1:7" x14ac:dyDescent="0.25">
      <c r="A4572" s="5" t="s">
        <v>130</v>
      </c>
      <c r="B4572" s="5" t="s">
        <v>131</v>
      </c>
      <c r="C4572" s="5">
        <v>2210</v>
      </c>
      <c r="D4572" s="5" t="s">
        <v>8</v>
      </c>
      <c r="E4572" s="5" t="s">
        <v>14</v>
      </c>
      <c r="F4572" s="6">
        <v>42370</v>
      </c>
      <c r="G4572">
        <v>0</v>
      </c>
    </row>
    <row r="4573" spans="1:7" x14ac:dyDescent="0.25">
      <c r="A4573" s="5" t="s">
        <v>130</v>
      </c>
      <c r="B4573" s="5" t="s">
        <v>131</v>
      </c>
      <c r="C4573" s="5">
        <v>2210</v>
      </c>
      <c r="D4573" s="5" t="s">
        <v>8</v>
      </c>
      <c r="E4573" s="5" t="s">
        <v>14</v>
      </c>
      <c r="F4573" s="6">
        <v>42736</v>
      </c>
      <c r="G4573">
        <v>0</v>
      </c>
    </row>
    <row r="4574" spans="1:7" x14ac:dyDescent="0.25">
      <c r="A4574" s="5" t="s">
        <v>130</v>
      </c>
      <c r="B4574" s="5" t="s">
        <v>131</v>
      </c>
      <c r="C4574" s="5">
        <v>2210</v>
      </c>
      <c r="D4574" s="5" t="s">
        <v>8</v>
      </c>
      <c r="E4574" s="5" t="s">
        <v>15</v>
      </c>
      <c r="F4574" s="6">
        <v>42370</v>
      </c>
      <c r="G4574">
        <v>0</v>
      </c>
    </row>
    <row r="4575" spans="1:7" x14ac:dyDescent="0.25">
      <c r="A4575" s="5" t="s">
        <v>130</v>
      </c>
      <c r="B4575" s="5" t="s">
        <v>131</v>
      </c>
      <c r="C4575" s="5">
        <v>2210</v>
      </c>
      <c r="D4575" s="5" t="s">
        <v>8</v>
      </c>
      <c r="E4575" s="5" t="s">
        <v>15</v>
      </c>
      <c r="F4575" s="6">
        <v>42736</v>
      </c>
      <c r="G4575">
        <v>0</v>
      </c>
    </row>
    <row r="4576" spans="1:7" x14ac:dyDescent="0.25">
      <c r="A4576" s="5" t="s">
        <v>130</v>
      </c>
      <c r="B4576" s="5" t="s">
        <v>131</v>
      </c>
      <c r="C4576" s="5">
        <v>2210</v>
      </c>
      <c r="D4576" s="5" t="s">
        <v>8</v>
      </c>
      <c r="E4576" s="5" t="s">
        <v>16</v>
      </c>
      <c r="F4576" s="6">
        <v>42370</v>
      </c>
      <c r="G4576">
        <v>0</v>
      </c>
    </row>
    <row r="4577" spans="1:7" x14ac:dyDescent="0.25">
      <c r="A4577" s="5" t="s">
        <v>130</v>
      </c>
      <c r="B4577" s="5" t="s">
        <v>131</v>
      </c>
      <c r="C4577" s="5">
        <v>2210</v>
      </c>
      <c r="D4577" s="5" t="s">
        <v>8</v>
      </c>
      <c r="E4577" s="5" t="s">
        <v>16</v>
      </c>
      <c r="F4577" s="6">
        <v>42736</v>
      </c>
      <c r="G4577">
        <v>0</v>
      </c>
    </row>
    <row r="4578" spans="1:7" x14ac:dyDescent="0.25">
      <c r="A4578" s="5" t="s">
        <v>130</v>
      </c>
      <c r="B4578" s="5" t="s">
        <v>131</v>
      </c>
      <c r="C4578" s="5">
        <v>2210</v>
      </c>
      <c r="D4578" s="5" t="s">
        <v>8</v>
      </c>
      <c r="E4578" s="5" t="s">
        <v>17</v>
      </c>
      <c r="F4578" s="6">
        <v>42370</v>
      </c>
      <c r="G4578">
        <v>0</v>
      </c>
    </row>
    <row r="4579" spans="1:7" x14ac:dyDescent="0.25">
      <c r="A4579" s="5" t="s">
        <v>130</v>
      </c>
      <c r="B4579" s="5" t="s">
        <v>131</v>
      </c>
      <c r="C4579" s="5">
        <v>2210</v>
      </c>
      <c r="D4579" s="5" t="s">
        <v>8</v>
      </c>
      <c r="E4579" s="5" t="s">
        <v>17</v>
      </c>
      <c r="F4579" s="6">
        <v>42736</v>
      </c>
      <c r="G4579">
        <v>0</v>
      </c>
    </row>
    <row r="4580" spans="1:7" x14ac:dyDescent="0.25">
      <c r="A4580" s="5" t="s">
        <v>130</v>
      </c>
      <c r="B4580" s="5" t="s">
        <v>131</v>
      </c>
      <c r="C4580" s="5">
        <v>2210</v>
      </c>
      <c r="D4580" s="5" t="s">
        <v>8</v>
      </c>
      <c r="E4580" s="5" t="s">
        <v>18</v>
      </c>
      <c r="F4580" s="6">
        <v>42370</v>
      </c>
      <c r="G4580">
        <v>0</v>
      </c>
    </row>
    <row r="4581" spans="1:7" x14ac:dyDescent="0.25">
      <c r="A4581" s="5" t="s">
        <v>130</v>
      </c>
      <c r="B4581" s="5" t="s">
        <v>131</v>
      </c>
      <c r="C4581" s="5">
        <v>2210</v>
      </c>
      <c r="D4581" s="5" t="s">
        <v>8</v>
      </c>
      <c r="E4581" s="5" t="s">
        <v>18</v>
      </c>
      <c r="F4581" s="6">
        <v>42736</v>
      </c>
      <c r="G4581">
        <v>0</v>
      </c>
    </row>
    <row r="4582" spans="1:7" x14ac:dyDescent="0.25">
      <c r="A4582" s="5" t="s">
        <v>130</v>
      </c>
      <c r="B4582" s="5" t="s">
        <v>131</v>
      </c>
      <c r="C4582" s="5">
        <v>2210</v>
      </c>
      <c r="D4582" s="5" t="s">
        <v>8</v>
      </c>
      <c r="E4582" s="5" t="s">
        <v>19</v>
      </c>
      <c r="F4582" s="6">
        <v>42370</v>
      </c>
      <c r="G4582">
        <v>0</v>
      </c>
    </row>
    <row r="4583" spans="1:7" x14ac:dyDescent="0.25">
      <c r="A4583" s="5" t="s">
        <v>130</v>
      </c>
      <c r="B4583" s="5" t="s">
        <v>131</v>
      </c>
      <c r="C4583" s="5">
        <v>2210</v>
      </c>
      <c r="D4583" s="5" t="s">
        <v>8</v>
      </c>
      <c r="E4583" s="5" t="s">
        <v>19</v>
      </c>
      <c r="F4583" s="6">
        <v>42736</v>
      </c>
      <c r="G4583">
        <v>0</v>
      </c>
    </row>
    <row r="4584" spans="1:7" x14ac:dyDescent="0.25">
      <c r="A4584" s="5" t="s">
        <v>130</v>
      </c>
      <c r="B4584" s="5" t="s">
        <v>131</v>
      </c>
      <c r="C4584" s="5">
        <v>2210</v>
      </c>
      <c r="D4584" s="5" t="s">
        <v>20</v>
      </c>
      <c r="E4584" s="5" t="s">
        <v>9</v>
      </c>
      <c r="F4584" s="6">
        <v>42370</v>
      </c>
      <c r="G4584">
        <v>0</v>
      </c>
    </row>
    <row r="4585" spans="1:7" x14ac:dyDescent="0.25">
      <c r="A4585" s="5" t="s">
        <v>130</v>
      </c>
      <c r="B4585" s="5" t="s">
        <v>131</v>
      </c>
      <c r="C4585" s="5">
        <v>2210</v>
      </c>
      <c r="D4585" s="5" t="s">
        <v>20</v>
      </c>
      <c r="E4585" s="5" t="s">
        <v>9</v>
      </c>
      <c r="F4585" s="6">
        <v>42736</v>
      </c>
      <c r="G4585">
        <v>3</v>
      </c>
    </row>
    <row r="4586" spans="1:7" x14ac:dyDescent="0.25">
      <c r="A4586" s="5" t="s">
        <v>130</v>
      </c>
      <c r="B4586" s="5" t="s">
        <v>131</v>
      </c>
      <c r="C4586" s="5">
        <v>2210</v>
      </c>
      <c r="D4586" s="5" t="s">
        <v>20</v>
      </c>
      <c r="E4586" s="5" t="s">
        <v>21</v>
      </c>
      <c r="F4586" s="6">
        <v>42370</v>
      </c>
      <c r="G4586">
        <v>0</v>
      </c>
    </row>
    <row r="4587" spans="1:7" x14ac:dyDescent="0.25">
      <c r="A4587" s="5" t="s">
        <v>130</v>
      </c>
      <c r="B4587" s="5" t="s">
        <v>131</v>
      </c>
      <c r="C4587" s="5">
        <v>2210</v>
      </c>
      <c r="D4587" s="5" t="s">
        <v>20</v>
      </c>
      <c r="E4587" s="5" t="s">
        <v>21</v>
      </c>
      <c r="F4587" s="6">
        <v>42736</v>
      </c>
      <c r="G4587">
        <v>0</v>
      </c>
    </row>
    <row r="4588" spans="1:7" x14ac:dyDescent="0.25">
      <c r="A4588" s="5" t="s">
        <v>130</v>
      </c>
      <c r="B4588" s="5" t="s">
        <v>131</v>
      </c>
      <c r="C4588" s="5">
        <v>2210</v>
      </c>
      <c r="D4588" s="5" t="s">
        <v>20</v>
      </c>
      <c r="E4588" s="5" t="s">
        <v>22</v>
      </c>
      <c r="F4588" s="6">
        <v>42370</v>
      </c>
      <c r="G4588">
        <v>0</v>
      </c>
    </row>
    <row r="4589" spans="1:7" x14ac:dyDescent="0.25">
      <c r="A4589" s="5" t="s">
        <v>130</v>
      </c>
      <c r="B4589" s="5" t="s">
        <v>131</v>
      </c>
      <c r="C4589" s="5">
        <v>2210</v>
      </c>
      <c r="D4589" s="5" t="s">
        <v>20</v>
      </c>
      <c r="E4589" s="5" t="s">
        <v>22</v>
      </c>
      <c r="F4589" s="6">
        <v>42736</v>
      </c>
      <c r="G4589">
        <v>0</v>
      </c>
    </row>
    <row r="4590" spans="1:7" x14ac:dyDescent="0.25">
      <c r="A4590" s="5" t="s">
        <v>130</v>
      </c>
      <c r="B4590" s="5" t="s">
        <v>131</v>
      </c>
      <c r="C4590" s="5">
        <v>2210</v>
      </c>
      <c r="D4590" s="5" t="s">
        <v>20</v>
      </c>
      <c r="E4590" s="5" t="s">
        <v>23</v>
      </c>
      <c r="F4590" s="6">
        <v>42370</v>
      </c>
      <c r="G4590">
        <v>0</v>
      </c>
    </row>
    <row r="4591" spans="1:7" x14ac:dyDescent="0.25">
      <c r="A4591" s="5" t="s">
        <v>130</v>
      </c>
      <c r="B4591" s="5" t="s">
        <v>131</v>
      </c>
      <c r="C4591" s="5">
        <v>2210</v>
      </c>
      <c r="D4591" s="5" t="s">
        <v>20</v>
      </c>
      <c r="E4591" s="5" t="s">
        <v>23</v>
      </c>
      <c r="F4591" s="6">
        <v>42736</v>
      </c>
      <c r="G4591">
        <v>7</v>
      </c>
    </row>
    <row r="4592" spans="1:7" x14ac:dyDescent="0.25">
      <c r="A4592" s="5" t="s">
        <v>130</v>
      </c>
      <c r="B4592" s="5" t="s">
        <v>131</v>
      </c>
      <c r="C4592" s="5">
        <v>2210</v>
      </c>
      <c r="D4592" s="5" t="s">
        <v>20</v>
      </c>
      <c r="E4592" s="5" t="s">
        <v>24</v>
      </c>
      <c r="F4592" s="6">
        <v>42370</v>
      </c>
      <c r="G4592">
        <v>0</v>
      </c>
    </row>
    <row r="4593" spans="1:7" x14ac:dyDescent="0.25">
      <c r="A4593" s="5" t="s">
        <v>130</v>
      </c>
      <c r="B4593" s="5" t="s">
        <v>131</v>
      </c>
      <c r="C4593" s="5">
        <v>2210</v>
      </c>
      <c r="D4593" s="5" t="s">
        <v>20</v>
      </c>
      <c r="E4593" s="5" t="s">
        <v>24</v>
      </c>
      <c r="F4593" s="6">
        <v>42736</v>
      </c>
      <c r="G4593">
        <v>0</v>
      </c>
    </row>
    <row r="4594" spans="1:7" x14ac:dyDescent="0.25">
      <c r="A4594" s="5" t="s">
        <v>130</v>
      </c>
      <c r="B4594" s="5" t="s">
        <v>131</v>
      </c>
      <c r="C4594" s="5">
        <v>2210</v>
      </c>
      <c r="D4594" s="5" t="s">
        <v>20</v>
      </c>
      <c r="E4594" s="5" t="s">
        <v>25</v>
      </c>
      <c r="F4594" s="6">
        <v>42370</v>
      </c>
      <c r="G4594">
        <v>0</v>
      </c>
    </row>
    <row r="4595" spans="1:7" x14ac:dyDescent="0.25">
      <c r="A4595" s="5" t="s">
        <v>130</v>
      </c>
      <c r="B4595" s="5" t="s">
        <v>131</v>
      </c>
      <c r="C4595" s="5">
        <v>2210</v>
      </c>
      <c r="D4595" s="5" t="s">
        <v>20</v>
      </c>
      <c r="E4595" s="5" t="s">
        <v>25</v>
      </c>
      <c r="F4595" s="6">
        <v>42736</v>
      </c>
      <c r="G4595">
        <v>0</v>
      </c>
    </row>
    <row r="4596" spans="1:7" x14ac:dyDescent="0.25">
      <c r="A4596" s="5" t="s">
        <v>130</v>
      </c>
      <c r="B4596" s="5" t="s">
        <v>131</v>
      </c>
      <c r="C4596" s="5">
        <v>2210</v>
      </c>
      <c r="D4596" s="5" t="s">
        <v>20</v>
      </c>
      <c r="E4596" s="5" t="s">
        <v>26</v>
      </c>
      <c r="F4596" s="6">
        <v>42370</v>
      </c>
      <c r="G4596">
        <v>18</v>
      </c>
    </row>
    <row r="4597" spans="1:7" x14ac:dyDescent="0.25">
      <c r="A4597" s="5" t="s">
        <v>130</v>
      </c>
      <c r="B4597" s="5" t="s">
        <v>131</v>
      </c>
      <c r="C4597" s="5">
        <v>2210</v>
      </c>
      <c r="D4597" s="5" t="s">
        <v>20</v>
      </c>
      <c r="E4597" s="5" t="s">
        <v>26</v>
      </c>
      <c r="F4597" s="6">
        <v>42736</v>
      </c>
      <c r="G4597">
        <v>26</v>
      </c>
    </row>
    <row r="4598" spans="1:7" x14ac:dyDescent="0.25">
      <c r="A4598" s="5" t="s">
        <v>130</v>
      </c>
      <c r="B4598" s="5" t="s">
        <v>131</v>
      </c>
      <c r="C4598" s="5">
        <v>2210</v>
      </c>
      <c r="D4598" s="5" t="s">
        <v>20</v>
      </c>
      <c r="E4598" s="5" t="s">
        <v>27</v>
      </c>
      <c r="F4598" s="6">
        <v>42370</v>
      </c>
      <c r="G4598">
        <v>0</v>
      </c>
    </row>
    <row r="4599" spans="1:7" x14ac:dyDescent="0.25">
      <c r="A4599" s="5" t="s">
        <v>130</v>
      </c>
      <c r="B4599" s="5" t="s">
        <v>131</v>
      </c>
      <c r="C4599" s="5">
        <v>2210</v>
      </c>
      <c r="D4599" s="5" t="s">
        <v>20</v>
      </c>
      <c r="E4599" s="5" t="s">
        <v>27</v>
      </c>
      <c r="F4599" s="6">
        <v>42736</v>
      </c>
      <c r="G4599">
        <v>0</v>
      </c>
    </row>
    <row r="4600" spans="1:7" x14ac:dyDescent="0.25">
      <c r="A4600" s="5" t="s">
        <v>130</v>
      </c>
      <c r="B4600" s="5" t="s">
        <v>131</v>
      </c>
      <c r="C4600" s="5">
        <v>2210</v>
      </c>
      <c r="D4600" s="5" t="s">
        <v>20</v>
      </c>
      <c r="E4600" s="5" t="s">
        <v>28</v>
      </c>
      <c r="F4600" s="6">
        <v>42370</v>
      </c>
      <c r="G4600">
        <v>0</v>
      </c>
    </row>
    <row r="4601" spans="1:7" x14ac:dyDescent="0.25">
      <c r="A4601" s="5" t="s">
        <v>130</v>
      </c>
      <c r="B4601" s="5" t="s">
        <v>131</v>
      </c>
      <c r="C4601" s="5">
        <v>2210</v>
      </c>
      <c r="D4601" s="5" t="s">
        <v>20</v>
      </c>
      <c r="E4601" s="5" t="s">
        <v>28</v>
      </c>
      <c r="F4601" s="6">
        <v>42736</v>
      </c>
      <c r="G4601">
        <v>0</v>
      </c>
    </row>
    <row r="4602" spans="1:7" x14ac:dyDescent="0.25">
      <c r="A4602" s="5" t="s">
        <v>130</v>
      </c>
      <c r="B4602" s="5" t="s">
        <v>131</v>
      </c>
      <c r="C4602" s="5">
        <v>2210</v>
      </c>
      <c r="D4602" s="5" t="s">
        <v>20</v>
      </c>
      <c r="E4602" s="5" t="s">
        <v>29</v>
      </c>
      <c r="F4602" s="6">
        <v>42370</v>
      </c>
      <c r="G4602">
        <v>17</v>
      </c>
    </row>
    <row r="4603" spans="1:7" x14ac:dyDescent="0.25">
      <c r="A4603" s="5" t="s">
        <v>130</v>
      </c>
      <c r="B4603" s="5" t="s">
        <v>131</v>
      </c>
      <c r="C4603" s="5">
        <v>2210</v>
      </c>
      <c r="D4603" s="5" t="s">
        <v>20</v>
      </c>
      <c r="E4603" s="5" t="s">
        <v>29</v>
      </c>
      <c r="F4603" s="6">
        <v>42736</v>
      </c>
      <c r="G4603">
        <v>24</v>
      </c>
    </row>
    <row r="4604" spans="1:7" x14ac:dyDescent="0.25">
      <c r="A4604" s="5" t="s">
        <v>130</v>
      </c>
      <c r="B4604" s="5" t="s">
        <v>131</v>
      </c>
      <c r="C4604" s="5">
        <v>2210</v>
      </c>
      <c r="D4604" s="5" t="s">
        <v>20</v>
      </c>
      <c r="E4604" s="5" t="s">
        <v>30</v>
      </c>
      <c r="F4604" s="6">
        <v>42370</v>
      </c>
      <c r="G4604">
        <v>13</v>
      </c>
    </row>
    <row r="4605" spans="1:7" x14ac:dyDescent="0.25">
      <c r="A4605" s="5" t="s">
        <v>130</v>
      </c>
      <c r="B4605" s="5" t="s">
        <v>131</v>
      </c>
      <c r="C4605" s="5">
        <v>2210</v>
      </c>
      <c r="D4605" s="5" t="s">
        <v>20</v>
      </c>
      <c r="E4605" s="5" t="s">
        <v>30</v>
      </c>
      <c r="F4605" s="6">
        <v>42736</v>
      </c>
      <c r="G4605">
        <v>27</v>
      </c>
    </row>
    <row r="4606" spans="1:7" x14ac:dyDescent="0.25">
      <c r="A4606" s="5" t="s">
        <v>130</v>
      </c>
      <c r="B4606" s="5" t="s">
        <v>131</v>
      </c>
      <c r="C4606" s="5">
        <v>2210</v>
      </c>
      <c r="D4606" s="5" t="s">
        <v>20</v>
      </c>
      <c r="E4606" s="5" t="s">
        <v>31</v>
      </c>
      <c r="F4606" s="6">
        <v>42370</v>
      </c>
      <c r="G4606">
        <v>31</v>
      </c>
    </row>
    <row r="4607" spans="1:7" x14ac:dyDescent="0.25">
      <c r="A4607" s="5" t="s">
        <v>130</v>
      </c>
      <c r="B4607" s="5" t="s">
        <v>131</v>
      </c>
      <c r="C4607" s="5">
        <v>2210</v>
      </c>
      <c r="D4607" s="5" t="s">
        <v>20</v>
      </c>
      <c r="E4607" s="5" t="s">
        <v>31</v>
      </c>
      <c r="F4607" s="6">
        <v>42736</v>
      </c>
      <c r="G4607">
        <v>67</v>
      </c>
    </row>
    <row r="4608" spans="1:7" x14ac:dyDescent="0.25">
      <c r="A4608" s="5" t="s">
        <v>130</v>
      </c>
      <c r="B4608" s="5" t="s">
        <v>131</v>
      </c>
      <c r="C4608" s="5">
        <v>2210</v>
      </c>
      <c r="D4608" s="5" t="s">
        <v>20</v>
      </c>
      <c r="E4608" s="5" t="s">
        <v>32</v>
      </c>
      <c r="F4608" s="6">
        <v>42370</v>
      </c>
      <c r="G4608">
        <v>15</v>
      </c>
    </row>
    <row r="4609" spans="1:7" x14ac:dyDescent="0.25">
      <c r="A4609" s="5" t="s">
        <v>130</v>
      </c>
      <c r="B4609" s="5" t="s">
        <v>131</v>
      </c>
      <c r="C4609" s="5">
        <v>2210</v>
      </c>
      <c r="D4609" s="5" t="s">
        <v>20</v>
      </c>
      <c r="E4609" s="5" t="s">
        <v>32</v>
      </c>
      <c r="F4609" s="6">
        <v>42736</v>
      </c>
      <c r="G4609">
        <v>28</v>
      </c>
    </row>
    <row r="4610" spans="1:7" x14ac:dyDescent="0.25">
      <c r="A4610" s="5" t="s">
        <v>130</v>
      </c>
      <c r="B4610" s="5" t="s">
        <v>131</v>
      </c>
      <c r="C4610" s="5">
        <v>2210</v>
      </c>
      <c r="D4610" s="5" t="s">
        <v>33</v>
      </c>
      <c r="E4610" s="5" t="s">
        <v>9</v>
      </c>
      <c r="F4610" s="6">
        <v>42370</v>
      </c>
      <c r="G4610">
        <v>0</v>
      </c>
    </row>
    <row r="4611" spans="1:7" x14ac:dyDescent="0.25">
      <c r="A4611" s="5" t="s">
        <v>130</v>
      </c>
      <c r="B4611" s="5" t="s">
        <v>131</v>
      </c>
      <c r="C4611" s="5">
        <v>2210</v>
      </c>
      <c r="D4611" s="5" t="s">
        <v>33</v>
      </c>
      <c r="E4611" s="5" t="s">
        <v>9</v>
      </c>
      <c r="F4611" s="6">
        <v>42736</v>
      </c>
      <c r="G4611">
        <v>0</v>
      </c>
    </row>
    <row r="4612" spans="1:7" x14ac:dyDescent="0.25">
      <c r="A4612" s="5" t="s">
        <v>130</v>
      </c>
      <c r="B4612" s="5" t="s">
        <v>131</v>
      </c>
      <c r="C4612" s="5">
        <v>2210</v>
      </c>
      <c r="D4612" s="5" t="s">
        <v>33</v>
      </c>
      <c r="E4612" s="5" t="s">
        <v>34</v>
      </c>
      <c r="F4612" s="6">
        <v>42370</v>
      </c>
      <c r="G4612">
        <v>0</v>
      </c>
    </row>
    <row r="4613" spans="1:7" x14ac:dyDescent="0.25">
      <c r="A4613" s="5" t="s">
        <v>130</v>
      </c>
      <c r="B4613" s="5" t="s">
        <v>131</v>
      </c>
      <c r="C4613" s="5">
        <v>2210</v>
      </c>
      <c r="D4613" s="5" t="s">
        <v>33</v>
      </c>
      <c r="E4613" s="5" t="s">
        <v>34</v>
      </c>
      <c r="F4613" s="6">
        <v>42736</v>
      </c>
      <c r="G4613">
        <v>0</v>
      </c>
    </row>
    <row r="4614" spans="1:7" x14ac:dyDescent="0.25">
      <c r="A4614" s="5" t="s">
        <v>130</v>
      </c>
      <c r="B4614" s="5" t="s">
        <v>131</v>
      </c>
      <c r="C4614" s="5">
        <v>2210</v>
      </c>
      <c r="D4614" s="5" t="s">
        <v>35</v>
      </c>
      <c r="E4614" s="5" t="s">
        <v>36</v>
      </c>
      <c r="F4614" s="6">
        <v>42370</v>
      </c>
      <c r="G4614">
        <v>0</v>
      </c>
    </row>
    <row r="4615" spans="1:7" x14ac:dyDescent="0.25">
      <c r="A4615" s="5" t="s">
        <v>130</v>
      </c>
      <c r="B4615" s="5" t="s">
        <v>131</v>
      </c>
      <c r="C4615" s="5">
        <v>2210</v>
      </c>
      <c r="D4615" s="5" t="s">
        <v>35</v>
      </c>
      <c r="E4615" s="5" t="s">
        <v>36</v>
      </c>
      <c r="F4615" s="6">
        <v>42736</v>
      </c>
      <c r="G4615">
        <v>0</v>
      </c>
    </row>
    <row r="4616" spans="1:7" x14ac:dyDescent="0.25">
      <c r="A4616" s="5" t="s">
        <v>130</v>
      </c>
      <c r="B4616" s="5" t="s">
        <v>131</v>
      </c>
      <c r="C4616" s="5">
        <v>2210</v>
      </c>
      <c r="D4616" s="5" t="s">
        <v>35</v>
      </c>
      <c r="E4616" s="5" t="s">
        <v>37</v>
      </c>
      <c r="F4616" s="6">
        <v>42370</v>
      </c>
      <c r="G4616">
        <v>0</v>
      </c>
    </row>
    <row r="4617" spans="1:7" x14ac:dyDescent="0.25">
      <c r="A4617" s="5" t="s">
        <v>130</v>
      </c>
      <c r="B4617" s="5" t="s">
        <v>131</v>
      </c>
      <c r="C4617" s="5">
        <v>2210</v>
      </c>
      <c r="D4617" s="5" t="s">
        <v>35</v>
      </c>
      <c r="E4617" s="5" t="s">
        <v>37</v>
      </c>
      <c r="F4617" s="6">
        <v>42736</v>
      </c>
      <c r="G4617">
        <v>0</v>
      </c>
    </row>
    <row r="4618" spans="1:7" x14ac:dyDescent="0.25">
      <c r="A4618" s="5" t="s">
        <v>130</v>
      </c>
      <c r="B4618" s="5" t="s">
        <v>131</v>
      </c>
      <c r="C4618" s="5">
        <v>2210</v>
      </c>
      <c r="D4618" s="5" t="s">
        <v>35</v>
      </c>
      <c r="E4618" s="5" t="s">
        <v>38</v>
      </c>
      <c r="F4618" s="6">
        <v>42370</v>
      </c>
      <c r="G4618">
        <v>0</v>
      </c>
    </row>
    <row r="4619" spans="1:7" x14ac:dyDescent="0.25">
      <c r="A4619" s="5" t="s">
        <v>130</v>
      </c>
      <c r="B4619" s="5" t="s">
        <v>131</v>
      </c>
      <c r="C4619" s="5">
        <v>2210</v>
      </c>
      <c r="D4619" s="5" t="s">
        <v>35</v>
      </c>
      <c r="E4619" s="5" t="s">
        <v>38</v>
      </c>
      <c r="F4619" s="6">
        <v>42736</v>
      </c>
      <c r="G4619">
        <v>0</v>
      </c>
    </row>
    <row r="4620" spans="1:7" x14ac:dyDescent="0.25">
      <c r="A4620" s="5" t="s">
        <v>130</v>
      </c>
      <c r="B4620" s="5" t="s">
        <v>131</v>
      </c>
      <c r="C4620" s="5">
        <v>2210</v>
      </c>
      <c r="D4620" s="5" t="s">
        <v>35</v>
      </c>
      <c r="E4620" s="5" t="s">
        <v>39</v>
      </c>
      <c r="F4620" s="6">
        <v>42370</v>
      </c>
      <c r="G4620">
        <v>0</v>
      </c>
    </row>
    <row r="4621" spans="1:7" x14ac:dyDescent="0.25">
      <c r="A4621" s="5" t="s">
        <v>130</v>
      </c>
      <c r="B4621" s="5" t="s">
        <v>131</v>
      </c>
      <c r="C4621" s="5">
        <v>2210</v>
      </c>
      <c r="D4621" s="5" t="s">
        <v>35</v>
      </c>
      <c r="E4621" s="5" t="s">
        <v>39</v>
      </c>
      <c r="F4621" s="6">
        <v>42736</v>
      </c>
      <c r="G4621">
        <v>0</v>
      </c>
    </row>
    <row r="4622" spans="1:7" x14ac:dyDescent="0.25">
      <c r="A4622" s="5" t="s">
        <v>130</v>
      </c>
      <c r="B4622" s="5" t="s">
        <v>131</v>
      </c>
      <c r="C4622" s="5">
        <v>2210</v>
      </c>
      <c r="D4622" s="5" t="s">
        <v>35</v>
      </c>
      <c r="E4622" s="5" t="s">
        <v>40</v>
      </c>
      <c r="F4622" s="6">
        <v>42370</v>
      </c>
      <c r="G4622">
        <v>0</v>
      </c>
    </row>
    <row r="4623" spans="1:7" x14ac:dyDescent="0.25">
      <c r="A4623" s="5" t="s">
        <v>130</v>
      </c>
      <c r="B4623" s="5" t="s">
        <v>131</v>
      </c>
      <c r="C4623" s="5">
        <v>2210</v>
      </c>
      <c r="D4623" s="5" t="s">
        <v>35</v>
      </c>
      <c r="E4623" s="5" t="s">
        <v>40</v>
      </c>
      <c r="F4623" s="6">
        <v>42736</v>
      </c>
      <c r="G4623">
        <v>0</v>
      </c>
    </row>
    <row r="4624" spans="1:7" x14ac:dyDescent="0.25">
      <c r="A4624" s="5" t="s">
        <v>130</v>
      </c>
      <c r="B4624" s="5" t="s">
        <v>131</v>
      </c>
      <c r="C4624" s="5">
        <v>2210</v>
      </c>
      <c r="D4624" s="5" t="s">
        <v>35</v>
      </c>
      <c r="E4624" s="5" t="s">
        <v>41</v>
      </c>
      <c r="F4624" s="6">
        <v>42370</v>
      </c>
      <c r="G4624">
        <v>0</v>
      </c>
    </row>
    <row r="4625" spans="1:7" x14ac:dyDescent="0.25">
      <c r="A4625" s="5" t="s">
        <v>130</v>
      </c>
      <c r="B4625" s="5" t="s">
        <v>131</v>
      </c>
      <c r="C4625" s="5">
        <v>2210</v>
      </c>
      <c r="D4625" s="5" t="s">
        <v>35</v>
      </c>
      <c r="E4625" s="5" t="s">
        <v>41</v>
      </c>
      <c r="F4625" s="6">
        <v>42736</v>
      </c>
      <c r="G4625">
        <v>0</v>
      </c>
    </row>
    <row r="4626" spans="1:7" x14ac:dyDescent="0.25">
      <c r="A4626" s="5" t="s">
        <v>130</v>
      </c>
      <c r="B4626" s="5" t="s">
        <v>131</v>
      </c>
      <c r="C4626" s="5">
        <v>2210</v>
      </c>
      <c r="D4626" s="5" t="s">
        <v>35</v>
      </c>
      <c r="E4626" s="5" t="s">
        <v>42</v>
      </c>
      <c r="F4626" s="6">
        <v>42370</v>
      </c>
      <c r="G4626">
        <v>0</v>
      </c>
    </row>
    <row r="4627" spans="1:7" x14ac:dyDescent="0.25">
      <c r="A4627" s="5" t="s">
        <v>130</v>
      </c>
      <c r="B4627" s="5" t="s">
        <v>131</v>
      </c>
      <c r="C4627" s="5">
        <v>2210</v>
      </c>
      <c r="D4627" s="5" t="s">
        <v>35</v>
      </c>
      <c r="E4627" s="5" t="s">
        <v>42</v>
      </c>
      <c r="F4627" s="6">
        <v>42736</v>
      </c>
      <c r="G4627">
        <v>0</v>
      </c>
    </row>
    <row r="4628" spans="1:7" x14ac:dyDescent="0.25">
      <c r="A4628" s="5" t="s">
        <v>130</v>
      </c>
      <c r="B4628" s="5" t="s">
        <v>131</v>
      </c>
      <c r="C4628" s="5">
        <v>2210</v>
      </c>
      <c r="D4628" s="5" t="s">
        <v>35</v>
      </c>
      <c r="E4628" s="5" t="s">
        <v>43</v>
      </c>
      <c r="F4628" s="6">
        <v>42370</v>
      </c>
      <c r="G4628">
        <v>0</v>
      </c>
    </row>
    <row r="4629" spans="1:7" x14ac:dyDescent="0.25">
      <c r="A4629" s="5" t="s">
        <v>130</v>
      </c>
      <c r="B4629" s="5" t="s">
        <v>131</v>
      </c>
      <c r="C4629" s="5">
        <v>2210</v>
      </c>
      <c r="D4629" s="5" t="s">
        <v>35</v>
      </c>
      <c r="E4629" s="5" t="s">
        <v>43</v>
      </c>
      <c r="F4629" s="6">
        <v>42736</v>
      </c>
      <c r="G4629">
        <v>0</v>
      </c>
    </row>
    <row r="4630" spans="1:7" x14ac:dyDescent="0.25">
      <c r="A4630" s="5" t="s">
        <v>130</v>
      </c>
      <c r="B4630" s="5" t="s">
        <v>131</v>
      </c>
      <c r="C4630" s="5">
        <v>2210</v>
      </c>
      <c r="D4630" s="5" t="s">
        <v>44</v>
      </c>
      <c r="E4630" s="5" t="s">
        <v>36</v>
      </c>
      <c r="F4630" s="6">
        <v>42370</v>
      </c>
      <c r="G4630">
        <v>0</v>
      </c>
    </row>
    <row r="4631" spans="1:7" x14ac:dyDescent="0.25">
      <c r="A4631" s="5" t="s">
        <v>130</v>
      </c>
      <c r="B4631" s="5" t="s">
        <v>131</v>
      </c>
      <c r="C4631" s="5">
        <v>2210</v>
      </c>
      <c r="D4631" s="5" t="s">
        <v>44</v>
      </c>
      <c r="E4631" s="5" t="s">
        <v>36</v>
      </c>
      <c r="F4631" s="6">
        <v>42736</v>
      </c>
      <c r="G4631">
        <v>0</v>
      </c>
    </row>
    <row r="4632" spans="1:7" x14ac:dyDescent="0.25">
      <c r="A4632" s="5" t="s">
        <v>130</v>
      </c>
      <c r="B4632" s="5" t="s">
        <v>131</v>
      </c>
      <c r="C4632" s="5">
        <v>2210</v>
      </c>
      <c r="D4632" s="5" t="s">
        <v>44</v>
      </c>
      <c r="E4632" s="5" t="s">
        <v>37</v>
      </c>
      <c r="F4632" s="6">
        <v>42370</v>
      </c>
      <c r="G4632">
        <v>0</v>
      </c>
    </row>
    <row r="4633" spans="1:7" x14ac:dyDescent="0.25">
      <c r="A4633" s="5" t="s">
        <v>130</v>
      </c>
      <c r="B4633" s="5" t="s">
        <v>131</v>
      </c>
      <c r="C4633" s="5">
        <v>2210</v>
      </c>
      <c r="D4633" s="5" t="s">
        <v>44</v>
      </c>
      <c r="E4633" s="5" t="s">
        <v>37</v>
      </c>
      <c r="F4633" s="6">
        <v>42736</v>
      </c>
      <c r="G4633">
        <v>0</v>
      </c>
    </row>
    <row r="4634" spans="1:7" x14ac:dyDescent="0.25">
      <c r="A4634" s="5" t="s">
        <v>130</v>
      </c>
      <c r="B4634" s="5" t="s">
        <v>131</v>
      </c>
      <c r="C4634" s="5">
        <v>2210</v>
      </c>
      <c r="D4634" s="5" t="s">
        <v>44</v>
      </c>
      <c r="E4634" s="5" t="s">
        <v>38</v>
      </c>
      <c r="F4634" s="6">
        <v>42370</v>
      </c>
      <c r="G4634">
        <v>0</v>
      </c>
    </row>
    <row r="4635" spans="1:7" x14ac:dyDescent="0.25">
      <c r="A4635" s="5" t="s">
        <v>130</v>
      </c>
      <c r="B4635" s="5" t="s">
        <v>131</v>
      </c>
      <c r="C4635" s="5">
        <v>2210</v>
      </c>
      <c r="D4635" s="5" t="s">
        <v>44</v>
      </c>
      <c r="E4635" s="5" t="s">
        <v>38</v>
      </c>
      <c r="F4635" s="6">
        <v>42736</v>
      </c>
      <c r="G4635">
        <v>0</v>
      </c>
    </row>
    <row r="4636" spans="1:7" x14ac:dyDescent="0.25">
      <c r="A4636" s="5" t="s">
        <v>130</v>
      </c>
      <c r="B4636" s="5" t="s">
        <v>131</v>
      </c>
      <c r="C4636" s="5">
        <v>2210</v>
      </c>
      <c r="D4636" s="5" t="s">
        <v>44</v>
      </c>
      <c r="E4636" s="5" t="s">
        <v>39</v>
      </c>
      <c r="F4636" s="6">
        <v>42370</v>
      </c>
      <c r="G4636">
        <v>0</v>
      </c>
    </row>
    <row r="4637" spans="1:7" x14ac:dyDescent="0.25">
      <c r="A4637" s="5" t="s">
        <v>130</v>
      </c>
      <c r="B4637" s="5" t="s">
        <v>131</v>
      </c>
      <c r="C4637" s="5">
        <v>2210</v>
      </c>
      <c r="D4637" s="5" t="s">
        <v>44</v>
      </c>
      <c r="E4637" s="5" t="s">
        <v>39</v>
      </c>
      <c r="F4637" s="6">
        <v>42736</v>
      </c>
      <c r="G4637">
        <v>0</v>
      </c>
    </row>
    <row r="4638" spans="1:7" x14ac:dyDescent="0.25">
      <c r="A4638" s="5" t="s">
        <v>130</v>
      </c>
      <c r="B4638" s="5" t="s">
        <v>131</v>
      </c>
      <c r="C4638" s="5">
        <v>2210</v>
      </c>
      <c r="D4638" s="5" t="s">
        <v>44</v>
      </c>
      <c r="E4638" s="5" t="s">
        <v>40</v>
      </c>
      <c r="F4638" s="6">
        <v>42370</v>
      </c>
      <c r="G4638">
        <v>0</v>
      </c>
    </row>
    <row r="4639" spans="1:7" x14ac:dyDescent="0.25">
      <c r="A4639" s="5" t="s">
        <v>130</v>
      </c>
      <c r="B4639" s="5" t="s">
        <v>131</v>
      </c>
      <c r="C4639" s="5">
        <v>2210</v>
      </c>
      <c r="D4639" s="5" t="s">
        <v>44</v>
      </c>
      <c r="E4639" s="5" t="s">
        <v>40</v>
      </c>
      <c r="F4639" s="6">
        <v>42736</v>
      </c>
      <c r="G4639">
        <v>0</v>
      </c>
    </row>
    <row r="4640" spans="1:7" x14ac:dyDescent="0.25">
      <c r="A4640" s="5" t="s">
        <v>130</v>
      </c>
      <c r="B4640" s="5" t="s">
        <v>131</v>
      </c>
      <c r="C4640" s="5">
        <v>2210</v>
      </c>
      <c r="D4640" s="5" t="s">
        <v>44</v>
      </c>
      <c r="E4640" s="5" t="s">
        <v>41</v>
      </c>
      <c r="F4640" s="6">
        <v>42370</v>
      </c>
      <c r="G4640">
        <v>0</v>
      </c>
    </row>
    <row r="4641" spans="1:7" x14ac:dyDescent="0.25">
      <c r="A4641" s="5" t="s">
        <v>130</v>
      </c>
      <c r="B4641" s="5" t="s">
        <v>131</v>
      </c>
      <c r="C4641" s="5">
        <v>2210</v>
      </c>
      <c r="D4641" s="5" t="s">
        <v>44</v>
      </c>
      <c r="E4641" s="5" t="s">
        <v>41</v>
      </c>
      <c r="F4641" s="6">
        <v>42736</v>
      </c>
      <c r="G4641">
        <v>0</v>
      </c>
    </row>
    <row r="4642" spans="1:7" x14ac:dyDescent="0.25">
      <c r="A4642" s="5" t="s">
        <v>130</v>
      </c>
      <c r="B4642" s="5" t="s">
        <v>131</v>
      </c>
      <c r="C4642" s="5">
        <v>2210</v>
      </c>
      <c r="D4642" s="5" t="s">
        <v>44</v>
      </c>
      <c r="E4642" s="5" t="s">
        <v>42</v>
      </c>
      <c r="F4642" s="6">
        <v>42370</v>
      </c>
      <c r="G4642">
        <v>0</v>
      </c>
    </row>
    <row r="4643" spans="1:7" x14ac:dyDescent="0.25">
      <c r="A4643" s="5" t="s">
        <v>130</v>
      </c>
      <c r="B4643" s="5" t="s">
        <v>131</v>
      </c>
      <c r="C4643" s="5">
        <v>2210</v>
      </c>
      <c r="D4643" s="5" t="s">
        <v>44</v>
      </c>
      <c r="E4643" s="5" t="s">
        <v>42</v>
      </c>
      <c r="F4643" s="6">
        <v>42736</v>
      </c>
      <c r="G4643">
        <v>0</v>
      </c>
    </row>
    <row r="4644" spans="1:7" x14ac:dyDescent="0.25">
      <c r="A4644" s="5" t="s">
        <v>130</v>
      </c>
      <c r="B4644" s="5" t="s">
        <v>131</v>
      </c>
      <c r="C4644" s="5">
        <v>2210</v>
      </c>
      <c r="D4644" s="5" t="s">
        <v>44</v>
      </c>
      <c r="E4644" s="5" t="s">
        <v>43</v>
      </c>
      <c r="F4644" s="6">
        <v>42370</v>
      </c>
      <c r="G4644">
        <v>0</v>
      </c>
    </row>
    <row r="4645" spans="1:7" x14ac:dyDescent="0.25">
      <c r="A4645" s="5" t="s">
        <v>130</v>
      </c>
      <c r="B4645" s="5" t="s">
        <v>131</v>
      </c>
      <c r="C4645" s="5">
        <v>2210</v>
      </c>
      <c r="D4645" s="5" t="s">
        <v>44</v>
      </c>
      <c r="E4645" s="5" t="s">
        <v>43</v>
      </c>
      <c r="F4645" s="6">
        <v>42736</v>
      </c>
      <c r="G4645">
        <v>0</v>
      </c>
    </row>
    <row r="4646" spans="1:7" x14ac:dyDescent="0.25">
      <c r="A4646" s="5" t="s">
        <v>130</v>
      </c>
      <c r="B4646" s="5" t="s">
        <v>131</v>
      </c>
      <c r="C4646" s="5">
        <v>2210</v>
      </c>
      <c r="D4646" s="5" t="s">
        <v>45</v>
      </c>
      <c r="E4646" s="5" t="s">
        <v>46</v>
      </c>
      <c r="F4646" s="6">
        <v>42370</v>
      </c>
      <c r="G4646">
        <v>0</v>
      </c>
    </row>
    <row r="4647" spans="1:7" x14ac:dyDescent="0.25">
      <c r="A4647" s="5" t="s">
        <v>130</v>
      </c>
      <c r="B4647" s="5" t="s">
        <v>131</v>
      </c>
      <c r="C4647" s="5">
        <v>2210</v>
      </c>
      <c r="D4647" s="5" t="s">
        <v>45</v>
      </c>
      <c r="E4647" s="5" t="s">
        <v>46</v>
      </c>
      <c r="F4647" s="6">
        <v>42736</v>
      </c>
      <c r="G4647">
        <v>0</v>
      </c>
    </row>
    <row r="4648" spans="1:7" x14ac:dyDescent="0.25">
      <c r="A4648" s="5" t="s">
        <v>130</v>
      </c>
      <c r="B4648" s="5" t="s">
        <v>131</v>
      </c>
      <c r="C4648" s="5">
        <v>2210</v>
      </c>
      <c r="D4648" s="5" t="s">
        <v>45</v>
      </c>
      <c r="E4648" s="5" t="s">
        <v>47</v>
      </c>
      <c r="F4648" s="6">
        <v>42370</v>
      </c>
      <c r="G4648">
        <v>0</v>
      </c>
    </row>
    <row r="4649" spans="1:7" x14ac:dyDescent="0.25">
      <c r="A4649" s="5" t="s">
        <v>130</v>
      </c>
      <c r="B4649" s="5" t="s">
        <v>131</v>
      </c>
      <c r="C4649" s="5">
        <v>2210</v>
      </c>
      <c r="D4649" s="5" t="s">
        <v>45</v>
      </c>
      <c r="E4649" s="5" t="s">
        <v>47</v>
      </c>
      <c r="F4649" s="6">
        <v>42736</v>
      </c>
      <c r="G4649">
        <v>0</v>
      </c>
    </row>
    <row r="4650" spans="1:7" x14ac:dyDescent="0.25">
      <c r="A4650" s="5" t="s">
        <v>130</v>
      </c>
      <c r="B4650" s="5" t="s">
        <v>131</v>
      </c>
      <c r="C4650" s="5">
        <v>2210</v>
      </c>
      <c r="D4650" s="5" t="s">
        <v>45</v>
      </c>
      <c r="E4650" s="5" t="s">
        <v>48</v>
      </c>
      <c r="F4650" s="6">
        <v>42370</v>
      </c>
      <c r="G4650">
        <v>3</v>
      </c>
    </row>
    <row r="4651" spans="1:7" x14ac:dyDescent="0.25">
      <c r="A4651" s="5" t="s">
        <v>130</v>
      </c>
      <c r="B4651" s="5" t="s">
        <v>131</v>
      </c>
      <c r="C4651" s="5">
        <v>2210</v>
      </c>
      <c r="D4651" s="5" t="s">
        <v>45</v>
      </c>
      <c r="E4651" s="5" t="s">
        <v>48</v>
      </c>
      <c r="F4651" s="6">
        <v>42736</v>
      </c>
      <c r="G4651">
        <v>6</v>
      </c>
    </row>
    <row r="4652" spans="1:7" x14ac:dyDescent="0.25">
      <c r="A4652" s="5" t="s">
        <v>130</v>
      </c>
      <c r="B4652" s="5" t="s">
        <v>131</v>
      </c>
      <c r="C4652" s="5">
        <v>2210</v>
      </c>
      <c r="D4652" s="5" t="s">
        <v>45</v>
      </c>
      <c r="E4652" s="5" t="s">
        <v>49</v>
      </c>
      <c r="F4652" s="6">
        <v>42370</v>
      </c>
      <c r="G4652">
        <v>0</v>
      </c>
    </row>
    <row r="4653" spans="1:7" x14ac:dyDescent="0.25">
      <c r="A4653" s="5" t="s">
        <v>130</v>
      </c>
      <c r="B4653" s="5" t="s">
        <v>131</v>
      </c>
      <c r="C4653" s="5">
        <v>2210</v>
      </c>
      <c r="D4653" s="5" t="s">
        <v>45</v>
      </c>
      <c r="E4653" s="5" t="s">
        <v>49</v>
      </c>
      <c r="F4653" s="6">
        <v>42736</v>
      </c>
      <c r="G4653">
        <v>0</v>
      </c>
    </row>
    <row r="4654" spans="1:7" x14ac:dyDescent="0.25">
      <c r="A4654" s="5" t="s">
        <v>130</v>
      </c>
      <c r="B4654" s="5" t="s">
        <v>131</v>
      </c>
      <c r="C4654" s="5">
        <v>2210</v>
      </c>
      <c r="D4654" s="5" t="s">
        <v>45</v>
      </c>
      <c r="E4654" s="5" t="s">
        <v>50</v>
      </c>
      <c r="F4654" s="6">
        <v>42370</v>
      </c>
      <c r="G4654">
        <v>0</v>
      </c>
    </row>
    <row r="4655" spans="1:7" x14ac:dyDescent="0.25">
      <c r="A4655" s="5" t="s">
        <v>130</v>
      </c>
      <c r="B4655" s="5" t="s">
        <v>131</v>
      </c>
      <c r="C4655" s="5">
        <v>2210</v>
      </c>
      <c r="D4655" s="5" t="s">
        <v>45</v>
      </c>
      <c r="E4655" s="5" t="s">
        <v>50</v>
      </c>
      <c r="F4655" s="6">
        <v>42736</v>
      </c>
      <c r="G4655">
        <v>0</v>
      </c>
    </row>
    <row r="4656" spans="1:7" x14ac:dyDescent="0.25">
      <c r="A4656" s="5" t="s">
        <v>130</v>
      </c>
      <c r="B4656" s="5" t="s">
        <v>131</v>
      </c>
      <c r="C4656" s="5">
        <v>2210</v>
      </c>
      <c r="D4656" s="5" t="s">
        <v>45</v>
      </c>
      <c r="E4656" s="5" t="s">
        <v>51</v>
      </c>
      <c r="F4656" s="6">
        <v>42370</v>
      </c>
      <c r="G4656">
        <v>0</v>
      </c>
    </row>
    <row r="4657" spans="1:7" x14ac:dyDescent="0.25">
      <c r="A4657" s="5" t="s">
        <v>130</v>
      </c>
      <c r="B4657" s="5" t="s">
        <v>131</v>
      </c>
      <c r="C4657" s="5">
        <v>2210</v>
      </c>
      <c r="D4657" s="5" t="s">
        <v>45</v>
      </c>
      <c r="E4657" s="5" t="s">
        <v>51</v>
      </c>
      <c r="F4657" s="6">
        <v>42736</v>
      </c>
      <c r="G4657">
        <v>0</v>
      </c>
    </row>
    <row r="4658" spans="1:7" x14ac:dyDescent="0.25">
      <c r="A4658" s="5" t="s">
        <v>130</v>
      </c>
      <c r="B4658" s="5" t="s">
        <v>131</v>
      </c>
      <c r="C4658" s="5">
        <v>2210</v>
      </c>
      <c r="D4658" s="5" t="s">
        <v>45</v>
      </c>
      <c r="E4658" s="5" t="s">
        <v>52</v>
      </c>
      <c r="F4658" s="6">
        <v>42370</v>
      </c>
      <c r="G4658">
        <v>0</v>
      </c>
    </row>
    <row r="4659" spans="1:7" x14ac:dyDescent="0.25">
      <c r="A4659" s="5" t="s">
        <v>130</v>
      </c>
      <c r="B4659" s="5" t="s">
        <v>131</v>
      </c>
      <c r="C4659" s="5">
        <v>2210</v>
      </c>
      <c r="D4659" s="5" t="s">
        <v>45</v>
      </c>
      <c r="E4659" s="5" t="s">
        <v>52</v>
      </c>
      <c r="F4659" s="6">
        <v>42736</v>
      </c>
      <c r="G4659">
        <v>0</v>
      </c>
    </row>
    <row r="4660" spans="1:7" x14ac:dyDescent="0.25">
      <c r="A4660" s="5" t="s">
        <v>130</v>
      </c>
      <c r="B4660" s="5" t="s">
        <v>131</v>
      </c>
      <c r="C4660" s="5">
        <v>2210</v>
      </c>
      <c r="D4660" s="5" t="s">
        <v>45</v>
      </c>
      <c r="E4660" s="5" t="s">
        <v>53</v>
      </c>
      <c r="F4660" s="6">
        <v>42370</v>
      </c>
      <c r="G4660">
        <v>1</v>
      </c>
    </row>
    <row r="4661" spans="1:7" x14ac:dyDescent="0.25">
      <c r="A4661" s="5" t="s">
        <v>130</v>
      </c>
      <c r="B4661" s="5" t="s">
        <v>131</v>
      </c>
      <c r="C4661" s="5">
        <v>2210</v>
      </c>
      <c r="D4661" s="5" t="s">
        <v>45</v>
      </c>
      <c r="E4661" s="5" t="s">
        <v>53</v>
      </c>
      <c r="F4661" s="6">
        <v>42736</v>
      </c>
      <c r="G4661">
        <v>8</v>
      </c>
    </row>
    <row r="4662" spans="1:7" x14ac:dyDescent="0.25">
      <c r="A4662" s="5" t="s">
        <v>130</v>
      </c>
      <c r="B4662" s="5" t="s">
        <v>131</v>
      </c>
      <c r="C4662" s="5">
        <v>2210</v>
      </c>
      <c r="D4662" s="5" t="s">
        <v>45</v>
      </c>
      <c r="E4662" s="5" t="s">
        <v>54</v>
      </c>
      <c r="F4662" s="6">
        <v>42370</v>
      </c>
      <c r="G4662">
        <v>0</v>
      </c>
    </row>
    <row r="4663" spans="1:7" x14ac:dyDescent="0.25">
      <c r="A4663" s="5" t="s">
        <v>130</v>
      </c>
      <c r="B4663" s="5" t="s">
        <v>131</v>
      </c>
      <c r="C4663" s="5">
        <v>2210</v>
      </c>
      <c r="D4663" s="5" t="s">
        <v>45</v>
      </c>
      <c r="E4663" s="5" t="s">
        <v>54</v>
      </c>
      <c r="F4663" s="6">
        <v>42736</v>
      </c>
      <c r="G4663">
        <v>0</v>
      </c>
    </row>
    <row r="4664" spans="1:7" x14ac:dyDescent="0.25">
      <c r="A4664" s="5" t="s">
        <v>130</v>
      </c>
      <c r="B4664" s="5" t="s">
        <v>131</v>
      </c>
      <c r="C4664" s="5">
        <v>2210</v>
      </c>
      <c r="D4664" s="5" t="s">
        <v>45</v>
      </c>
      <c r="E4664" s="5" t="s">
        <v>55</v>
      </c>
      <c r="F4664" s="6">
        <v>42370</v>
      </c>
      <c r="G4664">
        <v>0</v>
      </c>
    </row>
    <row r="4665" spans="1:7" x14ac:dyDescent="0.25">
      <c r="A4665" s="5" t="s">
        <v>130</v>
      </c>
      <c r="B4665" s="5" t="s">
        <v>131</v>
      </c>
      <c r="C4665" s="5">
        <v>2210</v>
      </c>
      <c r="D4665" s="5" t="s">
        <v>45</v>
      </c>
      <c r="E4665" s="5" t="s">
        <v>55</v>
      </c>
      <c r="F4665" s="6">
        <v>42736</v>
      </c>
      <c r="G4665">
        <v>0</v>
      </c>
    </row>
    <row r="4666" spans="1:7" x14ac:dyDescent="0.25">
      <c r="A4666" s="5" t="s">
        <v>130</v>
      </c>
      <c r="B4666" s="5" t="s">
        <v>131</v>
      </c>
      <c r="C4666" s="5">
        <v>2210</v>
      </c>
      <c r="D4666" s="5" t="s">
        <v>45</v>
      </c>
      <c r="E4666" s="5" t="s">
        <v>56</v>
      </c>
      <c r="F4666" s="6">
        <v>42370</v>
      </c>
      <c r="G4666">
        <v>0</v>
      </c>
    </row>
    <row r="4667" spans="1:7" x14ac:dyDescent="0.25">
      <c r="A4667" s="5" t="s">
        <v>130</v>
      </c>
      <c r="B4667" s="5" t="s">
        <v>131</v>
      </c>
      <c r="C4667" s="5">
        <v>2210</v>
      </c>
      <c r="D4667" s="5" t="s">
        <v>45</v>
      </c>
      <c r="E4667" s="5" t="s">
        <v>56</v>
      </c>
      <c r="F4667" s="6">
        <v>42736</v>
      </c>
      <c r="G4667">
        <v>0</v>
      </c>
    </row>
    <row r="4668" spans="1:7" x14ac:dyDescent="0.25">
      <c r="A4668" s="5" t="s">
        <v>130</v>
      </c>
      <c r="B4668" s="5" t="s">
        <v>131</v>
      </c>
      <c r="C4668" s="5">
        <v>2210</v>
      </c>
      <c r="D4668" s="5" t="s">
        <v>45</v>
      </c>
      <c r="E4668" s="5" t="s">
        <v>57</v>
      </c>
      <c r="F4668" s="6">
        <v>42370</v>
      </c>
      <c r="G4668">
        <v>0</v>
      </c>
    </row>
    <row r="4669" spans="1:7" x14ac:dyDescent="0.25">
      <c r="A4669" s="5" t="s">
        <v>130</v>
      </c>
      <c r="B4669" s="5" t="s">
        <v>131</v>
      </c>
      <c r="C4669" s="5">
        <v>2210</v>
      </c>
      <c r="D4669" s="5" t="s">
        <v>45</v>
      </c>
      <c r="E4669" s="5" t="s">
        <v>57</v>
      </c>
      <c r="F4669" s="6">
        <v>42736</v>
      </c>
      <c r="G4669">
        <v>0</v>
      </c>
    </row>
    <row r="4670" spans="1:7" x14ac:dyDescent="0.25">
      <c r="A4670" s="5" t="s">
        <v>130</v>
      </c>
      <c r="B4670" s="5" t="s">
        <v>131</v>
      </c>
      <c r="C4670" s="5">
        <v>2210</v>
      </c>
      <c r="D4670" s="5" t="s">
        <v>45</v>
      </c>
      <c r="E4670" s="5" t="s">
        <v>58</v>
      </c>
      <c r="F4670" s="6">
        <v>42370</v>
      </c>
      <c r="G4670">
        <v>0</v>
      </c>
    </row>
    <row r="4671" spans="1:7" x14ac:dyDescent="0.25">
      <c r="A4671" s="5" t="s">
        <v>130</v>
      </c>
      <c r="B4671" s="5" t="s">
        <v>131</v>
      </c>
      <c r="C4671" s="5">
        <v>2210</v>
      </c>
      <c r="D4671" s="5" t="s">
        <v>45</v>
      </c>
      <c r="E4671" s="5" t="s">
        <v>58</v>
      </c>
      <c r="F4671" s="6">
        <v>42736</v>
      </c>
      <c r="G4671">
        <v>0</v>
      </c>
    </row>
    <row r="4672" spans="1:7" x14ac:dyDescent="0.25">
      <c r="A4672" s="5" t="s">
        <v>130</v>
      </c>
      <c r="B4672" s="5" t="s">
        <v>131</v>
      </c>
      <c r="C4672" s="5">
        <v>2210</v>
      </c>
      <c r="D4672" s="5" t="s">
        <v>45</v>
      </c>
      <c r="E4672" s="5" t="s">
        <v>59</v>
      </c>
      <c r="F4672" s="6">
        <v>42370</v>
      </c>
      <c r="G4672">
        <v>0</v>
      </c>
    </row>
    <row r="4673" spans="1:7" x14ac:dyDescent="0.25">
      <c r="A4673" s="5" t="s">
        <v>130</v>
      </c>
      <c r="B4673" s="5" t="s">
        <v>131</v>
      </c>
      <c r="C4673" s="5">
        <v>2210</v>
      </c>
      <c r="D4673" s="5" t="s">
        <v>45</v>
      </c>
      <c r="E4673" s="5" t="s">
        <v>59</v>
      </c>
      <c r="F4673" s="6">
        <v>42736</v>
      </c>
      <c r="G4673">
        <v>0</v>
      </c>
    </row>
    <row r="4674" spans="1:7" x14ac:dyDescent="0.25">
      <c r="A4674" s="5" t="s">
        <v>130</v>
      </c>
      <c r="B4674" s="5" t="s">
        <v>131</v>
      </c>
      <c r="C4674" s="5">
        <v>2210</v>
      </c>
      <c r="D4674" s="5" t="s">
        <v>45</v>
      </c>
      <c r="E4674" s="5" t="s">
        <v>60</v>
      </c>
      <c r="F4674" s="6">
        <v>42370</v>
      </c>
      <c r="G4674">
        <v>0</v>
      </c>
    </row>
    <row r="4675" spans="1:7" x14ac:dyDescent="0.25">
      <c r="A4675" s="5" t="s">
        <v>130</v>
      </c>
      <c r="B4675" s="5" t="s">
        <v>131</v>
      </c>
      <c r="C4675" s="5">
        <v>2210</v>
      </c>
      <c r="D4675" s="5" t="s">
        <v>45</v>
      </c>
      <c r="E4675" s="5" t="s">
        <v>60</v>
      </c>
      <c r="F4675" s="6">
        <v>42736</v>
      </c>
      <c r="G4675">
        <v>0</v>
      </c>
    </row>
    <row r="4676" spans="1:7" x14ac:dyDescent="0.25">
      <c r="A4676" s="5" t="s">
        <v>130</v>
      </c>
      <c r="B4676" s="5" t="s">
        <v>131</v>
      </c>
      <c r="C4676" s="5">
        <v>2210</v>
      </c>
      <c r="D4676" s="5" t="s">
        <v>45</v>
      </c>
      <c r="E4676" s="5" t="s">
        <v>61</v>
      </c>
      <c r="F4676" s="6">
        <v>42370</v>
      </c>
      <c r="G4676">
        <v>0</v>
      </c>
    </row>
    <row r="4677" spans="1:7" x14ac:dyDescent="0.25">
      <c r="A4677" s="5" t="s">
        <v>130</v>
      </c>
      <c r="B4677" s="5" t="s">
        <v>131</v>
      </c>
      <c r="C4677" s="5">
        <v>2210</v>
      </c>
      <c r="D4677" s="5" t="s">
        <v>45</v>
      </c>
      <c r="E4677" s="5" t="s">
        <v>61</v>
      </c>
      <c r="F4677" s="6">
        <v>42736</v>
      </c>
      <c r="G4677">
        <v>0</v>
      </c>
    </row>
    <row r="4678" spans="1:7" x14ac:dyDescent="0.25">
      <c r="A4678" s="5" t="s">
        <v>130</v>
      </c>
      <c r="B4678" s="5" t="s">
        <v>131</v>
      </c>
      <c r="C4678" s="5">
        <v>2210</v>
      </c>
      <c r="D4678" s="5" t="s">
        <v>62</v>
      </c>
      <c r="E4678" s="5" t="s">
        <v>63</v>
      </c>
      <c r="F4678" s="6">
        <v>42370</v>
      </c>
      <c r="G4678">
        <v>0</v>
      </c>
    </row>
    <row r="4679" spans="1:7" x14ac:dyDescent="0.25">
      <c r="A4679" s="5" t="s">
        <v>130</v>
      </c>
      <c r="B4679" s="5" t="s">
        <v>131</v>
      </c>
      <c r="C4679" s="5">
        <v>2210</v>
      </c>
      <c r="D4679" s="5" t="s">
        <v>62</v>
      </c>
      <c r="E4679" s="5" t="s">
        <v>63</v>
      </c>
      <c r="F4679" s="6">
        <v>42736</v>
      </c>
      <c r="G4679">
        <v>0</v>
      </c>
    </row>
    <row r="4680" spans="1:7" x14ac:dyDescent="0.25">
      <c r="A4680" s="5" t="s">
        <v>130</v>
      </c>
      <c r="B4680" s="5" t="s">
        <v>131</v>
      </c>
      <c r="C4680" s="5">
        <v>2210</v>
      </c>
      <c r="D4680" s="5" t="s">
        <v>62</v>
      </c>
      <c r="E4680" s="5" t="s">
        <v>64</v>
      </c>
      <c r="F4680" s="6">
        <v>42370</v>
      </c>
      <c r="G4680">
        <v>0</v>
      </c>
    </row>
    <row r="4681" spans="1:7" x14ac:dyDescent="0.25">
      <c r="A4681" s="5" t="s">
        <v>130</v>
      </c>
      <c r="B4681" s="5" t="s">
        <v>131</v>
      </c>
      <c r="C4681" s="5">
        <v>2210</v>
      </c>
      <c r="D4681" s="5" t="s">
        <v>62</v>
      </c>
      <c r="E4681" s="5" t="s">
        <v>64</v>
      </c>
      <c r="F4681" s="6">
        <v>42736</v>
      </c>
      <c r="G4681">
        <v>0</v>
      </c>
    </row>
    <row r="4682" spans="1:7" x14ac:dyDescent="0.25">
      <c r="A4682" s="5" t="s">
        <v>130</v>
      </c>
      <c r="B4682" s="5" t="s">
        <v>131</v>
      </c>
      <c r="C4682" s="5">
        <v>2210</v>
      </c>
      <c r="D4682" s="5" t="s">
        <v>62</v>
      </c>
      <c r="E4682" s="5" t="s">
        <v>9</v>
      </c>
      <c r="F4682" s="6">
        <v>42370</v>
      </c>
      <c r="G4682">
        <v>0</v>
      </c>
    </row>
    <row r="4683" spans="1:7" x14ac:dyDescent="0.25">
      <c r="A4683" s="5" t="s">
        <v>130</v>
      </c>
      <c r="B4683" s="5" t="s">
        <v>131</v>
      </c>
      <c r="C4683" s="5">
        <v>2210</v>
      </c>
      <c r="D4683" s="5" t="s">
        <v>62</v>
      </c>
      <c r="E4683" s="5" t="s">
        <v>9</v>
      </c>
      <c r="F4683" s="6">
        <v>42736</v>
      </c>
      <c r="G4683">
        <v>0</v>
      </c>
    </row>
    <row r="4684" spans="1:7" x14ac:dyDescent="0.25">
      <c r="A4684" s="5" t="s">
        <v>130</v>
      </c>
      <c r="B4684" s="5" t="s">
        <v>131</v>
      </c>
      <c r="C4684" s="5">
        <v>2210</v>
      </c>
      <c r="D4684" s="5" t="s">
        <v>62</v>
      </c>
      <c r="E4684" s="5" t="s">
        <v>65</v>
      </c>
      <c r="F4684" s="6">
        <v>42370</v>
      </c>
      <c r="G4684">
        <v>0</v>
      </c>
    </row>
    <row r="4685" spans="1:7" x14ac:dyDescent="0.25">
      <c r="A4685" s="5" t="s">
        <v>130</v>
      </c>
      <c r="B4685" s="5" t="s">
        <v>131</v>
      </c>
      <c r="C4685" s="5">
        <v>2210</v>
      </c>
      <c r="D4685" s="5" t="s">
        <v>62</v>
      </c>
      <c r="E4685" s="5" t="s">
        <v>65</v>
      </c>
      <c r="F4685" s="6">
        <v>42736</v>
      </c>
      <c r="G4685">
        <v>0</v>
      </c>
    </row>
    <row r="4686" spans="1:7" x14ac:dyDescent="0.25">
      <c r="A4686" s="5" t="s">
        <v>130</v>
      </c>
      <c r="B4686" s="5" t="s">
        <v>131</v>
      </c>
      <c r="C4686" s="5">
        <v>2210</v>
      </c>
      <c r="D4686" s="5" t="s">
        <v>62</v>
      </c>
      <c r="E4686" s="5" t="s">
        <v>66</v>
      </c>
      <c r="F4686" s="6">
        <v>42370</v>
      </c>
      <c r="G4686">
        <v>0</v>
      </c>
    </row>
    <row r="4687" spans="1:7" x14ac:dyDescent="0.25">
      <c r="A4687" s="5" t="s">
        <v>130</v>
      </c>
      <c r="B4687" s="5" t="s">
        <v>131</v>
      </c>
      <c r="C4687" s="5">
        <v>2210</v>
      </c>
      <c r="D4687" s="5" t="s">
        <v>62</v>
      </c>
      <c r="E4687" s="5" t="s">
        <v>66</v>
      </c>
      <c r="F4687" s="6">
        <v>42736</v>
      </c>
      <c r="G4687">
        <v>0</v>
      </c>
    </row>
    <row r="4688" spans="1:7" x14ac:dyDescent="0.25">
      <c r="A4688" s="5" t="s">
        <v>130</v>
      </c>
      <c r="B4688" s="5" t="s">
        <v>131</v>
      </c>
      <c r="C4688" s="5">
        <v>2210</v>
      </c>
      <c r="D4688" s="5" t="s">
        <v>62</v>
      </c>
      <c r="E4688" s="5" t="s">
        <v>67</v>
      </c>
      <c r="F4688" s="6">
        <v>42370</v>
      </c>
      <c r="G4688">
        <v>0</v>
      </c>
    </row>
    <row r="4689" spans="1:7" x14ac:dyDescent="0.25">
      <c r="A4689" s="5" t="s">
        <v>130</v>
      </c>
      <c r="B4689" s="5" t="s">
        <v>131</v>
      </c>
      <c r="C4689" s="5">
        <v>2210</v>
      </c>
      <c r="D4689" s="5" t="s">
        <v>62</v>
      </c>
      <c r="E4689" s="5" t="s">
        <v>67</v>
      </c>
      <c r="F4689" s="6">
        <v>42736</v>
      </c>
      <c r="G4689">
        <v>0</v>
      </c>
    </row>
    <row r="4690" spans="1:7" x14ac:dyDescent="0.25">
      <c r="A4690" s="5" t="s">
        <v>130</v>
      </c>
      <c r="B4690" s="5" t="s">
        <v>131</v>
      </c>
      <c r="C4690" s="5">
        <v>2210</v>
      </c>
      <c r="D4690" s="5" t="s">
        <v>62</v>
      </c>
      <c r="E4690" s="5" t="s">
        <v>68</v>
      </c>
      <c r="F4690" s="6">
        <v>42370</v>
      </c>
      <c r="G4690">
        <v>0</v>
      </c>
    </row>
    <row r="4691" spans="1:7" x14ac:dyDescent="0.25">
      <c r="A4691" s="5" t="s">
        <v>130</v>
      </c>
      <c r="B4691" s="5" t="s">
        <v>131</v>
      </c>
      <c r="C4691" s="5">
        <v>2210</v>
      </c>
      <c r="D4691" s="5" t="s">
        <v>62</v>
      </c>
      <c r="E4691" s="5" t="s">
        <v>68</v>
      </c>
      <c r="F4691" s="6">
        <v>42736</v>
      </c>
      <c r="G4691">
        <v>0</v>
      </c>
    </row>
    <row r="4692" spans="1:7" x14ac:dyDescent="0.25">
      <c r="A4692" s="5" t="s">
        <v>130</v>
      </c>
      <c r="B4692" s="5" t="s">
        <v>131</v>
      </c>
      <c r="C4692" s="5">
        <v>2210</v>
      </c>
      <c r="D4692" s="5" t="s">
        <v>62</v>
      </c>
      <c r="E4692" s="5" t="s">
        <v>69</v>
      </c>
      <c r="F4692" s="6">
        <v>42370</v>
      </c>
      <c r="G4692">
        <v>0</v>
      </c>
    </row>
    <row r="4693" spans="1:7" x14ac:dyDescent="0.25">
      <c r="A4693" s="5" t="s">
        <v>130</v>
      </c>
      <c r="B4693" s="5" t="s">
        <v>131</v>
      </c>
      <c r="C4693" s="5">
        <v>2210</v>
      </c>
      <c r="D4693" s="5" t="s">
        <v>62</v>
      </c>
      <c r="E4693" s="5" t="s">
        <v>69</v>
      </c>
      <c r="F4693" s="6">
        <v>42736</v>
      </c>
      <c r="G4693">
        <v>0</v>
      </c>
    </row>
    <row r="4694" spans="1:7" x14ac:dyDescent="0.25">
      <c r="A4694" s="5" t="s">
        <v>130</v>
      </c>
      <c r="B4694" s="5" t="s">
        <v>131</v>
      </c>
      <c r="C4694" s="5">
        <v>2210</v>
      </c>
      <c r="D4694" s="5" t="s">
        <v>62</v>
      </c>
      <c r="E4694" s="5" t="s">
        <v>70</v>
      </c>
      <c r="F4694" s="6">
        <v>42370</v>
      </c>
      <c r="G4694">
        <v>0</v>
      </c>
    </row>
    <row r="4695" spans="1:7" x14ac:dyDescent="0.25">
      <c r="A4695" s="5" t="s">
        <v>130</v>
      </c>
      <c r="B4695" s="5" t="s">
        <v>131</v>
      </c>
      <c r="C4695" s="5">
        <v>2210</v>
      </c>
      <c r="D4695" s="5" t="s">
        <v>62</v>
      </c>
      <c r="E4695" s="5" t="s">
        <v>70</v>
      </c>
      <c r="F4695" s="6">
        <v>42736</v>
      </c>
      <c r="G4695">
        <v>0</v>
      </c>
    </row>
    <row r="4696" spans="1:7" x14ac:dyDescent="0.25">
      <c r="A4696" s="5" t="s">
        <v>130</v>
      </c>
      <c r="B4696" s="5" t="s">
        <v>131</v>
      </c>
      <c r="C4696" s="5">
        <v>2210</v>
      </c>
      <c r="D4696" s="5" t="s">
        <v>62</v>
      </c>
      <c r="E4696" s="5" t="s">
        <v>71</v>
      </c>
      <c r="F4696" s="6">
        <v>42370</v>
      </c>
      <c r="G4696">
        <v>0</v>
      </c>
    </row>
    <row r="4697" spans="1:7" x14ac:dyDescent="0.25">
      <c r="A4697" s="5" t="s">
        <v>130</v>
      </c>
      <c r="B4697" s="5" t="s">
        <v>131</v>
      </c>
      <c r="C4697" s="5">
        <v>2210</v>
      </c>
      <c r="D4697" s="5" t="s">
        <v>62</v>
      </c>
      <c r="E4697" s="5" t="s">
        <v>71</v>
      </c>
      <c r="F4697" s="6">
        <v>42736</v>
      </c>
      <c r="G4697">
        <v>0</v>
      </c>
    </row>
    <row r="4698" spans="1:7" x14ac:dyDescent="0.25">
      <c r="A4698" s="5" t="s">
        <v>130</v>
      </c>
      <c r="B4698" s="5" t="s">
        <v>131</v>
      </c>
      <c r="C4698" s="5">
        <v>2210</v>
      </c>
      <c r="D4698" s="5" t="s">
        <v>72</v>
      </c>
      <c r="E4698" s="5" t="s">
        <v>73</v>
      </c>
      <c r="F4698" s="6">
        <v>42370</v>
      </c>
      <c r="G4698">
        <v>0</v>
      </c>
    </row>
    <row r="4699" spans="1:7" x14ac:dyDescent="0.25">
      <c r="A4699" s="5" t="s">
        <v>130</v>
      </c>
      <c r="B4699" s="5" t="s">
        <v>131</v>
      </c>
      <c r="C4699" s="5">
        <v>2210</v>
      </c>
      <c r="D4699" s="5" t="s">
        <v>72</v>
      </c>
      <c r="E4699" s="5" t="s">
        <v>73</v>
      </c>
      <c r="F4699" s="6">
        <v>42736</v>
      </c>
      <c r="G4699">
        <v>0</v>
      </c>
    </row>
    <row r="4700" spans="1:7" x14ac:dyDescent="0.25">
      <c r="A4700" s="5" t="s">
        <v>130</v>
      </c>
      <c r="B4700" s="5" t="s">
        <v>131</v>
      </c>
      <c r="C4700" s="5">
        <v>2210</v>
      </c>
      <c r="D4700" s="5" t="s">
        <v>72</v>
      </c>
      <c r="E4700" s="5" t="s">
        <v>9</v>
      </c>
      <c r="F4700" s="6">
        <v>42370</v>
      </c>
      <c r="G4700">
        <v>0</v>
      </c>
    </row>
    <row r="4701" spans="1:7" x14ac:dyDescent="0.25">
      <c r="A4701" s="5" t="s">
        <v>130</v>
      </c>
      <c r="B4701" s="5" t="s">
        <v>131</v>
      </c>
      <c r="C4701" s="5">
        <v>2210</v>
      </c>
      <c r="D4701" s="5" t="s">
        <v>72</v>
      </c>
      <c r="E4701" s="5" t="s">
        <v>9</v>
      </c>
      <c r="F4701" s="6">
        <v>42736</v>
      </c>
      <c r="G4701">
        <v>0</v>
      </c>
    </row>
    <row r="4702" spans="1:7" x14ac:dyDescent="0.25">
      <c r="A4702" s="5" t="s">
        <v>130</v>
      </c>
      <c r="B4702" s="5" t="s">
        <v>131</v>
      </c>
      <c r="C4702" s="5">
        <v>2210</v>
      </c>
      <c r="D4702" s="5" t="s">
        <v>72</v>
      </c>
      <c r="E4702" s="5" t="s">
        <v>34</v>
      </c>
      <c r="F4702" s="6">
        <v>42370</v>
      </c>
      <c r="G4702">
        <v>0</v>
      </c>
    </row>
    <row r="4703" spans="1:7" x14ac:dyDescent="0.25">
      <c r="A4703" s="5" t="s">
        <v>130</v>
      </c>
      <c r="B4703" s="5" t="s">
        <v>131</v>
      </c>
      <c r="C4703" s="5">
        <v>2210</v>
      </c>
      <c r="D4703" s="5" t="s">
        <v>72</v>
      </c>
      <c r="E4703" s="5" t="s">
        <v>34</v>
      </c>
      <c r="F4703" s="6">
        <v>42736</v>
      </c>
      <c r="G4703">
        <v>0</v>
      </c>
    </row>
    <row r="4704" spans="1:7" x14ac:dyDescent="0.25">
      <c r="A4704" s="5" t="s">
        <v>130</v>
      </c>
      <c r="B4704" s="5" t="s">
        <v>131</v>
      </c>
      <c r="C4704" s="5">
        <v>2210</v>
      </c>
      <c r="D4704" s="5" t="s">
        <v>72</v>
      </c>
      <c r="E4704" s="5" t="s">
        <v>74</v>
      </c>
      <c r="F4704" s="6">
        <v>42370</v>
      </c>
      <c r="G4704">
        <v>0</v>
      </c>
    </row>
    <row r="4705" spans="1:7" x14ac:dyDescent="0.25">
      <c r="A4705" s="5" t="s">
        <v>130</v>
      </c>
      <c r="B4705" s="5" t="s">
        <v>131</v>
      </c>
      <c r="C4705" s="5">
        <v>2210</v>
      </c>
      <c r="D4705" s="5" t="s">
        <v>72</v>
      </c>
      <c r="E4705" s="5" t="s">
        <v>74</v>
      </c>
      <c r="F4705" s="6">
        <v>42736</v>
      </c>
      <c r="G4705">
        <v>0</v>
      </c>
    </row>
    <row r="4706" spans="1:7" x14ac:dyDescent="0.25">
      <c r="A4706" s="5" t="s">
        <v>130</v>
      </c>
      <c r="B4706" s="5" t="s">
        <v>131</v>
      </c>
      <c r="C4706" s="5">
        <v>2210</v>
      </c>
      <c r="D4706" s="5" t="s">
        <v>72</v>
      </c>
      <c r="E4706" s="5" t="s">
        <v>75</v>
      </c>
      <c r="F4706" s="6">
        <v>42370</v>
      </c>
      <c r="G4706">
        <v>0</v>
      </c>
    </row>
    <row r="4707" spans="1:7" x14ac:dyDescent="0.25">
      <c r="A4707" s="5" t="s">
        <v>130</v>
      </c>
      <c r="B4707" s="5" t="s">
        <v>131</v>
      </c>
      <c r="C4707" s="5">
        <v>2210</v>
      </c>
      <c r="D4707" s="5" t="s">
        <v>72</v>
      </c>
      <c r="E4707" s="5" t="s">
        <v>75</v>
      </c>
      <c r="F4707" s="6">
        <v>42736</v>
      </c>
      <c r="G4707">
        <v>0</v>
      </c>
    </row>
    <row r="4708" spans="1:7" x14ac:dyDescent="0.25">
      <c r="A4708" s="5" t="s">
        <v>130</v>
      </c>
      <c r="B4708" s="5" t="s">
        <v>131</v>
      </c>
      <c r="C4708" s="5">
        <v>2210</v>
      </c>
      <c r="D4708" s="5" t="s">
        <v>76</v>
      </c>
      <c r="E4708" s="5" t="s">
        <v>9</v>
      </c>
      <c r="F4708" s="6">
        <v>42370</v>
      </c>
      <c r="G4708">
        <v>0</v>
      </c>
    </row>
    <row r="4709" spans="1:7" x14ac:dyDescent="0.25">
      <c r="A4709" s="5" t="s">
        <v>130</v>
      </c>
      <c r="B4709" s="5" t="s">
        <v>131</v>
      </c>
      <c r="C4709" s="5">
        <v>2210</v>
      </c>
      <c r="D4709" s="5" t="s">
        <v>76</v>
      </c>
      <c r="E4709" s="5" t="s">
        <v>9</v>
      </c>
      <c r="F4709" s="6">
        <v>42736</v>
      </c>
      <c r="G4709">
        <v>0</v>
      </c>
    </row>
    <row r="4710" spans="1:7" x14ac:dyDescent="0.25">
      <c r="A4710" s="5" t="s">
        <v>130</v>
      </c>
      <c r="B4710" s="5" t="s">
        <v>131</v>
      </c>
      <c r="C4710" s="5">
        <v>2210</v>
      </c>
      <c r="D4710" s="5" t="s">
        <v>76</v>
      </c>
      <c r="E4710" s="5" t="s">
        <v>77</v>
      </c>
      <c r="F4710" s="6">
        <v>42370</v>
      </c>
      <c r="G4710">
        <v>0</v>
      </c>
    </row>
    <row r="4711" spans="1:7" x14ac:dyDescent="0.25">
      <c r="A4711" s="5" t="s">
        <v>130</v>
      </c>
      <c r="B4711" s="5" t="s">
        <v>131</v>
      </c>
      <c r="C4711" s="5">
        <v>2210</v>
      </c>
      <c r="D4711" s="5" t="s">
        <v>76</v>
      </c>
      <c r="E4711" s="5" t="s">
        <v>77</v>
      </c>
      <c r="F4711" s="6">
        <v>42736</v>
      </c>
      <c r="G4711">
        <v>0</v>
      </c>
    </row>
    <row r="4712" spans="1:7" x14ac:dyDescent="0.25">
      <c r="A4712" s="5" t="s">
        <v>130</v>
      </c>
      <c r="B4712" s="5" t="s">
        <v>131</v>
      </c>
      <c r="C4712" s="5">
        <v>2210</v>
      </c>
      <c r="D4712" s="5" t="s">
        <v>78</v>
      </c>
      <c r="E4712" s="5" t="s">
        <v>79</v>
      </c>
      <c r="F4712" s="6">
        <v>42370</v>
      </c>
      <c r="G4712">
        <v>0</v>
      </c>
    </row>
    <row r="4713" spans="1:7" x14ac:dyDescent="0.25">
      <c r="A4713" s="5" t="s">
        <v>130</v>
      </c>
      <c r="B4713" s="5" t="s">
        <v>131</v>
      </c>
      <c r="C4713" s="5">
        <v>2210</v>
      </c>
      <c r="D4713" s="5" t="s">
        <v>78</v>
      </c>
      <c r="E4713" s="5" t="s">
        <v>79</v>
      </c>
      <c r="F4713" s="6">
        <v>42736</v>
      </c>
      <c r="G4713">
        <v>0</v>
      </c>
    </row>
    <row r="4714" spans="1:7" x14ac:dyDescent="0.25">
      <c r="A4714" s="5" t="s">
        <v>130</v>
      </c>
      <c r="B4714" s="5" t="s">
        <v>131</v>
      </c>
      <c r="C4714" s="5">
        <v>2210</v>
      </c>
      <c r="D4714" s="5" t="s">
        <v>78</v>
      </c>
      <c r="E4714" s="5" t="s">
        <v>80</v>
      </c>
      <c r="F4714" s="6">
        <v>42370</v>
      </c>
      <c r="G4714">
        <v>0</v>
      </c>
    </row>
    <row r="4715" spans="1:7" x14ac:dyDescent="0.25">
      <c r="A4715" s="5" t="s">
        <v>130</v>
      </c>
      <c r="B4715" s="5" t="s">
        <v>131</v>
      </c>
      <c r="C4715" s="5">
        <v>2210</v>
      </c>
      <c r="D4715" s="5" t="s">
        <v>78</v>
      </c>
      <c r="E4715" s="5" t="s">
        <v>80</v>
      </c>
      <c r="F4715" s="6">
        <v>42736</v>
      </c>
      <c r="G4715">
        <v>0</v>
      </c>
    </row>
    <row r="4716" spans="1:7" x14ac:dyDescent="0.25">
      <c r="A4716" s="5" t="s">
        <v>130</v>
      </c>
      <c r="B4716" s="5" t="s">
        <v>131</v>
      </c>
      <c r="C4716" s="5">
        <v>2210</v>
      </c>
      <c r="D4716" s="5" t="s">
        <v>78</v>
      </c>
      <c r="E4716" s="5" t="s">
        <v>81</v>
      </c>
      <c r="F4716" s="6">
        <v>42370</v>
      </c>
      <c r="G4716">
        <v>136</v>
      </c>
    </row>
    <row r="4717" spans="1:7" x14ac:dyDescent="0.25">
      <c r="A4717" s="5" t="s">
        <v>130</v>
      </c>
      <c r="B4717" s="5" t="s">
        <v>131</v>
      </c>
      <c r="C4717" s="5">
        <v>2210</v>
      </c>
      <c r="D4717" s="5" t="s">
        <v>78</v>
      </c>
      <c r="E4717" s="5" t="s">
        <v>81</v>
      </c>
      <c r="F4717" s="6">
        <v>42736</v>
      </c>
      <c r="G4717">
        <v>149</v>
      </c>
    </row>
    <row r="4718" spans="1:7" x14ac:dyDescent="0.25">
      <c r="A4718" s="5" t="s">
        <v>130</v>
      </c>
      <c r="B4718" s="5" t="s">
        <v>131</v>
      </c>
      <c r="C4718" s="5">
        <v>2210</v>
      </c>
      <c r="D4718" s="5" t="s">
        <v>78</v>
      </c>
      <c r="E4718" s="5" t="s">
        <v>82</v>
      </c>
      <c r="F4718" s="6">
        <v>42370</v>
      </c>
      <c r="G4718">
        <v>0</v>
      </c>
    </row>
    <row r="4719" spans="1:7" x14ac:dyDescent="0.25">
      <c r="A4719" s="5" t="s">
        <v>130</v>
      </c>
      <c r="B4719" s="5" t="s">
        <v>131</v>
      </c>
      <c r="C4719" s="5">
        <v>2210</v>
      </c>
      <c r="D4719" s="5" t="s">
        <v>78</v>
      </c>
      <c r="E4719" s="5" t="s">
        <v>82</v>
      </c>
      <c r="F4719" s="6">
        <v>42736</v>
      </c>
      <c r="G4719">
        <v>0</v>
      </c>
    </row>
    <row r="4720" spans="1:7" x14ac:dyDescent="0.25">
      <c r="A4720" s="5" t="s">
        <v>130</v>
      </c>
      <c r="B4720" s="5" t="s">
        <v>131</v>
      </c>
      <c r="C4720" s="5">
        <v>2210</v>
      </c>
      <c r="D4720" s="5" t="s">
        <v>78</v>
      </c>
      <c r="E4720" s="5" t="s">
        <v>83</v>
      </c>
      <c r="F4720" s="6">
        <v>42370</v>
      </c>
      <c r="G4720">
        <v>0</v>
      </c>
    </row>
    <row r="4721" spans="1:7" x14ac:dyDescent="0.25">
      <c r="A4721" s="5" t="s">
        <v>130</v>
      </c>
      <c r="B4721" s="5" t="s">
        <v>131</v>
      </c>
      <c r="C4721" s="5">
        <v>2210</v>
      </c>
      <c r="D4721" s="5" t="s">
        <v>78</v>
      </c>
      <c r="E4721" s="5" t="s">
        <v>83</v>
      </c>
      <c r="F4721" s="6">
        <v>42736</v>
      </c>
      <c r="G4721">
        <v>0</v>
      </c>
    </row>
    <row r="4722" spans="1:7" x14ac:dyDescent="0.25">
      <c r="A4722" s="5" t="s">
        <v>130</v>
      </c>
      <c r="B4722" s="5" t="s">
        <v>131</v>
      </c>
      <c r="C4722" s="5">
        <v>2210</v>
      </c>
      <c r="D4722" s="5" t="s">
        <v>78</v>
      </c>
      <c r="E4722" s="5" t="s">
        <v>84</v>
      </c>
      <c r="F4722" s="6">
        <v>42370</v>
      </c>
      <c r="G4722">
        <v>0</v>
      </c>
    </row>
    <row r="4723" spans="1:7" x14ac:dyDescent="0.25">
      <c r="A4723" s="5" t="s">
        <v>130</v>
      </c>
      <c r="B4723" s="5" t="s">
        <v>131</v>
      </c>
      <c r="C4723" s="5">
        <v>2210</v>
      </c>
      <c r="D4723" s="5" t="s">
        <v>78</v>
      </c>
      <c r="E4723" s="5" t="s">
        <v>84</v>
      </c>
      <c r="F4723" s="6">
        <v>42736</v>
      </c>
      <c r="G4723">
        <v>0</v>
      </c>
    </row>
    <row r="4724" spans="1:7" x14ac:dyDescent="0.25">
      <c r="A4724" s="5" t="s">
        <v>130</v>
      </c>
      <c r="B4724" s="5" t="s">
        <v>131</v>
      </c>
      <c r="C4724" s="5">
        <v>2210</v>
      </c>
      <c r="D4724" s="5" t="s">
        <v>78</v>
      </c>
      <c r="E4724" s="5" t="s">
        <v>85</v>
      </c>
      <c r="F4724" s="6">
        <v>42370</v>
      </c>
      <c r="G4724">
        <v>0</v>
      </c>
    </row>
    <row r="4725" spans="1:7" x14ac:dyDescent="0.25">
      <c r="A4725" s="5" t="s">
        <v>130</v>
      </c>
      <c r="B4725" s="5" t="s">
        <v>131</v>
      </c>
      <c r="C4725" s="5">
        <v>2210</v>
      </c>
      <c r="D4725" s="5" t="s">
        <v>78</v>
      </c>
      <c r="E4725" s="5" t="s">
        <v>85</v>
      </c>
      <c r="F4725" s="6">
        <v>42736</v>
      </c>
      <c r="G4725">
        <v>0</v>
      </c>
    </row>
    <row r="4726" spans="1:7" x14ac:dyDescent="0.25">
      <c r="A4726" s="5" t="s">
        <v>130</v>
      </c>
      <c r="B4726" s="5" t="s">
        <v>131</v>
      </c>
      <c r="C4726" s="5">
        <v>2210</v>
      </c>
      <c r="D4726" s="5" t="s">
        <v>78</v>
      </c>
      <c r="E4726" s="5" t="s">
        <v>86</v>
      </c>
      <c r="F4726" s="6">
        <v>42370</v>
      </c>
      <c r="G4726">
        <v>0</v>
      </c>
    </row>
    <row r="4727" spans="1:7" x14ac:dyDescent="0.25">
      <c r="A4727" s="5" t="s">
        <v>130</v>
      </c>
      <c r="B4727" s="5" t="s">
        <v>131</v>
      </c>
      <c r="C4727" s="5">
        <v>2210</v>
      </c>
      <c r="D4727" s="5" t="s">
        <v>78</v>
      </c>
      <c r="E4727" s="5" t="s">
        <v>86</v>
      </c>
      <c r="F4727" s="6">
        <v>42736</v>
      </c>
      <c r="G4727">
        <v>0</v>
      </c>
    </row>
    <row r="4728" spans="1:7" x14ac:dyDescent="0.25">
      <c r="A4728" s="5" t="s">
        <v>130</v>
      </c>
      <c r="B4728" s="5" t="s">
        <v>131</v>
      </c>
      <c r="C4728" s="5">
        <v>2210</v>
      </c>
      <c r="D4728" s="5" t="s">
        <v>78</v>
      </c>
      <c r="E4728" s="5" t="s">
        <v>87</v>
      </c>
      <c r="F4728" s="6">
        <v>42370</v>
      </c>
      <c r="G4728">
        <v>0</v>
      </c>
    </row>
    <row r="4729" spans="1:7" x14ac:dyDescent="0.25">
      <c r="A4729" s="5" t="s">
        <v>130</v>
      </c>
      <c r="B4729" s="5" t="s">
        <v>131</v>
      </c>
      <c r="C4729" s="5">
        <v>2210</v>
      </c>
      <c r="D4729" s="5" t="s">
        <v>78</v>
      </c>
      <c r="E4729" s="5" t="s">
        <v>87</v>
      </c>
      <c r="F4729" s="6">
        <v>42736</v>
      </c>
      <c r="G4729">
        <v>0</v>
      </c>
    </row>
    <row r="4730" spans="1:7" x14ac:dyDescent="0.25">
      <c r="A4730" s="5" t="s">
        <v>130</v>
      </c>
      <c r="B4730" s="5" t="s">
        <v>131</v>
      </c>
      <c r="C4730" s="5">
        <v>2210</v>
      </c>
      <c r="D4730" s="5" t="s">
        <v>78</v>
      </c>
      <c r="E4730" s="5" t="s">
        <v>88</v>
      </c>
      <c r="F4730" s="6">
        <v>42370</v>
      </c>
      <c r="G4730">
        <v>29</v>
      </c>
    </row>
    <row r="4731" spans="1:7" x14ac:dyDescent="0.25">
      <c r="A4731" s="5" t="s">
        <v>130</v>
      </c>
      <c r="B4731" s="5" t="s">
        <v>131</v>
      </c>
      <c r="C4731" s="5">
        <v>2210</v>
      </c>
      <c r="D4731" s="5" t="s">
        <v>78</v>
      </c>
      <c r="E4731" s="5" t="s">
        <v>88</v>
      </c>
      <c r="F4731" s="6">
        <v>42736</v>
      </c>
      <c r="G4731">
        <v>39</v>
      </c>
    </row>
    <row r="4732" spans="1:7" x14ac:dyDescent="0.25">
      <c r="A4732" s="5" t="s">
        <v>130</v>
      </c>
      <c r="B4732" s="5" t="s">
        <v>131</v>
      </c>
      <c r="C4732" s="5">
        <v>2210</v>
      </c>
      <c r="D4732" s="5" t="s">
        <v>78</v>
      </c>
      <c r="E4732" s="5" t="s">
        <v>89</v>
      </c>
      <c r="F4732" s="6">
        <v>42370</v>
      </c>
      <c r="G4732">
        <v>430</v>
      </c>
    </row>
    <row r="4733" spans="1:7" x14ac:dyDescent="0.25">
      <c r="A4733" s="5" t="s">
        <v>130</v>
      </c>
      <c r="B4733" s="5" t="s">
        <v>131</v>
      </c>
      <c r="C4733" s="5">
        <v>2210</v>
      </c>
      <c r="D4733" s="5" t="s">
        <v>78</v>
      </c>
      <c r="E4733" s="5" t="s">
        <v>89</v>
      </c>
      <c r="F4733" s="6">
        <v>42736</v>
      </c>
      <c r="G4733">
        <v>539</v>
      </c>
    </row>
    <row r="4734" spans="1:7" x14ac:dyDescent="0.25">
      <c r="A4734" s="5" t="s">
        <v>130</v>
      </c>
      <c r="B4734" s="5" t="s">
        <v>131</v>
      </c>
      <c r="C4734" s="5">
        <v>2210</v>
      </c>
      <c r="D4734" s="5" t="s">
        <v>78</v>
      </c>
      <c r="E4734" s="5" t="s">
        <v>90</v>
      </c>
      <c r="F4734" s="6">
        <v>42370</v>
      </c>
      <c r="G4734">
        <v>0</v>
      </c>
    </row>
    <row r="4735" spans="1:7" x14ac:dyDescent="0.25">
      <c r="A4735" s="5" t="s">
        <v>130</v>
      </c>
      <c r="B4735" s="5" t="s">
        <v>131</v>
      </c>
      <c r="C4735" s="5">
        <v>2210</v>
      </c>
      <c r="D4735" s="5" t="s">
        <v>78</v>
      </c>
      <c r="E4735" s="5" t="s">
        <v>90</v>
      </c>
      <c r="F4735" s="6">
        <v>42736</v>
      </c>
      <c r="G4735">
        <v>0</v>
      </c>
    </row>
    <row r="4736" spans="1:7" x14ac:dyDescent="0.25">
      <c r="A4736" s="5" t="s">
        <v>130</v>
      </c>
      <c r="B4736" s="5" t="s">
        <v>131</v>
      </c>
      <c r="C4736" s="5">
        <v>2210</v>
      </c>
      <c r="D4736" s="5" t="s">
        <v>78</v>
      </c>
      <c r="E4736" s="5" t="s">
        <v>91</v>
      </c>
      <c r="F4736" s="6">
        <v>42370</v>
      </c>
      <c r="G4736">
        <v>0</v>
      </c>
    </row>
    <row r="4737" spans="1:7" x14ac:dyDescent="0.25">
      <c r="A4737" s="5" t="s">
        <v>130</v>
      </c>
      <c r="B4737" s="5" t="s">
        <v>131</v>
      </c>
      <c r="C4737" s="5">
        <v>2210</v>
      </c>
      <c r="D4737" s="5" t="s">
        <v>78</v>
      </c>
      <c r="E4737" s="5" t="s">
        <v>91</v>
      </c>
      <c r="F4737" s="6">
        <v>42736</v>
      </c>
      <c r="G4737">
        <v>0</v>
      </c>
    </row>
    <row r="4738" spans="1:7" x14ac:dyDescent="0.25">
      <c r="A4738" s="5" t="s">
        <v>130</v>
      </c>
      <c r="B4738" s="5" t="s">
        <v>131</v>
      </c>
      <c r="C4738" s="5">
        <v>2210</v>
      </c>
      <c r="D4738" s="5" t="s">
        <v>78</v>
      </c>
      <c r="E4738" s="5" t="s">
        <v>92</v>
      </c>
      <c r="F4738" s="6">
        <v>42370</v>
      </c>
      <c r="G4738">
        <v>0</v>
      </c>
    </row>
    <row r="4739" spans="1:7" x14ac:dyDescent="0.25">
      <c r="A4739" s="5" t="s">
        <v>130</v>
      </c>
      <c r="B4739" s="5" t="s">
        <v>131</v>
      </c>
      <c r="C4739" s="5">
        <v>2210</v>
      </c>
      <c r="D4739" s="5" t="s">
        <v>78</v>
      </c>
      <c r="E4739" s="5" t="s">
        <v>92</v>
      </c>
      <c r="F4739" s="6">
        <v>42736</v>
      </c>
      <c r="G4739">
        <v>0</v>
      </c>
    </row>
    <row r="4740" spans="1:7" x14ac:dyDescent="0.25">
      <c r="A4740" s="5" t="s">
        <v>130</v>
      </c>
      <c r="B4740" s="5" t="s">
        <v>131</v>
      </c>
      <c r="C4740" s="5">
        <v>2210</v>
      </c>
      <c r="D4740" s="5" t="s">
        <v>78</v>
      </c>
      <c r="E4740" s="5" t="s">
        <v>93</v>
      </c>
      <c r="F4740" s="6">
        <v>42370</v>
      </c>
      <c r="G4740">
        <v>0</v>
      </c>
    </row>
    <row r="4741" spans="1:7" x14ac:dyDescent="0.25">
      <c r="A4741" s="5" t="s">
        <v>130</v>
      </c>
      <c r="B4741" s="5" t="s">
        <v>131</v>
      </c>
      <c r="C4741" s="5">
        <v>2210</v>
      </c>
      <c r="D4741" s="5" t="s">
        <v>78</v>
      </c>
      <c r="E4741" s="5" t="s">
        <v>93</v>
      </c>
      <c r="F4741" s="6">
        <v>42736</v>
      </c>
      <c r="G4741">
        <v>0</v>
      </c>
    </row>
    <row r="4742" spans="1:7" x14ac:dyDescent="0.25">
      <c r="A4742" s="5" t="s">
        <v>130</v>
      </c>
      <c r="B4742" s="5" t="s">
        <v>131</v>
      </c>
      <c r="C4742" s="5">
        <v>2210</v>
      </c>
      <c r="D4742" s="5" t="s">
        <v>78</v>
      </c>
      <c r="E4742" s="5" t="s">
        <v>94</v>
      </c>
      <c r="F4742" s="6">
        <v>42370</v>
      </c>
      <c r="G4742">
        <v>0</v>
      </c>
    </row>
    <row r="4743" spans="1:7" x14ac:dyDescent="0.25">
      <c r="A4743" s="5" t="s">
        <v>130</v>
      </c>
      <c r="B4743" s="5" t="s">
        <v>131</v>
      </c>
      <c r="C4743" s="5">
        <v>2210</v>
      </c>
      <c r="D4743" s="5" t="s">
        <v>78</v>
      </c>
      <c r="E4743" s="5" t="s">
        <v>94</v>
      </c>
      <c r="F4743" s="6">
        <v>42736</v>
      </c>
      <c r="G4743">
        <v>0</v>
      </c>
    </row>
    <row r="4744" spans="1:7" x14ac:dyDescent="0.25">
      <c r="A4744" s="5" t="s">
        <v>130</v>
      </c>
      <c r="B4744" s="5" t="s">
        <v>131</v>
      </c>
      <c r="C4744" s="5">
        <v>2210</v>
      </c>
      <c r="D4744" s="5" t="s">
        <v>78</v>
      </c>
      <c r="E4744" s="5" t="s">
        <v>95</v>
      </c>
      <c r="F4744" s="6">
        <v>42370</v>
      </c>
      <c r="G4744">
        <v>0</v>
      </c>
    </row>
    <row r="4745" spans="1:7" x14ac:dyDescent="0.25">
      <c r="A4745" s="5" t="s">
        <v>130</v>
      </c>
      <c r="B4745" s="5" t="s">
        <v>131</v>
      </c>
      <c r="C4745" s="5">
        <v>2210</v>
      </c>
      <c r="D4745" s="5" t="s">
        <v>78</v>
      </c>
      <c r="E4745" s="5" t="s">
        <v>95</v>
      </c>
      <c r="F4745" s="6">
        <v>42736</v>
      </c>
      <c r="G4745">
        <v>0</v>
      </c>
    </row>
    <row r="4746" spans="1:7" x14ac:dyDescent="0.25">
      <c r="A4746" s="5" t="s">
        <v>130</v>
      </c>
      <c r="B4746" s="5" t="s">
        <v>131</v>
      </c>
      <c r="C4746" s="5">
        <v>2210</v>
      </c>
      <c r="D4746" s="5" t="s">
        <v>78</v>
      </c>
      <c r="E4746" s="5" t="s">
        <v>96</v>
      </c>
      <c r="F4746" s="6">
        <v>42370</v>
      </c>
      <c r="G4746">
        <v>0</v>
      </c>
    </row>
    <row r="4747" spans="1:7" x14ac:dyDescent="0.25">
      <c r="A4747" s="5" t="s">
        <v>130</v>
      </c>
      <c r="B4747" s="5" t="s">
        <v>131</v>
      </c>
      <c r="C4747" s="5">
        <v>2210</v>
      </c>
      <c r="D4747" s="5" t="s">
        <v>78</v>
      </c>
      <c r="E4747" s="5" t="s">
        <v>96</v>
      </c>
      <c r="F4747" s="6">
        <v>42736</v>
      </c>
      <c r="G4747">
        <v>0</v>
      </c>
    </row>
    <row r="4748" spans="1:7" x14ac:dyDescent="0.25">
      <c r="A4748" s="5" t="s">
        <v>130</v>
      </c>
      <c r="B4748" s="5" t="s">
        <v>131</v>
      </c>
      <c r="C4748" s="5">
        <v>2210</v>
      </c>
      <c r="D4748" s="5" t="s">
        <v>78</v>
      </c>
      <c r="E4748" s="5" t="s">
        <v>97</v>
      </c>
      <c r="F4748" s="6">
        <v>42370</v>
      </c>
      <c r="G4748">
        <v>0</v>
      </c>
    </row>
    <row r="4749" spans="1:7" x14ac:dyDescent="0.25">
      <c r="A4749" s="5" t="s">
        <v>130</v>
      </c>
      <c r="B4749" s="5" t="s">
        <v>131</v>
      </c>
      <c r="C4749" s="5">
        <v>2210</v>
      </c>
      <c r="D4749" s="5" t="s">
        <v>78</v>
      </c>
      <c r="E4749" s="5" t="s">
        <v>97</v>
      </c>
      <c r="F4749" s="6">
        <v>42736</v>
      </c>
      <c r="G4749">
        <v>0</v>
      </c>
    </row>
    <row r="4750" spans="1:7" x14ac:dyDescent="0.25">
      <c r="A4750" s="5" t="s">
        <v>130</v>
      </c>
      <c r="B4750" s="5" t="s">
        <v>131</v>
      </c>
      <c r="C4750" s="5">
        <v>2210</v>
      </c>
      <c r="D4750" s="5" t="s">
        <v>78</v>
      </c>
      <c r="E4750" s="5" t="s">
        <v>98</v>
      </c>
      <c r="F4750" s="6">
        <v>42370</v>
      </c>
      <c r="G4750">
        <v>0</v>
      </c>
    </row>
    <row r="4751" spans="1:7" x14ac:dyDescent="0.25">
      <c r="A4751" s="5" t="s">
        <v>130</v>
      </c>
      <c r="B4751" s="5" t="s">
        <v>131</v>
      </c>
      <c r="C4751" s="5">
        <v>2210</v>
      </c>
      <c r="D4751" s="5" t="s">
        <v>78</v>
      </c>
      <c r="E4751" s="5" t="s">
        <v>98</v>
      </c>
      <c r="F4751" s="6">
        <v>42736</v>
      </c>
      <c r="G4751">
        <v>0</v>
      </c>
    </row>
    <row r="4752" spans="1:7" x14ac:dyDescent="0.25">
      <c r="A4752" s="5" t="s">
        <v>130</v>
      </c>
      <c r="B4752" s="5" t="s">
        <v>132</v>
      </c>
      <c r="C4752" s="5">
        <v>2220</v>
      </c>
      <c r="D4752" s="5" t="s">
        <v>8</v>
      </c>
      <c r="E4752" s="5" t="s">
        <v>9</v>
      </c>
      <c r="F4752" s="6">
        <v>42370</v>
      </c>
      <c r="G4752">
        <v>0</v>
      </c>
    </row>
    <row r="4753" spans="1:7" x14ac:dyDescent="0.25">
      <c r="A4753" s="5" t="s">
        <v>130</v>
      </c>
      <c r="B4753" s="5" t="s">
        <v>132</v>
      </c>
      <c r="C4753" s="5">
        <v>2220</v>
      </c>
      <c r="D4753" s="5" t="s">
        <v>8</v>
      </c>
      <c r="E4753" s="5" t="s">
        <v>9</v>
      </c>
      <c r="F4753" s="6">
        <v>42736</v>
      </c>
      <c r="G4753">
        <v>0</v>
      </c>
    </row>
    <row r="4754" spans="1:7" x14ac:dyDescent="0.25">
      <c r="A4754" s="5" t="s">
        <v>130</v>
      </c>
      <c r="B4754" s="5" t="s">
        <v>132</v>
      </c>
      <c r="C4754" s="5">
        <v>2220</v>
      </c>
      <c r="D4754" s="5" t="s">
        <v>8</v>
      </c>
      <c r="E4754" s="5" t="s">
        <v>10</v>
      </c>
      <c r="F4754" s="6">
        <v>42370</v>
      </c>
      <c r="G4754">
        <v>0</v>
      </c>
    </row>
    <row r="4755" spans="1:7" x14ac:dyDescent="0.25">
      <c r="A4755" s="5" t="s">
        <v>130</v>
      </c>
      <c r="B4755" s="5" t="s">
        <v>132</v>
      </c>
      <c r="C4755" s="5">
        <v>2220</v>
      </c>
      <c r="D4755" s="5" t="s">
        <v>8</v>
      </c>
      <c r="E4755" s="5" t="s">
        <v>10</v>
      </c>
      <c r="F4755" s="6">
        <v>42736</v>
      </c>
      <c r="G4755">
        <v>0</v>
      </c>
    </row>
    <row r="4756" spans="1:7" x14ac:dyDescent="0.25">
      <c r="A4756" s="5" t="s">
        <v>130</v>
      </c>
      <c r="B4756" s="5" t="s">
        <v>132</v>
      </c>
      <c r="C4756" s="5">
        <v>2220</v>
      </c>
      <c r="D4756" s="5" t="s">
        <v>8</v>
      </c>
      <c r="E4756" s="5" t="s">
        <v>11</v>
      </c>
      <c r="F4756" s="6">
        <v>42370</v>
      </c>
      <c r="G4756">
        <v>0</v>
      </c>
    </row>
    <row r="4757" spans="1:7" x14ac:dyDescent="0.25">
      <c r="A4757" s="5" t="s">
        <v>130</v>
      </c>
      <c r="B4757" s="5" t="s">
        <v>132</v>
      </c>
      <c r="C4757" s="5">
        <v>2220</v>
      </c>
      <c r="D4757" s="5" t="s">
        <v>8</v>
      </c>
      <c r="E4757" s="5" t="s">
        <v>11</v>
      </c>
      <c r="F4757" s="6">
        <v>42736</v>
      </c>
      <c r="G4757">
        <v>0</v>
      </c>
    </row>
    <row r="4758" spans="1:7" x14ac:dyDescent="0.25">
      <c r="A4758" s="5" t="s">
        <v>130</v>
      </c>
      <c r="B4758" s="5" t="s">
        <v>132</v>
      </c>
      <c r="C4758" s="5">
        <v>2220</v>
      </c>
      <c r="D4758" s="5" t="s">
        <v>8</v>
      </c>
      <c r="E4758" s="5" t="s">
        <v>12</v>
      </c>
      <c r="F4758" s="6">
        <v>42370</v>
      </c>
      <c r="G4758">
        <v>0</v>
      </c>
    </row>
    <row r="4759" spans="1:7" x14ac:dyDescent="0.25">
      <c r="A4759" s="5" t="s">
        <v>130</v>
      </c>
      <c r="B4759" s="5" t="s">
        <v>132</v>
      </c>
      <c r="C4759" s="5">
        <v>2220</v>
      </c>
      <c r="D4759" s="5" t="s">
        <v>8</v>
      </c>
      <c r="E4759" s="5" t="s">
        <v>12</v>
      </c>
      <c r="F4759" s="6">
        <v>42736</v>
      </c>
      <c r="G4759">
        <v>0</v>
      </c>
    </row>
    <row r="4760" spans="1:7" x14ac:dyDescent="0.25">
      <c r="A4760" s="5" t="s">
        <v>130</v>
      </c>
      <c r="B4760" s="5" t="s">
        <v>132</v>
      </c>
      <c r="C4760" s="5">
        <v>2220</v>
      </c>
      <c r="D4760" s="5" t="s">
        <v>8</v>
      </c>
      <c r="E4760" s="5" t="s">
        <v>13</v>
      </c>
      <c r="F4760" s="6">
        <v>42370</v>
      </c>
      <c r="G4760">
        <v>0</v>
      </c>
    </row>
    <row r="4761" spans="1:7" x14ac:dyDescent="0.25">
      <c r="A4761" s="5" t="s">
        <v>130</v>
      </c>
      <c r="B4761" s="5" t="s">
        <v>132</v>
      </c>
      <c r="C4761" s="5">
        <v>2220</v>
      </c>
      <c r="D4761" s="5" t="s">
        <v>8</v>
      </c>
      <c r="E4761" s="5" t="s">
        <v>13</v>
      </c>
      <c r="F4761" s="6">
        <v>42736</v>
      </c>
      <c r="G4761">
        <v>0</v>
      </c>
    </row>
    <row r="4762" spans="1:7" x14ac:dyDescent="0.25">
      <c r="A4762" s="5" t="s">
        <v>130</v>
      </c>
      <c r="B4762" s="5" t="s">
        <v>132</v>
      </c>
      <c r="C4762" s="5">
        <v>2220</v>
      </c>
      <c r="D4762" s="5" t="s">
        <v>8</v>
      </c>
      <c r="E4762" s="5" t="s">
        <v>14</v>
      </c>
      <c r="F4762" s="6">
        <v>42370</v>
      </c>
      <c r="G4762">
        <v>0</v>
      </c>
    </row>
    <row r="4763" spans="1:7" x14ac:dyDescent="0.25">
      <c r="A4763" s="5" t="s">
        <v>130</v>
      </c>
      <c r="B4763" s="5" t="s">
        <v>132</v>
      </c>
      <c r="C4763" s="5">
        <v>2220</v>
      </c>
      <c r="D4763" s="5" t="s">
        <v>8</v>
      </c>
      <c r="E4763" s="5" t="s">
        <v>14</v>
      </c>
      <c r="F4763" s="6">
        <v>42736</v>
      </c>
      <c r="G4763">
        <v>0</v>
      </c>
    </row>
    <row r="4764" spans="1:7" x14ac:dyDescent="0.25">
      <c r="A4764" s="5" t="s">
        <v>130</v>
      </c>
      <c r="B4764" s="5" t="s">
        <v>132</v>
      </c>
      <c r="C4764" s="5">
        <v>2220</v>
      </c>
      <c r="D4764" s="5" t="s">
        <v>8</v>
      </c>
      <c r="E4764" s="5" t="s">
        <v>15</v>
      </c>
      <c r="F4764" s="6">
        <v>42370</v>
      </c>
      <c r="G4764">
        <v>0</v>
      </c>
    </row>
    <row r="4765" spans="1:7" x14ac:dyDescent="0.25">
      <c r="A4765" s="5" t="s">
        <v>130</v>
      </c>
      <c r="B4765" s="5" t="s">
        <v>132</v>
      </c>
      <c r="C4765" s="5">
        <v>2220</v>
      </c>
      <c r="D4765" s="5" t="s">
        <v>8</v>
      </c>
      <c r="E4765" s="5" t="s">
        <v>15</v>
      </c>
      <c r="F4765" s="6">
        <v>42736</v>
      </c>
      <c r="G4765">
        <v>0</v>
      </c>
    </row>
    <row r="4766" spans="1:7" x14ac:dyDescent="0.25">
      <c r="A4766" s="5" t="s">
        <v>130</v>
      </c>
      <c r="B4766" s="5" t="s">
        <v>132</v>
      </c>
      <c r="C4766" s="5">
        <v>2220</v>
      </c>
      <c r="D4766" s="5" t="s">
        <v>8</v>
      </c>
      <c r="E4766" s="5" t="s">
        <v>16</v>
      </c>
      <c r="F4766" s="6">
        <v>42370</v>
      </c>
      <c r="G4766">
        <v>0</v>
      </c>
    </row>
    <row r="4767" spans="1:7" x14ac:dyDescent="0.25">
      <c r="A4767" s="5" t="s">
        <v>130</v>
      </c>
      <c r="B4767" s="5" t="s">
        <v>132</v>
      </c>
      <c r="C4767" s="5">
        <v>2220</v>
      </c>
      <c r="D4767" s="5" t="s">
        <v>8</v>
      </c>
      <c r="E4767" s="5" t="s">
        <v>16</v>
      </c>
      <c r="F4767" s="6">
        <v>42736</v>
      </c>
      <c r="G4767">
        <v>0</v>
      </c>
    </row>
    <row r="4768" spans="1:7" x14ac:dyDescent="0.25">
      <c r="A4768" s="5" t="s">
        <v>130</v>
      </c>
      <c r="B4768" s="5" t="s">
        <v>132</v>
      </c>
      <c r="C4768" s="5">
        <v>2220</v>
      </c>
      <c r="D4768" s="5" t="s">
        <v>8</v>
      </c>
      <c r="E4768" s="5" t="s">
        <v>17</v>
      </c>
      <c r="F4768" s="6">
        <v>42370</v>
      </c>
      <c r="G4768">
        <v>0</v>
      </c>
    </row>
    <row r="4769" spans="1:7" x14ac:dyDescent="0.25">
      <c r="A4769" s="5" t="s">
        <v>130</v>
      </c>
      <c r="B4769" s="5" t="s">
        <v>132</v>
      </c>
      <c r="C4769" s="5">
        <v>2220</v>
      </c>
      <c r="D4769" s="5" t="s">
        <v>8</v>
      </c>
      <c r="E4769" s="5" t="s">
        <v>17</v>
      </c>
      <c r="F4769" s="6">
        <v>42736</v>
      </c>
      <c r="G4769">
        <v>0</v>
      </c>
    </row>
    <row r="4770" spans="1:7" x14ac:dyDescent="0.25">
      <c r="A4770" s="5" t="s">
        <v>130</v>
      </c>
      <c r="B4770" s="5" t="s">
        <v>132</v>
      </c>
      <c r="C4770" s="5">
        <v>2220</v>
      </c>
      <c r="D4770" s="5" t="s">
        <v>8</v>
      </c>
      <c r="E4770" s="5" t="s">
        <v>18</v>
      </c>
      <c r="F4770" s="6">
        <v>42370</v>
      </c>
      <c r="G4770">
        <v>0</v>
      </c>
    </row>
    <row r="4771" spans="1:7" x14ac:dyDescent="0.25">
      <c r="A4771" s="5" t="s">
        <v>130</v>
      </c>
      <c r="B4771" s="5" t="s">
        <v>132</v>
      </c>
      <c r="C4771" s="5">
        <v>2220</v>
      </c>
      <c r="D4771" s="5" t="s">
        <v>8</v>
      </c>
      <c r="E4771" s="5" t="s">
        <v>18</v>
      </c>
      <c r="F4771" s="6">
        <v>42736</v>
      </c>
      <c r="G4771">
        <v>0</v>
      </c>
    </row>
    <row r="4772" spans="1:7" x14ac:dyDescent="0.25">
      <c r="A4772" s="5" t="s">
        <v>130</v>
      </c>
      <c r="B4772" s="5" t="s">
        <v>132</v>
      </c>
      <c r="C4772" s="5">
        <v>2220</v>
      </c>
      <c r="D4772" s="5" t="s">
        <v>8</v>
      </c>
      <c r="E4772" s="5" t="s">
        <v>19</v>
      </c>
      <c r="F4772" s="6">
        <v>42370</v>
      </c>
      <c r="G4772">
        <v>0</v>
      </c>
    </row>
    <row r="4773" spans="1:7" x14ac:dyDescent="0.25">
      <c r="A4773" s="5" t="s">
        <v>130</v>
      </c>
      <c r="B4773" s="5" t="s">
        <v>132</v>
      </c>
      <c r="C4773" s="5">
        <v>2220</v>
      </c>
      <c r="D4773" s="5" t="s">
        <v>8</v>
      </c>
      <c r="E4773" s="5" t="s">
        <v>19</v>
      </c>
      <c r="F4773" s="6">
        <v>42736</v>
      </c>
      <c r="G4773">
        <v>0</v>
      </c>
    </row>
    <row r="4774" spans="1:7" x14ac:dyDescent="0.25">
      <c r="A4774" s="5" t="s">
        <v>130</v>
      </c>
      <c r="B4774" s="5" t="s">
        <v>132</v>
      </c>
      <c r="C4774" s="5">
        <v>2220</v>
      </c>
      <c r="D4774" s="5" t="s">
        <v>20</v>
      </c>
      <c r="E4774" s="5" t="s">
        <v>9</v>
      </c>
      <c r="F4774" s="6">
        <v>42370</v>
      </c>
      <c r="G4774">
        <v>0</v>
      </c>
    </row>
    <row r="4775" spans="1:7" x14ac:dyDescent="0.25">
      <c r="A4775" s="5" t="s">
        <v>130</v>
      </c>
      <c r="B4775" s="5" t="s">
        <v>132</v>
      </c>
      <c r="C4775" s="5">
        <v>2220</v>
      </c>
      <c r="D4775" s="5" t="s">
        <v>20</v>
      </c>
      <c r="E4775" s="5" t="s">
        <v>9</v>
      </c>
      <c r="F4775" s="6">
        <v>42736</v>
      </c>
      <c r="G4775">
        <v>6</v>
      </c>
    </row>
    <row r="4776" spans="1:7" x14ac:dyDescent="0.25">
      <c r="A4776" s="5" t="s">
        <v>130</v>
      </c>
      <c r="B4776" s="5" t="s">
        <v>132</v>
      </c>
      <c r="C4776" s="5">
        <v>2220</v>
      </c>
      <c r="D4776" s="5" t="s">
        <v>20</v>
      </c>
      <c r="E4776" s="5" t="s">
        <v>21</v>
      </c>
      <c r="F4776" s="6">
        <v>42370</v>
      </c>
      <c r="G4776">
        <v>0</v>
      </c>
    </row>
    <row r="4777" spans="1:7" x14ac:dyDescent="0.25">
      <c r="A4777" s="5" t="s">
        <v>130</v>
      </c>
      <c r="B4777" s="5" t="s">
        <v>132</v>
      </c>
      <c r="C4777" s="5">
        <v>2220</v>
      </c>
      <c r="D4777" s="5" t="s">
        <v>20</v>
      </c>
      <c r="E4777" s="5" t="s">
        <v>21</v>
      </c>
      <c r="F4777" s="6">
        <v>42736</v>
      </c>
      <c r="G4777">
        <v>0</v>
      </c>
    </row>
    <row r="4778" spans="1:7" x14ac:dyDescent="0.25">
      <c r="A4778" s="5" t="s">
        <v>130</v>
      </c>
      <c r="B4778" s="5" t="s">
        <v>132</v>
      </c>
      <c r="C4778" s="5">
        <v>2220</v>
      </c>
      <c r="D4778" s="5" t="s">
        <v>20</v>
      </c>
      <c r="E4778" s="5" t="s">
        <v>22</v>
      </c>
      <c r="F4778" s="6">
        <v>42370</v>
      </c>
      <c r="G4778">
        <v>0</v>
      </c>
    </row>
    <row r="4779" spans="1:7" x14ac:dyDescent="0.25">
      <c r="A4779" s="5" t="s">
        <v>130</v>
      </c>
      <c r="B4779" s="5" t="s">
        <v>132</v>
      </c>
      <c r="C4779" s="5">
        <v>2220</v>
      </c>
      <c r="D4779" s="5" t="s">
        <v>20</v>
      </c>
      <c r="E4779" s="5" t="s">
        <v>22</v>
      </c>
      <c r="F4779" s="6">
        <v>42736</v>
      </c>
      <c r="G4779">
        <v>0</v>
      </c>
    </row>
    <row r="4780" spans="1:7" x14ac:dyDescent="0.25">
      <c r="A4780" s="5" t="s">
        <v>130</v>
      </c>
      <c r="B4780" s="5" t="s">
        <v>132</v>
      </c>
      <c r="C4780" s="5">
        <v>2220</v>
      </c>
      <c r="D4780" s="5" t="s">
        <v>20</v>
      </c>
      <c r="E4780" s="5" t="s">
        <v>23</v>
      </c>
      <c r="F4780" s="6">
        <v>42370</v>
      </c>
      <c r="G4780">
        <v>8</v>
      </c>
    </row>
    <row r="4781" spans="1:7" x14ac:dyDescent="0.25">
      <c r="A4781" s="5" t="s">
        <v>130</v>
      </c>
      <c r="B4781" s="5" t="s">
        <v>132</v>
      </c>
      <c r="C4781" s="5">
        <v>2220</v>
      </c>
      <c r="D4781" s="5" t="s">
        <v>20</v>
      </c>
      <c r="E4781" s="5" t="s">
        <v>23</v>
      </c>
      <c r="F4781" s="6">
        <v>42736</v>
      </c>
      <c r="G4781">
        <v>3</v>
      </c>
    </row>
    <row r="4782" spans="1:7" x14ac:dyDescent="0.25">
      <c r="A4782" s="5" t="s">
        <v>130</v>
      </c>
      <c r="B4782" s="5" t="s">
        <v>132</v>
      </c>
      <c r="C4782" s="5">
        <v>2220</v>
      </c>
      <c r="D4782" s="5" t="s">
        <v>20</v>
      </c>
      <c r="E4782" s="5" t="s">
        <v>24</v>
      </c>
      <c r="F4782" s="6">
        <v>42370</v>
      </c>
      <c r="G4782">
        <v>0</v>
      </c>
    </row>
    <row r="4783" spans="1:7" x14ac:dyDescent="0.25">
      <c r="A4783" s="5" t="s">
        <v>130</v>
      </c>
      <c r="B4783" s="5" t="s">
        <v>132</v>
      </c>
      <c r="C4783" s="5">
        <v>2220</v>
      </c>
      <c r="D4783" s="5" t="s">
        <v>20</v>
      </c>
      <c r="E4783" s="5" t="s">
        <v>24</v>
      </c>
      <c r="F4783" s="6">
        <v>42736</v>
      </c>
      <c r="G4783">
        <v>0</v>
      </c>
    </row>
    <row r="4784" spans="1:7" x14ac:dyDescent="0.25">
      <c r="A4784" s="5" t="s">
        <v>130</v>
      </c>
      <c r="B4784" s="5" t="s">
        <v>132</v>
      </c>
      <c r="C4784" s="5">
        <v>2220</v>
      </c>
      <c r="D4784" s="5" t="s">
        <v>20</v>
      </c>
      <c r="E4784" s="5" t="s">
        <v>25</v>
      </c>
      <c r="F4784" s="6">
        <v>42370</v>
      </c>
      <c r="G4784">
        <v>0</v>
      </c>
    </row>
    <row r="4785" spans="1:7" x14ac:dyDescent="0.25">
      <c r="A4785" s="5" t="s">
        <v>130</v>
      </c>
      <c r="B4785" s="5" t="s">
        <v>132</v>
      </c>
      <c r="C4785" s="5">
        <v>2220</v>
      </c>
      <c r="D4785" s="5" t="s">
        <v>20</v>
      </c>
      <c r="E4785" s="5" t="s">
        <v>25</v>
      </c>
      <c r="F4785" s="6">
        <v>42736</v>
      </c>
      <c r="G4785">
        <v>0</v>
      </c>
    </row>
    <row r="4786" spans="1:7" x14ac:dyDescent="0.25">
      <c r="A4786" s="5" t="s">
        <v>130</v>
      </c>
      <c r="B4786" s="5" t="s">
        <v>132</v>
      </c>
      <c r="C4786" s="5">
        <v>2220</v>
      </c>
      <c r="D4786" s="5" t="s">
        <v>20</v>
      </c>
      <c r="E4786" s="5" t="s">
        <v>26</v>
      </c>
      <c r="F4786" s="6">
        <v>42370</v>
      </c>
      <c r="G4786">
        <v>32</v>
      </c>
    </row>
    <row r="4787" spans="1:7" x14ac:dyDescent="0.25">
      <c r="A4787" s="5" t="s">
        <v>130</v>
      </c>
      <c r="B4787" s="5" t="s">
        <v>132</v>
      </c>
      <c r="C4787" s="5">
        <v>2220</v>
      </c>
      <c r="D4787" s="5" t="s">
        <v>20</v>
      </c>
      <c r="E4787" s="5" t="s">
        <v>26</v>
      </c>
      <c r="F4787" s="6">
        <v>42736</v>
      </c>
      <c r="G4787">
        <v>39</v>
      </c>
    </row>
    <row r="4788" spans="1:7" x14ac:dyDescent="0.25">
      <c r="A4788" s="5" t="s">
        <v>130</v>
      </c>
      <c r="B4788" s="5" t="s">
        <v>132</v>
      </c>
      <c r="C4788" s="5">
        <v>2220</v>
      </c>
      <c r="D4788" s="5" t="s">
        <v>20</v>
      </c>
      <c r="E4788" s="5" t="s">
        <v>27</v>
      </c>
      <c r="F4788" s="6">
        <v>42370</v>
      </c>
      <c r="G4788">
        <v>0</v>
      </c>
    </row>
    <row r="4789" spans="1:7" x14ac:dyDescent="0.25">
      <c r="A4789" s="5" t="s">
        <v>130</v>
      </c>
      <c r="B4789" s="5" t="s">
        <v>132</v>
      </c>
      <c r="C4789" s="5">
        <v>2220</v>
      </c>
      <c r="D4789" s="5" t="s">
        <v>20</v>
      </c>
      <c r="E4789" s="5" t="s">
        <v>27</v>
      </c>
      <c r="F4789" s="6">
        <v>42736</v>
      </c>
      <c r="G4789">
        <v>0</v>
      </c>
    </row>
    <row r="4790" spans="1:7" x14ac:dyDescent="0.25">
      <c r="A4790" s="5" t="s">
        <v>130</v>
      </c>
      <c r="B4790" s="5" t="s">
        <v>132</v>
      </c>
      <c r="C4790" s="5">
        <v>2220</v>
      </c>
      <c r="D4790" s="5" t="s">
        <v>20</v>
      </c>
      <c r="E4790" s="5" t="s">
        <v>28</v>
      </c>
      <c r="F4790" s="6">
        <v>42370</v>
      </c>
      <c r="G4790">
        <v>0</v>
      </c>
    </row>
    <row r="4791" spans="1:7" x14ac:dyDescent="0.25">
      <c r="A4791" s="5" t="s">
        <v>130</v>
      </c>
      <c r="B4791" s="5" t="s">
        <v>132</v>
      </c>
      <c r="C4791" s="5">
        <v>2220</v>
      </c>
      <c r="D4791" s="5" t="s">
        <v>20</v>
      </c>
      <c r="E4791" s="5" t="s">
        <v>28</v>
      </c>
      <c r="F4791" s="6">
        <v>42736</v>
      </c>
      <c r="G4791">
        <v>0</v>
      </c>
    </row>
    <row r="4792" spans="1:7" x14ac:dyDescent="0.25">
      <c r="A4792" s="5" t="s">
        <v>130</v>
      </c>
      <c r="B4792" s="5" t="s">
        <v>132</v>
      </c>
      <c r="C4792" s="5">
        <v>2220</v>
      </c>
      <c r="D4792" s="5" t="s">
        <v>20</v>
      </c>
      <c r="E4792" s="5" t="s">
        <v>29</v>
      </c>
      <c r="F4792" s="6">
        <v>42370</v>
      </c>
      <c r="G4792">
        <v>37</v>
      </c>
    </row>
    <row r="4793" spans="1:7" x14ac:dyDescent="0.25">
      <c r="A4793" s="5" t="s">
        <v>130</v>
      </c>
      <c r="B4793" s="5" t="s">
        <v>132</v>
      </c>
      <c r="C4793" s="5">
        <v>2220</v>
      </c>
      <c r="D4793" s="5" t="s">
        <v>20</v>
      </c>
      <c r="E4793" s="5" t="s">
        <v>29</v>
      </c>
      <c r="F4793" s="6">
        <v>42736</v>
      </c>
      <c r="G4793">
        <v>39</v>
      </c>
    </row>
    <row r="4794" spans="1:7" x14ac:dyDescent="0.25">
      <c r="A4794" s="5" t="s">
        <v>130</v>
      </c>
      <c r="B4794" s="5" t="s">
        <v>132</v>
      </c>
      <c r="C4794" s="5">
        <v>2220</v>
      </c>
      <c r="D4794" s="5" t="s">
        <v>20</v>
      </c>
      <c r="E4794" s="5" t="s">
        <v>30</v>
      </c>
      <c r="F4794" s="6">
        <v>42370</v>
      </c>
      <c r="G4794">
        <v>32</v>
      </c>
    </row>
    <row r="4795" spans="1:7" x14ac:dyDescent="0.25">
      <c r="A4795" s="5" t="s">
        <v>130</v>
      </c>
      <c r="B4795" s="5" t="s">
        <v>132</v>
      </c>
      <c r="C4795" s="5">
        <v>2220</v>
      </c>
      <c r="D4795" s="5" t="s">
        <v>20</v>
      </c>
      <c r="E4795" s="5" t="s">
        <v>30</v>
      </c>
      <c r="F4795" s="6">
        <v>42736</v>
      </c>
      <c r="G4795">
        <v>38</v>
      </c>
    </row>
    <row r="4796" spans="1:7" x14ac:dyDescent="0.25">
      <c r="A4796" s="5" t="s">
        <v>130</v>
      </c>
      <c r="B4796" s="5" t="s">
        <v>132</v>
      </c>
      <c r="C4796" s="5">
        <v>2220</v>
      </c>
      <c r="D4796" s="5" t="s">
        <v>20</v>
      </c>
      <c r="E4796" s="5" t="s">
        <v>31</v>
      </c>
      <c r="F4796" s="6">
        <v>42370</v>
      </c>
      <c r="G4796">
        <v>52</v>
      </c>
    </row>
    <row r="4797" spans="1:7" x14ac:dyDescent="0.25">
      <c r="A4797" s="5" t="s">
        <v>130</v>
      </c>
      <c r="B4797" s="5" t="s">
        <v>132</v>
      </c>
      <c r="C4797" s="5">
        <v>2220</v>
      </c>
      <c r="D4797" s="5" t="s">
        <v>20</v>
      </c>
      <c r="E4797" s="5" t="s">
        <v>31</v>
      </c>
      <c r="F4797" s="6">
        <v>42736</v>
      </c>
      <c r="G4797">
        <v>107</v>
      </c>
    </row>
    <row r="4798" spans="1:7" x14ac:dyDescent="0.25">
      <c r="A4798" s="5" t="s">
        <v>130</v>
      </c>
      <c r="B4798" s="5" t="s">
        <v>132</v>
      </c>
      <c r="C4798" s="5">
        <v>2220</v>
      </c>
      <c r="D4798" s="5" t="s">
        <v>20</v>
      </c>
      <c r="E4798" s="5" t="s">
        <v>32</v>
      </c>
      <c r="F4798" s="6">
        <v>42370</v>
      </c>
      <c r="G4798">
        <v>36</v>
      </c>
    </row>
    <row r="4799" spans="1:7" x14ac:dyDescent="0.25">
      <c r="A4799" s="5" t="s">
        <v>130</v>
      </c>
      <c r="B4799" s="5" t="s">
        <v>132</v>
      </c>
      <c r="C4799" s="5">
        <v>2220</v>
      </c>
      <c r="D4799" s="5" t="s">
        <v>20</v>
      </c>
      <c r="E4799" s="5" t="s">
        <v>32</v>
      </c>
      <c r="F4799" s="6">
        <v>42736</v>
      </c>
      <c r="G4799">
        <v>39</v>
      </c>
    </row>
    <row r="4800" spans="1:7" x14ac:dyDescent="0.25">
      <c r="A4800" s="5" t="s">
        <v>130</v>
      </c>
      <c r="B4800" s="5" t="s">
        <v>132</v>
      </c>
      <c r="C4800" s="5">
        <v>2220</v>
      </c>
      <c r="D4800" s="5" t="s">
        <v>33</v>
      </c>
      <c r="E4800" s="5" t="s">
        <v>9</v>
      </c>
      <c r="F4800" s="6">
        <v>42370</v>
      </c>
      <c r="G4800">
        <v>0</v>
      </c>
    </row>
    <row r="4801" spans="1:7" x14ac:dyDescent="0.25">
      <c r="A4801" s="5" t="s">
        <v>130</v>
      </c>
      <c r="B4801" s="5" t="s">
        <v>132</v>
      </c>
      <c r="C4801" s="5">
        <v>2220</v>
      </c>
      <c r="D4801" s="5" t="s">
        <v>33</v>
      </c>
      <c r="E4801" s="5" t="s">
        <v>9</v>
      </c>
      <c r="F4801" s="6">
        <v>42736</v>
      </c>
      <c r="G4801">
        <v>0</v>
      </c>
    </row>
    <row r="4802" spans="1:7" x14ac:dyDescent="0.25">
      <c r="A4802" s="5" t="s">
        <v>130</v>
      </c>
      <c r="B4802" s="5" t="s">
        <v>132</v>
      </c>
      <c r="C4802" s="5">
        <v>2220</v>
      </c>
      <c r="D4802" s="5" t="s">
        <v>33</v>
      </c>
      <c r="E4802" s="5" t="s">
        <v>34</v>
      </c>
      <c r="F4802" s="6">
        <v>42370</v>
      </c>
      <c r="G4802">
        <v>0</v>
      </c>
    </row>
    <row r="4803" spans="1:7" x14ac:dyDescent="0.25">
      <c r="A4803" s="5" t="s">
        <v>130</v>
      </c>
      <c r="B4803" s="5" t="s">
        <v>132</v>
      </c>
      <c r="C4803" s="5">
        <v>2220</v>
      </c>
      <c r="D4803" s="5" t="s">
        <v>33</v>
      </c>
      <c r="E4803" s="5" t="s">
        <v>34</v>
      </c>
      <c r="F4803" s="6">
        <v>42736</v>
      </c>
      <c r="G4803">
        <v>0</v>
      </c>
    </row>
    <row r="4804" spans="1:7" x14ac:dyDescent="0.25">
      <c r="A4804" s="5" t="s">
        <v>130</v>
      </c>
      <c r="B4804" s="5" t="s">
        <v>132</v>
      </c>
      <c r="C4804" s="5">
        <v>2220</v>
      </c>
      <c r="D4804" s="5" t="s">
        <v>35</v>
      </c>
      <c r="E4804" s="5" t="s">
        <v>36</v>
      </c>
      <c r="F4804" s="6">
        <v>42370</v>
      </c>
      <c r="G4804">
        <v>0</v>
      </c>
    </row>
    <row r="4805" spans="1:7" x14ac:dyDescent="0.25">
      <c r="A4805" s="5" t="s">
        <v>130</v>
      </c>
      <c r="B4805" s="5" t="s">
        <v>132</v>
      </c>
      <c r="C4805" s="5">
        <v>2220</v>
      </c>
      <c r="D4805" s="5" t="s">
        <v>35</v>
      </c>
      <c r="E4805" s="5" t="s">
        <v>36</v>
      </c>
      <c r="F4805" s="6">
        <v>42736</v>
      </c>
      <c r="G4805">
        <v>0</v>
      </c>
    </row>
    <row r="4806" spans="1:7" x14ac:dyDescent="0.25">
      <c r="A4806" s="5" t="s">
        <v>130</v>
      </c>
      <c r="B4806" s="5" t="s">
        <v>132</v>
      </c>
      <c r="C4806" s="5">
        <v>2220</v>
      </c>
      <c r="D4806" s="5" t="s">
        <v>35</v>
      </c>
      <c r="E4806" s="5" t="s">
        <v>37</v>
      </c>
      <c r="F4806" s="6">
        <v>42370</v>
      </c>
      <c r="G4806">
        <v>0</v>
      </c>
    </row>
    <row r="4807" spans="1:7" x14ac:dyDescent="0.25">
      <c r="A4807" s="5" t="s">
        <v>130</v>
      </c>
      <c r="B4807" s="5" t="s">
        <v>132</v>
      </c>
      <c r="C4807" s="5">
        <v>2220</v>
      </c>
      <c r="D4807" s="5" t="s">
        <v>35</v>
      </c>
      <c r="E4807" s="5" t="s">
        <v>37</v>
      </c>
      <c r="F4807" s="6">
        <v>42736</v>
      </c>
      <c r="G4807">
        <v>0</v>
      </c>
    </row>
    <row r="4808" spans="1:7" x14ac:dyDescent="0.25">
      <c r="A4808" s="5" t="s">
        <v>130</v>
      </c>
      <c r="B4808" s="5" t="s">
        <v>132</v>
      </c>
      <c r="C4808" s="5">
        <v>2220</v>
      </c>
      <c r="D4808" s="5" t="s">
        <v>35</v>
      </c>
      <c r="E4808" s="5" t="s">
        <v>38</v>
      </c>
      <c r="F4808" s="6">
        <v>42370</v>
      </c>
      <c r="G4808">
        <v>0</v>
      </c>
    </row>
    <row r="4809" spans="1:7" x14ac:dyDescent="0.25">
      <c r="A4809" s="5" t="s">
        <v>130</v>
      </c>
      <c r="B4809" s="5" t="s">
        <v>132</v>
      </c>
      <c r="C4809" s="5">
        <v>2220</v>
      </c>
      <c r="D4809" s="5" t="s">
        <v>35</v>
      </c>
      <c r="E4809" s="5" t="s">
        <v>38</v>
      </c>
      <c r="F4809" s="6">
        <v>42736</v>
      </c>
      <c r="G4809">
        <v>0</v>
      </c>
    </row>
    <row r="4810" spans="1:7" x14ac:dyDescent="0.25">
      <c r="A4810" s="5" t="s">
        <v>130</v>
      </c>
      <c r="B4810" s="5" t="s">
        <v>132</v>
      </c>
      <c r="C4810" s="5">
        <v>2220</v>
      </c>
      <c r="D4810" s="5" t="s">
        <v>35</v>
      </c>
      <c r="E4810" s="5" t="s">
        <v>39</v>
      </c>
      <c r="F4810" s="6">
        <v>42370</v>
      </c>
      <c r="G4810">
        <v>0</v>
      </c>
    </row>
    <row r="4811" spans="1:7" x14ac:dyDescent="0.25">
      <c r="A4811" s="5" t="s">
        <v>130</v>
      </c>
      <c r="B4811" s="5" t="s">
        <v>132</v>
      </c>
      <c r="C4811" s="5">
        <v>2220</v>
      </c>
      <c r="D4811" s="5" t="s">
        <v>35</v>
      </c>
      <c r="E4811" s="5" t="s">
        <v>39</v>
      </c>
      <c r="F4811" s="6">
        <v>42736</v>
      </c>
      <c r="G4811">
        <v>0</v>
      </c>
    </row>
    <row r="4812" spans="1:7" x14ac:dyDescent="0.25">
      <c r="A4812" s="5" t="s">
        <v>130</v>
      </c>
      <c r="B4812" s="5" t="s">
        <v>132</v>
      </c>
      <c r="C4812" s="5">
        <v>2220</v>
      </c>
      <c r="D4812" s="5" t="s">
        <v>35</v>
      </c>
      <c r="E4812" s="5" t="s">
        <v>40</v>
      </c>
      <c r="F4812" s="6">
        <v>42370</v>
      </c>
      <c r="G4812">
        <v>0</v>
      </c>
    </row>
    <row r="4813" spans="1:7" x14ac:dyDescent="0.25">
      <c r="A4813" s="5" t="s">
        <v>130</v>
      </c>
      <c r="B4813" s="5" t="s">
        <v>132</v>
      </c>
      <c r="C4813" s="5">
        <v>2220</v>
      </c>
      <c r="D4813" s="5" t="s">
        <v>35</v>
      </c>
      <c r="E4813" s="5" t="s">
        <v>40</v>
      </c>
      <c r="F4813" s="6">
        <v>42736</v>
      </c>
      <c r="G4813">
        <v>0</v>
      </c>
    </row>
    <row r="4814" spans="1:7" x14ac:dyDescent="0.25">
      <c r="A4814" s="5" t="s">
        <v>130</v>
      </c>
      <c r="B4814" s="5" t="s">
        <v>132</v>
      </c>
      <c r="C4814" s="5">
        <v>2220</v>
      </c>
      <c r="D4814" s="5" t="s">
        <v>35</v>
      </c>
      <c r="E4814" s="5" t="s">
        <v>41</v>
      </c>
      <c r="F4814" s="6">
        <v>42370</v>
      </c>
      <c r="G4814">
        <v>0</v>
      </c>
    </row>
    <row r="4815" spans="1:7" x14ac:dyDescent="0.25">
      <c r="A4815" s="5" t="s">
        <v>130</v>
      </c>
      <c r="B4815" s="5" t="s">
        <v>132</v>
      </c>
      <c r="C4815" s="5">
        <v>2220</v>
      </c>
      <c r="D4815" s="5" t="s">
        <v>35</v>
      </c>
      <c r="E4815" s="5" t="s">
        <v>41</v>
      </c>
      <c r="F4815" s="6">
        <v>42736</v>
      </c>
      <c r="G4815">
        <v>0</v>
      </c>
    </row>
    <row r="4816" spans="1:7" x14ac:dyDescent="0.25">
      <c r="A4816" s="5" t="s">
        <v>130</v>
      </c>
      <c r="B4816" s="5" t="s">
        <v>132</v>
      </c>
      <c r="C4816" s="5">
        <v>2220</v>
      </c>
      <c r="D4816" s="5" t="s">
        <v>35</v>
      </c>
      <c r="E4816" s="5" t="s">
        <v>42</v>
      </c>
      <c r="F4816" s="6">
        <v>42370</v>
      </c>
      <c r="G4816">
        <v>0</v>
      </c>
    </row>
    <row r="4817" spans="1:7" x14ac:dyDescent="0.25">
      <c r="A4817" s="5" t="s">
        <v>130</v>
      </c>
      <c r="B4817" s="5" t="s">
        <v>132</v>
      </c>
      <c r="C4817" s="5">
        <v>2220</v>
      </c>
      <c r="D4817" s="5" t="s">
        <v>35</v>
      </c>
      <c r="E4817" s="5" t="s">
        <v>42</v>
      </c>
      <c r="F4817" s="6">
        <v>42736</v>
      </c>
      <c r="G4817">
        <v>0</v>
      </c>
    </row>
    <row r="4818" spans="1:7" x14ac:dyDescent="0.25">
      <c r="A4818" s="5" t="s">
        <v>130</v>
      </c>
      <c r="B4818" s="5" t="s">
        <v>132</v>
      </c>
      <c r="C4818" s="5">
        <v>2220</v>
      </c>
      <c r="D4818" s="5" t="s">
        <v>35</v>
      </c>
      <c r="E4818" s="5" t="s">
        <v>43</v>
      </c>
      <c r="F4818" s="6">
        <v>42370</v>
      </c>
      <c r="G4818">
        <v>0</v>
      </c>
    </row>
    <row r="4819" spans="1:7" x14ac:dyDescent="0.25">
      <c r="A4819" s="5" t="s">
        <v>130</v>
      </c>
      <c r="B4819" s="5" t="s">
        <v>132</v>
      </c>
      <c r="C4819" s="5">
        <v>2220</v>
      </c>
      <c r="D4819" s="5" t="s">
        <v>35</v>
      </c>
      <c r="E4819" s="5" t="s">
        <v>43</v>
      </c>
      <c r="F4819" s="6">
        <v>42736</v>
      </c>
      <c r="G4819">
        <v>0</v>
      </c>
    </row>
    <row r="4820" spans="1:7" x14ac:dyDescent="0.25">
      <c r="A4820" s="5" t="s">
        <v>130</v>
      </c>
      <c r="B4820" s="5" t="s">
        <v>132</v>
      </c>
      <c r="C4820" s="5">
        <v>2220</v>
      </c>
      <c r="D4820" s="5" t="s">
        <v>44</v>
      </c>
      <c r="E4820" s="5" t="s">
        <v>36</v>
      </c>
      <c r="F4820" s="6">
        <v>42370</v>
      </c>
      <c r="G4820">
        <v>0</v>
      </c>
    </row>
    <row r="4821" spans="1:7" x14ac:dyDescent="0.25">
      <c r="A4821" s="5" t="s">
        <v>130</v>
      </c>
      <c r="B4821" s="5" t="s">
        <v>132</v>
      </c>
      <c r="C4821" s="5">
        <v>2220</v>
      </c>
      <c r="D4821" s="5" t="s">
        <v>44</v>
      </c>
      <c r="E4821" s="5" t="s">
        <v>36</v>
      </c>
      <c r="F4821" s="6">
        <v>42736</v>
      </c>
      <c r="G4821">
        <v>0</v>
      </c>
    </row>
    <row r="4822" spans="1:7" x14ac:dyDescent="0.25">
      <c r="A4822" s="5" t="s">
        <v>130</v>
      </c>
      <c r="B4822" s="5" t="s">
        <v>132</v>
      </c>
      <c r="C4822" s="5">
        <v>2220</v>
      </c>
      <c r="D4822" s="5" t="s">
        <v>44</v>
      </c>
      <c r="E4822" s="5" t="s">
        <v>37</v>
      </c>
      <c r="F4822" s="6">
        <v>42370</v>
      </c>
      <c r="G4822">
        <v>0</v>
      </c>
    </row>
    <row r="4823" spans="1:7" x14ac:dyDescent="0.25">
      <c r="A4823" s="5" t="s">
        <v>130</v>
      </c>
      <c r="B4823" s="5" t="s">
        <v>132</v>
      </c>
      <c r="C4823" s="5">
        <v>2220</v>
      </c>
      <c r="D4823" s="5" t="s">
        <v>44</v>
      </c>
      <c r="E4823" s="5" t="s">
        <v>37</v>
      </c>
      <c r="F4823" s="6">
        <v>42736</v>
      </c>
      <c r="G4823">
        <v>0</v>
      </c>
    </row>
    <row r="4824" spans="1:7" x14ac:dyDescent="0.25">
      <c r="A4824" s="5" t="s">
        <v>130</v>
      </c>
      <c r="B4824" s="5" t="s">
        <v>132</v>
      </c>
      <c r="C4824" s="5">
        <v>2220</v>
      </c>
      <c r="D4824" s="5" t="s">
        <v>44</v>
      </c>
      <c r="E4824" s="5" t="s">
        <v>38</v>
      </c>
      <c r="F4824" s="6">
        <v>42370</v>
      </c>
      <c r="G4824">
        <v>0</v>
      </c>
    </row>
    <row r="4825" spans="1:7" x14ac:dyDescent="0.25">
      <c r="A4825" s="5" t="s">
        <v>130</v>
      </c>
      <c r="B4825" s="5" t="s">
        <v>132</v>
      </c>
      <c r="C4825" s="5">
        <v>2220</v>
      </c>
      <c r="D4825" s="5" t="s">
        <v>44</v>
      </c>
      <c r="E4825" s="5" t="s">
        <v>38</v>
      </c>
      <c r="F4825" s="6">
        <v>42736</v>
      </c>
      <c r="G4825">
        <v>0</v>
      </c>
    </row>
    <row r="4826" spans="1:7" x14ac:dyDescent="0.25">
      <c r="A4826" s="5" t="s">
        <v>130</v>
      </c>
      <c r="B4826" s="5" t="s">
        <v>132</v>
      </c>
      <c r="C4826" s="5">
        <v>2220</v>
      </c>
      <c r="D4826" s="5" t="s">
        <v>44</v>
      </c>
      <c r="E4826" s="5" t="s">
        <v>39</v>
      </c>
      <c r="F4826" s="6">
        <v>42370</v>
      </c>
      <c r="G4826">
        <v>0</v>
      </c>
    </row>
    <row r="4827" spans="1:7" x14ac:dyDescent="0.25">
      <c r="A4827" s="5" t="s">
        <v>130</v>
      </c>
      <c r="B4827" s="5" t="s">
        <v>132</v>
      </c>
      <c r="C4827" s="5">
        <v>2220</v>
      </c>
      <c r="D4827" s="5" t="s">
        <v>44</v>
      </c>
      <c r="E4827" s="5" t="s">
        <v>39</v>
      </c>
      <c r="F4827" s="6">
        <v>42736</v>
      </c>
      <c r="G4827">
        <v>0</v>
      </c>
    </row>
    <row r="4828" spans="1:7" x14ac:dyDescent="0.25">
      <c r="A4828" s="5" t="s">
        <v>130</v>
      </c>
      <c r="B4828" s="5" t="s">
        <v>132</v>
      </c>
      <c r="C4828" s="5">
        <v>2220</v>
      </c>
      <c r="D4828" s="5" t="s">
        <v>44</v>
      </c>
      <c r="E4828" s="5" t="s">
        <v>40</v>
      </c>
      <c r="F4828" s="6">
        <v>42370</v>
      </c>
      <c r="G4828">
        <v>0</v>
      </c>
    </row>
    <row r="4829" spans="1:7" x14ac:dyDescent="0.25">
      <c r="A4829" s="5" t="s">
        <v>130</v>
      </c>
      <c r="B4829" s="5" t="s">
        <v>132</v>
      </c>
      <c r="C4829" s="5">
        <v>2220</v>
      </c>
      <c r="D4829" s="5" t="s">
        <v>44</v>
      </c>
      <c r="E4829" s="5" t="s">
        <v>40</v>
      </c>
      <c r="F4829" s="6">
        <v>42736</v>
      </c>
      <c r="G4829">
        <v>0</v>
      </c>
    </row>
    <row r="4830" spans="1:7" x14ac:dyDescent="0.25">
      <c r="A4830" s="5" t="s">
        <v>130</v>
      </c>
      <c r="B4830" s="5" t="s">
        <v>132</v>
      </c>
      <c r="C4830" s="5">
        <v>2220</v>
      </c>
      <c r="D4830" s="5" t="s">
        <v>44</v>
      </c>
      <c r="E4830" s="5" t="s">
        <v>41</v>
      </c>
      <c r="F4830" s="6">
        <v>42370</v>
      </c>
      <c r="G4830">
        <v>0</v>
      </c>
    </row>
    <row r="4831" spans="1:7" x14ac:dyDescent="0.25">
      <c r="A4831" s="5" t="s">
        <v>130</v>
      </c>
      <c r="B4831" s="5" t="s">
        <v>132</v>
      </c>
      <c r="C4831" s="5">
        <v>2220</v>
      </c>
      <c r="D4831" s="5" t="s">
        <v>44</v>
      </c>
      <c r="E4831" s="5" t="s">
        <v>41</v>
      </c>
      <c r="F4831" s="6">
        <v>42736</v>
      </c>
      <c r="G4831">
        <v>0</v>
      </c>
    </row>
    <row r="4832" spans="1:7" x14ac:dyDescent="0.25">
      <c r="A4832" s="5" t="s">
        <v>130</v>
      </c>
      <c r="B4832" s="5" t="s">
        <v>132</v>
      </c>
      <c r="C4832" s="5">
        <v>2220</v>
      </c>
      <c r="D4832" s="5" t="s">
        <v>44</v>
      </c>
      <c r="E4832" s="5" t="s">
        <v>42</v>
      </c>
      <c r="F4832" s="6">
        <v>42370</v>
      </c>
      <c r="G4832">
        <v>0</v>
      </c>
    </row>
    <row r="4833" spans="1:7" x14ac:dyDescent="0.25">
      <c r="A4833" s="5" t="s">
        <v>130</v>
      </c>
      <c r="B4833" s="5" t="s">
        <v>132</v>
      </c>
      <c r="C4833" s="5">
        <v>2220</v>
      </c>
      <c r="D4833" s="5" t="s">
        <v>44</v>
      </c>
      <c r="E4833" s="5" t="s">
        <v>42</v>
      </c>
      <c r="F4833" s="6">
        <v>42736</v>
      </c>
      <c r="G4833">
        <v>0</v>
      </c>
    </row>
    <row r="4834" spans="1:7" x14ac:dyDescent="0.25">
      <c r="A4834" s="5" t="s">
        <v>130</v>
      </c>
      <c r="B4834" s="5" t="s">
        <v>132</v>
      </c>
      <c r="C4834" s="5">
        <v>2220</v>
      </c>
      <c r="D4834" s="5" t="s">
        <v>44</v>
      </c>
      <c r="E4834" s="5" t="s">
        <v>43</v>
      </c>
      <c r="F4834" s="6">
        <v>42370</v>
      </c>
      <c r="G4834">
        <v>0</v>
      </c>
    </row>
    <row r="4835" spans="1:7" x14ac:dyDescent="0.25">
      <c r="A4835" s="5" t="s">
        <v>130</v>
      </c>
      <c r="B4835" s="5" t="s">
        <v>132</v>
      </c>
      <c r="C4835" s="5">
        <v>2220</v>
      </c>
      <c r="D4835" s="5" t="s">
        <v>44</v>
      </c>
      <c r="E4835" s="5" t="s">
        <v>43</v>
      </c>
      <c r="F4835" s="6">
        <v>42736</v>
      </c>
      <c r="G4835">
        <v>0</v>
      </c>
    </row>
    <row r="4836" spans="1:7" x14ac:dyDescent="0.25">
      <c r="A4836" s="5" t="s">
        <v>130</v>
      </c>
      <c r="B4836" s="5" t="s">
        <v>132</v>
      </c>
      <c r="C4836" s="5">
        <v>2220</v>
      </c>
      <c r="D4836" s="5" t="s">
        <v>45</v>
      </c>
      <c r="E4836" s="5" t="s">
        <v>46</v>
      </c>
      <c r="F4836" s="6">
        <v>42370</v>
      </c>
      <c r="G4836">
        <v>0</v>
      </c>
    </row>
    <row r="4837" spans="1:7" x14ac:dyDescent="0.25">
      <c r="A4837" s="5" t="s">
        <v>130</v>
      </c>
      <c r="B4837" s="5" t="s">
        <v>132</v>
      </c>
      <c r="C4837" s="5">
        <v>2220</v>
      </c>
      <c r="D4837" s="5" t="s">
        <v>45</v>
      </c>
      <c r="E4837" s="5" t="s">
        <v>46</v>
      </c>
      <c r="F4837" s="6">
        <v>42736</v>
      </c>
      <c r="G4837">
        <v>0</v>
      </c>
    </row>
    <row r="4838" spans="1:7" x14ac:dyDescent="0.25">
      <c r="A4838" s="5" t="s">
        <v>130</v>
      </c>
      <c r="B4838" s="5" t="s">
        <v>132</v>
      </c>
      <c r="C4838" s="5">
        <v>2220</v>
      </c>
      <c r="D4838" s="5" t="s">
        <v>45</v>
      </c>
      <c r="E4838" s="5" t="s">
        <v>47</v>
      </c>
      <c r="F4838" s="6">
        <v>42370</v>
      </c>
      <c r="G4838">
        <v>0</v>
      </c>
    </row>
    <row r="4839" spans="1:7" x14ac:dyDescent="0.25">
      <c r="A4839" s="5" t="s">
        <v>130</v>
      </c>
      <c r="B4839" s="5" t="s">
        <v>132</v>
      </c>
      <c r="C4839" s="5">
        <v>2220</v>
      </c>
      <c r="D4839" s="5" t="s">
        <v>45</v>
      </c>
      <c r="E4839" s="5" t="s">
        <v>47</v>
      </c>
      <c r="F4839" s="6">
        <v>42736</v>
      </c>
      <c r="G4839">
        <v>0</v>
      </c>
    </row>
    <row r="4840" spans="1:7" x14ac:dyDescent="0.25">
      <c r="A4840" s="5" t="s">
        <v>130</v>
      </c>
      <c r="B4840" s="5" t="s">
        <v>132</v>
      </c>
      <c r="C4840" s="5">
        <v>2220</v>
      </c>
      <c r="D4840" s="5" t="s">
        <v>45</v>
      </c>
      <c r="E4840" s="5" t="s">
        <v>48</v>
      </c>
      <c r="F4840" s="6">
        <v>42370</v>
      </c>
      <c r="G4840">
        <v>7</v>
      </c>
    </row>
    <row r="4841" spans="1:7" x14ac:dyDescent="0.25">
      <c r="A4841" s="5" t="s">
        <v>130</v>
      </c>
      <c r="B4841" s="5" t="s">
        <v>132</v>
      </c>
      <c r="C4841" s="5">
        <v>2220</v>
      </c>
      <c r="D4841" s="5" t="s">
        <v>45</v>
      </c>
      <c r="E4841" s="5" t="s">
        <v>48</v>
      </c>
      <c r="F4841" s="6">
        <v>42736</v>
      </c>
      <c r="G4841">
        <v>7</v>
      </c>
    </row>
    <row r="4842" spans="1:7" x14ac:dyDescent="0.25">
      <c r="A4842" s="5" t="s">
        <v>130</v>
      </c>
      <c r="B4842" s="5" t="s">
        <v>132</v>
      </c>
      <c r="C4842" s="5">
        <v>2220</v>
      </c>
      <c r="D4842" s="5" t="s">
        <v>45</v>
      </c>
      <c r="E4842" s="5" t="s">
        <v>49</v>
      </c>
      <c r="F4842" s="6">
        <v>42370</v>
      </c>
      <c r="G4842">
        <v>0</v>
      </c>
    </row>
    <row r="4843" spans="1:7" x14ac:dyDescent="0.25">
      <c r="A4843" s="5" t="s">
        <v>130</v>
      </c>
      <c r="B4843" s="5" t="s">
        <v>132</v>
      </c>
      <c r="C4843" s="5">
        <v>2220</v>
      </c>
      <c r="D4843" s="5" t="s">
        <v>45</v>
      </c>
      <c r="E4843" s="5" t="s">
        <v>49</v>
      </c>
      <c r="F4843" s="6">
        <v>42736</v>
      </c>
      <c r="G4843">
        <v>0</v>
      </c>
    </row>
    <row r="4844" spans="1:7" x14ac:dyDescent="0.25">
      <c r="A4844" s="5" t="s">
        <v>130</v>
      </c>
      <c r="B4844" s="5" t="s">
        <v>132</v>
      </c>
      <c r="C4844" s="5">
        <v>2220</v>
      </c>
      <c r="D4844" s="5" t="s">
        <v>45</v>
      </c>
      <c r="E4844" s="5" t="s">
        <v>50</v>
      </c>
      <c r="F4844" s="6">
        <v>42370</v>
      </c>
      <c r="G4844">
        <v>0</v>
      </c>
    </row>
    <row r="4845" spans="1:7" x14ac:dyDescent="0.25">
      <c r="A4845" s="5" t="s">
        <v>130</v>
      </c>
      <c r="B4845" s="5" t="s">
        <v>132</v>
      </c>
      <c r="C4845" s="5">
        <v>2220</v>
      </c>
      <c r="D4845" s="5" t="s">
        <v>45</v>
      </c>
      <c r="E4845" s="5" t="s">
        <v>50</v>
      </c>
      <c r="F4845" s="6">
        <v>42736</v>
      </c>
      <c r="G4845">
        <v>0</v>
      </c>
    </row>
    <row r="4846" spans="1:7" x14ac:dyDescent="0.25">
      <c r="A4846" s="5" t="s">
        <v>130</v>
      </c>
      <c r="B4846" s="5" t="s">
        <v>132</v>
      </c>
      <c r="C4846" s="5">
        <v>2220</v>
      </c>
      <c r="D4846" s="5" t="s">
        <v>45</v>
      </c>
      <c r="E4846" s="5" t="s">
        <v>51</v>
      </c>
      <c r="F4846" s="6">
        <v>42370</v>
      </c>
      <c r="G4846">
        <v>0</v>
      </c>
    </row>
    <row r="4847" spans="1:7" x14ac:dyDescent="0.25">
      <c r="A4847" s="5" t="s">
        <v>130</v>
      </c>
      <c r="B4847" s="5" t="s">
        <v>132</v>
      </c>
      <c r="C4847" s="5">
        <v>2220</v>
      </c>
      <c r="D4847" s="5" t="s">
        <v>45</v>
      </c>
      <c r="E4847" s="5" t="s">
        <v>51</v>
      </c>
      <c r="F4847" s="6">
        <v>42736</v>
      </c>
      <c r="G4847">
        <v>0</v>
      </c>
    </row>
    <row r="4848" spans="1:7" x14ac:dyDescent="0.25">
      <c r="A4848" s="5" t="s">
        <v>130</v>
      </c>
      <c r="B4848" s="5" t="s">
        <v>132</v>
      </c>
      <c r="C4848" s="5">
        <v>2220</v>
      </c>
      <c r="D4848" s="5" t="s">
        <v>45</v>
      </c>
      <c r="E4848" s="5" t="s">
        <v>52</v>
      </c>
      <c r="F4848" s="6">
        <v>42370</v>
      </c>
      <c r="G4848">
        <v>0</v>
      </c>
    </row>
    <row r="4849" spans="1:7" x14ac:dyDescent="0.25">
      <c r="A4849" s="5" t="s">
        <v>130</v>
      </c>
      <c r="B4849" s="5" t="s">
        <v>132</v>
      </c>
      <c r="C4849" s="5">
        <v>2220</v>
      </c>
      <c r="D4849" s="5" t="s">
        <v>45</v>
      </c>
      <c r="E4849" s="5" t="s">
        <v>52</v>
      </c>
      <c r="F4849" s="6">
        <v>42736</v>
      </c>
      <c r="G4849">
        <v>0</v>
      </c>
    </row>
    <row r="4850" spans="1:7" x14ac:dyDescent="0.25">
      <c r="A4850" s="5" t="s">
        <v>130</v>
      </c>
      <c r="B4850" s="5" t="s">
        <v>132</v>
      </c>
      <c r="C4850" s="5">
        <v>2220</v>
      </c>
      <c r="D4850" s="5" t="s">
        <v>45</v>
      </c>
      <c r="E4850" s="5" t="s">
        <v>53</v>
      </c>
      <c r="F4850" s="6">
        <v>42370</v>
      </c>
      <c r="G4850">
        <v>2</v>
      </c>
    </row>
    <row r="4851" spans="1:7" x14ac:dyDescent="0.25">
      <c r="A4851" s="5" t="s">
        <v>130</v>
      </c>
      <c r="B4851" s="5" t="s">
        <v>132</v>
      </c>
      <c r="C4851" s="5">
        <v>2220</v>
      </c>
      <c r="D4851" s="5" t="s">
        <v>45</v>
      </c>
      <c r="E4851" s="5" t="s">
        <v>53</v>
      </c>
      <c r="F4851" s="6">
        <v>42736</v>
      </c>
      <c r="G4851">
        <v>0</v>
      </c>
    </row>
    <row r="4852" spans="1:7" x14ac:dyDescent="0.25">
      <c r="A4852" s="5" t="s">
        <v>130</v>
      </c>
      <c r="B4852" s="5" t="s">
        <v>132</v>
      </c>
      <c r="C4852" s="5">
        <v>2220</v>
      </c>
      <c r="D4852" s="5" t="s">
        <v>45</v>
      </c>
      <c r="E4852" s="5" t="s">
        <v>54</v>
      </c>
      <c r="F4852" s="6">
        <v>42370</v>
      </c>
      <c r="G4852">
        <v>0</v>
      </c>
    </row>
    <row r="4853" spans="1:7" x14ac:dyDescent="0.25">
      <c r="A4853" s="5" t="s">
        <v>130</v>
      </c>
      <c r="B4853" s="5" t="s">
        <v>132</v>
      </c>
      <c r="C4853" s="5">
        <v>2220</v>
      </c>
      <c r="D4853" s="5" t="s">
        <v>45</v>
      </c>
      <c r="E4853" s="5" t="s">
        <v>54</v>
      </c>
      <c r="F4853" s="6">
        <v>42736</v>
      </c>
      <c r="G4853">
        <v>0</v>
      </c>
    </row>
    <row r="4854" spans="1:7" x14ac:dyDescent="0.25">
      <c r="A4854" s="5" t="s">
        <v>130</v>
      </c>
      <c r="B4854" s="5" t="s">
        <v>132</v>
      </c>
      <c r="C4854" s="5">
        <v>2220</v>
      </c>
      <c r="D4854" s="5" t="s">
        <v>45</v>
      </c>
      <c r="E4854" s="5" t="s">
        <v>55</v>
      </c>
      <c r="F4854" s="6">
        <v>42370</v>
      </c>
      <c r="G4854">
        <v>0</v>
      </c>
    </row>
    <row r="4855" spans="1:7" x14ac:dyDescent="0.25">
      <c r="A4855" s="5" t="s">
        <v>130</v>
      </c>
      <c r="B4855" s="5" t="s">
        <v>132</v>
      </c>
      <c r="C4855" s="5">
        <v>2220</v>
      </c>
      <c r="D4855" s="5" t="s">
        <v>45</v>
      </c>
      <c r="E4855" s="5" t="s">
        <v>55</v>
      </c>
      <c r="F4855" s="6">
        <v>42736</v>
      </c>
      <c r="G4855">
        <v>0</v>
      </c>
    </row>
    <row r="4856" spans="1:7" x14ac:dyDescent="0.25">
      <c r="A4856" s="5" t="s">
        <v>130</v>
      </c>
      <c r="B4856" s="5" t="s">
        <v>132</v>
      </c>
      <c r="C4856" s="5">
        <v>2220</v>
      </c>
      <c r="D4856" s="5" t="s">
        <v>45</v>
      </c>
      <c r="E4856" s="5" t="s">
        <v>56</v>
      </c>
      <c r="F4856" s="6">
        <v>42370</v>
      </c>
      <c r="G4856">
        <v>0</v>
      </c>
    </row>
    <row r="4857" spans="1:7" x14ac:dyDescent="0.25">
      <c r="A4857" s="5" t="s">
        <v>130</v>
      </c>
      <c r="B4857" s="5" t="s">
        <v>132</v>
      </c>
      <c r="C4857" s="5">
        <v>2220</v>
      </c>
      <c r="D4857" s="5" t="s">
        <v>45</v>
      </c>
      <c r="E4857" s="5" t="s">
        <v>56</v>
      </c>
      <c r="F4857" s="6">
        <v>42736</v>
      </c>
      <c r="G4857">
        <v>0</v>
      </c>
    </row>
    <row r="4858" spans="1:7" x14ac:dyDescent="0.25">
      <c r="A4858" s="5" t="s">
        <v>130</v>
      </c>
      <c r="B4858" s="5" t="s">
        <v>132</v>
      </c>
      <c r="C4858" s="5">
        <v>2220</v>
      </c>
      <c r="D4858" s="5" t="s">
        <v>45</v>
      </c>
      <c r="E4858" s="5" t="s">
        <v>57</v>
      </c>
      <c r="F4858" s="6">
        <v>42370</v>
      </c>
      <c r="G4858">
        <v>0</v>
      </c>
    </row>
    <row r="4859" spans="1:7" x14ac:dyDescent="0.25">
      <c r="A4859" s="5" t="s">
        <v>130</v>
      </c>
      <c r="B4859" s="5" t="s">
        <v>132</v>
      </c>
      <c r="C4859" s="5">
        <v>2220</v>
      </c>
      <c r="D4859" s="5" t="s">
        <v>45</v>
      </c>
      <c r="E4859" s="5" t="s">
        <v>57</v>
      </c>
      <c r="F4859" s="6">
        <v>42736</v>
      </c>
      <c r="G4859">
        <v>0</v>
      </c>
    </row>
    <row r="4860" spans="1:7" x14ac:dyDescent="0.25">
      <c r="A4860" s="5" t="s">
        <v>130</v>
      </c>
      <c r="B4860" s="5" t="s">
        <v>132</v>
      </c>
      <c r="C4860" s="5">
        <v>2220</v>
      </c>
      <c r="D4860" s="5" t="s">
        <v>45</v>
      </c>
      <c r="E4860" s="5" t="s">
        <v>58</v>
      </c>
      <c r="F4860" s="6">
        <v>42370</v>
      </c>
      <c r="G4860">
        <v>0</v>
      </c>
    </row>
    <row r="4861" spans="1:7" x14ac:dyDescent="0.25">
      <c r="A4861" s="5" t="s">
        <v>130</v>
      </c>
      <c r="B4861" s="5" t="s">
        <v>132</v>
      </c>
      <c r="C4861" s="5">
        <v>2220</v>
      </c>
      <c r="D4861" s="5" t="s">
        <v>45</v>
      </c>
      <c r="E4861" s="5" t="s">
        <v>58</v>
      </c>
      <c r="F4861" s="6">
        <v>42736</v>
      </c>
      <c r="G4861">
        <v>0</v>
      </c>
    </row>
    <row r="4862" spans="1:7" x14ac:dyDescent="0.25">
      <c r="A4862" s="5" t="s">
        <v>130</v>
      </c>
      <c r="B4862" s="5" t="s">
        <v>132</v>
      </c>
      <c r="C4862" s="5">
        <v>2220</v>
      </c>
      <c r="D4862" s="5" t="s">
        <v>45</v>
      </c>
      <c r="E4862" s="5" t="s">
        <v>59</v>
      </c>
      <c r="F4862" s="6">
        <v>42370</v>
      </c>
      <c r="G4862">
        <v>0</v>
      </c>
    </row>
    <row r="4863" spans="1:7" x14ac:dyDescent="0.25">
      <c r="A4863" s="5" t="s">
        <v>130</v>
      </c>
      <c r="B4863" s="5" t="s">
        <v>132</v>
      </c>
      <c r="C4863" s="5">
        <v>2220</v>
      </c>
      <c r="D4863" s="5" t="s">
        <v>45</v>
      </c>
      <c r="E4863" s="5" t="s">
        <v>59</v>
      </c>
      <c r="F4863" s="6">
        <v>42736</v>
      </c>
      <c r="G4863">
        <v>0</v>
      </c>
    </row>
    <row r="4864" spans="1:7" x14ac:dyDescent="0.25">
      <c r="A4864" s="5" t="s">
        <v>130</v>
      </c>
      <c r="B4864" s="5" t="s">
        <v>132</v>
      </c>
      <c r="C4864" s="5">
        <v>2220</v>
      </c>
      <c r="D4864" s="5" t="s">
        <v>45</v>
      </c>
      <c r="E4864" s="5" t="s">
        <v>60</v>
      </c>
      <c r="F4864" s="6">
        <v>42370</v>
      </c>
      <c r="G4864">
        <v>0</v>
      </c>
    </row>
    <row r="4865" spans="1:7" x14ac:dyDescent="0.25">
      <c r="A4865" s="5" t="s">
        <v>130</v>
      </c>
      <c r="B4865" s="5" t="s">
        <v>132</v>
      </c>
      <c r="C4865" s="5">
        <v>2220</v>
      </c>
      <c r="D4865" s="5" t="s">
        <v>45</v>
      </c>
      <c r="E4865" s="5" t="s">
        <v>60</v>
      </c>
      <c r="F4865" s="6">
        <v>42736</v>
      </c>
      <c r="G4865">
        <v>0</v>
      </c>
    </row>
    <row r="4866" spans="1:7" x14ac:dyDescent="0.25">
      <c r="A4866" s="5" t="s">
        <v>130</v>
      </c>
      <c r="B4866" s="5" t="s">
        <v>132</v>
      </c>
      <c r="C4866" s="5">
        <v>2220</v>
      </c>
      <c r="D4866" s="5" t="s">
        <v>45</v>
      </c>
      <c r="E4866" s="5" t="s">
        <v>61</v>
      </c>
      <c r="F4866" s="6">
        <v>42370</v>
      </c>
      <c r="G4866">
        <v>0</v>
      </c>
    </row>
    <row r="4867" spans="1:7" x14ac:dyDescent="0.25">
      <c r="A4867" s="5" t="s">
        <v>130</v>
      </c>
      <c r="B4867" s="5" t="s">
        <v>132</v>
      </c>
      <c r="C4867" s="5">
        <v>2220</v>
      </c>
      <c r="D4867" s="5" t="s">
        <v>45</v>
      </c>
      <c r="E4867" s="5" t="s">
        <v>61</v>
      </c>
      <c r="F4867" s="6">
        <v>42736</v>
      </c>
      <c r="G4867">
        <v>0</v>
      </c>
    </row>
    <row r="4868" spans="1:7" x14ac:dyDescent="0.25">
      <c r="A4868" s="5" t="s">
        <v>130</v>
      </c>
      <c r="B4868" s="5" t="s">
        <v>132</v>
      </c>
      <c r="C4868" s="5">
        <v>2220</v>
      </c>
      <c r="D4868" s="5" t="s">
        <v>62</v>
      </c>
      <c r="E4868" s="5" t="s">
        <v>63</v>
      </c>
      <c r="F4868" s="6">
        <v>42370</v>
      </c>
      <c r="G4868">
        <v>0</v>
      </c>
    </row>
    <row r="4869" spans="1:7" x14ac:dyDescent="0.25">
      <c r="A4869" s="5" t="s">
        <v>130</v>
      </c>
      <c r="B4869" s="5" t="s">
        <v>132</v>
      </c>
      <c r="C4869" s="5">
        <v>2220</v>
      </c>
      <c r="D4869" s="5" t="s">
        <v>62</v>
      </c>
      <c r="E4869" s="5" t="s">
        <v>63</v>
      </c>
      <c r="F4869" s="6">
        <v>42736</v>
      </c>
      <c r="G4869">
        <v>0</v>
      </c>
    </row>
    <row r="4870" spans="1:7" x14ac:dyDescent="0.25">
      <c r="A4870" s="5" t="s">
        <v>130</v>
      </c>
      <c r="B4870" s="5" t="s">
        <v>132</v>
      </c>
      <c r="C4870" s="5">
        <v>2220</v>
      </c>
      <c r="D4870" s="5" t="s">
        <v>62</v>
      </c>
      <c r="E4870" s="5" t="s">
        <v>64</v>
      </c>
      <c r="F4870" s="6">
        <v>42370</v>
      </c>
      <c r="G4870">
        <v>0</v>
      </c>
    </row>
    <row r="4871" spans="1:7" x14ac:dyDescent="0.25">
      <c r="A4871" s="5" t="s">
        <v>130</v>
      </c>
      <c r="B4871" s="5" t="s">
        <v>132</v>
      </c>
      <c r="C4871" s="5">
        <v>2220</v>
      </c>
      <c r="D4871" s="5" t="s">
        <v>62</v>
      </c>
      <c r="E4871" s="5" t="s">
        <v>64</v>
      </c>
      <c r="F4871" s="6">
        <v>42736</v>
      </c>
      <c r="G4871">
        <v>0</v>
      </c>
    </row>
    <row r="4872" spans="1:7" x14ac:dyDescent="0.25">
      <c r="A4872" s="5" t="s">
        <v>130</v>
      </c>
      <c r="B4872" s="5" t="s">
        <v>132</v>
      </c>
      <c r="C4872" s="5">
        <v>2220</v>
      </c>
      <c r="D4872" s="5" t="s">
        <v>62</v>
      </c>
      <c r="E4872" s="5" t="s">
        <v>9</v>
      </c>
      <c r="F4872" s="6">
        <v>42370</v>
      </c>
      <c r="G4872">
        <v>0</v>
      </c>
    </row>
    <row r="4873" spans="1:7" x14ac:dyDescent="0.25">
      <c r="A4873" s="5" t="s">
        <v>130</v>
      </c>
      <c r="B4873" s="5" t="s">
        <v>132</v>
      </c>
      <c r="C4873" s="5">
        <v>2220</v>
      </c>
      <c r="D4873" s="5" t="s">
        <v>62</v>
      </c>
      <c r="E4873" s="5" t="s">
        <v>9</v>
      </c>
      <c r="F4873" s="6">
        <v>42736</v>
      </c>
      <c r="G4873">
        <v>0</v>
      </c>
    </row>
    <row r="4874" spans="1:7" x14ac:dyDescent="0.25">
      <c r="A4874" s="5" t="s">
        <v>130</v>
      </c>
      <c r="B4874" s="5" t="s">
        <v>132</v>
      </c>
      <c r="C4874" s="5">
        <v>2220</v>
      </c>
      <c r="D4874" s="5" t="s">
        <v>62</v>
      </c>
      <c r="E4874" s="5" t="s">
        <v>65</v>
      </c>
      <c r="F4874" s="6">
        <v>42370</v>
      </c>
      <c r="G4874">
        <v>0</v>
      </c>
    </row>
    <row r="4875" spans="1:7" x14ac:dyDescent="0.25">
      <c r="A4875" s="5" t="s">
        <v>130</v>
      </c>
      <c r="B4875" s="5" t="s">
        <v>132</v>
      </c>
      <c r="C4875" s="5">
        <v>2220</v>
      </c>
      <c r="D4875" s="5" t="s">
        <v>62</v>
      </c>
      <c r="E4875" s="5" t="s">
        <v>65</v>
      </c>
      <c r="F4875" s="6">
        <v>42736</v>
      </c>
      <c r="G4875">
        <v>0</v>
      </c>
    </row>
    <row r="4876" spans="1:7" x14ac:dyDescent="0.25">
      <c r="A4876" s="5" t="s">
        <v>130</v>
      </c>
      <c r="B4876" s="5" t="s">
        <v>132</v>
      </c>
      <c r="C4876" s="5">
        <v>2220</v>
      </c>
      <c r="D4876" s="5" t="s">
        <v>62</v>
      </c>
      <c r="E4876" s="5" t="s">
        <v>66</v>
      </c>
      <c r="F4876" s="6">
        <v>42370</v>
      </c>
      <c r="G4876">
        <v>0</v>
      </c>
    </row>
    <row r="4877" spans="1:7" x14ac:dyDescent="0.25">
      <c r="A4877" s="5" t="s">
        <v>130</v>
      </c>
      <c r="B4877" s="5" t="s">
        <v>132</v>
      </c>
      <c r="C4877" s="5">
        <v>2220</v>
      </c>
      <c r="D4877" s="5" t="s">
        <v>62</v>
      </c>
      <c r="E4877" s="5" t="s">
        <v>66</v>
      </c>
      <c r="F4877" s="6">
        <v>42736</v>
      </c>
      <c r="G4877">
        <v>0</v>
      </c>
    </row>
    <row r="4878" spans="1:7" x14ac:dyDescent="0.25">
      <c r="A4878" s="5" t="s">
        <v>130</v>
      </c>
      <c r="B4878" s="5" t="s">
        <v>132</v>
      </c>
      <c r="C4878" s="5">
        <v>2220</v>
      </c>
      <c r="D4878" s="5" t="s">
        <v>62</v>
      </c>
      <c r="E4878" s="5" t="s">
        <v>67</v>
      </c>
      <c r="F4878" s="6">
        <v>42370</v>
      </c>
      <c r="G4878">
        <v>0</v>
      </c>
    </row>
    <row r="4879" spans="1:7" x14ac:dyDescent="0.25">
      <c r="A4879" s="5" t="s">
        <v>130</v>
      </c>
      <c r="B4879" s="5" t="s">
        <v>132</v>
      </c>
      <c r="C4879" s="5">
        <v>2220</v>
      </c>
      <c r="D4879" s="5" t="s">
        <v>62</v>
      </c>
      <c r="E4879" s="5" t="s">
        <v>67</v>
      </c>
      <c r="F4879" s="6">
        <v>42736</v>
      </c>
      <c r="G4879">
        <v>0</v>
      </c>
    </row>
    <row r="4880" spans="1:7" x14ac:dyDescent="0.25">
      <c r="A4880" s="5" t="s">
        <v>130</v>
      </c>
      <c r="B4880" s="5" t="s">
        <v>132</v>
      </c>
      <c r="C4880" s="5">
        <v>2220</v>
      </c>
      <c r="D4880" s="5" t="s">
        <v>62</v>
      </c>
      <c r="E4880" s="5" t="s">
        <v>68</v>
      </c>
      <c r="F4880" s="6">
        <v>42370</v>
      </c>
      <c r="G4880">
        <v>0</v>
      </c>
    </row>
    <row r="4881" spans="1:7" x14ac:dyDescent="0.25">
      <c r="A4881" s="5" t="s">
        <v>130</v>
      </c>
      <c r="B4881" s="5" t="s">
        <v>132</v>
      </c>
      <c r="C4881" s="5">
        <v>2220</v>
      </c>
      <c r="D4881" s="5" t="s">
        <v>62</v>
      </c>
      <c r="E4881" s="5" t="s">
        <v>68</v>
      </c>
      <c r="F4881" s="6">
        <v>42736</v>
      </c>
      <c r="G4881">
        <v>0</v>
      </c>
    </row>
    <row r="4882" spans="1:7" x14ac:dyDescent="0.25">
      <c r="A4882" s="5" t="s">
        <v>130</v>
      </c>
      <c r="B4882" s="5" t="s">
        <v>132</v>
      </c>
      <c r="C4882" s="5">
        <v>2220</v>
      </c>
      <c r="D4882" s="5" t="s">
        <v>62</v>
      </c>
      <c r="E4882" s="5" t="s">
        <v>69</v>
      </c>
      <c r="F4882" s="6">
        <v>42370</v>
      </c>
      <c r="G4882">
        <v>0</v>
      </c>
    </row>
    <row r="4883" spans="1:7" x14ac:dyDescent="0.25">
      <c r="A4883" s="5" t="s">
        <v>130</v>
      </c>
      <c r="B4883" s="5" t="s">
        <v>132</v>
      </c>
      <c r="C4883" s="5">
        <v>2220</v>
      </c>
      <c r="D4883" s="5" t="s">
        <v>62</v>
      </c>
      <c r="E4883" s="5" t="s">
        <v>69</v>
      </c>
      <c r="F4883" s="6">
        <v>42736</v>
      </c>
      <c r="G4883">
        <v>0</v>
      </c>
    </row>
    <row r="4884" spans="1:7" x14ac:dyDescent="0.25">
      <c r="A4884" s="5" t="s">
        <v>130</v>
      </c>
      <c r="B4884" s="5" t="s">
        <v>132</v>
      </c>
      <c r="C4884" s="5">
        <v>2220</v>
      </c>
      <c r="D4884" s="5" t="s">
        <v>62</v>
      </c>
      <c r="E4884" s="5" t="s">
        <v>70</v>
      </c>
      <c r="F4884" s="6">
        <v>42370</v>
      </c>
      <c r="G4884">
        <v>0</v>
      </c>
    </row>
    <row r="4885" spans="1:7" x14ac:dyDescent="0.25">
      <c r="A4885" s="5" t="s">
        <v>130</v>
      </c>
      <c r="B4885" s="5" t="s">
        <v>132</v>
      </c>
      <c r="C4885" s="5">
        <v>2220</v>
      </c>
      <c r="D4885" s="5" t="s">
        <v>62</v>
      </c>
      <c r="E4885" s="5" t="s">
        <v>70</v>
      </c>
      <c r="F4885" s="6">
        <v>42736</v>
      </c>
      <c r="G4885">
        <v>0</v>
      </c>
    </row>
    <row r="4886" spans="1:7" x14ac:dyDescent="0.25">
      <c r="A4886" s="5" t="s">
        <v>130</v>
      </c>
      <c r="B4886" s="5" t="s">
        <v>132</v>
      </c>
      <c r="C4886" s="5">
        <v>2220</v>
      </c>
      <c r="D4886" s="5" t="s">
        <v>62</v>
      </c>
      <c r="E4886" s="5" t="s">
        <v>71</v>
      </c>
      <c r="F4886" s="6">
        <v>42370</v>
      </c>
      <c r="G4886">
        <v>0</v>
      </c>
    </row>
    <row r="4887" spans="1:7" x14ac:dyDescent="0.25">
      <c r="A4887" s="5" t="s">
        <v>130</v>
      </c>
      <c r="B4887" s="5" t="s">
        <v>132</v>
      </c>
      <c r="C4887" s="5">
        <v>2220</v>
      </c>
      <c r="D4887" s="5" t="s">
        <v>62</v>
      </c>
      <c r="E4887" s="5" t="s">
        <v>71</v>
      </c>
      <c r="F4887" s="6">
        <v>42736</v>
      </c>
      <c r="G4887">
        <v>0</v>
      </c>
    </row>
    <row r="4888" spans="1:7" x14ac:dyDescent="0.25">
      <c r="A4888" s="5" t="s">
        <v>130</v>
      </c>
      <c r="B4888" s="5" t="s">
        <v>132</v>
      </c>
      <c r="C4888" s="5">
        <v>2220</v>
      </c>
      <c r="D4888" s="5" t="s">
        <v>72</v>
      </c>
      <c r="E4888" s="5" t="s">
        <v>73</v>
      </c>
      <c r="F4888" s="6">
        <v>42370</v>
      </c>
      <c r="G4888">
        <v>0</v>
      </c>
    </row>
    <row r="4889" spans="1:7" x14ac:dyDescent="0.25">
      <c r="A4889" s="5" t="s">
        <v>130</v>
      </c>
      <c r="B4889" s="5" t="s">
        <v>132</v>
      </c>
      <c r="C4889" s="5">
        <v>2220</v>
      </c>
      <c r="D4889" s="5" t="s">
        <v>72</v>
      </c>
      <c r="E4889" s="5" t="s">
        <v>73</v>
      </c>
      <c r="F4889" s="6">
        <v>42736</v>
      </c>
      <c r="G4889">
        <v>0</v>
      </c>
    </row>
    <row r="4890" spans="1:7" x14ac:dyDescent="0.25">
      <c r="A4890" s="5" t="s">
        <v>130</v>
      </c>
      <c r="B4890" s="5" t="s">
        <v>132</v>
      </c>
      <c r="C4890" s="5">
        <v>2220</v>
      </c>
      <c r="D4890" s="5" t="s">
        <v>72</v>
      </c>
      <c r="E4890" s="5" t="s">
        <v>9</v>
      </c>
      <c r="F4890" s="6">
        <v>42370</v>
      </c>
      <c r="G4890">
        <v>0</v>
      </c>
    </row>
    <row r="4891" spans="1:7" x14ac:dyDescent="0.25">
      <c r="A4891" s="5" t="s">
        <v>130</v>
      </c>
      <c r="B4891" s="5" t="s">
        <v>132</v>
      </c>
      <c r="C4891" s="5">
        <v>2220</v>
      </c>
      <c r="D4891" s="5" t="s">
        <v>72</v>
      </c>
      <c r="E4891" s="5" t="s">
        <v>9</v>
      </c>
      <c r="F4891" s="6">
        <v>42736</v>
      </c>
      <c r="G4891">
        <v>0</v>
      </c>
    </row>
    <row r="4892" spans="1:7" x14ac:dyDescent="0.25">
      <c r="A4892" s="5" t="s">
        <v>130</v>
      </c>
      <c r="B4892" s="5" t="s">
        <v>132</v>
      </c>
      <c r="C4892" s="5">
        <v>2220</v>
      </c>
      <c r="D4892" s="5" t="s">
        <v>72</v>
      </c>
      <c r="E4892" s="5" t="s">
        <v>34</v>
      </c>
      <c r="F4892" s="6">
        <v>42370</v>
      </c>
      <c r="G4892">
        <v>0</v>
      </c>
    </row>
    <row r="4893" spans="1:7" x14ac:dyDescent="0.25">
      <c r="A4893" s="5" t="s">
        <v>130</v>
      </c>
      <c r="B4893" s="5" t="s">
        <v>132</v>
      </c>
      <c r="C4893" s="5">
        <v>2220</v>
      </c>
      <c r="D4893" s="5" t="s">
        <v>72</v>
      </c>
      <c r="E4893" s="5" t="s">
        <v>34</v>
      </c>
      <c r="F4893" s="6">
        <v>42736</v>
      </c>
      <c r="G4893">
        <v>0</v>
      </c>
    </row>
    <row r="4894" spans="1:7" x14ac:dyDescent="0.25">
      <c r="A4894" s="5" t="s">
        <v>130</v>
      </c>
      <c r="B4894" s="5" t="s">
        <v>132</v>
      </c>
      <c r="C4894" s="5">
        <v>2220</v>
      </c>
      <c r="D4894" s="5" t="s">
        <v>72</v>
      </c>
      <c r="E4894" s="5" t="s">
        <v>74</v>
      </c>
      <c r="F4894" s="6">
        <v>42370</v>
      </c>
      <c r="G4894">
        <v>0</v>
      </c>
    </row>
    <row r="4895" spans="1:7" x14ac:dyDescent="0.25">
      <c r="A4895" s="5" t="s">
        <v>130</v>
      </c>
      <c r="B4895" s="5" t="s">
        <v>132</v>
      </c>
      <c r="C4895" s="5">
        <v>2220</v>
      </c>
      <c r="D4895" s="5" t="s">
        <v>72</v>
      </c>
      <c r="E4895" s="5" t="s">
        <v>74</v>
      </c>
      <c r="F4895" s="6">
        <v>42736</v>
      </c>
      <c r="G4895">
        <v>0</v>
      </c>
    </row>
    <row r="4896" spans="1:7" x14ac:dyDescent="0.25">
      <c r="A4896" s="5" t="s">
        <v>130</v>
      </c>
      <c r="B4896" s="5" t="s">
        <v>132</v>
      </c>
      <c r="C4896" s="5">
        <v>2220</v>
      </c>
      <c r="D4896" s="5" t="s">
        <v>72</v>
      </c>
      <c r="E4896" s="5" t="s">
        <v>75</v>
      </c>
      <c r="F4896" s="6">
        <v>42370</v>
      </c>
      <c r="G4896">
        <v>0</v>
      </c>
    </row>
    <row r="4897" spans="1:7" x14ac:dyDescent="0.25">
      <c r="A4897" s="5" t="s">
        <v>130</v>
      </c>
      <c r="B4897" s="5" t="s">
        <v>132</v>
      </c>
      <c r="C4897" s="5">
        <v>2220</v>
      </c>
      <c r="D4897" s="5" t="s">
        <v>72</v>
      </c>
      <c r="E4897" s="5" t="s">
        <v>75</v>
      </c>
      <c r="F4897" s="6">
        <v>42736</v>
      </c>
      <c r="G4897">
        <v>0</v>
      </c>
    </row>
    <row r="4898" spans="1:7" x14ac:dyDescent="0.25">
      <c r="A4898" s="5" t="s">
        <v>130</v>
      </c>
      <c r="B4898" s="5" t="s">
        <v>132</v>
      </c>
      <c r="C4898" s="5">
        <v>2220</v>
      </c>
      <c r="D4898" s="5" t="s">
        <v>76</v>
      </c>
      <c r="E4898" s="5" t="s">
        <v>9</v>
      </c>
      <c r="F4898" s="6">
        <v>42370</v>
      </c>
      <c r="G4898">
        <v>0</v>
      </c>
    </row>
    <row r="4899" spans="1:7" x14ac:dyDescent="0.25">
      <c r="A4899" s="5" t="s">
        <v>130</v>
      </c>
      <c r="B4899" s="5" t="s">
        <v>132</v>
      </c>
      <c r="C4899" s="5">
        <v>2220</v>
      </c>
      <c r="D4899" s="5" t="s">
        <v>76</v>
      </c>
      <c r="E4899" s="5" t="s">
        <v>9</v>
      </c>
      <c r="F4899" s="6">
        <v>42736</v>
      </c>
      <c r="G4899">
        <v>0</v>
      </c>
    </row>
    <row r="4900" spans="1:7" x14ac:dyDescent="0.25">
      <c r="A4900" s="5" t="s">
        <v>130</v>
      </c>
      <c r="B4900" s="5" t="s">
        <v>132</v>
      </c>
      <c r="C4900" s="5">
        <v>2220</v>
      </c>
      <c r="D4900" s="5" t="s">
        <v>76</v>
      </c>
      <c r="E4900" s="5" t="s">
        <v>77</v>
      </c>
      <c r="F4900" s="6">
        <v>42370</v>
      </c>
      <c r="G4900">
        <v>0</v>
      </c>
    </row>
    <row r="4901" spans="1:7" x14ac:dyDescent="0.25">
      <c r="A4901" s="5" t="s">
        <v>130</v>
      </c>
      <c r="B4901" s="5" t="s">
        <v>132</v>
      </c>
      <c r="C4901" s="5">
        <v>2220</v>
      </c>
      <c r="D4901" s="5" t="s">
        <v>76</v>
      </c>
      <c r="E4901" s="5" t="s">
        <v>77</v>
      </c>
      <c r="F4901" s="6">
        <v>42736</v>
      </c>
      <c r="G4901">
        <v>0</v>
      </c>
    </row>
    <row r="4902" spans="1:7" x14ac:dyDescent="0.25">
      <c r="A4902" s="5" t="s">
        <v>130</v>
      </c>
      <c r="B4902" s="5" t="s">
        <v>132</v>
      </c>
      <c r="C4902" s="5">
        <v>2220</v>
      </c>
      <c r="D4902" s="5" t="s">
        <v>78</v>
      </c>
      <c r="E4902" s="5" t="s">
        <v>79</v>
      </c>
      <c r="F4902" s="6">
        <v>42370</v>
      </c>
      <c r="G4902">
        <v>0</v>
      </c>
    </row>
    <row r="4903" spans="1:7" x14ac:dyDescent="0.25">
      <c r="A4903" s="5" t="s">
        <v>130</v>
      </c>
      <c r="B4903" s="5" t="s">
        <v>132</v>
      </c>
      <c r="C4903" s="5">
        <v>2220</v>
      </c>
      <c r="D4903" s="5" t="s">
        <v>78</v>
      </c>
      <c r="E4903" s="5" t="s">
        <v>79</v>
      </c>
      <c r="F4903" s="6">
        <v>42736</v>
      </c>
      <c r="G4903">
        <v>0</v>
      </c>
    </row>
    <row r="4904" spans="1:7" x14ac:dyDescent="0.25">
      <c r="A4904" s="5" t="s">
        <v>130</v>
      </c>
      <c r="B4904" s="5" t="s">
        <v>132</v>
      </c>
      <c r="C4904" s="5">
        <v>2220</v>
      </c>
      <c r="D4904" s="5" t="s">
        <v>78</v>
      </c>
      <c r="E4904" s="5" t="s">
        <v>80</v>
      </c>
      <c r="F4904" s="6">
        <v>42370</v>
      </c>
      <c r="G4904">
        <v>0</v>
      </c>
    </row>
    <row r="4905" spans="1:7" x14ac:dyDescent="0.25">
      <c r="A4905" s="5" t="s">
        <v>130</v>
      </c>
      <c r="B4905" s="5" t="s">
        <v>132</v>
      </c>
      <c r="C4905" s="5">
        <v>2220</v>
      </c>
      <c r="D4905" s="5" t="s">
        <v>78</v>
      </c>
      <c r="E4905" s="5" t="s">
        <v>80</v>
      </c>
      <c r="F4905" s="6">
        <v>42736</v>
      </c>
      <c r="G4905">
        <v>0</v>
      </c>
    </row>
    <row r="4906" spans="1:7" x14ac:dyDescent="0.25">
      <c r="A4906" s="5" t="s">
        <v>130</v>
      </c>
      <c r="B4906" s="5" t="s">
        <v>132</v>
      </c>
      <c r="C4906" s="5">
        <v>2220</v>
      </c>
      <c r="D4906" s="5" t="s">
        <v>78</v>
      </c>
      <c r="E4906" s="5" t="s">
        <v>81</v>
      </c>
      <c r="F4906" s="6">
        <v>42370</v>
      </c>
      <c r="G4906">
        <v>181</v>
      </c>
    </row>
    <row r="4907" spans="1:7" x14ac:dyDescent="0.25">
      <c r="A4907" s="5" t="s">
        <v>130</v>
      </c>
      <c r="B4907" s="5" t="s">
        <v>132</v>
      </c>
      <c r="C4907" s="5">
        <v>2220</v>
      </c>
      <c r="D4907" s="5" t="s">
        <v>78</v>
      </c>
      <c r="E4907" s="5" t="s">
        <v>81</v>
      </c>
      <c r="F4907" s="6">
        <v>42736</v>
      </c>
      <c r="G4907">
        <v>275</v>
      </c>
    </row>
    <row r="4908" spans="1:7" x14ac:dyDescent="0.25">
      <c r="A4908" s="5" t="s">
        <v>130</v>
      </c>
      <c r="B4908" s="5" t="s">
        <v>132</v>
      </c>
      <c r="C4908" s="5">
        <v>2220</v>
      </c>
      <c r="D4908" s="5" t="s">
        <v>78</v>
      </c>
      <c r="E4908" s="5" t="s">
        <v>82</v>
      </c>
      <c r="F4908" s="6">
        <v>42370</v>
      </c>
      <c r="G4908">
        <v>0</v>
      </c>
    </row>
    <row r="4909" spans="1:7" x14ac:dyDescent="0.25">
      <c r="A4909" s="5" t="s">
        <v>130</v>
      </c>
      <c r="B4909" s="5" t="s">
        <v>132</v>
      </c>
      <c r="C4909" s="5">
        <v>2220</v>
      </c>
      <c r="D4909" s="5" t="s">
        <v>78</v>
      </c>
      <c r="E4909" s="5" t="s">
        <v>82</v>
      </c>
      <c r="F4909" s="6">
        <v>42736</v>
      </c>
      <c r="G4909">
        <v>0</v>
      </c>
    </row>
    <row r="4910" spans="1:7" x14ac:dyDescent="0.25">
      <c r="A4910" s="5" t="s">
        <v>130</v>
      </c>
      <c r="B4910" s="5" t="s">
        <v>132</v>
      </c>
      <c r="C4910" s="5">
        <v>2220</v>
      </c>
      <c r="D4910" s="5" t="s">
        <v>78</v>
      </c>
      <c r="E4910" s="5" t="s">
        <v>83</v>
      </c>
      <c r="F4910" s="6">
        <v>42370</v>
      </c>
      <c r="G4910">
        <v>0</v>
      </c>
    </row>
    <row r="4911" spans="1:7" x14ac:dyDescent="0.25">
      <c r="A4911" s="5" t="s">
        <v>130</v>
      </c>
      <c r="B4911" s="5" t="s">
        <v>132</v>
      </c>
      <c r="C4911" s="5">
        <v>2220</v>
      </c>
      <c r="D4911" s="5" t="s">
        <v>78</v>
      </c>
      <c r="E4911" s="5" t="s">
        <v>83</v>
      </c>
      <c r="F4911" s="6">
        <v>42736</v>
      </c>
      <c r="G4911">
        <v>0</v>
      </c>
    </row>
    <row r="4912" spans="1:7" x14ac:dyDescent="0.25">
      <c r="A4912" s="5" t="s">
        <v>130</v>
      </c>
      <c r="B4912" s="5" t="s">
        <v>132</v>
      </c>
      <c r="C4912" s="5">
        <v>2220</v>
      </c>
      <c r="D4912" s="5" t="s">
        <v>78</v>
      </c>
      <c r="E4912" s="5" t="s">
        <v>84</v>
      </c>
      <c r="F4912" s="6">
        <v>42370</v>
      </c>
      <c r="G4912">
        <v>0</v>
      </c>
    </row>
    <row r="4913" spans="1:7" x14ac:dyDescent="0.25">
      <c r="A4913" s="5" t="s">
        <v>130</v>
      </c>
      <c r="B4913" s="5" t="s">
        <v>132</v>
      </c>
      <c r="C4913" s="5">
        <v>2220</v>
      </c>
      <c r="D4913" s="5" t="s">
        <v>78</v>
      </c>
      <c r="E4913" s="5" t="s">
        <v>84</v>
      </c>
      <c r="F4913" s="6">
        <v>42736</v>
      </c>
      <c r="G4913">
        <v>0</v>
      </c>
    </row>
    <row r="4914" spans="1:7" x14ac:dyDescent="0.25">
      <c r="A4914" s="5" t="s">
        <v>130</v>
      </c>
      <c r="B4914" s="5" t="s">
        <v>132</v>
      </c>
      <c r="C4914" s="5">
        <v>2220</v>
      </c>
      <c r="D4914" s="5" t="s">
        <v>78</v>
      </c>
      <c r="E4914" s="5" t="s">
        <v>85</v>
      </c>
      <c r="F4914" s="6">
        <v>42370</v>
      </c>
      <c r="G4914">
        <v>0</v>
      </c>
    </row>
    <row r="4915" spans="1:7" x14ac:dyDescent="0.25">
      <c r="A4915" s="5" t="s">
        <v>130</v>
      </c>
      <c r="B4915" s="5" t="s">
        <v>132</v>
      </c>
      <c r="C4915" s="5">
        <v>2220</v>
      </c>
      <c r="D4915" s="5" t="s">
        <v>78</v>
      </c>
      <c r="E4915" s="5" t="s">
        <v>85</v>
      </c>
      <c r="F4915" s="6">
        <v>42736</v>
      </c>
      <c r="G4915">
        <v>0</v>
      </c>
    </row>
    <row r="4916" spans="1:7" x14ac:dyDescent="0.25">
      <c r="A4916" s="5" t="s">
        <v>130</v>
      </c>
      <c r="B4916" s="5" t="s">
        <v>132</v>
      </c>
      <c r="C4916" s="5">
        <v>2220</v>
      </c>
      <c r="D4916" s="5" t="s">
        <v>78</v>
      </c>
      <c r="E4916" s="5" t="s">
        <v>86</v>
      </c>
      <c r="F4916" s="6">
        <v>42370</v>
      </c>
      <c r="G4916">
        <v>0</v>
      </c>
    </row>
    <row r="4917" spans="1:7" x14ac:dyDescent="0.25">
      <c r="A4917" s="5" t="s">
        <v>130</v>
      </c>
      <c r="B4917" s="5" t="s">
        <v>132</v>
      </c>
      <c r="C4917" s="5">
        <v>2220</v>
      </c>
      <c r="D4917" s="5" t="s">
        <v>78</v>
      </c>
      <c r="E4917" s="5" t="s">
        <v>86</v>
      </c>
      <c r="F4917" s="6">
        <v>42736</v>
      </c>
      <c r="G4917">
        <v>0</v>
      </c>
    </row>
    <row r="4918" spans="1:7" x14ac:dyDescent="0.25">
      <c r="A4918" s="5" t="s">
        <v>130</v>
      </c>
      <c r="B4918" s="5" t="s">
        <v>132</v>
      </c>
      <c r="C4918" s="5">
        <v>2220</v>
      </c>
      <c r="D4918" s="5" t="s">
        <v>78</v>
      </c>
      <c r="E4918" s="5" t="s">
        <v>87</v>
      </c>
      <c r="F4918" s="6">
        <v>42370</v>
      </c>
      <c r="G4918">
        <v>0</v>
      </c>
    </row>
    <row r="4919" spans="1:7" x14ac:dyDescent="0.25">
      <c r="A4919" s="5" t="s">
        <v>130</v>
      </c>
      <c r="B4919" s="5" t="s">
        <v>132</v>
      </c>
      <c r="C4919" s="5">
        <v>2220</v>
      </c>
      <c r="D4919" s="5" t="s">
        <v>78</v>
      </c>
      <c r="E4919" s="5" t="s">
        <v>87</v>
      </c>
      <c r="F4919" s="6">
        <v>42736</v>
      </c>
      <c r="G4919">
        <v>0</v>
      </c>
    </row>
    <row r="4920" spans="1:7" x14ac:dyDescent="0.25">
      <c r="A4920" s="5" t="s">
        <v>130</v>
      </c>
      <c r="B4920" s="5" t="s">
        <v>132</v>
      </c>
      <c r="C4920" s="5">
        <v>2220</v>
      </c>
      <c r="D4920" s="5" t="s">
        <v>78</v>
      </c>
      <c r="E4920" s="5" t="s">
        <v>88</v>
      </c>
      <c r="F4920" s="6">
        <v>42370</v>
      </c>
      <c r="G4920">
        <v>35</v>
      </c>
    </row>
    <row r="4921" spans="1:7" x14ac:dyDescent="0.25">
      <c r="A4921" s="5" t="s">
        <v>130</v>
      </c>
      <c r="B4921" s="5" t="s">
        <v>132</v>
      </c>
      <c r="C4921" s="5">
        <v>2220</v>
      </c>
      <c r="D4921" s="5" t="s">
        <v>78</v>
      </c>
      <c r="E4921" s="5" t="s">
        <v>88</v>
      </c>
      <c r="F4921" s="6">
        <v>42736</v>
      </c>
      <c r="G4921">
        <v>48</v>
      </c>
    </row>
    <row r="4922" spans="1:7" x14ac:dyDescent="0.25">
      <c r="A4922" s="5" t="s">
        <v>130</v>
      </c>
      <c r="B4922" s="5" t="s">
        <v>132</v>
      </c>
      <c r="C4922" s="5">
        <v>2220</v>
      </c>
      <c r="D4922" s="5" t="s">
        <v>78</v>
      </c>
      <c r="E4922" s="5" t="s">
        <v>89</v>
      </c>
      <c r="F4922" s="6">
        <v>42370</v>
      </c>
      <c r="G4922">
        <v>769</v>
      </c>
    </row>
    <row r="4923" spans="1:7" x14ac:dyDescent="0.25">
      <c r="A4923" s="5" t="s">
        <v>130</v>
      </c>
      <c r="B4923" s="5" t="s">
        <v>132</v>
      </c>
      <c r="C4923" s="5">
        <v>2220</v>
      </c>
      <c r="D4923" s="5" t="s">
        <v>78</v>
      </c>
      <c r="E4923" s="5" t="s">
        <v>89</v>
      </c>
      <c r="F4923" s="6">
        <v>42736</v>
      </c>
      <c r="G4923">
        <v>587</v>
      </c>
    </row>
    <row r="4924" spans="1:7" x14ac:dyDescent="0.25">
      <c r="A4924" s="5" t="s">
        <v>130</v>
      </c>
      <c r="B4924" s="5" t="s">
        <v>132</v>
      </c>
      <c r="C4924" s="5">
        <v>2220</v>
      </c>
      <c r="D4924" s="5" t="s">
        <v>78</v>
      </c>
      <c r="E4924" s="5" t="s">
        <v>90</v>
      </c>
      <c r="F4924" s="6">
        <v>42370</v>
      </c>
      <c r="G4924">
        <v>0</v>
      </c>
    </row>
    <row r="4925" spans="1:7" x14ac:dyDescent="0.25">
      <c r="A4925" s="5" t="s">
        <v>130</v>
      </c>
      <c r="B4925" s="5" t="s">
        <v>132</v>
      </c>
      <c r="C4925" s="5">
        <v>2220</v>
      </c>
      <c r="D4925" s="5" t="s">
        <v>78</v>
      </c>
      <c r="E4925" s="5" t="s">
        <v>90</v>
      </c>
      <c r="F4925" s="6">
        <v>42736</v>
      </c>
      <c r="G4925">
        <v>0</v>
      </c>
    </row>
    <row r="4926" spans="1:7" x14ac:dyDescent="0.25">
      <c r="A4926" s="5" t="s">
        <v>130</v>
      </c>
      <c r="B4926" s="5" t="s">
        <v>132</v>
      </c>
      <c r="C4926" s="5">
        <v>2220</v>
      </c>
      <c r="D4926" s="5" t="s">
        <v>78</v>
      </c>
      <c r="E4926" s="5" t="s">
        <v>91</v>
      </c>
      <c r="F4926" s="6">
        <v>42370</v>
      </c>
      <c r="G4926">
        <v>0</v>
      </c>
    </row>
    <row r="4927" spans="1:7" x14ac:dyDescent="0.25">
      <c r="A4927" s="5" t="s">
        <v>130</v>
      </c>
      <c r="B4927" s="5" t="s">
        <v>132</v>
      </c>
      <c r="C4927" s="5">
        <v>2220</v>
      </c>
      <c r="D4927" s="5" t="s">
        <v>78</v>
      </c>
      <c r="E4927" s="5" t="s">
        <v>91</v>
      </c>
      <c r="F4927" s="6">
        <v>42736</v>
      </c>
      <c r="G4927">
        <v>0</v>
      </c>
    </row>
    <row r="4928" spans="1:7" x14ac:dyDescent="0.25">
      <c r="A4928" s="5" t="s">
        <v>130</v>
      </c>
      <c r="B4928" s="5" t="s">
        <v>132</v>
      </c>
      <c r="C4928" s="5">
        <v>2220</v>
      </c>
      <c r="D4928" s="5" t="s">
        <v>78</v>
      </c>
      <c r="E4928" s="5" t="s">
        <v>92</v>
      </c>
      <c r="F4928" s="6">
        <v>42370</v>
      </c>
      <c r="G4928">
        <v>0</v>
      </c>
    </row>
    <row r="4929" spans="1:7" x14ac:dyDescent="0.25">
      <c r="A4929" s="5" t="s">
        <v>130</v>
      </c>
      <c r="B4929" s="5" t="s">
        <v>132</v>
      </c>
      <c r="C4929" s="5">
        <v>2220</v>
      </c>
      <c r="D4929" s="5" t="s">
        <v>78</v>
      </c>
      <c r="E4929" s="5" t="s">
        <v>92</v>
      </c>
      <c r="F4929" s="6">
        <v>42736</v>
      </c>
      <c r="G4929">
        <v>0</v>
      </c>
    </row>
    <row r="4930" spans="1:7" x14ac:dyDescent="0.25">
      <c r="A4930" s="5" t="s">
        <v>130</v>
      </c>
      <c r="B4930" s="5" t="s">
        <v>132</v>
      </c>
      <c r="C4930" s="5">
        <v>2220</v>
      </c>
      <c r="D4930" s="5" t="s">
        <v>78</v>
      </c>
      <c r="E4930" s="5" t="s">
        <v>93</v>
      </c>
      <c r="F4930" s="6">
        <v>42370</v>
      </c>
      <c r="G4930">
        <v>0</v>
      </c>
    </row>
    <row r="4931" spans="1:7" x14ac:dyDescent="0.25">
      <c r="A4931" s="5" t="s">
        <v>130</v>
      </c>
      <c r="B4931" s="5" t="s">
        <v>132</v>
      </c>
      <c r="C4931" s="5">
        <v>2220</v>
      </c>
      <c r="D4931" s="5" t="s">
        <v>78</v>
      </c>
      <c r="E4931" s="5" t="s">
        <v>93</v>
      </c>
      <c r="F4931" s="6">
        <v>42736</v>
      </c>
      <c r="G4931">
        <v>0</v>
      </c>
    </row>
    <row r="4932" spans="1:7" x14ac:dyDescent="0.25">
      <c r="A4932" s="5" t="s">
        <v>130</v>
      </c>
      <c r="B4932" s="5" t="s">
        <v>132</v>
      </c>
      <c r="C4932" s="5">
        <v>2220</v>
      </c>
      <c r="D4932" s="5" t="s">
        <v>78</v>
      </c>
      <c r="E4932" s="5" t="s">
        <v>94</v>
      </c>
      <c r="F4932" s="6">
        <v>42370</v>
      </c>
      <c r="G4932">
        <v>0</v>
      </c>
    </row>
    <row r="4933" spans="1:7" x14ac:dyDescent="0.25">
      <c r="A4933" s="5" t="s">
        <v>130</v>
      </c>
      <c r="B4933" s="5" t="s">
        <v>132</v>
      </c>
      <c r="C4933" s="5">
        <v>2220</v>
      </c>
      <c r="D4933" s="5" t="s">
        <v>78</v>
      </c>
      <c r="E4933" s="5" t="s">
        <v>94</v>
      </c>
      <c r="F4933" s="6">
        <v>42736</v>
      </c>
      <c r="G4933">
        <v>0</v>
      </c>
    </row>
    <row r="4934" spans="1:7" x14ac:dyDescent="0.25">
      <c r="A4934" s="5" t="s">
        <v>130</v>
      </c>
      <c r="B4934" s="5" t="s">
        <v>132</v>
      </c>
      <c r="C4934" s="5">
        <v>2220</v>
      </c>
      <c r="D4934" s="5" t="s">
        <v>78</v>
      </c>
      <c r="E4934" s="5" t="s">
        <v>95</v>
      </c>
      <c r="F4934" s="6">
        <v>42370</v>
      </c>
      <c r="G4934">
        <v>0</v>
      </c>
    </row>
    <row r="4935" spans="1:7" x14ac:dyDescent="0.25">
      <c r="A4935" s="5" t="s">
        <v>130</v>
      </c>
      <c r="B4935" s="5" t="s">
        <v>132</v>
      </c>
      <c r="C4935" s="5">
        <v>2220</v>
      </c>
      <c r="D4935" s="5" t="s">
        <v>78</v>
      </c>
      <c r="E4935" s="5" t="s">
        <v>95</v>
      </c>
      <c r="F4935" s="6">
        <v>42736</v>
      </c>
      <c r="G4935">
        <v>0</v>
      </c>
    </row>
    <row r="4936" spans="1:7" x14ac:dyDescent="0.25">
      <c r="A4936" s="5" t="s">
        <v>130</v>
      </c>
      <c r="B4936" s="5" t="s">
        <v>132</v>
      </c>
      <c r="C4936" s="5">
        <v>2220</v>
      </c>
      <c r="D4936" s="5" t="s">
        <v>78</v>
      </c>
      <c r="E4936" s="5" t="s">
        <v>96</v>
      </c>
      <c r="F4936" s="6">
        <v>42370</v>
      </c>
      <c r="G4936">
        <v>0</v>
      </c>
    </row>
    <row r="4937" spans="1:7" x14ac:dyDescent="0.25">
      <c r="A4937" s="5" t="s">
        <v>130</v>
      </c>
      <c r="B4937" s="5" t="s">
        <v>132</v>
      </c>
      <c r="C4937" s="5">
        <v>2220</v>
      </c>
      <c r="D4937" s="5" t="s">
        <v>78</v>
      </c>
      <c r="E4937" s="5" t="s">
        <v>96</v>
      </c>
      <c r="F4937" s="6">
        <v>42736</v>
      </c>
      <c r="G4937">
        <v>0</v>
      </c>
    </row>
    <row r="4938" spans="1:7" x14ac:dyDescent="0.25">
      <c r="A4938" s="5" t="s">
        <v>130</v>
      </c>
      <c r="B4938" s="5" t="s">
        <v>132</v>
      </c>
      <c r="C4938" s="5">
        <v>2220</v>
      </c>
      <c r="D4938" s="5" t="s">
        <v>78</v>
      </c>
      <c r="E4938" s="5" t="s">
        <v>97</v>
      </c>
      <c r="F4938" s="6">
        <v>42370</v>
      </c>
      <c r="G4938">
        <v>0</v>
      </c>
    </row>
    <row r="4939" spans="1:7" x14ac:dyDescent="0.25">
      <c r="A4939" s="5" t="s">
        <v>130</v>
      </c>
      <c r="B4939" s="5" t="s">
        <v>132</v>
      </c>
      <c r="C4939" s="5">
        <v>2220</v>
      </c>
      <c r="D4939" s="5" t="s">
        <v>78</v>
      </c>
      <c r="E4939" s="5" t="s">
        <v>97</v>
      </c>
      <c r="F4939" s="6">
        <v>42736</v>
      </c>
      <c r="G4939">
        <v>0</v>
      </c>
    </row>
    <row r="4940" spans="1:7" x14ac:dyDescent="0.25">
      <c r="A4940" s="5" t="s">
        <v>130</v>
      </c>
      <c r="B4940" s="5" t="s">
        <v>132</v>
      </c>
      <c r="C4940" s="5">
        <v>2220</v>
      </c>
      <c r="D4940" s="5" t="s">
        <v>78</v>
      </c>
      <c r="E4940" s="5" t="s">
        <v>98</v>
      </c>
      <c r="F4940" s="6">
        <v>42370</v>
      </c>
      <c r="G4940">
        <v>0</v>
      </c>
    </row>
    <row r="4941" spans="1:7" x14ac:dyDescent="0.25">
      <c r="A4941" s="5" t="s">
        <v>130</v>
      </c>
      <c r="B4941" s="5" t="s">
        <v>132</v>
      </c>
      <c r="C4941" s="5">
        <v>2220</v>
      </c>
      <c r="D4941" s="5" t="s">
        <v>78</v>
      </c>
      <c r="E4941" s="5" t="s">
        <v>98</v>
      </c>
      <c r="F4941" s="6">
        <v>42736</v>
      </c>
      <c r="G4941">
        <v>0</v>
      </c>
    </row>
    <row r="4942" spans="1:7" x14ac:dyDescent="0.25">
      <c r="A4942" s="5" t="s">
        <v>130</v>
      </c>
      <c r="B4942" s="5" t="s">
        <v>133</v>
      </c>
      <c r="C4942" s="5">
        <v>2000</v>
      </c>
      <c r="D4942" s="5" t="s">
        <v>8</v>
      </c>
      <c r="E4942" s="5" t="s">
        <v>9</v>
      </c>
      <c r="F4942" s="6">
        <v>42370</v>
      </c>
      <c r="G4942">
        <v>0</v>
      </c>
    </row>
    <row r="4943" spans="1:7" x14ac:dyDescent="0.25">
      <c r="A4943" s="5" t="s">
        <v>130</v>
      </c>
      <c r="B4943" s="5" t="s">
        <v>133</v>
      </c>
      <c r="C4943" s="5">
        <v>2000</v>
      </c>
      <c r="D4943" s="5" t="s">
        <v>8</v>
      </c>
      <c r="E4943" s="5" t="s">
        <v>9</v>
      </c>
      <c r="F4943" s="6">
        <v>42736</v>
      </c>
      <c r="G4943">
        <v>0</v>
      </c>
    </row>
    <row r="4944" spans="1:7" x14ac:dyDescent="0.25">
      <c r="A4944" s="5" t="s">
        <v>130</v>
      </c>
      <c r="B4944" s="5" t="s">
        <v>133</v>
      </c>
      <c r="C4944" s="5">
        <v>2000</v>
      </c>
      <c r="D4944" s="5" t="s">
        <v>8</v>
      </c>
      <c r="E4944" s="5" t="s">
        <v>10</v>
      </c>
      <c r="F4944" s="6">
        <v>42370</v>
      </c>
      <c r="G4944">
        <v>168</v>
      </c>
    </row>
    <row r="4945" spans="1:7" x14ac:dyDescent="0.25">
      <c r="A4945" s="5" t="s">
        <v>130</v>
      </c>
      <c r="B4945" s="5" t="s">
        <v>133</v>
      </c>
      <c r="C4945" s="5">
        <v>2000</v>
      </c>
      <c r="D4945" s="5" t="s">
        <v>8</v>
      </c>
      <c r="E4945" s="5" t="s">
        <v>10</v>
      </c>
      <c r="F4945" s="6">
        <v>42736</v>
      </c>
      <c r="G4945">
        <v>265</v>
      </c>
    </row>
    <row r="4946" spans="1:7" x14ac:dyDescent="0.25">
      <c r="A4946" s="5" t="s">
        <v>130</v>
      </c>
      <c r="B4946" s="5" t="s">
        <v>133</v>
      </c>
      <c r="C4946" s="5">
        <v>2000</v>
      </c>
      <c r="D4946" s="5" t="s">
        <v>8</v>
      </c>
      <c r="E4946" s="5" t="s">
        <v>11</v>
      </c>
      <c r="F4946" s="6">
        <v>42370</v>
      </c>
      <c r="G4946">
        <v>88</v>
      </c>
    </row>
    <row r="4947" spans="1:7" x14ac:dyDescent="0.25">
      <c r="A4947" s="5" t="s">
        <v>130</v>
      </c>
      <c r="B4947" s="5" t="s">
        <v>133</v>
      </c>
      <c r="C4947" s="5">
        <v>2000</v>
      </c>
      <c r="D4947" s="5" t="s">
        <v>8</v>
      </c>
      <c r="E4947" s="5" t="s">
        <v>11</v>
      </c>
      <c r="F4947" s="6">
        <v>42736</v>
      </c>
      <c r="G4947">
        <v>212</v>
      </c>
    </row>
    <row r="4948" spans="1:7" x14ac:dyDescent="0.25">
      <c r="A4948" s="5" t="s">
        <v>130</v>
      </c>
      <c r="B4948" s="5" t="s">
        <v>133</v>
      </c>
      <c r="C4948" s="5">
        <v>2000</v>
      </c>
      <c r="D4948" s="5" t="s">
        <v>8</v>
      </c>
      <c r="E4948" s="5" t="s">
        <v>12</v>
      </c>
      <c r="F4948" s="6">
        <v>42370</v>
      </c>
      <c r="G4948">
        <v>0</v>
      </c>
    </row>
    <row r="4949" spans="1:7" x14ac:dyDescent="0.25">
      <c r="A4949" s="5" t="s">
        <v>130</v>
      </c>
      <c r="B4949" s="5" t="s">
        <v>133</v>
      </c>
      <c r="C4949" s="5">
        <v>2000</v>
      </c>
      <c r="D4949" s="5" t="s">
        <v>8</v>
      </c>
      <c r="E4949" s="5" t="s">
        <v>12</v>
      </c>
      <c r="F4949" s="6">
        <v>42736</v>
      </c>
      <c r="G4949">
        <v>0</v>
      </c>
    </row>
    <row r="4950" spans="1:7" x14ac:dyDescent="0.25">
      <c r="A4950" s="5" t="s">
        <v>130</v>
      </c>
      <c r="B4950" s="5" t="s">
        <v>133</v>
      </c>
      <c r="C4950" s="5">
        <v>2000</v>
      </c>
      <c r="D4950" s="5" t="s">
        <v>8</v>
      </c>
      <c r="E4950" s="5" t="s">
        <v>13</v>
      </c>
      <c r="F4950" s="6">
        <v>42370</v>
      </c>
      <c r="G4950">
        <v>0</v>
      </c>
    </row>
    <row r="4951" spans="1:7" x14ac:dyDescent="0.25">
      <c r="A4951" s="5" t="s">
        <v>130</v>
      </c>
      <c r="B4951" s="5" t="s">
        <v>133</v>
      </c>
      <c r="C4951" s="5">
        <v>2000</v>
      </c>
      <c r="D4951" s="5" t="s">
        <v>8</v>
      </c>
      <c r="E4951" s="5" t="s">
        <v>13</v>
      </c>
      <c r="F4951" s="6">
        <v>42736</v>
      </c>
      <c r="G4951">
        <v>0</v>
      </c>
    </row>
    <row r="4952" spans="1:7" x14ac:dyDescent="0.25">
      <c r="A4952" s="5" t="s">
        <v>130</v>
      </c>
      <c r="B4952" s="5" t="s">
        <v>133</v>
      </c>
      <c r="C4952" s="5">
        <v>2000</v>
      </c>
      <c r="D4952" s="5" t="s">
        <v>8</v>
      </c>
      <c r="E4952" s="5" t="s">
        <v>14</v>
      </c>
      <c r="F4952" s="6">
        <v>42370</v>
      </c>
      <c r="G4952">
        <v>0</v>
      </c>
    </row>
    <row r="4953" spans="1:7" x14ac:dyDescent="0.25">
      <c r="A4953" s="5" t="s">
        <v>130</v>
      </c>
      <c r="B4953" s="5" t="s">
        <v>133</v>
      </c>
      <c r="C4953" s="5">
        <v>2000</v>
      </c>
      <c r="D4953" s="5" t="s">
        <v>8</v>
      </c>
      <c r="E4953" s="5" t="s">
        <v>14</v>
      </c>
      <c r="F4953" s="6">
        <v>42736</v>
      </c>
      <c r="G4953">
        <v>0</v>
      </c>
    </row>
    <row r="4954" spans="1:7" x14ac:dyDescent="0.25">
      <c r="A4954" s="5" t="s">
        <v>130</v>
      </c>
      <c r="B4954" s="5" t="s">
        <v>133</v>
      </c>
      <c r="C4954" s="5">
        <v>2000</v>
      </c>
      <c r="D4954" s="5" t="s">
        <v>8</v>
      </c>
      <c r="E4954" s="5" t="s">
        <v>15</v>
      </c>
      <c r="F4954" s="6">
        <v>42370</v>
      </c>
      <c r="G4954">
        <v>0</v>
      </c>
    </row>
    <row r="4955" spans="1:7" x14ac:dyDescent="0.25">
      <c r="A4955" s="5" t="s">
        <v>130</v>
      </c>
      <c r="B4955" s="5" t="s">
        <v>133</v>
      </c>
      <c r="C4955" s="5">
        <v>2000</v>
      </c>
      <c r="D4955" s="5" t="s">
        <v>8</v>
      </c>
      <c r="E4955" s="5" t="s">
        <v>15</v>
      </c>
      <c r="F4955" s="6">
        <v>42736</v>
      </c>
      <c r="G4955">
        <v>0</v>
      </c>
    </row>
    <row r="4956" spans="1:7" x14ac:dyDescent="0.25">
      <c r="A4956" s="5" t="s">
        <v>130</v>
      </c>
      <c r="B4956" s="5" t="s">
        <v>133</v>
      </c>
      <c r="C4956" s="5">
        <v>2000</v>
      </c>
      <c r="D4956" s="5" t="s">
        <v>8</v>
      </c>
      <c r="E4956" s="5" t="s">
        <v>16</v>
      </c>
      <c r="F4956" s="6">
        <v>42370</v>
      </c>
      <c r="G4956">
        <v>56</v>
      </c>
    </row>
    <row r="4957" spans="1:7" x14ac:dyDescent="0.25">
      <c r="A4957" s="5" t="s">
        <v>130</v>
      </c>
      <c r="B4957" s="5" t="s">
        <v>133</v>
      </c>
      <c r="C4957" s="5">
        <v>2000</v>
      </c>
      <c r="D4957" s="5" t="s">
        <v>8</v>
      </c>
      <c r="E4957" s="5" t="s">
        <v>16</v>
      </c>
      <c r="F4957" s="6">
        <v>42736</v>
      </c>
      <c r="G4957">
        <v>67</v>
      </c>
    </row>
    <row r="4958" spans="1:7" x14ac:dyDescent="0.25">
      <c r="A4958" s="5" t="s">
        <v>130</v>
      </c>
      <c r="B4958" s="5" t="s">
        <v>133</v>
      </c>
      <c r="C4958" s="5">
        <v>2000</v>
      </c>
      <c r="D4958" s="5" t="s">
        <v>8</v>
      </c>
      <c r="E4958" s="5" t="s">
        <v>17</v>
      </c>
      <c r="F4958" s="6">
        <v>42370</v>
      </c>
      <c r="G4958">
        <v>0</v>
      </c>
    </row>
    <row r="4959" spans="1:7" x14ac:dyDescent="0.25">
      <c r="A4959" s="5" t="s">
        <v>130</v>
      </c>
      <c r="B4959" s="5" t="s">
        <v>133</v>
      </c>
      <c r="C4959" s="5">
        <v>2000</v>
      </c>
      <c r="D4959" s="5" t="s">
        <v>8</v>
      </c>
      <c r="E4959" s="5" t="s">
        <v>17</v>
      </c>
      <c r="F4959" s="6">
        <v>42736</v>
      </c>
      <c r="G4959">
        <v>0</v>
      </c>
    </row>
    <row r="4960" spans="1:7" x14ac:dyDescent="0.25">
      <c r="A4960" s="5" t="s">
        <v>130</v>
      </c>
      <c r="B4960" s="5" t="s">
        <v>133</v>
      </c>
      <c r="C4960" s="5">
        <v>2000</v>
      </c>
      <c r="D4960" s="5" t="s">
        <v>8</v>
      </c>
      <c r="E4960" s="5" t="s">
        <v>18</v>
      </c>
      <c r="F4960" s="6">
        <v>42370</v>
      </c>
      <c r="G4960">
        <v>16</v>
      </c>
    </row>
    <row r="4961" spans="1:7" x14ac:dyDescent="0.25">
      <c r="A4961" s="5" t="s">
        <v>130</v>
      </c>
      <c r="B4961" s="5" t="s">
        <v>133</v>
      </c>
      <c r="C4961" s="5">
        <v>2000</v>
      </c>
      <c r="D4961" s="5" t="s">
        <v>8</v>
      </c>
      <c r="E4961" s="5" t="s">
        <v>18</v>
      </c>
      <c r="F4961" s="6">
        <v>42736</v>
      </c>
      <c r="G4961">
        <v>26</v>
      </c>
    </row>
    <row r="4962" spans="1:7" x14ac:dyDescent="0.25">
      <c r="A4962" s="5" t="s">
        <v>130</v>
      </c>
      <c r="B4962" s="5" t="s">
        <v>133</v>
      </c>
      <c r="C4962" s="5">
        <v>2000</v>
      </c>
      <c r="D4962" s="5" t="s">
        <v>8</v>
      </c>
      <c r="E4962" s="5" t="s">
        <v>19</v>
      </c>
      <c r="F4962" s="6">
        <v>42370</v>
      </c>
      <c r="G4962">
        <v>0</v>
      </c>
    </row>
    <row r="4963" spans="1:7" x14ac:dyDescent="0.25">
      <c r="A4963" s="5" t="s">
        <v>130</v>
      </c>
      <c r="B4963" s="5" t="s">
        <v>133</v>
      </c>
      <c r="C4963" s="5">
        <v>2000</v>
      </c>
      <c r="D4963" s="5" t="s">
        <v>8</v>
      </c>
      <c r="E4963" s="5" t="s">
        <v>19</v>
      </c>
      <c r="F4963" s="6">
        <v>42736</v>
      </c>
      <c r="G4963">
        <v>0</v>
      </c>
    </row>
    <row r="4964" spans="1:7" x14ac:dyDescent="0.25">
      <c r="A4964" s="5" t="s">
        <v>130</v>
      </c>
      <c r="B4964" s="5" t="s">
        <v>133</v>
      </c>
      <c r="C4964" s="5">
        <v>2000</v>
      </c>
      <c r="D4964" s="5" t="s">
        <v>20</v>
      </c>
      <c r="E4964" s="5" t="s">
        <v>9</v>
      </c>
      <c r="F4964" s="6">
        <v>42370</v>
      </c>
      <c r="G4964">
        <v>18</v>
      </c>
    </row>
    <row r="4965" spans="1:7" x14ac:dyDescent="0.25">
      <c r="A4965" s="5" t="s">
        <v>130</v>
      </c>
      <c r="B4965" s="5" t="s">
        <v>133</v>
      </c>
      <c r="C4965" s="5">
        <v>2000</v>
      </c>
      <c r="D4965" s="5" t="s">
        <v>20</v>
      </c>
      <c r="E4965" s="5" t="s">
        <v>9</v>
      </c>
      <c r="F4965" s="6">
        <v>42736</v>
      </c>
      <c r="G4965">
        <v>61</v>
      </c>
    </row>
    <row r="4966" spans="1:7" x14ac:dyDescent="0.25">
      <c r="A4966" s="5" t="s">
        <v>130</v>
      </c>
      <c r="B4966" s="5" t="s">
        <v>133</v>
      </c>
      <c r="C4966" s="5">
        <v>2000</v>
      </c>
      <c r="D4966" s="5" t="s">
        <v>20</v>
      </c>
      <c r="E4966" s="5" t="s">
        <v>21</v>
      </c>
      <c r="F4966" s="6">
        <v>42370</v>
      </c>
      <c r="G4966">
        <v>0</v>
      </c>
    </row>
    <row r="4967" spans="1:7" x14ac:dyDescent="0.25">
      <c r="A4967" s="5" t="s">
        <v>130</v>
      </c>
      <c r="B4967" s="5" t="s">
        <v>133</v>
      </c>
      <c r="C4967" s="5">
        <v>2000</v>
      </c>
      <c r="D4967" s="5" t="s">
        <v>20</v>
      </c>
      <c r="E4967" s="5" t="s">
        <v>21</v>
      </c>
      <c r="F4967" s="6">
        <v>42736</v>
      </c>
      <c r="G4967">
        <v>0</v>
      </c>
    </row>
    <row r="4968" spans="1:7" x14ac:dyDescent="0.25">
      <c r="A4968" s="5" t="s">
        <v>130</v>
      </c>
      <c r="B4968" s="5" t="s">
        <v>133</v>
      </c>
      <c r="C4968" s="5">
        <v>2000</v>
      </c>
      <c r="D4968" s="5" t="s">
        <v>20</v>
      </c>
      <c r="E4968" s="5" t="s">
        <v>22</v>
      </c>
      <c r="F4968" s="6">
        <v>42370</v>
      </c>
      <c r="G4968">
        <v>0</v>
      </c>
    </row>
    <row r="4969" spans="1:7" x14ac:dyDescent="0.25">
      <c r="A4969" s="5" t="s">
        <v>130</v>
      </c>
      <c r="B4969" s="5" t="s">
        <v>133</v>
      </c>
      <c r="C4969" s="5">
        <v>2000</v>
      </c>
      <c r="D4969" s="5" t="s">
        <v>20</v>
      </c>
      <c r="E4969" s="5" t="s">
        <v>22</v>
      </c>
      <c r="F4969" s="6">
        <v>42736</v>
      </c>
      <c r="G4969">
        <v>1</v>
      </c>
    </row>
    <row r="4970" spans="1:7" x14ac:dyDescent="0.25">
      <c r="A4970" s="5" t="s">
        <v>130</v>
      </c>
      <c r="B4970" s="5" t="s">
        <v>133</v>
      </c>
      <c r="C4970" s="5">
        <v>2000</v>
      </c>
      <c r="D4970" s="5" t="s">
        <v>20</v>
      </c>
      <c r="E4970" s="5" t="s">
        <v>23</v>
      </c>
      <c r="F4970" s="6">
        <v>42370</v>
      </c>
      <c r="G4970">
        <v>24</v>
      </c>
    </row>
    <row r="4971" spans="1:7" x14ac:dyDescent="0.25">
      <c r="A4971" s="5" t="s">
        <v>130</v>
      </c>
      <c r="B4971" s="5" t="s">
        <v>133</v>
      </c>
      <c r="C4971" s="5">
        <v>2000</v>
      </c>
      <c r="D4971" s="5" t="s">
        <v>20</v>
      </c>
      <c r="E4971" s="5" t="s">
        <v>23</v>
      </c>
      <c r="F4971" s="6">
        <v>42736</v>
      </c>
      <c r="G4971">
        <v>11</v>
      </c>
    </row>
    <row r="4972" spans="1:7" x14ac:dyDescent="0.25">
      <c r="A4972" s="5" t="s">
        <v>130</v>
      </c>
      <c r="B4972" s="5" t="s">
        <v>133</v>
      </c>
      <c r="C4972" s="5">
        <v>2000</v>
      </c>
      <c r="D4972" s="5" t="s">
        <v>20</v>
      </c>
      <c r="E4972" s="5" t="s">
        <v>24</v>
      </c>
      <c r="F4972" s="6">
        <v>42370</v>
      </c>
      <c r="G4972">
        <v>0</v>
      </c>
    </row>
    <row r="4973" spans="1:7" x14ac:dyDescent="0.25">
      <c r="A4973" s="5" t="s">
        <v>130</v>
      </c>
      <c r="B4973" s="5" t="s">
        <v>133</v>
      </c>
      <c r="C4973" s="5">
        <v>2000</v>
      </c>
      <c r="D4973" s="5" t="s">
        <v>20</v>
      </c>
      <c r="E4973" s="5" t="s">
        <v>24</v>
      </c>
      <c r="F4973" s="6">
        <v>42736</v>
      </c>
      <c r="G4973">
        <v>0</v>
      </c>
    </row>
    <row r="4974" spans="1:7" x14ac:dyDescent="0.25">
      <c r="A4974" s="5" t="s">
        <v>130</v>
      </c>
      <c r="B4974" s="5" t="s">
        <v>133</v>
      </c>
      <c r="C4974" s="5">
        <v>2000</v>
      </c>
      <c r="D4974" s="5" t="s">
        <v>20</v>
      </c>
      <c r="E4974" s="5" t="s">
        <v>25</v>
      </c>
      <c r="F4974" s="6">
        <v>42370</v>
      </c>
      <c r="G4974">
        <v>0</v>
      </c>
    </row>
    <row r="4975" spans="1:7" x14ac:dyDescent="0.25">
      <c r="A4975" s="5" t="s">
        <v>130</v>
      </c>
      <c r="B4975" s="5" t="s">
        <v>133</v>
      </c>
      <c r="C4975" s="5">
        <v>2000</v>
      </c>
      <c r="D4975" s="5" t="s">
        <v>20</v>
      </c>
      <c r="E4975" s="5" t="s">
        <v>25</v>
      </c>
      <c r="F4975" s="6">
        <v>42736</v>
      </c>
      <c r="G4975">
        <v>0</v>
      </c>
    </row>
    <row r="4976" spans="1:7" x14ac:dyDescent="0.25">
      <c r="A4976" s="5" t="s">
        <v>130</v>
      </c>
      <c r="B4976" s="5" t="s">
        <v>133</v>
      </c>
      <c r="C4976" s="5">
        <v>2000</v>
      </c>
      <c r="D4976" s="5" t="s">
        <v>20</v>
      </c>
      <c r="E4976" s="5" t="s">
        <v>26</v>
      </c>
      <c r="F4976" s="6">
        <v>42370</v>
      </c>
      <c r="G4976">
        <v>114</v>
      </c>
    </row>
    <row r="4977" spans="1:7" x14ac:dyDescent="0.25">
      <c r="A4977" s="5" t="s">
        <v>130</v>
      </c>
      <c r="B4977" s="5" t="s">
        <v>133</v>
      </c>
      <c r="C4977" s="5">
        <v>2000</v>
      </c>
      <c r="D4977" s="5" t="s">
        <v>20</v>
      </c>
      <c r="E4977" s="5" t="s">
        <v>26</v>
      </c>
      <c r="F4977" s="6">
        <v>42736</v>
      </c>
      <c r="G4977">
        <v>155</v>
      </c>
    </row>
    <row r="4978" spans="1:7" x14ac:dyDescent="0.25">
      <c r="A4978" s="5" t="s">
        <v>130</v>
      </c>
      <c r="B4978" s="5" t="s">
        <v>133</v>
      </c>
      <c r="C4978" s="5">
        <v>2000</v>
      </c>
      <c r="D4978" s="5" t="s">
        <v>20</v>
      </c>
      <c r="E4978" s="5" t="s">
        <v>27</v>
      </c>
      <c r="F4978" s="6">
        <v>42370</v>
      </c>
      <c r="G4978">
        <v>0</v>
      </c>
    </row>
    <row r="4979" spans="1:7" x14ac:dyDescent="0.25">
      <c r="A4979" s="5" t="s">
        <v>130</v>
      </c>
      <c r="B4979" s="5" t="s">
        <v>133</v>
      </c>
      <c r="C4979" s="5">
        <v>2000</v>
      </c>
      <c r="D4979" s="5" t="s">
        <v>20</v>
      </c>
      <c r="E4979" s="5" t="s">
        <v>27</v>
      </c>
      <c r="F4979" s="6">
        <v>42736</v>
      </c>
      <c r="G4979">
        <v>0</v>
      </c>
    </row>
    <row r="4980" spans="1:7" x14ac:dyDescent="0.25">
      <c r="A4980" s="5" t="s">
        <v>130</v>
      </c>
      <c r="B4980" s="5" t="s">
        <v>133</v>
      </c>
      <c r="C4980" s="5">
        <v>2000</v>
      </c>
      <c r="D4980" s="5" t="s">
        <v>20</v>
      </c>
      <c r="E4980" s="5" t="s">
        <v>28</v>
      </c>
      <c r="F4980" s="6">
        <v>42370</v>
      </c>
      <c r="G4980">
        <v>0</v>
      </c>
    </row>
    <row r="4981" spans="1:7" x14ac:dyDescent="0.25">
      <c r="A4981" s="5" t="s">
        <v>130</v>
      </c>
      <c r="B4981" s="5" t="s">
        <v>133</v>
      </c>
      <c r="C4981" s="5">
        <v>2000</v>
      </c>
      <c r="D4981" s="5" t="s">
        <v>20</v>
      </c>
      <c r="E4981" s="5" t="s">
        <v>28</v>
      </c>
      <c r="F4981" s="6">
        <v>42736</v>
      </c>
      <c r="G4981">
        <v>0</v>
      </c>
    </row>
    <row r="4982" spans="1:7" x14ac:dyDescent="0.25">
      <c r="A4982" s="5" t="s">
        <v>130</v>
      </c>
      <c r="B4982" s="5" t="s">
        <v>133</v>
      </c>
      <c r="C4982" s="5">
        <v>2000</v>
      </c>
      <c r="D4982" s="5" t="s">
        <v>20</v>
      </c>
      <c r="E4982" s="5" t="s">
        <v>29</v>
      </c>
      <c r="F4982" s="6">
        <v>42370</v>
      </c>
      <c r="G4982">
        <v>119</v>
      </c>
    </row>
    <row r="4983" spans="1:7" x14ac:dyDescent="0.25">
      <c r="A4983" s="5" t="s">
        <v>130</v>
      </c>
      <c r="B4983" s="5" t="s">
        <v>133</v>
      </c>
      <c r="C4983" s="5">
        <v>2000</v>
      </c>
      <c r="D4983" s="5" t="s">
        <v>20</v>
      </c>
      <c r="E4983" s="5" t="s">
        <v>29</v>
      </c>
      <c r="F4983" s="6">
        <v>42736</v>
      </c>
      <c r="G4983">
        <v>157</v>
      </c>
    </row>
    <row r="4984" spans="1:7" x14ac:dyDescent="0.25">
      <c r="A4984" s="5" t="s">
        <v>130</v>
      </c>
      <c r="B4984" s="5" t="s">
        <v>133</v>
      </c>
      <c r="C4984" s="5">
        <v>2000</v>
      </c>
      <c r="D4984" s="5" t="s">
        <v>20</v>
      </c>
      <c r="E4984" s="5" t="s">
        <v>30</v>
      </c>
      <c r="F4984" s="6">
        <v>42370</v>
      </c>
      <c r="G4984">
        <v>113</v>
      </c>
    </row>
    <row r="4985" spans="1:7" x14ac:dyDescent="0.25">
      <c r="A4985" s="5" t="s">
        <v>130</v>
      </c>
      <c r="B4985" s="5" t="s">
        <v>133</v>
      </c>
      <c r="C4985" s="5">
        <v>2000</v>
      </c>
      <c r="D4985" s="5" t="s">
        <v>20</v>
      </c>
      <c r="E4985" s="5" t="s">
        <v>30</v>
      </c>
      <c r="F4985" s="6">
        <v>42736</v>
      </c>
      <c r="G4985">
        <v>158</v>
      </c>
    </row>
    <row r="4986" spans="1:7" x14ac:dyDescent="0.25">
      <c r="A4986" s="5" t="s">
        <v>130</v>
      </c>
      <c r="B4986" s="5" t="s">
        <v>133</v>
      </c>
      <c r="C4986" s="5">
        <v>2000</v>
      </c>
      <c r="D4986" s="5" t="s">
        <v>20</v>
      </c>
      <c r="E4986" s="5" t="s">
        <v>31</v>
      </c>
      <c r="F4986" s="6">
        <v>42370</v>
      </c>
      <c r="G4986">
        <v>617</v>
      </c>
    </row>
    <row r="4987" spans="1:7" x14ac:dyDescent="0.25">
      <c r="A4987" s="5" t="s">
        <v>130</v>
      </c>
      <c r="B4987" s="5" t="s">
        <v>133</v>
      </c>
      <c r="C4987" s="5">
        <v>2000</v>
      </c>
      <c r="D4987" s="5" t="s">
        <v>20</v>
      </c>
      <c r="E4987" s="5" t="s">
        <v>31</v>
      </c>
      <c r="F4987" s="6">
        <v>42736</v>
      </c>
      <c r="G4987">
        <v>521</v>
      </c>
    </row>
    <row r="4988" spans="1:7" x14ac:dyDescent="0.25">
      <c r="A4988" s="5" t="s">
        <v>130</v>
      </c>
      <c r="B4988" s="5" t="s">
        <v>133</v>
      </c>
      <c r="C4988" s="5">
        <v>2000</v>
      </c>
      <c r="D4988" s="5" t="s">
        <v>20</v>
      </c>
      <c r="E4988" s="5" t="s">
        <v>32</v>
      </c>
      <c r="F4988" s="6">
        <v>42370</v>
      </c>
      <c r="G4988">
        <v>122</v>
      </c>
    </row>
    <row r="4989" spans="1:7" x14ac:dyDescent="0.25">
      <c r="A4989" s="5" t="s">
        <v>130</v>
      </c>
      <c r="B4989" s="5" t="s">
        <v>133</v>
      </c>
      <c r="C4989" s="5">
        <v>2000</v>
      </c>
      <c r="D4989" s="5" t="s">
        <v>20</v>
      </c>
      <c r="E4989" s="5" t="s">
        <v>32</v>
      </c>
      <c r="F4989" s="6">
        <v>42736</v>
      </c>
      <c r="G4989">
        <v>163</v>
      </c>
    </row>
    <row r="4990" spans="1:7" x14ac:dyDescent="0.25">
      <c r="A4990" s="5" t="s">
        <v>130</v>
      </c>
      <c r="B4990" s="5" t="s">
        <v>133</v>
      </c>
      <c r="C4990" s="5">
        <v>2000</v>
      </c>
      <c r="D4990" s="5" t="s">
        <v>33</v>
      </c>
      <c r="E4990" s="5" t="s">
        <v>9</v>
      </c>
      <c r="F4990" s="6">
        <v>42370</v>
      </c>
      <c r="G4990">
        <v>0</v>
      </c>
    </row>
    <row r="4991" spans="1:7" x14ac:dyDescent="0.25">
      <c r="A4991" s="5" t="s">
        <v>130</v>
      </c>
      <c r="B4991" s="5" t="s">
        <v>133</v>
      </c>
      <c r="C4991" s="5">
        <v>2000</v>
      </c>
      <c r="D4991" s="5" t="s">
        <v>33</v>
      </c>
      <c r="E4991" s="5" t="s">
        <v>9</v>
      </c>
      <c r="F4991" s="6">
        <v>42736</v>
      </c>
      <c r="G4991">
        <v>0</v>
      </c>
    </row>
    <row r="4992" spans="1:7" x14ac:dyDescent="0.25">
      <c r="A4992" s="5" t="s">
        <v>130</v>
      </c>
      <c r="B4992" s="5" t="s">
        <v>133</v>
      </c>
      <c r="C4992" s="5">
        <v>2000</v>
      </c>
      <c r="D4992" s="5" t="s">
        <v>33</v>
      </c>
      <c r="E4992" s="5" t="s">
        <v>34</v>
      </c>
      <c r="F4992" s="6">
        <v>42370</v>
      </c>
      <c r="G4992">
        <v>0</v>
      </c>
    </row>
    <row r="4993" spans="1:7" x14ac:dyDescent="0.25">
      <c r="A4993" s="5" t="s">
        <v>130</v>
      </c>
      <c r="B4993" s="5" t="s">
        <v>133</v>
      </c>
      <c r="C4993" s="5">
        <v>2000</v>
      </c>
      <c r="D4993" s="5" t="s">
        <v>33</v>
      </c>
      <c r="E4993" s="5" t="s">
        <v>34</v>
      </c>
      <c r="F4993" s="6">
        <v>42736</v>
      </c>
      <c r="G4993">
        <v>0</v>
      </c>
    </row>
    <row r="4994" spans="1:7" x14ac:dyDescent="0.25">
      <c r="A4994" s="5" t="s">
        <v>130</v>
      </c>
      <c r="B4994" s="5" t="s">
        <v>133</v>
      </c>
      <c r="C4994" s="5">
        <v>2000</v>
      </c>
      <c r="D4994" s="5" t="s">
        <v>35</v>
      </c>
      <c r="E4994" s="5" t="s">
        <v>36</v>
      </c>
      <c r="F4994" s="6">
        <v>42370</v>
      </c>
      <c r="G4994">
        <v>0</v>
      </c>
    </row>
    <row r="4995" spans="1:7" x14ac:dyDescent="0.25">
      <c r="A4995" s="5" t="s">
        <v>130</v>
      </c>
      <c r="B4995" s="5" t="s">
        <v>133</v>
      </c>
      <c r="C4995" s="5">
        <v>2000</v>
      </c>
      <c r="D4995" s="5" t="s">
        <v>35</v>
      </c>
      <c r="E4995" s="5" t="s">
        <v>36</v>
      </c>
      <c r="F4995" s="6">
        <v>42736</v>
      </c>
      <c r="G4995">
        <v>0</v>
      </c>
    </row>
    <row r="4996" spans="1:7" x14ac:dyDescent="0.25">
      <c r="A4996" s="5" t="s">
        <v>130</v>
      </c>
      <c r="B4996" s="5" t="s">
        <v>133</v>
      </c>
      <c r="C4996" s="5">
        <v>2000</v>
      </c>
      <c r="D4996" s="5" t="s">
        <v>35</v>
      </c>
      <c r="E4996" s="5" t="s">
        <v>37</v>
      </c>
      <c r="F4996" s="6">
        <v>42370</v>
      </c>
      <c r="G4996">
        <v>0</v>
      </c>
    </row>
    <row r="4997" spans="1:7" x14ac:dyDescent="0.25">
      <c r="A4997" s="5" t="s">
        <v>130</v>
      </c>
      <c r="B4997" s="5" t="s">
        <v>133</v>
      </c>
      <c r="C4997" s="5">
        <v>2000</v>
      </c>
      <c r="D4997" s="5" t="s">
        <v>35</v>
      </c>
      <c r="E4997" s="5" t="s">
        <v>37</v>
      </c>
      <c r="F4997" s="6">
        <v>42736</v>
      </c>
      <c r="G4997">
        <v>1</v>
      </c>
    </row>
    <row r="4998" spans="1:7" x14ac:dyDescent="0.25">
      <c r="A4998" s="5" t="s">
        <v>130</v>
      </c>
      <c r="B4998" s="5" t="s">
        <v>133</v>
      </c>
      <c r="C4998" s="5">
        <v>2000</v>
      </c>
      <c r="D4998" s="5" t="s">
        <v>35</v>
      </c>
      <c r="E4998" s="5" t="s">
        <v>38</v>
      </c>
      <c r="F4998" s="6">
        <v>42370</v>
      </c>
      <c r="G4998">
        <v>0</v>
      </c>
    </row>
    <row r="4999" spans="1:7" x14ac:dyDescent="0.25">
      <c r="A4999" s="5" t="s">
        <v>130</v>
      </c>
      <c r="B4999" s="5" t="s">
        <v>133</v>
      </c>
      <c r="C4999" s="5">
        <v>2000</v>
      </c>
      <c r="D4999" s="5" t="s">
        <v>35</v>
      </c>
      <c r="E4999" s="5" t="s">
        <v>38</v>
      </c>
      <c r="F4999" s="6">
        <v>42736</v>
      </c>
      <c r="G4999">
        <v>0</v>
      </c>
    </row>
    <row r="5000" spans="1:7" x14ac:dyDescent="0.25">
      <c r="A5000" s="5" t="s">
        <v>130</v>
      </c>
      <c r="B5000" s="5" t="s">
        <v>133</v>
      </c>
      <c r="C5000" s="5">
        <v>2000</v>
      </c>
      <c r="D5000" s="5" t="s">
        <v>35</v>
      </c>
      <c r="E5000" s="5" t="s">
        <v>39</v>
      </c>
      <c r="F5000" s="6">
        <v>42370</v>
      </c>
      <c r="G5000">
        <v>0</v>
      </c>
    </row>
    <row r="5001" spans="1:7" x14ac:dyDescent="0.25">
      <c r="A5001" s="5" t="s">
        <v>130</v>
      </c>
      <c r="B5001" s="5" t="s">
        <v>133</v>
      </c>
      <c r="C5001" s="5">
        <v>2000</v>
      </c>
      <c r="D5001" s="5" t="s">
        <v>35</v>
      </c>
      <c r="E5001" s="5" t="s">
        <v>39</v>
      </c>
      <c r="F5001" s="6">
        <v>42736</v>
      </c>
      <c r="G5001">
        <v>0</v>
      </c>
    </row>
    <row r="5002" spans="1:7" x14ac:dyDescent="0.25">
      <c r="A5002" s="5" t="s">
        <v>130</v>
      </c>
      <c r="B5002" s="5" t="s">
        <v>133</v>
      </c>
      <c r="C5002" s="5">
        <v>2000</v>
      </c>
      <c r="D5002" s="5" t="s">
        <v>35</v>
      </c>
      <c r="E5002" s="5" t="s">
        <v>40</v>
      </c>
      <c r="F5002" s="6">
        <v>42370</v>
      </c>
      <c r="G5002">
        <v>1</v>
      </c>
    </row>
    <row r="5003" spans="1:7" x14ac:dyDescent="0.25">
      <c r="A5003" s="5" t="s">
        <v>130</v>
      </c>
      <c r="B5003" s="5" t="s">
        <v>133</v>
      </c>
      <c r="C5003" s="5">
        <v>2000</v>
      </c>
      <c r="D5003" s="5" t="s">
        <v>35</v>
      </c>
      <c r="E5003" s="5" t="s">
        <v>40</v>
      </c>
      <c r="F5003" s="6">
        <v>42736</v>
      </c>
      <c r="G5003">
        <v>4</v>
      </c>
    </row>
    <row r="5004" spans="1:7" x14ac:dyDescent="0.25">
      <c r="A5004" s="5" t="s">
        <v>130</v>
      </c>
      <c r="B5004" s="5" t="s">
        <v>133</v>
      </c>
      <c r="C5004" s="5">
        <v>2000</v>
      </c>
      <c r="D5004" s="5" t="s">
        <v>35</v>
      </c>
      <c r="E5004" s="5" t="s">
        <v>41</v>
      </c>
      <c r="F5004" s="6">
        <v>42370</v>
      </c>
      <c r="G5004">
        <v>3</v>
      </c>
    </row>
    <row r="5005" spans="1:7" x14ac:dyDescent="0.25">
      <c r="A5005" s="5" t="s">
        <v>130</v>
      </c>
      <c r="B5005" s="5" t="s">
        <v>133</v>
      </c>
      <c r="C5005" s="5">
        <v>2000</v>
      </c>
      <c r="D5005" s="5" t="s">
        <v>35</v>
      </c>
      <c r="E5005" s="5" t="s">
        <v>41</v>
      </c>
      <c r="F5005" s="6">
        <v>42736</v>
      </c>
      <c r="G5005">
        <v>3</v>
      </c>
    </row>
    <row r="5006" spans="1:7" x14ac:dyDescent="0.25">
      <c r="A5006" s="5" t="s">
        <v>130</v>
      </c>
      <c r="B5006" s="5" t="s">
        <v>133</v>
      </c>
      <c r="C5006" s="5">
        <v>2000</v>
      </c>
      <c r="D5006" s="5" t="s">
        <v>35</v>
      </c>
      <c r="E5006" s="5" t="s">
        <v>42</v>
      </c>
      <c r="F5006" s="6">
        <v>42370</v>
      </c>
      <c r="G5006">
        <v>0</v>
      </c>
    </row>
    <row r="5007" spans="1:7" x14ac:dyDescent="0.25">
      <c r="A5007" s="5" t="s">
        <v>130</v>
      </c>
      <c r="B5007" s="5" t="s">
        <v>133</v>
      </c>
      <c r="C5007" s="5">
        <v>2000</v>
      </c>
      <c r="D5007" s="5" t="s">
        <v>35</v>
      </c>
      <c r="E5007" s="5" t="s">
        <v>42</v>
      </c>
      <c r="F5007" s="6">
        <v>42736</v>
      </c>
      <c r="G5007">
        <v>0</v>
      </c>
    </row>
    <row r="5008" spans="1:7" x14ac:dyDescent="0.25">
      <c r="A5008" s="5" t="s">
        <v>130</v>
      </c>
      <c r="B5008" s="5" t="s">
        <v>133</v>
      </c>
      <c r="C5008" s="5">
        <v>2000</v>
      </c>
      <c r="D5008" s="5" t="s">
        <v>35</v>
      </c>
      <c r="E5008" s="5" t="s">
        <v>43</v>
      </c>
      <c r="F5008" s="6">
        <v>42370</v>
      </c>
      <c r="G5008">
        <v>0</v>
      </c>
    </row>
    <row r="5009" spans="1:7" x14ac:dyDescent="0.25">
      <c r="A5009" s="5" t="s">
        <v>130</v>
      </c>
      <c r="B5009" s="5" t="s">
        <v>133</v>
      </c>
      <c r="C5009" s="5">
        <v>2000</v>
      </c>
      <c r="D5009" s="5" t="s">
        <v>35</v>
      </c>
      <c r="E5009" s="5" t="s">
        <v>43</v>
      </c>
      <c r="F5009" s="6">
        <v>42736</v>
      </c>
      <c r="G5009">
        <v>0</v>
      </c>
    </row>
    <row r="5010" spans="1:7" x14ac:dyDescent="0.25">
      <c r="A5010" s="5" t="s">
        <v>130</v>
      </c>
      <c r="B5010" s="5" t="s">
        <v>133</v>
      </c>
      <c r="C5010" s="5">
        <v>2000</v>
      </c>
      <c r="D5010" s="5" t="s">
        <v>44</v>
      </c>
      <c r="E5010" s="5" t="s">
        <v>36</v>
      </c>
      <c r="F5010" s="6">
        <v>42370</v>
      </c>
      <c r="G5010">
        <v>0</v>
      </c>
    </row>
    <row r="5011" spans="1:7" x14ac:dyDescent="0.25">
      <c r="A5011" s="5" t="s">
        <v>130</v>
      </c>
      <c r="B5011" s="5" t="s">
        <v>133</v>
      </c>
      <c r="C5011" s="5">
        <v>2000</v>
      </c>
      <c r="D5011" s="5" t="s">
        <v>44</v>
      </c>
      <c r="E5011" s="5" t="s">
        <v>36</v>
      </c>
      <c r="F5011" s="6">
        <v>42736</v>
      </c>
      <c r="G5011">
        <v>0</v>
      </c>
    </row>
    <row r="5012" spans="1:7" x14ac:dyDescent="0.25">
      <c r="A5012" s="5" t="s">
        <v>130</v>
      </c>
      <c r="B5012" s="5" t="s">
        <v>133</v>
      </c>
      <c r="C5012" s="5">
        <v>2000</v>
      </c>
      <c r="D5012" s="5" t="s">
        <v>44</v>
      </c>
      <c r="E5012" s="5" t="s">
        <v>37</v>
      </c>
      <c r="F5012" s="6">
        <v>42370</v>
      </c>
      <c r="G5012">
        <v>0</v>
      </c>
    </row>
    <row r="5013" spans="1:7" x14ac:dyDescent="0.25">
      <c r="A5013" s="5" t="s">
        <v>130</v>
      </c>
      <c r="B5013" s="5" t="s">
        <v>133</v>
      </c>
      <c r="C5013" s="5">
        <v>2000</v>
      </c>
      <c r="D5013" s="5" t="s">
        <v>44</v>
      </c>
      <c r="E5013" s="5" t="s">
        <v>37</v>
      </c>
      <c r="F5013" s="6">
        <v>42736</v>
      </c>
      <c r="G5013">
        <v>0</v>
      </c>
    </row>
    <row r="5014" spans="1:7" x14ac:dyDescent="0.25">
      <c r="A5014" s="5" t="s">
        <v>130</v>
      </c>
      <c r="B5014" s="5" t="s">
        <v>133</v>
      </c>
      <c r="C5014" s="5">
        <v>2000</v>
      </c>
      <c r="D5014" s="5" t="s">
        <v>44</v>
      </c>
      <c r="E5014" s="5" t="s">
        <v>38</v>
      </c>
      <c r="F5014" s="6">
        <v>42370</v>
      </c>
      <c r="G5014">
        <v>0</v>
      </c>
    </row>
    <row r="5015" spans="1:7" x14ac:dyDescent="0.25">
      <c r="A5015" s="5" t="s">
        <v>130</v>
      </c>
      <c r="B5015" s="5" t="s">
        <v>133</v>
      </c>
      <c r="C5015" s="5">
        <v>2000</v>
      </c>
      <c r="D5015" s="5" t="s">
        <v>44</v>
      </c>
      <c r="E5015" s="5" t="s">
        <v>38</v>
      </c>
      <c r="F5015" s="6">
        <v>42736</v>
      </c>
      <c r="G5015">
        <v>0</v>
      </c>
    </row>
    <row r="5016" spans="1:7" x14ac:dyDescent="0.25">
      <c r="A5016" s="5" t="s">
        <v>130</v>
      </c>
      <c r="B5016" s="5" t="s">
        <v>133</v>
      </c>
      <c r="C5016" s="5">
        <v>2000</v>
      </c>
      <c r="D5016" s="5" t="s">
        <v>44</v>
      </c>
      <c r="E5016" s="5" t="s">
        <v>39</v>
      </c>
      <c r="F5016" s="6">
        <v>42370</v>
      </c>
      <c r="G5016">
        <v>0</v>
      </c>
    </row>
    <row r="5017" spans="1:7" x14ac:dyDescent="0.25">
      <c r="A5017" s="5" t="s">
        <v>130</v>
      </c>
      <c r="B5017" s="5" t="s">
        <v>133</v>
      </c>
      <c r="C5017" s="5">
        <v>2000</v>
      </c>
      <c r="D5017" s="5" t="s">
        <v>44</v>
      </c>
      <c r="E5017" s="5" t="s">
        <v>39</v>
      </c>
      <c r="F5017" s="6">
        <v>42736</v>
      </c>
      <c r="G5017">
        <v>0</v>
      </c>
    </row>
    <row r="5018" spans="1:7" x14ac:dyDescent="0.25">
      <c r="A5018" s="5" t="s">
        <v>130</v>
      </c>
      <c r="B5018" s="5" t="s">
        <v>133</v>
      </c>
      <c r="C5018" s="5">
        <v>2000</v>
      </c>
      <c r="D5018" s="5" t="s">
        <v>44</v>
      </c>
      <c r="E5018" s="5" t="s">
        <v>40</v>
      </c>
      <c r="F5018" s="6">
        <v>42370</v>
      </c>
      <c r="G5018">
        <v>1</v>
      </c>
    </row>
    <row r="5019" spans="1:7" x14ac:dyDescent="0.25">
      <c r="A5019" s="5" t="s">
        <v>130</v>
      </c>
      <c r="B5019" s="5" t="s">
        <v>133</v>
      </c>
      <c r="C5019" s="5">
        <v>2000</v>
      </c>
      <c r="D5019" s="5" t="s">
        <v>44</v>
      </c>
      <c r="E5019" s="5" t="s">
        <v>40</v>
      </c>
      <c r="F5019" s="6">
        <v>42736</v>
      </c>
      <c r="G5019">
        <v>0</v>
      </c>
    </row>
    <row r="5020" spans="1:7" x14ac:dyDescent="0.25">
      <c r="A5020" s="5" t="s">
        <v>130</v>
      </c>
      <c r="B5020" s="5" t="s">
        <v>133</v>
      </c>
      <c r="C5020" s="5">
        <v>2000</v>
      </c>
      <c r="D5020" s="5" t="s">
        <v>44</v>
      </c>
      <c r="E5020" s="5" t="s">
        <v>41</v>
      </c>
      <c r="F5020" s="6">
        <v>42370</v>
      </c>
      <c r="G5020">
        <v>0</v>
      </c>
    </row>
    <row r="5021" spans="1:7" x14ac:dyDescent="0.25">
      <c r="A5021" s="5" t="s">
        <v>130</v>
      </c>
      <c r="B5021" s="5" t="s">
        <v>133</v>
      </c>
      <c r="C5021" s="5">
        <v>2000</v>
      </c>
      <c r="D5021" s="5" t="s">
        <v>44</v>
      </c>
      <c r="E5021" s="5" t="s">
        <v>41</v>
      </c>
      <c r="F5021" s="6">
        <v>42736</v>
      </c>
      <c r="G5021">
        <v>0</v>
      </c>
    </row>
    <row r="5022" spans="1:7" x14ac:dyDescent="0.25">
      <c r="A5022" s="5" t="s">
        <v>130</v>
      </c>
      <c r="B5022" s="5" t="s">
        <v>133</v>
      </c>
      <c r="C5022" s="5">
        <v>2000</v>
      </c>
      <c r="D5022" s="5" t="s">
        <v>44</v>
      </c>
      <c r="E5022" s="5" t="s">
        <v>42</v>
      </c>
      <c r="F5022" s="6">
        <v>42370</v>
      </c>
      <c r="G5022">
        <v>0</v>
      </c>
    </row>
    <row r="5023" spans="1:7" x14ac:dyDescent="0.25">
      <c r="A5023" s="5" t="s">
        <v>130</v>
      </c>
      <c r="B5023" s="5" t="s">
        <v>133</v>
      </c>
      <c r="C5023" s="5">
        <v>2000</v>
      </c>
      <c r="D5023" s="5" t="s">
        <v>44</v>
      </c>
      <c r="E5023" s="5" t="s">
        <v>42</v>
      </c>
      <c r="F5023" s="6">
        <v>42736</v>
      </c>
      <c r="G5023">
        <v>0</v>
      </c>
    </row>
    <row r="5024" spans="1:7" x14ac:dyDescent="0.25">
      <c r="A5024" s="5" t="s">
        <v>130</v>
      </c>
      <c r="B5024" s="5" t="s">
        <v>133</v>
      </c>
      <c r="C5024" s="5">
        <v>2000</v>
      </c>
      <c r="D5024" s="5" t="s">
        <v>44</v>
      </c>
      <c r="E5024" s="5" t="s">
        <v>43</v>
      </c>
      <c r="F5024" s="6">
        <v>42370</v>
      </c>
      <c r="G5024">
        <v>0</v>
      </c>
    </row>
    <row r="5025" spans="1:7" x14ac:dyDescent="0.25">
      <c r="A5025" s="5" t="s">
        <v>130</v>
      </c>
      <c r="B5025" s="5" t="s">
        <v>133</v>
      </c>
      <c r="C5025" s="5">
        <v>2000</v>
      </c>
      <c r="D5025" s="5" t="s">
        <v>44</v>
      </c>
      <c r="E5025" s="5" t="s">
        <v>43</v>
      </c>
      <c r="F5025" s="6">
        <v>42736</v>
      </c>
      <c r="G5025">
        <v>0</v>
      </c>
    </row>
    <row r="5026" spans="1:7" x14ac:dyDescent="0.25">
      <c r="A5026" s="5" t="s">
        <v>130</v>
      </c>
      <c r="B5026" s="5" t="s">
        <v>133</v>
      </c>
      <c r="C5026" s="5">
        <v>2000</v>
      </c>
      <c r="D5026" s="5" t="s">
        <v>45</v>
      </c>
      <c r="E5026" s="5" t="s">
        <v>46</v>
      </c>
      <c r="F5026" s="6">
        <v>42370</v>
      </c>
      <c r="G5026">
        <v>0</v>
      </c>
    </row>
    <row r="5027" spans="1:7" x14ac:dyDescent="0.25">
      <c r="A5027" s="5" t="s">
        <v>130</v>
      </c>
      <c r="B5027" s="5" t="s">
        <v>133</v>
      </c>
      <c r="C5027" s="5">
        <v>2000</v>
      </c>
      <c r="D5027" s="5" t="s">
        <v>45</v>
      </c>
      <c r="E5027" s="5" t="s">
        <v>46</v>
      </c>
      <c r="F5027" s="6">
        <v>42736</v>
      </c>
      <c r="G5027">
        <v>0</v>
      </c>
    </row>
    <row r="5028" spans="1:7" x14ac:dyDescent="0.25">
      <c r="A5028" s="5" t="s">
        <v>130</v>
      </c>
      <c r="B5028" s="5" t="s">
        <v>133</v>
      </c>
      <c r="C5028" s="5">
        <v>2000</v>
      </c>
      <c r="D5028" s="5" t="s">
        <v>45</v>
      </c>
      <c r="E5028" s="5" t="s">
        <v>47</v>
      </c>
      <c r="F5028" s="6">
        <v>42370</v>
      </c>
      <c r="G5028">
        <v>5</v>
      </c>
    </row>
    <row r="5029" spans="1:7" x14ac:dyDescent="0.25">
      <c r="A5029" s="5" t="s">
        <v>130</v>
      </c>
      <c r="B5029" s="5" t="s">
        <v>133</v>
      </c>
      <c r="C5029" s="5">
        <v>2000</v>
      </c>
      <c r="D5029" s="5" t="s">
        <v>45</v>
      </c>
      <c r="E5029" s="5" t="s">
        <v>47</v>
      </c>
      <c r="F5029" s="6">
        <v>42736</v>
      </c>
      <c r="G5029">
        <v>8</v>
      </c>
    </row>
    <row r="5030" spans="1:7" x14ac:dyDescent="0.25">
      <c r="A5030" s="5" t="s">
        <v>130</v>
      </c>
      <c r="B5030" s="5" t="s">
        <v>133</v>
      </c>
      <c r="C5030" s="5">
        <v>2000</v>
      </c>
      <c r="D5030" s="5" t="s">
        <v>45</v>
      </c>
      <c r="E5030" s="5" t="s">
        <v>48</v>
      </c>
      <c r="F5030" s="6">
        <v>42370</v>
      </c>
      <c r="G5030">
        <v>44</v>
      </c>
    </row>
    <row r="5031" spans="1:7" x14ac:dyDescent="0.25">
      <c r="A5031" s="5" t="s">
        <v>130</v>
      </c>
      <c r="B5031" s="5" t="s">
        <v>133</v>
      </c>
      <c r="C5031" s="5">
        <v>2000</v>
      </c>
      <c r="D5031" s="5" t="s">
        <v>45</v>
      </c>
      <c r="E5031" s="5" t="s">
        <v>48</v>
      </c>
      <c r="F5031" s="6">
        <v>42736</v>
      </c>
      <c r="G5031">
        <v>88</v>
      </c>
    </row>
    <row r="5032" spans="1:7" x14ac:dyDescent="0.25">
      <c r="A5032" s="5" t="s">
        <v>130</v>
      </c>
      <c r="B5032" s="5" t="s">
        <v>133</v>
      </c>
      <c r="C5032" s="5">
        <v>2000</v>
      </c>
      <c r="D5032" s="5" t="s">
        <v>45</v>
      </c>
      <c r="E5032" s="5" t="s">
        <v>49</v>
      </c>
      <c r="F5032" s="6">
        <v>42370</v>
      </c>
      <c r="G5032">
        <v>100</v>
      </c>
    </row>
    <row r="5033" spans="1:7" x14ac:dyDescent="0.25">
      <c r="A5033" s="5" t="s">
        <v>130</v>
      </c>
      <c r="B5033" s="5" t="s">
        <v>133</v>
      </c>
      <c r="C5033" s="5">
        <v>2000</v>
      </c>
      <c r="D5033" s="5" t="s">
        <v>45</v>
      </c>
      <c r="E5033" s="5" t="s">
        <v>49</v>
      </c>
      <c r="F5033" s="6">
        <v>42736</v>
      </c>
      <c r="G5033">
        <v>61</v>
      </c>
    </row>
    <row r="5034" spans="1:7" x14ac:dyDescent="0.25">
      <c r="A5034" s="5" t="s">
        <v>130</v>
      </c>
      <c r="B5034" s="5" t="s">
        <v>133</v>
      </c>
      <c r="C5034" s="5">
        <v>2000</v>
      </c>
      <c r="D5034" s="5" t="s">
        <v>45</v>
      </c>
      <c r="E5034" s="5" t="s">
        <v>50</v>
      </c>
      <c r="F5034" s="6">
        <v>42370</v>
      </c>
      <c r="G5034">
        <v>4</v>
      </c>
    </row>
    <row r="5035" spans="1:7" x14ac:dyDescent="0.25">
      <c r="A5035" s="5" t="s">
        <v>130</v>
      </c>
      <c r="B5035" s="5" t="s">
        <v>133</v>
      </c>
      <c r="C5035" s="5">
        <v>2000</v>
      </c>
      <c r="D5035" s="5" t="s">
        <v>45</v>
      </c>
      <c r="E5035" s="5" t="s">
        <v>50</v>
      </c>
      <c r="F5035" s="6">
        <v>42736</v>
      </c>
      <c r="G5035">
        <v>1</v>
      </c>
    </row>
    <row r="5036" spans="1:7" x14ac:dyDescent="0.25">
      <c r="A5036" s="5" t="s">
        <v>130</v>
      </c>
      <c r="B5036" s="5" t="s">
        <v>133</v>
      </c>
      <c r="C5036" s="5">
        <v>2000</v>
      </c>
      <c r="D5036" s="5" t="s">
        <v>45</v>
      </c>
      <c r="E5036" s="5" t="s">
        <v>51</v>
      </c>
      <c r="F5036" s="6">
        <v>42370</v>
      </c>
      <c r="G5036">
        <v>0</v>
      </c>
    </row>
    <row r="5037" spans="1:7" x14ac:dyDescent="0.25">
      <c r="A5037" s="5" t="s">
        <v>130</v>
      </c>
      <c r="B5037" s="5" t="s">
        <v>133</v>
      </c>
      <c r="C5037" s="5">
        <v>2000</v>
      </c>
      <c r="D5037" s="5" t="s">
        <v>45</v>
      </c>
      <c r="E5037" s="5" t="s">
        <v>51</v>
      </c>
      <c r="F5037" s="6">
        <v>42736</v>
      </c>
      <c r="G5037">
        <v>0</v>
      </c>
    </row>
    <row r="5038" spans="1:7" x14ac:dyDescent="0.25">
      <c r="A5038" s="5" t="s">
        <v>130</v>
      </c>
      <c r="B5038" s="5" t="s">
        <v>133</v>
      </c>
      <c r="C5038" s="5">
        <v>2000</v>
      </c>
      <c r="D5038" s="5" t="s">
        <v>45</v>
      </c>
      <c r="E5038" s="5" t="s">
        <v>52</v>
      </c>
      <c r="F5038" s="6">
        <v>42370</v>
      </c>
      <c r="G5038">
        <v>0</v>
      </c>
    </row>
    <row r="5039" spans="1:7" x14ac:dyDescent="0.25">
      <c r="A5039" s="5" t="s">
        <v>130</v>
      </c>
      <c r="B5039" s="5" t="s">
        <v>133</v>
      </c>
      <c r="C5039" s="5">
        <v>2000</v>
      </c>
      <c r="D5039" s="5" t="s">
        <v>45</v>
      </c>
      <c r="E5039" s="5" t="s">
        <v>52</v>
      </c>
      <c r="F5039" s="6">
        <v>42736</v>
      </c>
      <c r="G5039">
        <v>0</v>
      </c>
    </row>
    <row r="5040" spans="1:7" x14ac:dyDescent="0.25">
      <c r="A5040" s="5" t="s">
        <v>130</v>
      </c>
      <c r="B5040" s="5" t="s">
        <v>133</v>
      </c>
      <c r="C5040" s="5">
        <v>2000</v>
      </c>
      <c r="D5040" s="5" t="s">
        <v>45</v>
      </c>
      <c r="E5040" s="5" t="s">
        <v>53</v>
      </c>
      <c r="F5040" s="6">
        <v>42370</v>
      </c>
      <c r="G5040">
        <v>29</v>
      </c>
    </row>
    <row r="5041" spans="1:7" x14ac:dyDescent="0.25">
      <c r="A5041" s="5" t="s">
        <v>130</v>
      </c>
      <c r="B5041" s="5" t="s">
        <v>133</v>
      </c>
      <c r="C5041" s="5">
        <v>2000</v>
      </c>
      <c r="D5041" s="5" t="s">
        <v>45</v>
      </c>
      <c r="E5041" s="5" t="s">
        <v>53</v>
      </c>
      <c r="F5041" s="6">
        <v>42736</v>
      </c>
      <c r="G5041">
        <v>15</v>
      </c>
    </row>
    <row r="5042" spans="1:7" x14ac:dyDescent="0.25">
      <c r="A5042" s="5" t="s">
        <v>130</v>
      </c>
      <c r="B5042" s="5" t="s">
        <v>133</v>
      </c>
      <c r="C5042" s="5">
        <v>2000</v>
      </c>
      <c r="D5042" s="5" t="s">
        <v>45</v>
      </c>
      <c r="E5042" s="5" t="s">
        <v>54</v>
      </c>
      <c r="F5042" s="6">
        <v>42370</v>
      </c>
      <c r="G5042">
        <v>7</v>
      </c>
    </row>
    <row r="5043" spans="1:7" x14ac:dyDescent="0.25">
      <c r="A5043" s="5" t="s">
        <v>130</v>
      </c>
      <c r="B5043" s="5" t="s">
        <v>133</v>
      </c>
      <c r="C5043" s="5">
        <v>2000</v>
      </c>
      <c r="D5043" s="5" t="s">
        <v>45</v>
      </c>
      <c r="E5043" s="5" t="s">
        <v>54</v>
      </c>
      <c r="F5043" s="6">
        <v>42736</v>
      </c>
      <c r="G5043">
        <v>1</v>
      </c>
    </row>
    <row r="5044" spans="1:7" x14ac:dyDescent="0.25">
      <c r="A5044" s="5" t="s">
        <v>130</v>
      </c>
      <c r="B5044" s="5" t="s">
        <v>133</v>
      </c>
      <c r="C5044" s="5">
        <v>2000</v>
      </c>
      <c r="D5044" s="5" t="s">
        <v>45</v>
      </c>
      <c r="E5044" s="5" t="s">
        <v>55</v>
      </c>
      <c r="F5044" s="6">
        <v>42370</v>
      </c>
      <c r="G5044">
        <v>1</v>
      </c>
    </row>
    <row r="5045" spans="1:7" x14ac:dyDescent="0.25">
      <c r="A5045" s="5" t="s">
        <v>130</v>
      </c>
      <c r="B5045" s="5" t="s">
        <v>133</v>
      </c>
      <c r="C5045" s="5">
        <v>2000</v>
      </c>
      <c r="D5045" s="5" t="s">
        <v>45</v>
      </c>
      <c r="E5045" s="5" t="s">
        <v>55</v>
      </c>
      <c r="F5045" s="6">
        <v>42736</v>
      </c>
      <c r="G5045">
        <v>0</v>
      </c>
    </row>
    <row r="5046" spans="1:7" x14ac:dyDescent="0.25">
      <c r="A5046" s="5" t="s">
        <v>130</v>
      </c>
      <c r="B5046" s="5" t="s">
        <v>133</v>
      </c>
      <c r="C5046" s="5">
        <v>2000</v>
      </c>
      <c r="D5046" s="5" t="s">
        <v>45</v>
      </c>
      <c r="E5046" s="5" t="s">
        <v>56</v>
      </c>
      <c r="F5046" s="6">
        <v>42370</v>
      </c>
      <c r="G5046">
        <v>1</v>
      </c>
    </row>
    <row r="5047" spans="1:7" x14ac:dyDescent="0.25">
      <c r="A5047" s="5" t="s">
        <v>130</v>
      </c>
      <c r="B5047" s="5" t="s">
        <v>133</v>
      </c>
      <c r="C5047" s="5">
        <v>2000</v>
      </c>
      <c r="D5047" s="5" t="s">
        <v>45</v>
      </c>
      <c r="E5047" s="5" t="s">
        <v>56</v>
      </c>
      <c r="F5047" s="6">
        <v>42736</v>
      </c>
      <c r="G5047">
        <v>0</v>
      </c>
    </row>
    <row r="5048" spans="1:7" x14ac:dyDescent="0.25">
      <c r="A5048" s="5" t="s">
        <v>130</v>
      </c>
      <c r="B5048" s="5" t="s">
        <v>133</v>
      </c>
      <c r="C5048" s="5">
        <v>2000</v>
      </c>
      <c r="D5048" s="5" t="s">
        <v>45</v>
      </c>
      <c r="E5048" s="5" t="s">
        <v>57</v>
      </c>
      <c r="F5048" s="6">
        <v>42370</v>
      </c>
      <c r="G5048">
        <v>0</v>
      </c>
    </row>
    <row r="5049" spans="1:7" x14ac:dyDescent="0.25">
      <c r="A5049" s="5" t="s">
        <v>130</v>
      </c>
      <c r="B5049" s="5" t="s">
        <v>133</v>
      </c>
      <c r="C5049" s="5">
        <v>2000</v>
      </c>
      <c r="D5049" s="5" t="s">
        <v>45</v>
      </c>
      <c r="E5049" s="5" t="s">
        <v>57</v>
      </c>
      <c r="F5049" s="6">
        <v>42736</v>
      </c>
      <c r="G5049">
        <v>0</v>
      </c>
    </row>
    <row r="5050" spans="1:7" x14ac:dyDescent="0.25">
      <c r="A5050" s="5" t="s">
        <v>130</v>
      </c>
      <c r="B5050" s="5" t="s">
        <v>133</v>
      </c>
      <c r="C5050" s="5">
        <v>2000</v>
      </c>
      <c r="D5050" s="5" t="s">
        <v>45</v>
      </c>
      <c r="E5050" s="5" t="s">
        <v>58</v>
      </c>
      <c r="F5050" s="6">
        <v>42370</v>
      </c>
      <c r="G5050">
        <v>0</v>
      </c>
    </row>
    <row r="5051" spans="1:7" x14ac:dyDescent="0.25">
      <c r="A5051" s="5" t="s">
        <v>130</v>
      </c>
      <c r="B5051" s="5" t="s">
        <v>133</v>
      </c>
      <c r="C5051" s="5">
        <v>2000</v>
      </c>
      <c r="D5051" s="5" t="s">
        <v>45</v>
      </c>
      <c r="E5051" s="5" t="s">
        <v>58</v>
      </c>
      <c r="F5051" s="6">
        <v>42736</v>
      </c>
      <c r="G5051">
        <v>0</v>
      </c>
    </row>
    <row r="5052" spans="1:7" x14ac:dyDescent="0.25">
      <c r="A5052" s="5" t="s">
        <v>130</v>
      </c>
      <c r="B5052" s="5" t="s">
        <v>133</v>
      </c>
      <c r="C5052" s="5">
        <v>2000</v>
      </c>
      <c r="D5052" s="5" t="s">
        <v>45</v>
      </c>
      <c r="E5052" s="5" t="s">
        <v>59</v>
      </c>
      <c r="F5052" s="6">
        <v>42370</v>
      </c>
      <c r="G5052">
        <v>6</v>
      </c>
    </row>
    <row r="5053" spans="1:7" x14ac:dyDescent="0.25">
      <c r="A5053" s="5" t="s">
        <v>130</v>
      </c>
      <c r="B5053" s="5" t="s">
        <v>133</v>
      </c>
      <c r="C5053" s="5">
        <v>2000</v>
      </c>
      <c r="D5053" s="5" t="s">
        <v>45</v>
      </c>
      <c r="E5053" s="5" t="s">
        <v>59</v>
      </c>
      <c r="F5053" s="6">
        <v>42736</v>
      </c>
      <c r="G5053">
        <v>0</v>
      </c>
    </row>
    <row r="5054" spans="1:7" x14ac:dyDescent="0.25">
      <c r="A5054" s="5" t="s">
        <v>130</v>
      </c>
      <c r="B5054" s="5" t="s">
        <v>133</v>
      </c>
      <c r="C5054" s="5">
        <v>2000</v>
      </c>
      <c r="D5054" s="5" t="s">
        <v>45</v>
      </c>
      <c r="E5054" s="5" t="s">
        <v>60</v>
      </c>
      <c r="F5054" s="6">
        <v>42370</v>
      </c>
      <c r="G5054">
        <v>17</v>
      </c>
    </row>
    <row r="5055" spans="1:7" x14ac:dyDescent="0.25">
      <c r="A5055" s="5" t="s">
        <v>130</v>
      </c>
      <c r="B5055" s="5" t="s">
        <v>133</v>
      </c>
      <c r="C5055" s="5">
        <v>2000</v>
      </c>
      <c r="D5055" s="5" t="s">
        <v>45</v>
      </c>
      <c r="E5055" s="5" t="s">
        <v>60</v>
      </c>
      <c r="F5055" s="6">
        <v>42736</v>
      </c>
      <c r="G5055">
        <v>4</v>
      </c>
    </row>
    <row r="5056" spans="1:7" x14ac:dyDescent="0.25">
      <c r="A5056" s="5" t="s">
        <v>130</v>
      </c>
      <c r="B5056" s="5" t="s">
        <v>133</v>
      </c>
      <c r="C5056" s="5">
        <v>2000</v>
      </c>
      <c r="D5056" s="5" t="s">
        <v>45</v>
      </c>
      <c r="E5056" s="5" t="s">
        <v>61</v>
      </c>
      <c r="F5056" s="6">
        <v>42370</v>
      </c>
      <c r="G5056">
        <v>0</v>
      </c>
    </row>
    <row r="5057" spans="1:7" x14ac:dyDescent="0.25">
      <c r="A5057" s="5" t="s">
        <v>130</v>
      </c>
      <c r="B5057" s="5" t="s">
        <v>133</v>
      </c>
      <c r="C5057" s="5">
        <v>2000</v>
      </c>
      <c r="D5057" s="5" t="s">
        <v>45</v>
      </c>
      <c r="E5057" s="5" t="s">
        <v>61</v>
      </c>
      <c r="F5057" s="6">
        <v>42736</v>
      </c>
      <c r="G5057">
        <v>0</v>
      </c>
    </row>
    <row r="5058" spans="1:7" x14ac:dyDescent="0.25">
      <c r="A5058" s="5" t="s">
        <v>130</v>
      </c>
      <c r="B5058" s="5" t="s">
        <v>133</v>
      </c>
      <c r="C5058" s="5">
        <v>2000</v>
      </c>
      <c r="D5058" s="5" t="s">
        <v>62</v>
      </c>
      <c r="E5058" s="5" t="s">
        <v>63</v>
      </c>
      <c r="F5058" s="6">
        <v>42370</v>
      </c>
      <c r="G5058">
        <v>4</v>
      </c>
    </row>
    <row r="5059" spans="1:7" x14ac:dyDescent="0.25">
      <c r="A5059" s="5" t="s">
        <v>130</v>
      </c>
      <c r="B5059" s="5" t="s">
        <v>133</v>
      </c>
      <c r="C5059" s="5">
        <v>2000</v>
      </c>
      <c r="D5059" s="5" t="s">
        <v>62</v>
      </c>
      <c r="E5059" s="5" t="s">
        <v>63</v>
      </c>
      <c r="F5059" s="6">
        <v>42736</v>
      </c>
      <c r="G5059">
        <v>3</v>
      </c>
    </row>
    <row r="5060" spans="1:7" x14ac:dyDescent="0.25">
      <c r="A5060" s="5" t="s">
        <v>130</v>
      </c>
      <c r="B5060" s="5" t="s">
        <v>133</v>
      </c>
      <c r="C5060" s="5">
        <v>2000</v>
      </c>
      <c r="D5060" s="5" t="s">
        <v>62</v>
      </c>
      <c r="E5060" s="5" t="s">
        <v>64</v>
      </c>
      <c r="F5060" s="6">
        <v>42370</v>
      </c>
      <c r="G5060">
        <v>0</v>
      </c>
    </row>
    <row r="5061" spans="1:7" x14ac:dyDescent="0.25">
      <c r="A5061" s="5" t="s">
        <v>130</v>
      </c>
      <c r="B5061" s="5" t="s">
        <v>133</v>
      </c>
      <c r="C5061" s="5">
        <v>2000</v>
      </c>
      <c r="D5061" s="5" t="s">
        <v>62</v>
      </c>
      <c r="E5061" s="5" t="s">
        <v>64</v>
      </c>
      <c r="F5061" s="6">
        <v>42736</v>
      </c>
      <c r="G5061">
        <v>0</v>
      </c>
    </row>
    <row r="5062" spans="1:7" x14ac:dyDescent="0.25">
      <c r="A5062" s="5" t="s">
        <v>130</v>
      </c>
      <c r="B5062" s="5" t="s">
        <v>133</v>
      </c>
      <c r="C5062" s="5">
        <v>2000</v>
      </c>
      <c r="D5062" s="5" t="s">
        <v>62</v>
      </c>
      <c r="E5062" s="5" t="s">
        <v>9</v>
      </c>
      <c r="F5062" s="6">
        <v>42370</v>
      </c>
      <c r="G5062">
        <v>0</v>
      </c>
    </row>
    <row r="5063" spans="1:7" x14ac:dyDescent="0.25">
      <c r="A5063" s="5" t="s">
        <v>130</v>
      </c>
      <c r="B5063" s="5" t="s">
        <v>133</v>
      </c>
      <c r="C5063" s="5">
        <v>2000</v>
      </c>
      <c r="D5063" s="5" t="s">
        <v>62</v>
      </c>
      <c r="E5063" s="5" t="s">
        <v>9</v>
      </c>
      <c r="F5063" s="6">
        <v>42736</v>
      </c>
      <c r="G5063">
        <v>0</v>
      </c>
    </row>
    <row r="5064" spans="1:7" x14ac:dyDescent="0.25">
      <c r="A5064" s="5" t="s">
        <v>130</v>
      </c>
      <c r="B5064" s="5" t="s">
        <v>133</v>
      </c>
      <c r="C5064" s="5">
        <v>2000</v>
      </c>
      <c r="D5064" s="5" t="s">
        <v>62</v>
      </c>
      <c r="E5064" s="5" t="s">
        <v>65</v>
      </c>
      <c r="F5064" s="6">
        <v>42370</v>
      </c>
      <c r="G5064">
        <v>0</v>
      </c>
    </row>
    <row r="5065" spans="1:7" x14ac:dyDescent="0.25">
      <c r="A5065" s="5" t="s">
        <v>130</v>
      </c>
      <c r="B5065" s="5" t="s">
        <v>133</v>
      </c>
      <c r="C5065" s="5">
        <v>2000</v>
      </c>
      <c r="D5065" s="5" t="s">
        <v>62</v>
      </c>
      <c r="E5065" s="5" t="s">
        <v>65</v>
      </c>
      <c r="F5065" s="6">
        <v>42736</v>
      </c>
      <c r="G5065">
        <v>0</v>
      </c>
    </row>
    <row r="5066" spans="1:7" x14ac:dyDescent="0.25">
      <c r="A5066" s="5" t="s">
        <v>130</v>
      </c>
      <c r="B5066" s="5" t="s">
        <v>133</v>
      </c>
      <c r="C5066" s="5">
        <v>2000</v>
      </c>
      <c r="D5066" s="5" t="s">
        <v>62</v>
      </c>
      <c r="E5066" s="5" t="s">
        <v>66</v>
      </c>
      <c r="F5066" s="6">
        <v>42370</v>
      </c>
      <c r="G5066">
        <v>0</v>
      </c>
    </row>
    <row r="5067" spans="1:7" x14ac:dyDescent="0.25">
      <c r="A5067" s="5" t="s">
        <v>130</v>
      </c>
      <c r="B5067" s="5" t="s">
        <v>133</v>
      </c>
      <c r="C5067" s="5">
        <v>2000</v>
      </c>
      <c r="D5067" s="5" t="s">
        <v>62</v>
      </c>
      <c r="E5067" s="5" t="s">
        <v>66</v>
      </c>
      <c r="F5067" s="6">
        <v>42736</v>
      </c>
      <c r="G5067">
        <v>0</v>
      </c>
    </row>
    <row r="5068" spans="1:7" x14ac:dyDescent="0.25">
      <c r="A5068" s="5" t="s">
        <v>130</v>
      </c>
      <c r="B5068" s="5" t="s">
        <v>133</v>
      </c>
      <c r="C5068" s="5">
        <v>2000</v>
      </c>
      <c r="D5068" s="5" t="s">
        <v>62</v>
      </c>
      <c r="E5068" s="5" t="s">
        <v>67</v>
      </c>
      <c r="F5068" s="6">
        <v>42370</v>
      </c>
      <c r="G5068">
        <v>0</v>
      </c>
    </row>
    <row r="5069" spans="1:7" x14ac:dyDescent="0.25">
      <c r="A5069" s="5" t="s">
        <v>130</v>
      </c>
      <c r="B5069" s="5" t="s">
        <v>133</v>
      </c>
      <c r="C5069" s="5">
        <v>2000</v>
      </c>
      <c r="D5069" s="5" t="s">
        <v>62</v>
      </c>
      <c r="E5069" s="5" t="s">
        <v>67</v>
      </c>
      <c r="F5069" s="6">
        <v>42736</v>
      </c>
      <c r="G5069">
        <v>0</v>
      </c>
    </row>
    <row r="5070" spans="1:7" x14ac:dyDescent="0.25">
      <c r="A5070" s="5" t="s">
        <v>130</v>
      </c>
      <c r="B5070" s="5" t="s">
        <v>133</v>
      </c>
      <c r="C5070" s="5">
        <v>2000</v>
      </c>
      <c r="D5070" s="5" t="s">
        <v>62</v>
      </c>
      <c r="E5070" s="5" t="s">
        <v>68</v>
      </c>
      <c r="F5070" s="6">
        <v>42370</v>
      </c>
      <c r="G5070">
        <v>0</v>
      </c>
    </row>
    <row r="5071" spans="1:7" x14ac:dyDescent="0.25">
      <c r="A5071" s="5" t="s">
        <v>130</v>
      </c>
      <c r="B5071" s="5" t="s">
        <v>133</v>
      </c>
      <c r="C5071" s="5">
        <v>2000</v>
      </c>
      <c r="D5071" s="5" t="s">
        <v>62</v>
      </c>
      <c r="E5071" s="5" t="s">
        <v>68</v>
      </c>
      <c r="F5071" s="6">
        <v>42736</v>
      </c>
      <c r="G5071">
        <v>0</v>
      </c>
    </row>
    <row r="5072" spans="1:7" x14ac:dyDescent="0.25">
      <c r="A5072" s="5" t="s">
        <v>130</v>
      </c>
      <c r="B5072" s="5" t="s">
        <v>133</v>
      </c>
      <c r="C5072" s="5">
        <v>2000</v>
      </c>
      <c r="D5072" s="5" t="s">
        <v>62</v>
      </c>
      <c r="E5072" s="5" t="s">
        <v>69</v>
      </c>
      <c r="F5072" s="6">
        <v>42370</v>
      </c>
      <c r="G5072">
        <v>10</v>
      </c>
    </row>
    <row r="5073" spans="1:7" x14ac:dyDescent="0.25">
      <c r="A5073" s="5" t="s">
        <v>130</v>
      </c>
      <c r="B5073" s="5" t="s">
        <v>133</v>
      </c>
      <c r="C5073" s="5">
        <v>2000</v>
      </c>
      <c r="D5073" s="5" t="s">
        <v>62</v>
      </c>
      <c r="E5073" s="5" t="s">
        <v>69</v>
      </c>
      <c r="F5073" s="6">
        <v>42736</v>
      </c>
      <c r="G5073">
        <v>11</v>
      </c>
    </row>
    <row r="5074" spans="1:7" x14ac:dyDescent="0.25">
      <c r="A5074" s="5" t="s">
        <v>130</v>
      </c>
      <c r="B5074" s="5" t="s">
        <v>133</v>
      </c>
      <c r="C5074" s="5">
        <v>2000</v>
      </c>
      <c r="D5074" s="5" t="s">
        <v>62</v>
      </c>
      <c r="E5074" s="5" t="s">
        <v>70</v>
      </c>
      <c r="F5074" s="6">
        <v>42370</v>
      </c>
      <c r="G5074">
        <v>1</v>
      </c>
    </row>
    <row r="5075" spans="1:7" x14ac:dyDescent="0.25">
      <c r="A5075" s="5" t="s">
        <v>130</v>
      </c>
      <c r="B5075" s="5" t="s">
        <v>133</v>
      </c>
      <c r="C5075" s="5">
        <v>2000</v>
      </c>
      <c r="D5075" s="5" t="s">
        <v>62</v>
      </c>
      <c r="E5075" s="5" t="s">
        <v>70</v>
      </c>
      <c r="F5075" s="6">
        <v>42736</v>
      </c>
      <c r="G5075">
        <v>4</v>
      </c>
    </row>
    <row r="5076" spans="1:7" x14ac:dyDescent="0.25">
      <c r="A5076" s="5" t="s">
        <v>130</v>
      </c>
      <c r="B5076" s="5" t="s">
        <v>133</v>
      </c>
      <c r="C5076" s="5">
        <v>2000</v>
      </c>
      <c r="D5076" s="5" t="s">
        <v>62</v>
      </c>
      <c r="E5076" s="5" t="s">
        <v>71</v>
      </c>
      <c r="F5076" s="6">
        <v>42370</v>
      </c>
      <c r="G5076">
        <v>0</v>
      </c>
    </row>
    <row r="5077" spans="1:7" x14ac:dyDescent="0.25">
      <c r="A5077" s="5" t="s">
        <v>130</v>
      </c>
      <c r="B5077" s="5" t="s">
        <v>133</v>
      </c>
      <c r="C5077" s="5">
        <v>2000</v>
      </c>
      <c r="D5077" s="5" t="s">
        <v>62</v>
      </c>
      <c r="E5077" s="5" t="s">
        <v>71</v>
      </c>
      <c r="F5077" s="6">
        <v>42736</v>
      </c>
      <c r="G5077">
        <v>0</v>
      </c>
    </row>
    <row r="5078" spans="1:7" x14ac:dyDescent="0.25">
      <c r="A5078" s="5" t="s">
        <v>130</v>
      </c>
      <c r="B5078" s="5" t="s">
        <v>133</v>
      </c>
      <c r="C5078" s="5">
        <v>2000</v>
      </c>
      <c r="D5078" s="5" t="s">
        <v>72</v>
      </c>
      <c r="E5078" s="5" t="s">
        <v>73</v>
      </c>
      <c r="F5078" s="6">
        <v>42370</v>
      </c>
      <c r="G5078">
        <v>0</v>
      </c>
    </row>
    <row r="5079" spans="1:7" x14ac:dyDescent="0.25">
      <c r="A5079" s="5" t="s">
        <v>130</v>
      </c>
      <c r="B5079" s="5" t="s">
        <v>133</v>
      </c>
      <c r="C5079" s="5">
        <v>2000</v>
      </c>
      <c r="D5079" s="5" t="s">
        <v>72</v>
      </c>
      <c r="E5079" s="5" t="s">
        <v>73</v>
      </c>
      <c r="F5079" s="6">
        <v>42736</v>
      </c>
      <c r="G5079">
        <v>0</v>
      </c>
    </row>
    <row r="5080" spans="1:7" x14ac:dyDescent="0.25">
      <c r="A5080" s="5" t="s">
        <v>130</v>
      </c>
      <c r="B5080" s="5" t="s">
        <v>133</v>
      </c>
      <c r="C5080" s="5">
        <v>2000</v>
      </c>
      <c r="D5080" s="5" t="s">
        <v>72</v>
      </c>
      <c r="E5080" s="5" t="s">
        <v>9</v>
      </c>
      <c r="F5080" s="6">
        <v>42370</v>
      </c>
      <c r="G5080">
        <v>0</v>
      </c>
    </row>
    <row r="5081" spans="1:7" x14ac:dyDescent="0.25">
      <c r="A5081" s="5" t="s">
        <v>130</v>
      </c>
      <c r="B5081" s="5" t="s">
        <v>133</v>
      </c>
      <c r="C5081" s="5">
        <v>2000</v>
      </c>
      <c r="D5081" s="5" t="s">
        <v>72</v>
      </c>
      <c r="E5081" s="5" t="s">
        <v>9</v>
      </c>
      <c r="F5081" s="6">
        <v>42736</v>
      </c>
      <c r="G5081">
        <v>0</v>
      </c>
    </row>
    <row r="5082" spans="1:7" x14ac:dyDescent="0.25">
      <c r="A5082" s="5" t="s">
        <v>130</v>
      </c>
      <c r="B5082" s="5" t="s">
        <v>133</v>
      </c>
      <c r="C5082" s="5">
        <v>2000</v>
      </c>
      <c r="D5082" s="5" t="s">
        <v>72</v>
      </c>
      <c r="E5082" s="5" t="s">
        <v>34</v>
      </c>
      <c r="F5082" s="6">
        <v>42370</v>
      </c>
      <c r="G5082">
        <v>0</v>
      </c>
    </row>
    <row r="5083" spans="1:7" x14ac:dyDescent="0.25">
      <c r="A5083" s="5" t="s">
        <v>130</v>
      </c>
      <c r="B5083" s="5" t="s">
        <v>133</v>
      </c>
      <c r="C5083" s="5">
        <v>2000</v>
      </c>
      <c r="D5083" s="5" t="s">
        <v>72</v>
      </c>
      <c r="E5083" s="5" t="s">
        <v>34</v>
      </c>
      <c r="F5083" s="6">
        <v>42736</v>
      </c>
      <c r="G5083">
        <v>0</v>
      </c>
    </row>
    <row r="5084" spans="1:7" x14ac:dyDescent="0.25">
      <c r="A5084" s="5" t="s">
        <v>130</v>
      </c>
      <c r="B5084" s="5" t="s">
        <v>133</v>
      </c>
      <c r="C5084" s="5">
        <v>2000</v>
      </c>
      <c r="D5084" s="5" t="s">
        <v>72</v>
      </c>
      <c r="E5084" s="5" t="s">
        <v>74</v>
      </c>
      <c r="F5084" s="6">
        <v>42370</v>
      </c>
      <c r="G5084">
        <v>0</v>
      </c>
    </row>
    <row r="5085" spans="1:7" x14ac:dyDescent="0.25">
      <c r="A5085" s="5" t="s">
        <v>130</v>
      </c>
      <c r="B5085" s="5" t="s">
        <v>133</v>
      </c>
      <c r="C5085" s="5">
        <v>2000</v>
      </c>
      <c r="D5085" s="5" t="s">
        <v>72</v>
      </c>
      <c r="E5085" s="5" t="s">
        <v>74</v>
      </c>
      <c r="F5085" s="6">
        <v>42736</v>
      </c>
      <c r="G5085">
        <v>0</v>
      </c>
    </row>
    <row r="5086" spans="1:7" x14ac:dyDescent="0.25">
      <c r="A5086" s="5" t="s">
        <v>130</v>
      </c>
      <c r="B5086" s="5" t="s">
        <v>133</v>
      </c>
      <c r="C5086" s="5">
        <v>2000</v>
      </c>
      <c r="D5086" s="5" t="s">
        <v>72</v>
      </c>
      <c r="E5086" s="5" t="s">
        <v>75</v>
      </c>
      <c r="F5086" s="6">
        <v>42370</v>
      </c>
      <c r="G5086">
        <v>0</v>
      </c>
    </row>
    <row r="5087" spans="1:7" x14ac:dyDescent="0.25">
      <c r="A5087" s="5" t="s">
        <v>130</v>
      </c>
      <c r="B5087" s="5" t="s">
        <v>133</v>
      </c>
      <c r="C5087" s="5">
        <v>2000</v>
      </c>
      <c r="D5087" s="5" t="s">
        <v>72</v>
      </c>
      <c r="E5087" s="5" t="s">
        <v>75</v>
      </c>
      <c r="F5087" s="6">
        <v>42736</v>
      </c>
      <c r="G5087">
        <v>0</v>
      </c>
    </row>
    <row r="5088" spans="1:7" x14ac:dyDescent="0.25">
      <c r="A5088" s="5" t="s">
        <v>130</v>
      </c>
      <c r="B5088" s="5" t="s">
        <v>133</v>
      </c>
      <c r="C5088" s="5">
        <v>2000</v>
      </c>
      <c r="D5088" s="5" t="s">
        <v>76</v>
      </c>
      <c r="E5088" s="5" t="s">
        <v>9</v>
      </c>
      <c r="F5088" s="6">
        <v>42370</v>
      </c>
      <c r="G5088">
        <v>0</v>
      </c>
    </row>
    <row r="5089" spans="1:7" x14ac:dyDescent="0.25">
      <c r="A5089" s="5" t="s">
        <v>130</v>
      </c>
      <c r="B5089" s="5" t="s">
        <v>133</v>
      </c>
      <c r="C5089" s="5">
        <v>2000</v>
      </c>
      <c r="D5089" s="5" t="s">
        <v>76</v>
      </c>
      <c r="E5089" s="5" t="s">
        <v>9</v>
      </c>
      <c r="F5089" s="6">
        <v>42736</v>
      </c>
      <c r="G5089">
        <v>0</v>
      </c>
    </row>
    <row r="5090" spans="1:7" x14ac:dyDescent="0.25">
      <c r="A5090" s="5" t="s">
        <v>130</v>
      </c>
      <c r="B5090" s="5" t="s">
        <v>133</v>
      </c>
      <c r="C5090" s="5">
        <v>2000</v>
      </c>
      <c r="D5090" s="5" t="s">
        <v>76</v>
      </c>
      <c r="E5090" s="5" t="s">
        <v>77</v>
      </c>
      <c r="F5090" s="6">
        <v>42370</v>
      </c>
      <c r="G5090">
        <v>0</v>
      </c>
    </row>
    <row r="5091" spans="1:7" x14ac:dyDescent="0.25">
      <c r="A5091" s="5" t="s">
        <v>130</v>
      </c>
      <c r="B5091" s="5" t="s">
        <v>133</v>
      </c>
      <c r="C5091" s="5">
        <v>2000</v>
      </c>
      <c r="D5091" s="5" t="s">
        <v>76</v>
      </c>
      <c r="E5091" s="5" t="s">
        <v>77</v>
      </c>
      <c r="F5091" s="6">
        <v>42736</v>
      </c>
      <c r="G5091">
        <v>0</v>
      </c>
    </row>
    <row r="5092" spans="1:7" x14ac:dyDescent="0.25">
      <c r="A5092" s="5" t="s">
        <v>130</v>
      </c>
      <c r="B5092" s="5" t="s">
        <v>133</v>
      </c>
      <c r="C5092" s="5">
        <v>2000</v>
      </c>
      <c r="D5092" s="5" t="s">
        <v>78</v>
      </c>
      <c r="E5092" s="5" t="s">
        <v>79</v>
      </c>
      <c r="F5092" s="6">
        <v>42370</v>
      </c>
      <c r="G5092">
        <v>95</v>
      </c>
    </row>
    <row r="5093" spans="1:7" x14ac:dyDescent="0.25">
      <c r="A5093" s="5" t="s">
        <v>130</v>
      </c>
      <c r="B5093" s="5" t="s">
        <v>133</v>
      </c>
      <c r="C5093" s="5">
        <v>2000</v>
      </c>
      <c r="D5093" s="5" t="s">
        <v>78</v>
      </c>
      <c r="E5093" s="5" t="s">
        <v>79</v>
      </c>
      <c r="F5093" s="6">
        <v>42736</v>
      </c>
      <c r="G5093">
        <v>84</v>
      </c>
    </row>
    <row r="5094" spans="1:7" x14ac:dyDescent="0.25">
      <c r="A5094" s="5" t="s">
        <v>130</v>
      </c>
      <c r="B5094" s="5" t="s">
        <v>133</v>
      </c>
      <c r="C5094" s="5">
        <v>2000</v>
      </c>
      <c r="D5094" s="5" t="s">
        <v>78</v>
      </c>
      <c r="E5094" s="5" t="s">
        <v>80</v>
      </c>
      <c r="F5094" s="6">
        <v>42370</v>
      </c>
      <c r="G5094">
        <v>34</v>
      </c>
    </row>
    <row r="5095" spans="1:7" x14ac:dyDescent="0.25">
      <c r="A5095" s="5" t="s">
        <v>130</v>
      </c>
      <c r="B5095" s="5" t="s">
        <v>133</v>
      </c>
      <c r="C5095" s="5">
        <v>2000</v>
      </c>
      <c r="D5095" s="5" t="s">
        <v>78</v>
      </c>
      <c r="E5095" s="5" t="s">
        <v>80</v>
      </c>
      <c r="F5095" s="6">
        <v>42736</v>
      </c>
      <c r="G5095">
        <v>54</v>
      </c>
    </row>
    <row r="5096" spans="1:7" x14ac:dyDescent="0.25">
      <c r="A5096" s="5" t="s">
        <v>130</v>
      </c>
      <c r="B5096" s="5" t="s">
        <v>133</v>
      </c>
      <c r="C5096" s="5">
        <v>2000</v>
      </c>
      <c r="D5096" s="5" t="s">
        <v>78</v>
      </c>
      <c r="E5096" s="5" t="s">
        <v>81</v>
      </c>
      <c r="F5096" s="6">
        <v>42370</v>
      </c>
      <c r="G5096">
        <v>963</v>
      </c>
    </row>
    <row r="5097" spans="1:7" x14ac:dyDescent="0.25">
      <c r="A5097" s="5" t="s">
        <v>130</v>
      </c>
      <c r="B5097" s="5" t="s">
        <v>133</v>
      </c>
      <c r="C5097" s="5">
        <v>2000</v>
      </c>
      <c r="D5097" s="5" t="s">
        <v>78</v>
      </c>
      <c r="E5097" s="5" t="s">
        <v>81</v>
      </c>
      <c r="F5097" s="6">
        <v>42736</v>
      </c>
      <c r="G5097">
        <v>1330</v>
      </c>
    </row>
    <row r="5098" spans="1:7" x14ac:dyDescent="0.25">
      <c r="A5098" s="5" t="s">
        <v>130</v>
      </c>
      <c r="B5098" s="5" t="s">
        <v>133</v>
      </c>
      <c r="C5098" s="5">
        <v>2000</v>
      </c>
      <c r="D5098" s="5" t="s">
        <v>78</v>
      </c>
      <c r="E5098" s="5" t="s">
        <v>82</v>
      </c>
      <c r="F5098" s="6">
        <v>42370</v>
      </c>
      <c r="G5098">
        <v>39</v>
      </c>
    </row>
    <row r="5099" spans="1:7" x14ac:dyDescent="0.25">
      <c r="A5099" s="5" t="s">
        <v>130</v>
      </c>
      <c r="B5099" s="5" t="s">
        <v>133</v>
      </c>
      <c r="C5099" s="5">
        <v>2000</v>
      </c>
      <c r="D5099" s="5" t="s">
        <v>78</v>
      </c>
      <c r="E5099" s="5" t="s">
        <v>82</v>
      </c>
      <c r="F5099" s="6">
        <v>42736</v>
      </c>
      <c r="G5099">
        <v>34</v>
      </c>
    </row>
    <row r="5100" spans="1:7" x14ac:dyDescent="0.25">
      <c r="A5100" s="5" t="s">
        <v>130</v>
      </c>
      <c r="B5100" s="5" t="s">
        <v>133</v>
      </c>
      <c r="C5100" s="5">
        <v>2000</v>
      </c>
      <c r="D5100" s="5" t="s">
        <v>78</v>
      </c>
      <c r="E5100" s="5" t="s">
        <v>83</v>
      </c>
      <c r="F5100" s="6">
        <v>42370</v>
      </c>
      <c r="G5100">
        <v>28</v>
      </c>
    </row>
    <row r="5101" spans="1:7" x14ac:dyDescent="0.25">
      <c r="A5101" s="5" t="s">
        <v>130</v>
      </c>
      <c r="B5101" s="5" t="s">
        <v>133</v>
      </c>
      <c r="C5101" s="5">
        <v>2000</v>
      </c>
      <c r="D5101" s="5" t="s">
        <v>78</v>
      </c>
      <c r="E5101" s="5" t="s">
        <v>83</v>
      </c>
      <c r="F5101" s="6">
        <v>42736</v>
      </c>
      <c r="G5101">
        <v>32</v>
      </c>
    </row>
    <row r="5102" spans="1:7" x14ac:dyDescent="0.25">
      <c r="A5102" s="5" t="s">
        <v>130</v>
      </c>
      <c r="B5102" s="5" t="s">
        <v>133</v>
      </c>
      <c r="C5102" s="5">
        <v>2000</v>
      </c>
      <c r="D5102" s="5" t="s">
        <v>78</v>
      </c>
      <c r="E5102" s="5" t="s">
        <v>84</v>
      </c>
      <c r="F5102" s="6">
        <v>42370</v>
      </c>
      <c r="G5102">
        <v>4</v>
      </c>
    </row>
    <row r="5103" spans="1:7" x14ac:dyDescent="0.25">
      <c r="A5103" s="5" t="s">
        <v>130</v>
      </c>
      <c r="B5103" s="5" t="s">
        <v>133</v>
      </c>
      <c r="C5103" s="5">
        <v>2000</v>
      </c>
      <c r="D5103" s="5" t="s">
        <v>78</v>
      </c>
      <c r="E5103" s="5" t="s">
        <v>84</v>
      </c>
      <c r="F5103" s="6">
        <v>42736</v>
      </c>
      <c r="G5103">
        <v>4</v>
      </c>
    </row>
    <row r="5104" spans="1:7" x14ac:dyDescent="0.25">
      <c r="A5104" s="5" t="s">
        <v>130</v>
      </c>
      <c r="B5104" s="5" t="s">
        <v>133</v>
      </c>
      <c r="C5104" s="5">
        <v>2000</v>
      </c>
      <c r="D5104" s="5" t="s">
        <v>78</v>
      </c>
      <c r="E5104" s="5" t="s">
        <v>85</v>
      </c>
      <c r="F5104" s="6">
        <v>42370</v>
      </c>
      <c r="G5104">
        <v>0</v>
      </c>
    </row>
    <row r="5105" spans="1:7" x14ac:dyDescent="0.25">
      <c r="A5105" s="5" t="s">
        <v>130</v>
      </c>
      <c r="B5105" s="5" t="s">
        <v>133</v>
      </c>
      <c r="C5105" s="5">
        <v>2000</v>
      </c>
      <c r="D5105" s="5" t="s">
        <v>78</v>
      </c>
      <c r="E5105" s="5" t="s">
        <v>85</v>
      </c>
      <c r="F5105" s="6">
        <v>42736</v>
      </c>
      <c r="G5105">
        <v>3</v>
      </c>
    </row>
    <row r="5106" spans="1:7" x14ac:dyDescent="0.25">
      <c r="A5106" s="5" t="s">
        <v>130</v>
      </c>
      <c r="B5106" s="5" t="s">
        <v>133</v>
      </c>
      <c r="C5106" s="5">
        <v>2000</v>
      </c>
      <c r="D5106" s="5" t="s">
        <v>78</v>
      </c>
      <c r="E5106" s="5" t="s">
        <v>86</v>
      </c>
      <c r="F5106" s="6">
        <v>42370</v>
      </c>
      <c r="G5106">
        <v>6</v>
      </c>
    </row>
    <row r="5107" spans="1:7" x14ac:dyDescent="0.25">
      <c r="A5107" s="5" t="s">
        <v>130</v>
      </c>
      <c r="B5107" s="5" t="s">
        <v>133</v>
      </c>
      <c r="C5107" s="5">
        <v>2000</v>
      </c>
      <c r="D5107" s="5" t="s">
        <v>78</v>
      </c>
      <c r="E5107" s="5" t="s">
        <v>86</v>
      </c>
      <c r="F5107" s="6">
        <v>42736</v>
      </c>
      <c r="G5107">
        <v>6</v>
      </c>
    </row>
    <row r="5108" spans="1:7" x14ac:dyDescent="0.25">
      <c r="A5108" s="5" t="s">
        <v>130</v>
      </c>
      <c r="B5108" s="5" t="s">
        <v>133</v>
      </c>
      <c r="C5108" s="5">
        <v>2000</v>
      </c>
      <c r="D5108" s="5" t="s">
        <v>78</v>
      </c>
      <c r="E5108" s="5" t="s">
        <v>87</v>
      </c>
      <c r="F5108" s="6">
        <v>42370</v>
      </c>
      <c r="G5108">
        <v>111</v>
      </c>
    </row>
    <row r="5109" spans="1:7" x14ac:dyDescent="0.25">
      <c r="A5109" s="5" t="s">
        <v>130</v>
      </c>
      <c r="B5109" s="5" t="s">
        <v>133</v>
      </c>
      <c r="C5109" s="5">
        <v>2000</v>
      </c>
      <c r="D5109" s="5" t="s">
        <v>78</v>
      </c>
      <c r="E5109" s="5" t="s">
        <v>87</v>
      </c>
      <c r="F5109" s="6">
        <v>42736</v>
      </c>
      <c r="G5109">
        <v>109</v>
      </c>
    </row>
    <row r="5110" spans="1:7" x14ac:dyDescent="0.25">
      <c r="A5110" s="5" t="s">
        <v>130</v>
      </c>
      <c r="B5110" s="5" t="s">
        <v>133</v>
      </c>
      <c r="C5110" s="5">
        <v>2000</v>
      </c>
      <c r="D5110" s="5" t="s">
        <v>78</v>
      </c>
      <c r="E5110" s="5" t="s">
        <v>88</v>
      </c>
      <c r="F5110" s="6">
        <v>42370</v>
      </c>
      <c r="G5110">
        <v>153</v>
      </c>
    </row>
    <row r="5111" spans="1:7" x14ac:dyDescent="0.25">
      <c r="A5111" s="5" t="s">
        <v>130</v>
      </c>
      <c r="B5111" s="5" t="s">
        <v>133</v>
      </c>
      <c r="C5111" s="5">
        <v>2000</v>
      </c>
      <c r="D5111" s="5" t="s">
        <v>78</v>
      </c>
      <c r="E5111" s="5" t="s">
        <v>88</v>
      </c>
      <c r="F5111" s="6">
        <v>42736</v>
      </c>
      <c r="G5111">
        <v>206</v>
      </c>
    </row>
    <row r="5112" spans="1:7" x14ac:dyDescent="0.25">
      <c r="A5112" s="5" t="s">
        <v>130</v>
      </c>
      <c r="B5112" s="5" t="s">
        <v>133</v>
      </c>
      <c r="C5112" s="5">
        <v>2000</v>
      </c>
      <c r="D5112" s="5" t="s">
        <v>78</v>
      </c>
      <c r="E5112" s="5" t="s">
        <v>89</v>
      </c>
      <c r="F5112" s="6">
        <v>42370</v>
      </c>
      <c r="G5112">
        <v>3265</v>
      </c>
    </row>
    <row r="5113" spans="1:7" x14ac:dyDescent="0.25">
      <c r="A5113" s="5" t="s">
        <v>130</v>
      </c>
      <c r="B5113" s="5" t="s">
        <v>133</v>
      </c>
      <c r="C5113" s="5">
        <v>2000</v>
      </c>
      <c r="D5113" s="5" t="s">
        <v>78</v>
      </c>
      <c r="E5113" s="5" t="s">
        <v>89</v>
      </c>
      <c r="F5113" s="6">
        <v>42736</v>
      </c>
      <c r="G5113">
        <v>3838</v>
      </c>
    </row>
    <row r="5114" spans="1:7" x14ac:dyDescent="0.25">
      <c r="A5114" s="5" t="s">
        <v>130</v>
      </c>
      <c r="B5114" s="5" t="s">
        <v>133</v>
      </c>
      <c r="C5114" s="5">
        <v>2000</v>
      </c>
      <c r="D5114" s="5" t="s">
        <v>78</v>
      </c>
      <c r="E5114" s="5" t="s">
        <v>90</v>
      </c>
      <c r="F5114" s="6">
        <v>42370</v>
      </c>
      <c r="G5114">
        <v>6</v>
      </c>
    </row>
    <row r="5115" spans="1:7" x14ac:dyDescent="0.25">
      <c r="A5115" s="5" t="s">
        <v>130</v>
      </c>
      <c r="B5115" s="5" t="s">
        <v>133</v>
      </c>
      <c r="C5115" s="5">
        <v>2000</v>
      </c>
      <c r="D5115" s="5" t="s">
        <v>78</v>
      </c>
      <c r="E5115" s="5" t="s">
        <v>90</v>
      </c>
      <c r="F5115" s="6">
        <v>42736</v>
      </c>
      <c r="G5115">
        <v>2</v>
      </c>
    </row>
    <row r="5116" spans="1:7" x14ac:dyDescent="0.25">
      <c r="A5116" s="5" t="s">
        <v>130</v>
      </c>
      <c r="B5116" s="5" t="s">
        <v>133</v>
      </c>
      <c r="C5116" s="5">
        <v>2000</v>
      </c>
      <c r="D5116" s="5" t="s">
        <v>78</v>
      </c>
      <c r="E5116" s="5" t="s">
        <v>91</v>
      </c>
      <c r="F5116" s="6">
        <v>42370</v>
      </c>
      <c r="G5116">
        <v>64</v>
      </c>
    </row>
    <row r="5117" spans="1:7" x14ac:dyDescent="0.25">
      <c r="A5117" s="5" t="s">
        <v>130</v>
      </c>
      <c r="B5117" s="5" t="s">
        <v>133</v>
      </c>
      <c r="C5117" s="5">
        <v>2000</v>
      </c>
      <c r="D5117" s="5" t="s">
        <v>78</v>
      </c>
      <c r="E5117" s="5" t="s">
        <v>91</v>
      </c>
      <c r="F5117" s="6">
        <v>42736</v>
      </c>
      <c r="G5117">
        <v>101</v>
      </c>
    </row>
    <row r="5118" spans="1:7" x14ac:dyDescent="0.25">
      <c r="A5118" s="5" t="s">
        <v>130</v>
      </c>
      <c r="B5118" s="5" t="s">
        <v>133</v>
      </c>
      <c r="C5118" s="5">
        <v>2000</v>
      </c>
      <c r="D5118" s="5" t="s">
        <v>78</v>
      </c>
      <c r="E5118" s="5" t="s">
        <v>92</v>
      </c>
      <c r="F5118" s="6">
        <v>42370</v>
      </c>
      <c r="G5118">
        <v>11</v>
      </c>
    </row>
    <row r="5119" spans="1:7" x14ac:dyDescent="0.25">
      <c r="A5119" s="5" t="s">
        <v>130</v>
      </c>
      <c r="B5119" s="5" t="s">
        <v>133</v>
      </c>
      <c r="C5119" s="5">
        <v>2000</v>
      </c>
      <c r="D5119" s="5" t="s">
        <v>78</v>
      </c>
      <c r="E5119" s="5" t="s">
        <v>92</v>
      </c>
      <c r="F5119" s="6">
        <v>42736</v>
      </c>
      <c r="G5119">
        <v>5</v>
      </c>
    </row>
    <row r="5120" spans="1:7" x14ac:dyDescent="0.25">
      <c r="A5120" s="5" t="s">
        <v>130</v>
      </c>
      <c r="B5120" s="5" t="s">
        <v>133</v>
      </c>
      <c r="C5120" s="5">
        <v>2000</v>
      </c>
      <c r="D5120" s="5" t="s">
        <v>78</v>
      </c>
      <c r="E5120" s="5" t="s">
        <v>93</v>
      </c>
      <c r="F5120" s="6">
        <v>42370</v>
      </c>
      <c r="G5120">
        <v>36</v>
      </c>
    </row>
    <row r="5121" spans="1:7" x14ac:dyDescent="0.25">
      <c r="A5121" s="5" t="s">
        <v>130</v>
      </c>
      <c r="B5121" s="5" t="s">
        <v>133</v>
      </c>
      <c r="C5121" s="5">
        <v>2000</v>
      </c>
      <c r="D5121" s="5" t="s">
        <v>78</v>
      </c>
      <c r="E5121" s="5" t="s">
        <v>93</v>
      </c>
      <c r="F5121" s="6">
        <v>42736</v>
      </c>
      <c r="G5121">
        <v>75</v>
      </c>
    </row>
    <row r="5122" spans="1:7" x14ac:dyDescent="0.25">
      <c r="A5122" s="5" t="s">
        <v>130</v>
      </c>
      <c r="B5122" s="5" t="s">
        <v>133</v>
      </c>
      <c r="C5122" s="5">
        <v>2000</v>
      </c>
      <c r="D5122" s="5" t="s">
        <v>78</v>
      </c>
      <c r="E5122" s="5" t="s">
        <v>94</v>
      </c>
      <c r="F5122" s="6">
        <v>42370</v>
      </c>
      <c r="G5122">
        <v>69</v>
      </c>
    </row>
    <row r="5123" spans="1:7" x14ac:dyDescent="0.25">
      <c r="A5123" s="5" t="s">
        <v>130</v>
      </c>
      <c r="B5123" s="5" t="s">
        <v>133</v>
      </c>
      <c r="C5123" s="5">
        <v>2000</v>
      </c>
      <c r="D5123" s="5" t="s">
        <v>78</v>
      </c>
      <c r="E5123" s="5" t="s">
        <v>94</v>
      </c>
      <c r="F5123" s="6">
        <v>42736</v>
      </c>
      <c r="G5123">
        <v>189</v>
      </c>
    </row>
    <row r="5124" spans="1:7" x14ac:dyDescent="0.25">
      <c r="A5124" s="5" t="s">
        <v>130</v>
      </c>
      <c r="B5124" s="5" t="s">
        <v>133</v>
      </c>
      <c r="C5124" s="5">
        <v>2000</v>
      </c>
      <c r="D5124" s="5" t="s">
        <v>78</v>
      </c>
      <c r="E5124" s="5" t="s">
        <v>95</v>
      </c>
      <c r="F5124" s="6">
        <v>42370</v>
      </c>
      <c r="G5124">
        <v>1</v>
      </c>
    </row>
    <row r="5125" spans="1:7" x14ac:dyDescent="0.25">
      <c r="A5125" s="5" t="s">
        <v>130</v>
      </c>
      <c r="B5125" s="5" t="s">
        <v>133</v>
      </c>
      <c r="C5125" s="5">
        <v>2000</v>
      </c>
      <c r="D5125" s="5" t="s">
        <v>78</v>
      </c>
      <c r="E5125" s="5" t="s">
        <v>95</v>
      </c>
      <c r="F5125" s="6">
        <v>42736</v>
      </c>
      <c r="G5125">
        <v>17</v>
      </c>
    </row>
    <row r="5126" spans="1:7" x14ac:dyDescent="0.25">
      <c r="A5126" s="5" t="s">
        <v>130</v>
      </c>
      <c r="B5126" s="5" t="s">
        <v>133</v>
      </c>
      <c r="C5126" s="5">
        <v>2000</v>
      </c>
      <c r="D5126" s="5" t="s">
        <v>78</v>
      </c>
      <c r="E5126" s="5" t="s">
        <v>96</v>
      </c>
      <c r="F5126" s="6">
        <v>42370</v>
      </c>
      <c r="G5126">
        <v>28</v>
      </c>
    </row>
    <row r="5127" spans="1:7" x14ac:dyDescent="0.25">
      <c r="A5127" s="5" t="s">
        <v>130</v>
      </c>
      <c r="B5127" s="5" t="s">
        <v>133</v>
      </c>
      <c r="C5127" s="5">
        <v>2000</v>
      </c>
      <c r="D5127" s="5" t="s">
        <v>78</v>
      </c>
      <c r="E5127" s="5" t="s">
        <v>96</v>
      </c>
      <c r="F5127" s="6">
        <v>42736</v>
      </c>
      <c r="G5127">
        <v>32</v>
      </c>
    </row>
    <row r="5128" spans="1:7" x14ac:dyDescent="0.25">
      <c r="A5128" s="5" t="s">
        <v>130</v>
      </c>
      <c r="B5128" s="5" t="s">
        <v>133</v>
      </c>
      <c r="C5128" s="5">
        <v>2000</v>
      </c>
      <c r="D5128" s="5" t="s">
        <v>78</v>
      </c>
      <c r="E5128" s="5" t="s">
        <v>97</v>
      </c>
      <c r="F5128" s="6">
        <v>42370</v>
      </c>
      <c r="G5128">
        <v>90</v>
      </c>
    </row>
    <row r="5129" spans="1:7" x14ac:dyDescent="0.25">
      <c r="A5129" s="5" t="s">
        <v>130</v>
      </c>
      <c r="B5129" s="5" t="s">
        <v>133</v>
      </c>
      <c r="C5129" s="5">
        <v>2000</v>
      </c>
      <c r="D5129" s="5" t="s">
        <v>78</v>
      </c>
      <c r="E5129" s="5" t="s">
        <v>97</v>
      </c>
      <c r="F5129" s="6">
        <v>42736</v>
      </c>
      <c r="G5129">
        <v>123</v>
      </c>
    </row>
    <row r="5130" spans="1:7" x14ac:dyDescent="0.25">
      <c r="A5130" s="5" t="s">
        <v>130</v>
      </c>
      <c r="B5130" s="5" t="s">
        <v>133</v>
      </c>
      <c r="C5130" s="5">
        <v>2000</v>
      </c>
      <c r="D5130" s="5" t="s">
        <v>78</v>
      </c>
      <c r="E5130" s="5" t="s">
        <v>98</v>
      </c>
      <c r="F5130" s="6">
        <v>42370</v>
      </c>
      <c r="G5130">
        <v>171</v>
      </c>
    </row>
    <row r="5131" spans="1:7" x14ac:dyDescent="0.25">
      <c r="A5131" s="5" t="s">
        <v>130</v>
      </c>
      <c r="B5131" s="5" t="s">
        <v>133</v>
      </c>
      <c r="C5131" s="5">
        <v>2000</v>
      </c>
      <c r="D5131" s="5" t="s">
        <v>78</v>
      </c>
      <c r="E5131" s="5" t="s">
        <v>98</v>
      </c>
      <c r="F5131" s="6">
        <v>42736</v>
      </c>
      <c r="G5131">
        <v>184</v>
      </c>
    </row>
    <row r="5132" spans="1:7" x14ac:dyDescent="0.25">
      <c r="A5132" s="5" t="s">
        <v>134</v>
      </c>
      <c r="B5132" s="5" t="s">
        <v>135</v>
      </c>
      <c r="C5132" s="5">
        <v>1000</v>
      </c>
      <c r="D5132" s="5" t="s">
        <v>8</v>
      </c>
      <c r="E5132" s="5" t="s">
        <v>9</v>
      </c>
      <c r="F5132" s="6">
        <v>42370</v>
      </c>
      <c r="G5132">
        <v>0</v>
      </c>
    </row>
    <row r="5133" spans="1:7" x14ac:dyDescent="0.25">
      <c r="A5133" s="5" t="s">
        <v>134</v>
      </c>
      <c r="B5133" s="5" t="s">
        <v>135</v>
      </c>
      <c r="C5133" s="5">
        <v>1000</v>
      </c>
      <c r="D5133" s="5" t="s">
        <v>8</v>
      </c>
      <c r="E5133" s="5" t="s">
        <v>9</v>
      </c>
      <c r="F5133" s="6">
        <v>42736</v>
      </c>
      <c r="G5133">
        <v>51</v>
      </c>
    </row>
    <row r="5134" spans="1:7" x14ac:dyDescent="0.25">
      <c r="A5134" s="5" t="s">
        <v>134</v>
      </c>
      <c r="B5134" s="5" t="s">
        <v>135</v>
      </c>
      <c r="C5134" s="5">
        <v>1000</v>
      </c>
      <c r="D5134" s="5" t="s">
        <v>8</v>
      </c>
      <c r="E5134" s="5" t="s">
        <v>10</v>
      </c>
      <c r="F5134" s="6">
        <v>42370</v>
      </c>
      <c r="G5134">
        <v>3080</v>
      </c>
    </row>
    <row r="5135" spans="1:7" x14ac:dyDescent="0.25">
      <c r="A5135" s="5" t="s">
        <v>134</v>
      </c>
      <c r="B5135" s="5" t="s">
        <v>135</v>
      </c>
      <c r="C5135" s="5">
        <v>1000</v>
      </c>
      <c r="D5135" s="5" t="s">
        <v>8</v>
      </c>
      <c r="E5135" s="5" t="s">
        <v>10</v>
      </c>
      <c r="F5135" s="6">
        <v>42736</v>
      </c>
      <c r="G5135">
        <v>5769</v>
      </c>
    </row>
    <row r="5136" spans="1:7" x14ac:dyDescent="0.25">
      <c r="A5136" s="5" t="s">
        <v>134</v>
      </c>
      <c r="B5136" s="5" t="s">
        <v>135</v>
      </c>
      <c r="C5136" s="5">
        <v>1000</v>
      </c>
      <c r="D5136" s="5" t="s">
        <v>8</v>
      </c>
      <c r="E5136" s="5" t="s">
        <v>11</v>
      </c>
      <c r="F5136" s="6">
        <v>42370</v>
      </c>
      <c r="G5136">
        <v>677</v>
      </c>
    </row>
    <row r="5137" spans="1:7" x14ac:dyDescent="0.25">
      <c r="A5137" s="5" t="s">
        <v>134</v>
      </c>
      <c r="B5137" s="5" t="s">
        <v>135</v>
      </c>
      <c r="C5137" s="5">
        <v>1000</v>
      </c>
      <c r="D5137" s="5" t="s">
        <v>8</v>
      </c>
      <c r="E5137" s="5" t="s">
        <v>11</v>
      </c>
      <c r="F5137" s="6">
        <v>42736</v>
      </c>
      <c r="G5137">
        <v>1154</v>
      </c>
    </row>
    <row r="5138" spans="1:7" x14ac:dyDescent="0.25">
      <c r="A5138" s="5" t="s">
        <v>134</v>
      </c>
      <c r="B5138" s="5" t="s">
        <v>135</v>
      </c>
      <c r="C5138" s="5">
        <v>1000</v>
      </c>
      <c r="D5138" s="5" t="s">
        <v>8</v>
      </c>
      <c r="E5138" s="5" t="s">
        <v>12</v>
      </c>
      <c r="F5138" s="6">
        <v>42370</v>
      </c>
      <c r="G5138">
        <v>0</v>
      </c>
    </row>
    <row r="5139" spans="1:7" x14ac:dyDescent="0.25">
      <c r="A5139" s="5" t="s">
        <v>134</v>
      </c>
      <c r="B5139" s="5" t="s">
        <v>135</v>
      </c>
      <c r="C5139" s="5">
        <v>1000</v>
      </c>
      <c r="D5139" s="5" t="s">
        <v>8</v>
      </c>
      <c r="E5139" s="5" t="s">
        <v>12</v>
      </c>
      <c r="F5139" s="6">
        <v>42736</v>
      </c>
      <c r="G5139">
        <v>0</v>
      </c>
    </row>
    <row r="5140" spans="1:7" x14ac:dyDescent="0.25">
      <c r="A5140" s="5" t="s">
        <v>134</v>
      </c>
      <c r="B5140" s="5" t="s">
        <v>135</v>
      </c>
      <c r="C5140" s="5">
        <v>1000</v>
      </c>
      <c r="D5140" s="5" t="s">
        <v>8</v>
      </c>
      <c r="E5140" s="5" t="s">
        <v>13</v>
      </c>
      <c r="F5140" s="6">
        <v>42370</v>
      </c>
      <c r="G5140">
        <v>0</v>
      </c>
    </row>
    <row r="5141" spans="1:7" x14ac:dyDescent="0.25">
      <c r="A5141" s="5" t="s">
        <v>134</v>
      </c>
      <c r="B5141" s="5" t="s">
        <v>135</v>
      </c>
      <c r="C5141" s="5">
        <v>1000</v>
      </c>
      <c r="D5141" s="5" t="s">
        <v>8</v>
      </c>
      <c r="E5141" s="5" t="s">
        <v>13</v>
      </c>
      <c r="F5141" s="6">
        <v>42736</v>
      </c>
      <c r="G5141">
        <v>3</v>
      </c>
    </row>
    <row r="5142" spans="1:7" x14ac:dyDescent="0.25">
      <c r="A5142" s="5" t="s">
        <v>134</v>
      </c>
      <c r="B5142" s="5" t="s">
        <v>135</v>
      </c>
      <c r="C5142" s="5">
        <v>1000</v>
      </c>
      <c r="D5142" s="5" t="s">
        <v>8</v>
      </c>
      <c r="E5142" s="5" t="s">
        <v>14</v>
      </c>
      <c r="F5142" s="6">
        <v>42370</v>
      </c>
      <c r="G5142">
        <v>0</v>
      </c>
    </row>
    <row r="5143" spans="1:7" x14ac:dyDescent="0.25">
      <c r="A5143" s="5" t="s">
        <v>134</v>
      </c>
      <c r="B5143" s="5" t="s">
        <v>135</v>
      </c>
      <c r="C5143" s="5">
        <v>1000</v>
      </c>
      <c r="D5143" s="5" t="s">
        <v>8</v>
      </c>
      <c r="E5143" s="5" t="s">
        <v>14</v>
      </c>
      <c r="F5143" s="6">
        <v>42736</v>
      </c>
      <c r="G5143">
        <v>0</v>
      </c>
    </row>
    <row r="5144" spans="1:7" x14ac:dyDescent="0.25">
      <c r="A5144" s="5" t="s">
        <v>134</v>
      </c>
      <c r="B5144" s="5" t="s">
        <v>135</v>
      </c>
      <c r="C5144" s="5">
        <v>1000</v>
      </c>
      <c r="D5144" s="5" t="s">
        <v>8</v>
      </c>
      <c r="E5144" s="5" t="s">
        <v>15</v>
      </c>
      <c r="F5144" s="6">
        <v>42370</v>
      </c>
      <c r="G5144">
        <v>0</v>
      </c>
    </row>
    <row r="5145" spans="1:7" x14ac:dyDescent="0.25">
      <c r="A5145" s="5" t="s">
        <v>134</v>
      </c>
      <c r="B5145" s="5" t="s">
        <v>135</v>
      </c>
      <c r="C5145" s="5">
        <v>1000</v>
      </c>
      <c r="D5145" s="5" t="s">
        <v>8</v>
      </c>
      <c r="E5145" s="5" t="s">
        <v>15</v>
      </c>
      <c r="F5145" s="6">
        <v>42736</v>
      </c>
      <c r="G5145">
        <v>0</v>
      </c>
    </row>
    <row r="5146" spans="1:7" x14ac:dyDescent="0.25">
      <c r="A5146" s="5" t="s">
        <v>134</v>
      </c>
      <c r="B5146" s="5" t="s">
        <v>135</v>
      </c>
      <c r="C5146" s="5">
        <v>1000</v>
      </c>
      <c r="D5146" s="5" t="s">
        <v>8</v>
      </c>
      <c r="E5146" s="5" t="s">
        <v>16</v>
      </c>
      <c r="F5146" s="6">
        <v>42370</v>
      </c>
      <c r="G5146">
        <v>532</v>
      </c>
    </row>
    <row r="5147" spans="1:7" x14ac:dyDescent="0.25">
      <c r="A5147" s="5" t="s">
        <v>134</v>
      </c>
      <c r="B5147" s="5" t="s">
        <v>135</v>
      </c>
      <c r="C5147" s="5">
        <v>1000</v>
      </c>
      <c r="D5147" s="5" t="s">
        <v>8</v>
      </c>
      <c r="E5147" s="5" t="s">
        <v>16</v>
      </c>
      <c r="F5147" s="6">
        <v>42736</v>
      </c>
      <c r="G5147">
        <v>891</v>
      </c>
    </row>
    <row r="5148" spans="1:7" x14ac:dyDescent="0.25">
      <c r="A5148" s="5" t="s">
        <v>134</v>
      </c>
      <c r="B5148" s="5" t="s">
        <v>135</v>
      </c>
      <c r="C5148" s="5">
        <v>1000</v>
      </c>
      <c r="D5148" s="5" t="s">
        <v>8</v>
      </c>
      <c r="E5148" s="5" t="s">
        <v>17</v>
      </c>
      <c r="F5148" s="6">
        <v>42370</v>
      </c>
      <c r="G5148">
        <v>0</v>
      </c>
    </row>
    <row r="5149" spans="1:7" x14ac:dyDescent="0.25">
      <c r="A5149" s="5" t="s">
        <v>134</v>
      </c>
      <c r="B5149" s="5" t="s">
        <v>135</v>
      </c>
      <c r="C5149" s="5">
        <v>1000</v>
      </c>
      <c r="D5149" s="5" t="s">
        <v>8</v>
      </c>
      <c r="E5149" s="5" t="s">
        <v>17</v>
      </c>
      <c r="F5149" s="6">
        <v>42736</v>
      </c>
      <c r="G5149">
        <v>0</v>
      </c>
    </row>
    <row r="5150" spans="1:7" x14ac:dyDescent="0.25">
      <c r="A5150" s="5" t="s">
        <v>134</v>
      </c>
      <c r="B5150" s="5" t="s">
        <v>135</v>
      </c>
      <c r="C5150" s="5">
        <v>1000</v>
      </c>
      <c r="D5150" s="5" t="s">
        <v>8</v>
      </c>
      <c r="E5150" s="5" t="s">
        <v>18</v>
      </c>
      <c r="F5150" s="6">
        <v>42370</v>
      </c>
      <c r="G5150">
        <v>227</v>
      </c>
    </row>
    <row r="5151" spans="1:7" x14ac:dyDescent="0.25">
      <c r="A5151" s="5" t="s">
        <v>134</v>
      </c>
      <c r="B5151" s="5" t="s">
        <v>135</v>
      </c>
      <c r="C5151" s="5">
        <v>1000</v>
      </c>
      <c r="D5151" s="5" t="s">
        <v>8</v>
      </c>
      <c r="E5151" s="5" t="s">
        <v>18</v>
      </c>
      <c r="F5151" s="6">
        <v>42736</v>
      </c>
      <c r="G5151">
        <v>359</v>
      </c>
    </row>
    <row r="5152" spans="1:7" x14ac:dyDescent="0.25">
      <c r="A5152" s="5" t="s">
        <v>134</v>
      </c>
      <c r="B5152" s="5" t="s">
        <v>135</v>
      </c>
      <c r="C5152" s="5">
        <v>1000</v>
      </c>
      <c r="D5152" s="5" t="s">
        <v>8</v>
      </c>
      <c r="E5152" s="5" t="s">
        <v>19</v>
      </c>
      <c r="F5152" s="6">
        <v>42370</v>
      </c>
      <c r="G5152">
        <v>0</v>
      </c>
    </row>
    <row r="5153" spans="1:7" x14ac:dyDescent="0.25">
      <c r="A5153" s="5" t="s">
        <v>134</v>
      </c>
      <c r="B5153" s="5" t="s">
        <v>135</v>
      </c>
      <c r="C5153" s="5">
        <v>1000</v>
      </c>
      <c r="D5153" s="5" t="s">
        <v>8</v>
      </c>
      <c r="E5153" s="5" t="s">
        <v>19</v>
      </c>
      <c r="F5153" s="6">
        <v>42736</v>
      </c>
      <c r="G5153">
        <v>0</v>
      </c>
    </row>
    <row r="5154" spans="1:7" x14ac:dyDescent="0.25">
      <c r="A5154" s="5" t="s">
        <v>134</v>
      </c>
      <c r="B5154" s="5" t="s">
        <v>135</v>
      </c>
      <c r="C5154" s="5">
        <v>1000</v>
      </c>
      <c r="D5154" s="5" t="s">
        <v>20</v>
      </c>
      <c r="E5154" s="5" t="s">
        <v>9</v>
      </c>
      <c r="F5154" s="6">
        <v>42370</v>
      </c>
      <c r="G5154">
        <v>329</v>
      </c>
    </row>
    <row r="5155" spans="1:7" x14ac:dyDescent="0.25">
      <c r="A5155" s="5" t="s">
        <v>134</v>
      </c>
      <c r="B5155" s="5" t="s">
        <v>135</v>
      </c>
      <c r="C5155" s="5">
        <v>1000</v>
      </c>
      <c r="D5155" s="5" t="s">
        <v>20</v>
      </c>
      <c r="E5155" s="5" t="s">
        <v>9</v>
      </c>
      <c r="F5155" s="6">
        <v>42736</v>
      </c>
      <c r="G5155">
        <v>2186</v>
      </c>
    </row>
    <row r="5156" spans="1:7" x14ac:dyDescent="0.25">
      <c r="A5156" s="5" t="s">
        <v>134</v>
      </c>
      <c r="B5156" s="5" t="s">
        <v>135</v>
      </c>
      <c r="C5156" s="5">
        <v>1000</v>
      </c>
      <c r="D5156" s="5" t="s">
        <v>20</v>
      </c>
      <c r="E5156" s="5" t="s">
        <v>21</v>
      </c>
      <c r="F5156" s="6">
        <v>42370</v>
      </c>
      <c r="G5156">
        <v>312</v>
      </c>
    </row>
    <row r="5157" spans="1:7" x14ac:dyDescent="0.25">
      <c r="A5157" s="5" t="s">
        <v>134</v>
      </c>
      <c r="B5157" s="5" t="s">
        <v>135</v>
      </c>
      <c r="C5157" s="5">
        <v>1000</v>
      </c>
      <c r="D5157" s="5" t="s">
        <v>20</v>
      </c>
      <c r="E5157" s="5" t="s">
        <v>21</v>
      </c>
      <c r="F5157" s="6">
        <v>42736</v>
      </c>
      <c r="G5157">
        <v>169</v>
      </c>
    </row>
    <row r="5158" spans="1:7" x14ac:dyDescent="0.25">
      <c r="A5158" s="5" t="s">
        <v>134</v>
      </c>
      <c r="B5158" s="5" t="s">
        <v>135</v>
      </c>
      <c r="C5158" s="5">
        <v>1000</v>
      </c>
      <c r="D5158" s="5" t="s">
        <v>20</v>
      </c>
      <c r="E5158" s="5" t="s">
        <v>22</v>
      </c>
      <c r="F5158" s="6">
        <v>42370</v>
      </c>
      <c r="G5158">
        <v>71</v>
      </c>
    </row>
    <row r="5159" spans="1:7" x14ac:dyDescent="0.25">
      <c r="A5159" s="5" t="s">
        <v>134</v>
      </c>
      <c r="B5159" s="5" t="s">
        <v>135</v>
      </c>
      <c r="C5159" s="5">
        <v>1000</v>
      </c>
      <c r="D5159" s="5" t="s">
        <v>20</v>
      </c>
      <c r="E5159" s="5" t="s">
        <v>22</v>
      </c>
      <c r="F5159" s="6">
        <v>42736</v>
      </c>
      <c r="G5159">
        <v>116</v>
      </c>
    </row>
    <row r="5160" spans="1:7" x14ac:dyDescent="0.25">
      <c r="A5160" s="5" t="s">
        <v>134</v>
      </c>
      <c r="B5160" s="5" t="s">
        <v>135</v>
      </c>
      <c r="C5160" s="5">
        <v>1000</v>
      </c>
      <c r="D5160" s="5" t="s">
        <v>20</v>
      </c>
      <c r="E5160" s="5" t="s">
        <v>23</v>
      </c>
      <c r="F5160" s="6">
        <v>42370</v>
      </c>
      <c r="G5160">
        <v>79</v>
      </c>
    </row>
    <row r="5161" spans="1:7" x14ac:dyDescent="0.25">
      <c r="A5161" s="5" t="s">
        <v>134</v>
      </c>
      <c r="B5161" s="5" t="s">
        <v>135</v>
      </c>
      <c r="C5161" s="5">
        <v>1000</v>
      </c>
      <c r="D5161" s="5" t="s">
        <v>20</v>
      </c>
      <c r="E5161" s="5" t="s">
        <v>23</v>
      </c>
      <c r="F5161" s="6">
        <v>42736</v>
      </c>
      <c r="G5161">
        <v>59</v>
      </c>
    </row>
    <row r="5162" spans="1:7" x14ac:dyDescent="0.25">
      <c r="A5162" s="5" t="s">
        <v>134</v>
      </c>
      <c r="B5162" s="5" t="s">
        <v>135</v>
      </c>
      <c r="C5162" s="5">
        <v>1000</v>
      </c>
      <c r="D5162" s="5" t="s">
        <v>20</v>
      </c>
      <c r="E5162" s="5" t="s">
        <v>24</v>
      </c>
      <c r="F5162" s="6">
        <v>42370</v>
      </c>
      <c r="G5162">
        <v>5</v>
      </c>
    </row>
    <row r="5163" spans="1:7" x14ac:dyDescent="0.25">
      <c r="A5163" s="5" t="s">
        <v>134</v>
      </c>
      <c r="B5163" s="5" t="s">
        <v>135</v>
      </c>
      <c r="C5163" s="5">
        <v>1000</v>
      </c>
      <c r="D5163" s="5" t="s">
        <v>20</v>
      </c>
      <c r="E5163" s="5" t="s">
        <v>24</v>
      </c>
      <c r="F5163" s="6">
        <v>42736</v>
      </c>
      <c r="G5163">
        <v>3</v>
      </c>
    </row>
    <row r="5164" spans="1:7" x14ac:dyDescent="0.25">
      <c r="A5164" s="5" t="s">
        <v>134</v>
      </c>
      <c r="B5164" s="5" t="s">
        <v>135</v>
      </c>
      <c r="C5164" s="5">
        <v>1000</v>
      </c>
      <c r="D5164" s="5" t="s">
        <v>20</v>
      </c>
      <c r="E5164" s="5" t="s">
        <v>25</v>
      </c>
      <c r="F5164" s="6">
        <v>42370</v>
      </c>
      <c r="G5164">
        <v>6</v>
      </c>
    </row>
    <row r="5165" spans="1:7" x14ac:dyDescent="0.25">
      <c r="A5165" s="5" t="s">
        <v>134</v>
      </c>
      <c r="B5165" s="5" t="s">
        <v>135</v>
      </c>
      <c r="C5165" s="5">
        <v>1000</v>
      </c>
      <c r="D5165" s="5" t="s">
        <v>20</v>
      </c>
      <c r="E5165" s="5" t="s">
        <v>25</v>
      </c>
      <c r="F5165" s="6">
        <v>42736</v>
      </c>
      <c r="G5165">
        <v>6</v>
      </c>
    </row>
    <row r="5166" spans="1:7" x14ac:dyDescent="0.25">
      <c r="A5166" s="5" t="s">
        <v>134</v>
      </c>
      <c r="B5166" s="5" t="s">
        <v>135</v>
      </c>
      <c r="C5166" s="5">
        <v>1000</v>
      </c>
      <c r="D5166" s="5" t="s">
        <v>20</v>
      </c>
      <c r="E5166" s="5" t="s">
        <v>26</v>
      </c>
      <c r="F5166" s="6">
        <v>42370</v>
      </c>
      <c r="G5166">
        <v>2818</v>
      </c>
    </row>
    <row r="5167" spans="1:7" x14ac:dyDescent="0.25">
      <c r="A5167" s="5" t="s">
        <v>134</v>
      </c>
      <c r="B5167" s="5" t="s">
        <v>135</v>
      </c>
      <c r="C5167" s="5">
        <v>1000</v>
      </c>
      <c r="D5167" s="5" t="s">
        <v>20</v>
      </c>
      <c r="E5167" s="5" t="s">
        <v>26</v>
      </c>
      <c r="F5167" s="6">
        <v>42736</v>
      </c>
      <c r="G5167">
        <v>3329</v>
      </c>
    </row>
    <row r="5168" spans="1:7" x14ac:dyDescent="0.25">
      <c r="A5168" s="5" t="s">
        <v>134</v>
      </c>
      <c r="B5168" s="5" t="s">
        <v>135</v>
      </c>
      <c r="C5168" s="5">
        <v>1000</v>
      </c>
      <c r="D5168" s="5" t="s">
        <v>20</v>
      </c>
      <c r="E5168" s="5" t="s">
        <v>27</v>
      </c>
      <c r="F5168" s="6">
        <v>42370</v>
      </c>
      <c r="G5168">
        <v>41</v>
      </c>
    </row>
    <row r="5169" spans="1:7" x14ac:dyDescent="0.25">
      <c r="A5169" s="5" t="s">
        <v>134</v>
      </c>
      <c r="B5169" s="5" t="s">
        <v>135</v>
      </c>
      <c r="C5169" s="5">
        <v>1000</v>
      </c>
      <c r="D5169" s="5" t="s">
        <v>20</v>
      </c>
      <c r="E5169" s="5" t="s">
        <v>27</v>
      </c>
      <c r="F5169" s="6">
        <v>42736</v>
      </c>
      <c r="G5169">
        <v>38</v>
      </c>
    </row>
    <row r="5170" spans="1:7" x14ac:dyDescent="0.25">
      <c r="A5170" s="5" t="s">
        <v>134</v>
      </c>
      <c r="B5170" s="5" t="s">
        <v>135</v>
      </c>
      <c r="C5170" s="5">
        <v>1000</v>
      </c>
      <c r="D5170" s="5" t="s">
        <v>20</v>
      </c>
      <c r="E5170" s="5" t="s">
        <v>28</v>
      </c>
      <c r="F5170" s="6">
        <v>42370</v>
      </c>
      <c r="G5170">
        <v>3</v>
      </c>
    </row>
    <row r="5171" spans="1:7" x14ac:dyDescent="0.25">
      <c r="A5171" s="5" t="s">
        <v>134</v>
      </c>
      <c r="B5171" s="5" t="s">
        <v>135</v>
      </c>
      <c r="C5171" s="5">
        <v>1000</v>
      </c>
      <c r="D5171" s="5" t="s">
        <v>20</v>
      </c>
      <c r="E5171" s="5" t="s">
        <v>28</v>
      </c>
      <c r="F5171" s="6">
        <v>42736</v>
      </c>
      <c r="G5171">
        <v>3</v>
      </c>
    </row>
    <row r="5172" spans="1:7" x14ac:dyDescent="0.25">
      <c r="A5172" s="5" t="s">
        <v>134</v>
      </c>
      <c r="B5172" s="5" t="s">
        <v>135</v>
      </c>
      <c r="C5172" s="5">
        <v>1000</v>
      </c>
      <c r="D5172" s="5" t="s">
        <v>20</v>
      </c>
      <c r="E5172" s="5" t="s">
        <v>29</v>
      </c>
      <c r="F5172" s="6">
        <v>42370</v>
      </c>
      <c r="G5172">
        <v>2866</v>
      </c>
    </row>
    <row r="5173" spans="1:7" x14ac:dyDescent="0.25">
      <c r="A5173" s="5" t="s">
        <v>134</v>
      </c>
      <c r="B5173" s="5" t="s">
        <v>135</v>
      </c>
      <c r="C5173" s="5">
        <v>1000</v>
      </c>
      <c r="D5173" s="5" t="s">
        <v>20</v>
      </c>
      <c r="E5173" s="5" t="s">
        <v>29</v>
      </c>
      <c r="F5173" s="6">
        <v>42736</v>
      </c>
      <c r="G5173">
        <v>3440</v>
      </c>
    </row>
    <row r="5174" spans="1:7" x14ac:dyDescent="0.25">
      <c r="A5174" s="5" t="s">
        <v>134</v>
      </c>
      <c r="B5174" s="5" t="s">
        <v>135</v>
      </c>
      <c r="C5174" s="5">
        <v>1000</v>
      </c>
      <c r="D5174" s="5" t="s">
        <v>20</v>
      </c>
      <c r="E5174" s="5" t="s">
        <v>30</v>
      </c>
      <c r="F5174" s="6">
        <v>42370</v>
      </c>
      <c r="G5174">
        <v>2833</v>
      </c>
    </row>
    <row r="5175" spans="1:7" x14ac:dyDescent="0.25">
      <c r="A5175" s="5" t="s">
        <v>134</v>
      </c>
      <c r="B5175" s="5" t="s">
        <v>135</v>
      </c>
      <c r="C5175" s="5">
        <v>1000</v>
      </c>
      <c r="D5175" s="5" t="s">
        <v>20</v>
      </c>
      <c r="E5175" s="5" t="s">
        <v>30</v>
      </c>
      <c r="F5175" s="6">
        <v>42736</v>
      </c>
      <c r="G5175">
        <v>3420</v>
      </c>
    </row>
    <row r="5176" spans="1:7" x14ac:dyDescent="0.25">
      <c r="A5176" s="5" t="s">
        <v>134</v>
      </c>
      <c r="B5176" s="5" t="s">
        <v>135</v>
      </c>
      <c r="C5176" s="5">
        <v>1000</v>
      </c>
      <c r="D5176" s="5" t="s">
        <v>20</v>
      </c>
      <c r="E5176" s="5" t="s">
        <v>31</v>
      </c>
      <c r="F5176" s="6">
        <v>42370</v>
      </c>
      <c r="G5176">
        <v>6025</v>
      </c>
    </row>
    <row r="5177" spans="1:7" x14ac:dyDescent="0.25">
      <c r="A5177" s="5" t="s">
        <v>134</v>
      </c>
      <c r="B5177" s="5" t="s">
        <v>135</v>
      </c>
      <c r="C5177" s="5">
        <v>1000</v>
      </c>
      <c r="D5177" s="5" t="s">
        <v>20</v>
      </c>
      <c r="E5177" s="5" t="s">
        <v>31</v>
      </c>
      <c r="F5177" s="6">
        <v>42736</v>
      </c>
      <c r="G5177">
        <v>9111</v>
      </c>
    </row>
    <row r="5178" spans="1:7" x14ac:dyDescent="0.25">
      <c r="A5178" s="5" t="s">
        <v>134</v>
      </c>
      <c r="B5178" s="5" t="s">
        <v>135</v>
      </c>
      <c r="C5178" s="5">
        <v>1000</v>
      </c>
      <c r="D5178" s="5" t="s">
        <v>20</v>
      </c>
      <c r="E5178" s="5" t="s">
        <v>32</v>
      </c>
      <c r="F5178" s="6">
        <v>42370</v>
      </c>
      <c r="G5178">
        <v>2693</v>
      </c>
    </row>
    <row r="5179" spans="1:7" x14ac:dyDescent="0.25">
      <c r="A5179" s="5" t="s">
        <v>134</v>
      </c>
      <c r="B5179" s="5" t="s">
        <v>135</v>
      </c>
      <c r="C5179" s="5">
        <v>1000</v>
      </c>
      <c r="D5179" s="5" t="s">
        <v>20</v>
      </c>
      <c r="E5179" s="5" t="s">
        <v>32</v>
      </c>
      <c r="F5179" s="6">
        <v>42736</v>
      </c>
      <c r="G5179">
        <v>4956</v>
      </c>
    </row>
    <row r="5180" spans="1:7" x14ac:dyDescent="0.25">
      <c r="A5180" s="5" t="s">
        <v>134</v>
      </c>
      <c r="B5180" s="5" t="s">
        <v>135</v>
      </c>
      <c r="C5180" s="5">
        <v>1000</v>
      </c>
      <c r="D5180" s="5" t="s">
        <v>33</v>
      </c>
      <c r="E5180" s="5" t="s">
        <v>9</v>
      </c>
      <c r="F5180" s="6">
        <v>42370</v>
      </c>
      <c r="G5180">
        <v>0</v>
      </c>
    </row>
    <row r="5181" spans="1:7" x14ac:dyDescent="0.25">
      <c r="A5181" s="5" t="s">
        <v>134</v>
      </c>
      <c r="B5181" s="5" t="s">
        <v>135</v>
      </c>
      <c r="C5181" s="5">
        <v>1000</v>
      </c>
      <c r="D5181" s="5" t="s">
        <v>33</v>
      </c>
      <c r="E5181" s="5" t="s">
        <v>9</v>
      </c>
      <c r="F5181" s="6">
        <v>42736</v>
      </c>
      <c r="G5181">
        <v>0</v>
      </c>
    </row>
    <row r="5182" spans="1:7" x14ac:dyDescent="0.25">
      <c r="A5182" s="5" t="s">
        <v>134</v>
      </c>
      <c r="B5182" s="5" t="s">
        <v>135</v>
      </c>
      <c r="C5182" s="5">
        <v>1000</v>
      </c>
      <c r="D5182" s="5" t="s">
        <v>33</v>
      </c>
      <c r="E5182" s="5" t="s">
        <v>34</v>
      </c>
      <c r="F5182" s="6">
        <v>42370</v>
      </c>
      <c r="G5182">
        <v>1</v>
      </c>
    </row>
    <row r="5183" spans="1:7" x14ac:dyDescent="0.25">
      <c r="A5183" s="5" t="s">
        <v>134</v>
      </c>
      <c r="B5183" s="5" t="s">
        <v>135</v>
      </c>
      <c r="C5183" s="5">
        <v>1000</v>
      </c>
      <c r="D5183" s="5" t="s">
        <v>33</v>
      </c>
      <c r="E5183" s="5" t="s">
        <v>34</v>
      </c>
      <c r="F5183" s="6">
        <v>42736</v>
      </c>
      <c r="G5183">
        <v>1</v>
      </c>
    </row>
    <row r="5184" spans="1:7" x14ac:dyDescent="0.25">
      <c r="A5184" s="5" t="s">
        <v>134</v>
      </c>
      <c r="B5184" s="5" t="s">
        <v>135</v>
      </c>
      <c r="C5184" s="5">
        <v>1000</v>
      </c>
      <c r="D5184" s="5" t="s">
        <v>35</v>
      </c>
      <c r="E5184" s="5" t="s">
        <v>36</v>
      </c>
      <c r="F5184" s="6">
        <v>42370</v>
      </c>
      <c r="G5184">
        <v>0</v>
      </c>
    </row>
    <row r="5185" spans="1:7" x14ac:dyDescent="0.25">
      <c r="A5185" s="5" t="s">
        <v>134</v>
      </c>
      <c r="B5185" s="5" t="s">
        <v>135</v>
      </c>
      <c r="C5185" s="5">
        <v>1000</v>
      </c>
      <c r="D5185" s="5" t="s">
        <v>35</v>
      </c>
      <c r="E5185" s="5" t="s">
        <v>36</v>
      </c>
      <c r="F5185" s="6">
        <v>42736</v>
      </c>
      <c r="G5185">
        <v>1</v>
      </c>
    </row>
    <row r="5186" spans="1:7" x14ac:dyDescent="0.25">
      <c r="A5186" s="5" t="s">
        <v>134</v>
      </c>
      <c r="B5186" s="5" t="s">
        <v>135</v>
      </c>
      <c r="C5186" s="5">
        <v>1000</v>
      </c>
      <c r="D5186" s="5" t="s">
        <v>35</v>
      </c>
      <c r="E5186" s="5" t="s">
        <v>37</v>
      </c>
      <c r="F5186" s="6">
        <v>42370</v>
      </c>
      <c r="G5186">
        <v>18</v>
      </c>
    </row>
    <row r="5187" spans="1:7" x14ac:dyDescent="0.25">
      <c r="A5187" s="5" t="s">
        <v>134</v>
      </c>
      <c r="B5187" s="5" t="s">
        <v>135</v>
      </c>
      <c r="C5187" s="5">
        <v>1000</v>
      </c>
      <c r="D5187" s="5" t="s">
        <v>35</v>
      </c>
      <c r="E5187" s="5" t="s">
        <v>37</v>
      </c>
      <c r="F5187" s="6">
        <v>42736</v>
      </c>
      <c r="G5187">
        <v>27</v>
      </c>
    </row>
    <row r="5188" spans="1:7" x14ac:dyDescent="0.25">
      <c r="A5188" s="5" t="s">
        <v>134</v>
      </c>
      <c r="B5188" s="5" t="s">
        <v>135</v>
      </c>
      <c r="C5188" s="5">
        <v>1000</v>
      </c>
      <c r="D5188" s="5" t="s">
        <v>35</v>
      </c>
      <c r="E5188" s="5" t="s">
        <v>38</v>
      </c>
      <c r="F5188" s="6">
        <v>42370</v>
      </c>
      <c r="G5188">
        <v>0</v>
      </c>
    </row>
    <row r="5189" spans="1:7" x14ac:dyDescent="0.25">
      <c r="A5189" s="5" t="s">
        <v>134</v>
      </c>
      <c r="B5189" s="5" t="s">
        <v>135</v>
      </c>
      <c r="C5189" s="5">
        <v>1000</v>
      </c>
      <c r="D5189" s="5" t="s">
        <v>35</v>
      </c>
      <c r="E5189" s="5" t="s">
        <v>38</v>
      </c>
      <c r="F5189" s="6">
        <v>42736</v>
      </c>
      <c r="G5189">
        <v>0</v>
      </c>
    </row>
    <row r="5190" spans="1:7" x14ac:dyDescent="0.25">
      <c r="A5190" s="5" t="s">
        <v>134</v>
      </c>
      <c r="B5190" s="5" t="s">
        <v>135</v>
      </c>
      <c r="C5190" s="5">
        <v>1000</v>
      </c>
      <c r="D5190" s="5" t="s">
        <v>35</v>
      </c>
      <c r="E5190" s="5" t="s">
        <v>39</v>
      </c>
      <c r="F5190" s="6">
        <v>42370</v>
      </c>
      <c r="G5190">
        <v>0</v>
      </c>
    </row>
    <row r="5191" spans="1:7" x14ac:dyDescent="0.25">
      <c r="A5191" s="5" t="s">
        <v>134</v>
      </c>
      <c r="B5191" s="5" t="s">
        <v>135</v>
      </c>
      <c r="C5191" s="5">
        <v>1000</v>
      </c>
      <c r="D5191" s="5" t="s">
        <v>35</v>
      </c>
      <c r="E5191" s="5" t="s">
        <v>39</v>
      </c>
      <c r="F5191" s="6">
        <v>42736</v>
      </c>
      <c r="G5191">
        <v>0</v>
      </c>
    </row>
    <row r="5192" spans="1:7" x14ac:dyDescent="0.25">
      <c r="A5192" s="5" t="s">
        <v>134</v>
      </c>
      <c r="B5192" s="5" t="s">
        <v>135</v>
      </c>
      <c r="C5192" s="5">
        <v>1000</v>
      </c>
      <c r="D5192" s="5" t="s">
        <v>35</v>
      </c>
      <c r="E5192" s="5" t="s">
        <v>40</v>
      </c>
      <c r="F5192" s="6">
        <v>42370</v>
      </c>
      <c r="G5192">
        <v>26</v>
      </c>
    </row>
    <row r="5193" spans="1:7" x14ac:dyDescent="0.25">
      <c r="A5193" s="5" t="s">
        <v>134</v>
      </c>
      <c r="B5193" s="5" t="s">
        <v>135</v>
      </c>
      <c r="C5193" s="5">
        <v>1000</v>
      </c>
      <c r="D5193" s="5" t="s">
        <v>35</v>
      </c>
      <c r="E5193" s="5" t="s">
        <v>40</v>
      </c>
      <c r="F5193" s="6">
        <v>42736</v>
      </c>
      <c r="G5193">
        <v>33</v>
      </c>
    </row>
    <row r="5194" spans="1:7" x14ac:dyDescent="0.25">
      <c r="A5194" s="5" t="s">
        <v>134</v>
      </c>
      <c r="B5194" s="5" t="s">
        <v>135</v>
      </c>
      <c r="C5194" s="5">
        <v>1000</v>
      </c>
      <c r="D5194" s="5" t="s">
        <v>35</v>
      </c>
      <c r="E5194" s="5" t="s">
        <v>41</v>
      </c>
      <c r="F5194" s="6">
        <v>42370</v>
      </c>
      <c r="G5194">
        <v>63</v>
      </c>
    </row>
    <row r="5195" spans="1:7" x14ac:dyDescent="0.25">
      <c r="A5195" s="5" t="s">
        <v>134</v>
      </c>
      <c r="B5195" s="5" t="s">
        <v>135</v>
      </c>
      <c r="C5195" s="5">
        <v>1000</v>
      </c>
      <c r="D5195" s="5" t="s">
        <v>35</v>
      </c>
      <c r="E5195" s="5" t="s">
        <v>41</v>
      </c>
      <c r="F5195" s="6">
        <v>42736</v>
      </c>
      <c r="G5195">
        <v>48</v>
      </c>
    </row>
    <row r="5196" spans="1:7" x14ac:dyDescent="0.25">
      <c r="A5196" s="5" t="s">
        <v>134</v>
      </c>
      <c r="B5196" s="5" t="s">
        <v>135</v>
      </c>
      <c r="C5196" s="5">
        <v>1000</v>
      </c>
      <c r="D5196" s="5" t="s">
        <v>35</v>
      </c>
      <c r="E5196" s="5" t="s">
        <v>42</v>
      </c>
      <c r="F5196" s="6">
        <v>42370</v>
      </c>
      <c r="G5196">
        <v>0</v>
      </c>
    </row>
    <row r="5197" spans="1:7" x14ac:dyDescent="0.25">
      <c r="A5197" s="5" t="s">
        <v>134</v>
      </c>
      <c r="B5197" s="5" t="s">
        <v>135</v>
      </c>
      <c r="C5197" s="5">
        <v>1000</v>
      </c>
      <c r="D5197" s="5" t="s">
        <v>35</v>
      </c>
      <c r="E5197" s="5" t="s">
        <v>42</v>
      </c>
      <c r="F5197" s="6">
        <v>42736</v>
      </c>
      <c r="G5197">
        <v>0</v>
      </c>
    </row>
    <row r="5198" spans="1:7" x14ac:dyDescent="0.25">
      <c r="A5198" s="5" t="s">
        <v>134</v>
      </c>
      <c r="B5198" s="5" t="s">
        <v>135</v>
      </c>
      <c r="C5198" s="5">
        <v>1000</v>
      </c>
      <c r="D5198" s="5" t="s">
        <v>35</v>
      </c>
      <c r="E5198" s="5" t="s">
        <v>43</v>
      </c>
      <c r="F5198" s="6">
        <v>42370</v>
      </c>
      <c r="G5198">
        <v>0</v>
      </c>
    </row>
    <row r="5199" spans="1:7" x14ac:dyDescent="0.25">
      <c r="A5199" s="5" t="s">
        <v>134</v>
      </c>
      <c r="B5199" s="5" t="s">
        <v>135</v>
      </c>
      <c r="C5199" s="5">
        <v>1000</v>
      </c>
      <c r="D5199" s="5" t="s">
        <v>35</v>
      </c>
      <c r="E5199" s="5" t="s">
        <v>43</v>
      </c>
      <c r="F5199" s="6">
        <v>42736</v>
      </c>
      <c r="G5199">
        <v>2</v>
      </c>
    </row>
    <row r="5200" spans="1:7" x14ac:dyDescent="0.25">
      <c r="A5200" s="5" t="s">
        <v>134</v>
      </c>
      <c r="B5200" s="5" t="s">
        <v>135</v>
      </c>
      <c r="C5200" s="5">
        <v>1000</v>
      </c>
      <c r="D5200" s="5" t="s">
        <v>44</v>
      </c>
      <c r="E5200" s="5" t="s">
        <v>36</v>
      </c>
      <c r="F5200" s="6">
        <v>42370</v>
      </c>
      <c r="G5200">
        <v>0</v>
      </c>
    </row>
    <row r="5201" spans="1:7" x14ac:dyDescent="0.25">
      <c r="A5201" s="5" t="s">
        <v>134</v>
      </c>
      <c r="B5201" s="5" t="s">
        <v>135</v>
      </c>
      <c r="C5201" s="5">
        <v>1000</v>
      </c>
      <c r="D5201" s="5" t="s">
        <v>44</v>
      </c>
      <c r="E5201" s="5" t="s">
        <v>36</v>
      </c>
      <c r="F5201" s="6">
        <v>42736</v>
      </c>
      <c r="G5201">
        <v>3</v>
      </c>
    </row>
    <row r="5202" spans="1:7" x14ac:dyDescent="0.25">
      <c r="A5202" s="5" t="s">
        <v>134</v>
      </c>
      <c r="B5202" s="5" t="s">
        <v>135</v>
      </c>
      <c r="C5202" s="5">
        <v>1000</v>
      </c>
      <c r="D5202" s="5" t="s">
        <v>44</v>
      </c>
      <c r="E5202" s="5" t="s">
        <v>37</v>
      </c>
      <c r="F5202" s="6">
        <v>42370</v>
      </c>
      <c r="G5202">
        <v>2</v>
      </c>
    </row>
    <row r="5203" spans="1:7" x14ac:dyDescent="0.25">
      <c r="A5203" s="5" t="s">
        <v>134</v>
      </c>
      <c r="B5203" s="5" t="s">
        <v>135</v>
      </c>
      <c r="C5203" s="5">
        <v>1000</v>
      </c>
      <c r="D5203" s="5" t="s">
        <v>44</v>
      </c>
      <c r="E5203" s="5" t="s">
        <v>37</v>
      </c>
      <c r="F5203" s="6">
        <v>42736</v>
      </c>
      <c r="G5203">
        <v>5</v>
      </c>
    </row>
    <row r="5204" spans="1:7" x14ac:dyDescent="0.25">
      <c r="A5204" s="5" t="s">
        <v>134</v>
      </c>
      <c r="B5204" s="5" t="s">
        <v>135</v>
      </c>
      <c r="C5204" s="5">
        <v>1000</v>
      </c>
      <c r="D5204" s="5" t="s">
        <v>44</v>
      </c>
      <c r="E5204" s="5" t="s">
        <v>38</v>
      </c>
      <c r="F5204" s="6">
        <v>42370</v>
      </c>
      <c r="G5204">
        <v>0</v>
      </c>
    </row>
    <row r="5205" spans="1:7" x14ac:dyDescent="0.25">
      <c r="A5205" s="5" t="s">
        <v>134</v>
      </c>
      <c r="B5205" s="5" t="s">
        <v>135</v>
      </c>
      <c r="C5205" s="5">
        <v>1000</v>
      </c>
      <c r="D5205" s="5" t="s">
        <v>44</v>
      </c>
      <c r="E5205" s="5" t="s">
        <v>38</v>
      </c>
      <c r="F5205" s="6">
        <v>42736</v>
      </c>
      <c r="G5205">
        <v>0</v>
      </c>
    </row>
    <row r="5206" spans="1:7" x14ac:dyDescent="0.25">
      <c r="A5206" s="5" t="s">
        <v>134</v>
      </c>
      <c r="B5206" s="5" t="s">
        <v>135</v>
      </c>
      <c r="C5206" s="5">
        <v>1000</v>
      </c>
      <c r="D5206" s="5" t="s">
        <v>44</v>
      </c>
      <c r="E5206" s="5" t="s">
        <v>39</v>
      </c>
      <c r="F5206" s="6">
        <v>42370</v>
      </c>
      <c r="G5206">
        <v>0</v>
      </c>
    </row>
    <row r="5207" spans="1:7" x14ac:dyDescent="0.25">
      <c r="A5207" s="5" t="s">
        <v>134</v>
      </c>
      <c r="B5207" s="5" t="s">
        <v>135</v>
      </c>
      <c r="C5207" s="5">
        <v>1000</v>
      </c>
      <c r="D5207" s="5" t="s">
        <v>44</v>
      </c>
      <c r="E5207" s="5" t="s">
        <v>39</v>
      </c>
      <c r="F5207" s="6">
        <v>42736</v>
      </c>
      <c r="G5207">
        <v>0</v>
      </c>
    </row>
    <row r="5208" spans="1:7" x14ac:dyDescent="0.25">
      <c r="A5208" s="5" t="s">
        <v>134</v>
      </c>
      <c r="B5208" s="5" t="s">
        <v>135</v>
      </c>
      <c r="C5208" s="5">
        <v>1000</v>
      </c>
      <c r="D5208" s="5" t="s">
        <v>44</v>
      </c>
      <c r="E5208" s="5" t="s">
        <v>40</v>
      </c>
      <c r="F5208" s="6">
        <v>42370</v>
      </c>
      <c r="G5208">
        <v>0</v>
      </c>
    </row>
    <row r="5209" spans="1:7" x14ac:dyDescent="0.25">
      <c r="A5209" s="5" t="s">
        <v>134</v>
      </c>
      <c r="B5209" s="5" t="s">
        <v>135</v>
      </c>
      <c r="C5209" s="5">
        <v>1000</v>
      </c>
      <c r="D5209" s="5" t="s">
        <v>44</v>
      </c>
      <c r="E5209" s="5" t="s">
        <v>40</v>
      </c>
      <c r="F5209" s="6">
        <v>42736</v>
      </c>
      <c r="G5209">
        <v>3</v>
      </c>
    </row>
    <row r="5210" spans="1:7" x14ac:dyDescent="0.25">
      <c r="A5210" s="5" t="s">
        <v>134</v>
      </c>
      <c r="B5210" s="5" t="s">
        <v>135</v>
      </c>
      <c r="C5210" s="5">
        <v>1000</v>
      </c>
      <c r="D5210" s="5" t="s">
        <v>44</v>
      </c>
      <c r="E5210" s="5" t="s">
        <v>41</v>
      </c>
      <c r="F5210" s="6">
        <v>42370</v>
      </c>
      <c r="G5210">
        <v>3</v>
      </c>
    </row>
    <row r="5211" spans="1:7" x14ac:dyDescent="0.25">
      <c r="A5211" s="5" t="s">
        <v>134</v>
      </c>
      <c r="B5211" s="5" t="s">
        <v>135</v>
      </c>
      <c r="C5211" s="5">
        <v>1000</v>
      </c>
      <c r="D5211" s="5" t="s">
        <v>44</v>
      </c>
      <c r="E5211" s="5" t="s">
        <v>41</v>
      </c>
      <c r="F5211" s="6">
        <v>42736</v>
      </c>
      <c r="G5211">
        <v>6</v>
      </c>
    </row>
    <row r="5212" spans="1:7" x14ac:dyDescent="0.25">
      <c r="A5212" s="5" t="s">
        <v>134</v>
      </c>
      <c r="B5212" s="5" t="s">
        <v>135</v>
      </c>
      <c r="C5212" s="5">
        <v>1000</v>
      </c>
      <c r="D5212" s="5" t="s">
        <v>44</v>
      </c>
      <c r="E5212" s="5" t="s">
        <v>42</v>
      </c>
      <c r="F5212" s="6">
        <v>42370</v>
      </c>
      <c r="G5212">
        <v>0</v>
      </c>
    </row>
    <row r="5213" spans="1:7" x14ac:dyDescent="0.25">
      <c r="A5213" s="5" t="s">
        <v>134</v>
      </c>
      <c r="B5213" s="5" t="s">
        <v>135</v>
      </c>
      <c r="C5213" s="5">
        <v>1000</v>
      </c>
      <c r="D5213" s="5" t="s">
        <v>44</v>
      </c>
      <c r="E5213" s="5" t="s">
        <v>42</v>
      </c>
      <c r="F5213" s="6">
        <v>42736</v>
      </c>
      <c r="G5213">
        <v>0</v>
      </c>
    </row>
    <row r="5214" spans="1:7" x14ac:dyDescent="0.25">
      <c r="A5214" s="5" t="s">
        <v>134</v>
      </c>
      <c r="B5214" s="5" t="s">
        <v>135</v>
      </c>
      <c r="C5214" s="5">
        <v>1000</v>
      </c>
      <c r="D5214" s="5" t="s">
        <v>44</v>
      </c>
      <c r="E5214" s="5" t="s">
        <v>43</v>
      </c>
      <c r="F5214" s="6">
        <v>42370</v>
      </c>
      <c r="G5214">
        <v>0</v>
      </c>
    </row>
    <row r="5215" spans="1:7" x14ac:dyDescent="0.25">
      <c r="A5215" s="5" t="s">
        <v>134</v>
      </c>
      <c r="B5215" s="5" t="s">
        <v>135</v>
      </c>
      <c r="C5215" s="5">
        <v>1000</v>
      </c>
      <c r="D5215" s="5" t="s">
        <v>44</v>
      </c>
      <c r="E5215" s="5" t="s">
        <v>43</v>
      </c>
      <c r="F5215" s="6">
        <v>42736</v>
      </c>
      <c r="G5215">
        <v>1</v>
      </c>
    </row>
    <row r="5216" spans="1:7" x14ac:dyDescent="0.25">
      <c r="A5216" s="5" t="s">
        <v>134</v>
      </c>
      <c r="B5216" s="5" t="s">
        <v>135</v>
      </c>
      <c r="C5216" s="5">
        <v>1000</v>
      </c>
      <c r="D5216" s="5" t="s">
        <v>45</v>
      </c>
      <c r="E5216" s="5" t="s">
        <v>46</v>
      </c>
      <c r="F5216" s="6">
        <v>42370</v>
      </c>
      <c r="G5216">
        <v>12</v>
      </c>
    </row>
    <row r="5217" spans="1:7" x14ac:dyDescent="0.25">
      <c r="A5217" s="5" t="s">
        <v>134</v>
      </c>
      <c r="B5217" s="5" t="s">
        <v>135</v>
      </c>
      <c r="C5217" s="5">
        <v>1000</v>
      </c>
      <c r="D5217" s="5" t="s">
        <v>45</v>
      </c>
      <c r="E5217" s="5" t="s">
        <v>46</v>
      </c>
      <c r="F5217" s="6">
        <v>42736</v>
      </c>
      <c r="G5217">
        <v>25</v>
      </c>
    </row>
    <row r="5218" spans="1:7" x14ac:dyDescent="0.25">
      <c r="A5218" s="5" t="s">
        <v>134</v>
      </c>
      <c r="B5218" s="5" t="s">
        <v>135</v>
      </c>
      <c r="C5218" s="5">
        <v>1000</v>
      </c>
      <c r="D5218" s="5" t="s">
        <v>45</v>
      </c>
      <c r="E5218" s="5" t="s">
        <v>47</v>
      </c>
      <c r="F5218" s="6">
        <v>42370</v>
      </c>
      <c r="G5218">
        <v>162</v>
      </c>
    </row>
    <row r="5219" spans="1:7" x14ac:dyDescent="0.25">
      <c r="A5219" s="5" t="s">
        <v>134</v>
      </c>
      <c r="B5219" s="5" t="s">
        <v>135</v>
      </c>
      <c r="C5219" s="5">
        <v>1000</v>
      </c>
      <c r="D5219" s="5" t="s">
        <v>45</v>
      </c>
      <c r="E5219" s="5" t="s">
        <v>47</v>
      </c>
      <c r="F5219" s="6">
        <v>42736</v>
      </c>
      <c r="G5219">
        <v>363</v>
      </c>
    </row>
    <row r="5220" spans="1:7" x14ac:dyDescent="0.25">
      <c r="A5220" s="5" t="s">
        <v>134</v>
      </c>
      <c r="B5220" s="5" t="s">
        <v>135</v>
      </c>
      <c r="C5220" s="5">
        <v>1000</v>
      </c>
      <c r="D5220" s="5" t="s">
        <v>45</v>
      </c>
      <c r="E5220" s="5" t="s">
        <v>48</v>
      </c>
      <c r="F5220" s="6">
        <v>42370</v>
      </c>
      <c r="G5220">
        <v>1452</v>
      </c>
    </row>
    <row r="5221" spans="1:7" x14ac:dyDescent="0.25">
      <c r="A5221" s="5" t="s">
        <v>134</v>
      </c>
      <c r="B5221" s="5" t="s">
        <v>135</v>
      </c>
      <c r="C5221" s="5">
        <v>1000</v>
      </c>
      <c r="D5221" s="5" t="s">
        <v>45</v>
      </c>
      <c r="E5221" s="5" t="s">
        <v>48</v>
      </c>
      <c r="F5221" s="6">
        <v>42736</v>
      </c>
      <c r="G5221">
        <v>2157</v>
      </c>
    </row>
    <row r="5222" spans="1:7" x14ac:dyDescent="0.25">
      <c r="A5222" s="5" t="s">
        <v>134</v>
      </c>
      <c r="B5222" s="5" t="s">
        <v>135</v>
      </c>
      <c r="C5222" s="5">
        <v>1000</v>
      </c>
      <c r="D5222" s="5" t="s">
        <v>45</v>
      </c>
      <c r="E5222" s="5" t="s">
        <v>49</v>
      </c>
      <c r="F5222" s="6">
        <v>42370</v>
      </c>
      <c r="G5222">
        <v>401</v>
      </c>
    </row>
    <row r="5223" spans="1:7" x14ac:dyDescent="0.25">
      <c r="A5223" s="5" t="s">
        <v>134</v>
      </c>
      <c r="B5223" s="5" t="s">
        <v>135</v>
      </c>
      <c r="C5223" s="5">
        <v>1000</v>
      </c>
      <c r="D5223" s="5" t="s">
        <v>45</v>
      </c>
      <c r="E5223" s="5" t="s">
        <v>49</v>
      </c>
      <c r="F5223" s="6">
        <v>42736</v>
      </c>
      <c r="G5223">
        <v>673</v>
      </c>
    </row>
    <row r="5224" spans="1:7" x14ac:dyDescent="0.25">
      <c r="A5224" s="5" t="s">
        <v>134</v>
      </c>
      <c r="B5224" s="5" t="s">
        <v>135</v>
      </c>
      <c r="C5224" s="5">
        <v>1000</v>
      </c>
      <c r="D5224" s="5" t="s">
        <v>45</v>
      </c>
      <c r="E5224" s="5" t="s">
        <v>50</v>
      </c>
      <c r="F5224" s="6">
        <v>42370</v>
      </c>
      <c r="G5224">
        <v>104</v>
      </c>
    </row>
    <row r="5225" spans="1:7" x14ac:dyDescent="0.25">
      <c r="A5225" s="5" t="s">
        <v>134</v>
      </c>
      <c r="B5225" s="5" t="s">
        <v>135</v>
      </c>
      <c r="C5225" s="5">
        <v>1000</v>
      </c>
      <c r="D5225" s="5" t="s">
        <v>45</v>
      </c>
      <c r="E5225" s="5" t="s">
        <v>50</v>
      </c>
      <c r="F5225" s="6">
        <v>42736</v>
      </c>
      <c r="G5225">
        <v>185</v>
      </c>
    </row>
    <row r="5226" spans="1:7" x14ac:dyDescent="0.25">
      <c r="A5226" s="5" t="s">
        <v>134</v>
      </c>
      <c r="B5226" s="5" t="s">
        <v>135</v>
      </c>
      <c r="C5226" s="5">
        <v>1000</v>
      </c>
      <c r="D5226" s="5" t="s">
        <v>45</v>
      </c>
      <c r="E5226" s="5" t="s">
        <v>51</v>
      </c>
      <c r="F5226" s="6">
        <v>42370</v>
      </c>
      <c r="G5226">
        <v>124</v>
      </c>
    </row>
    <row r="5227" spans="1:7" x14ac:dyDescent="0.25">
      <c r="A5227" s="5" t="s">
        <v>134</v>
      </c>
      <c r="B5227" s="5" t="s">
        <v>135</v>
      </c>
      <c r="C5227" s="5">
        <v>1000</v>
      </c>
      <c r="D5227" s="5" t="s">
        <v>45</v>
      </c>
      <c r="E5227" s="5" t="s">
        <v>51</v>
      </c>
      <c r="F5227" s="6">
        <v>42736</v>
      </c>
      <c r="G5227">
        <v>151</v>
      </c>
    </row>
    <row r="5228" spans="1:7" x14ac:dyDescent="0.25">
      <c r="A5228" s="5" t="s">
        <v>134</v>
      </c>
      <c r="B5228" s="5" t="s">
        <v>135</v>
      </c>
      <c r="C5228" s="5">
        <v>1000</v>
      </c>
      <c r="D5228" s="5" t="s">
        <v>45</v>
      </c>
      <c r="E5228" s="5" t="s">
        <v>52</v>
      </c>
      <c r="F5228" s="6">
        <v>42370</v>
      </c>
      <c r="G5228">
        <v>0</v>
      </c>
    </row>
    <row r="5229" spans="1:7" x14ac:dyDescent="0.25">
      <c r="A5229" s="5" t="s">
        <v>134</v>
      </c>
      <c r="B5229" s="5" t="s">
        <v>135</v>
      </c>
      <c r="C5229" s="5">
        <v>1000</v>
      </c>
      <c r="D5229" s="5" t="s">
        <v>45</v>
      </c>
      <c r="E5229" s="5" t="s">
        <v>52</v>
      </c>
      <c r="F5229" s="6">
        <v>42736</v>
      </c>
      <c r="G5229">
        <v>4</v>
      </c>
    </row>
    <row r="5230" spans="1:7" x14ac:dyDescent="0.25">
      <c r="A5230" s="5" t="s">
        <v>134</v>
      </c>
      <c r="B5230" s="5" t="s">
        <v>135</v>
      </c>
      <c r="C5230" s="5">
        <v>1000</v>
      </c>
      <c r="D5230" s="5" t="s">
        <v>45</v>
      </c>
      <c r="E5230" s="5" t="s">
        <v>53</v>
      </c>
      <c r="F5230" s="6">
        <v>42370</v>
      </c>
      <c r="G5230">
        <v>586</v>
      </c>
    </row>
    <row r="5231" spans="1:7" x14ac:dyDescent="0.25">
      <c r="A5231" s="5" t="s">
        <v>134</v>
      </c>
      <c r="B5231" s="5" t="s">
        <v>135</v>
      </c>
      <c r="C5231" s="5">
        <v>1000</v>
      </c>
      <c r="D5231" s="5" t="s">
        <v>45</v>
      </c>
      <c r="E5231" s="5" t="s">
        <v>53</v>
      </c>
      <c r="F5231" s="6">
        <v>42736</v>
      </c>
      <c r="G5231">
        <v>437</v>
      </c>
    </row>
    <row r="5232" spans="1:7" x14ac:dyDescent="0.25">
      <c r="A5232" s="5" t="s">
        <v>134</v>
      </c>
      <c r="B5232" s="5" t="s">
        <v>135</v>
      </c>
      <c r="C5232" s="5">
        <v>1000</v>
      </c>
      <c r="D5232" s="5" t="s">
        <v>45</v>
      </c>
      <c r="E5232" s="5" t="s">
        <v>54</v>
      </c>
      <c r="F5232" s="6">
        <v>42370</v>
      </c>
      <c r="G5232">
        <v>45</v>
      </c>
    </row>
    <row r="5233" spans="1:7" x14ac:dyDescent="0.25">
      <c r="A5233" s="5" t="s">
        <v>134</v>
      </c>
      <c r="B5233" s="5" t="s">
        <v>135</v>
      </c>
      <c r="C5233" s="5">
        <v>1000</v>
      </c>
      <c r="D5233" s="5" t="s">
        <v>45</v>
      </c>
      <c r="E5233" s="5" t="s">
        <v>54</v>
      </c>
      <c r="F5233" s="6">
        <v>42736</v>
      </c>
      <c r="G5233">
        <v>132</v>
      </c>
    </row>
    <row r="5234" spans="1:7" x14ac:dyDescent="0.25">
      <c r="A5234" s="5" t="s">
        <v>134</v>
      </c>
      <c r="B5234" s="5" t="s">
        <v>135</v>
      </c>
      <c r="C5234" s="5">
        <v>1000</v>
      </c>
      <c r="D5234" s="5" t="s">
        <v>45</v>
      </c>
      <c r="E5234" s="5" t="s">
        <v>55</v>
      </c>
      <c r="F5234" s="6">
        <v>42370</v>
      </c>
      <c r="G5234">
        <v>48</v>
      </c>
    </row>
    <row r="5235" spans="1:7" x14ac:dyDescent="0.25">
      <c r="A5235" s="5" t="s">
        <v>134</v>
      </c>
      <c r="B5235" s="5" t="s">
        <v>135</v>
      </c>
      <c r="C5235" s="5">
        <v>1000</v>
      </c>
      <c r="D5235" s="5" t="s">
        <v>45</v>
      </c>
      <c r="E5235" s="5" t="s">
        <v>55</v>
      </c>
      <c r="F5235" s="6">
        <v>42736</v>
      </c>
      <c r="G5235">
        <v>65</v>
      </c>
    </row>
    <row r="5236" spans="1:7" x14ac:dyDescent="0.25">
      <c r="A5236" s="5" t="s">
        <v>134</v>
      </c>
      <c r="B5236" s="5" t="s">
        <v>135</v>
      </c>
      <c r="C5236" s="5">
        <v>1000</v>
      </c>
      <c r="D5236" s="5" t="s">
        <v>45</v>
      </c>
      <c r="E5236" s="5" t="s">
        <v>56</v>
      </c>
      <c r="F5236" s="6">
        <v>42370</v>
      </c>
      <c r="G5236">
        <v>17</v>
      </c>
    </row>
    <row r="5237" spans="1:7" x14ac:dyDescent="0.25">
      <c r="A5237" s="5" t="s">
        <v>134</v>
      </c>
      <c r="B5237" s="5" t="s">
        <v>135</v>
      </c>
      <c r="C5237" s="5">
        <v>1000</v>
      </c>
      <c r="D5237" s="5" t="s">
        <v>45</v>
      </c>
      <c r="E5237" s="5" t="s">
        <v>56</v>
      </c>
      <c r="F5237" s="6">
        <v>42736</v>
      </c>
      <c r="G5237">
        <v>34</v>
      </c>
    </row>
    <row r="5238" spans="1:7" x14ac:dyDescent="0.25">
      <c r="A5238" s="5" t="s">
        <v>134</v>
      </c>
      <c r="B5238" s="5" t="s">
        <v>135</v>
      </c>
      <c r="C5238" s="5">
        <v>1000</v>
      </c>
      <c r="D5238" s="5" t="s">
        <v>45</v>
      </c>
      <c r="E5238" s="5" t="s">
        <v>57</v>
      </c>
      <c r="F5238" s="6">
        <v>42370</v>
      </c>
      <c r="G5238">
        <v>20</v>
      </c>
    </row>
    <row r="5239" spans="1:7" x14ac:dyDescent="0.25">
      <c r="A5239" s="5" t="s">
        <v>134</v>
      </c>
      <c r="B5239" s="5" t="s">
        <v>135</v>
      </c>
      <c r="C5239" s="5">
        <v>1000</v>
      </c>
      <c r="D5239" s="5" t="s">
        <v>45</v>
      </c>
      <c r="E5239" s="5" t="s">
        <v>57</v>
      </c>
      <c r="F5239" s="6">
        <v>42736</v>
      </c>
      <c r="G5239">
        <v>15</v>
      </c>
    </row>
    <row r="5240" spans="1:7" x14ac:dyDescent="0.25">
      <c r="A5240" s="5" t="s">
        <v>134</v>
      </c>
      <c r="B5240" s="5" t="s">
        <v>135</v>
      </c>
      <c r="C5240" s="5">
        <v>1000</v>
      </c>
      <c r="D5240" s="5" t="s">
        <v>45</v>
      </c>
      <c r="E5240" s="5" t="s">
        <v>58</v>
      </c>
      <c r="F5240" s="6">
        <v>42370</v>
      </c>
      <c r="G5240">
        <v>206</v>
      </c>
    </row>
    <row r="5241" spans="1:7" x14ac:dyDescent="0.25">
      <c r="A5241" s="5" t="s">
        <v>134</v>
      </c>
      <c r="B5241" s="5" t="s">
        <v>135</v>
      </c>
      <c r="C5241" s="5">
        <v>1000</v>
      </c>
      <c r="D5241" s="5" t="s">
        <v>45</v>
      </c>
      <c r="E5241" s="5" t="s">
        <v>58</v>
      </c>
      <c r="F5241" s="6">
        <v>42736</v>
      </c>
      <c r="G5241">
        <v>540</v>
      </c>
    </row>
    <row r="5242" spans="1:7" x14ac:dyDescent="0.25">
      <c r="A5242" s="5" t="s">
        <v>134</v>
      </c>
      <c r="B5242" s="5" t="s">
        <v>135</v>
      </c>
      <c r="C5242" s="5">
        <v>1000</v>
      </c>
      <c r="D5242" s="5" t="s">
        <v>45</v>
      </c>
      <c r="E5242" s="5" t="s">
        <v>59</v>
      </c>
      <c r="F5242" s="6">
        <v>42370</v>
      </c>
      <c r="G5242">
        <v>21</v>
      </c>
    </row>
    <row r="5243" spans="1:7" x14ac:dyDescent="0.25">
      <c r="A5243" s="5" t="s">
        <v>134</v>
      </c>
      <c r="B5243" s="5" t="s">
        <v>135</v>
      </c>
      <c r="C5243" s="5">
        <v>1000</v>
      </c>
      <c r="D5243" s="5" t="s">
        <v>45</v>
      </c>
      <c r="E5243" s="5" t="s">
        <v>59</v>
      </c>
      <c r="F5243" s="6">
        <v>42736</v>
      </c>
      <c r="G5243">
        <v>50</v>
      </c>
    </row>
    <row r="5244" spans="1:7" x14ac:dyDescent="0.25">
      <c r="A5244" s="5" t="s">
        <v>134</v>
      </c>
      <c r="B5244" s="5" t="s">
        <v>135</v>
      </c>
      <c r="C5244" s="5">
        <v>1000</v>
      </c>
      <c r="D5244" s="5" t="s">
        <v>45</v>
      </c>
      <c r="E5244" s="5" t="s">
        <v>60</v>
      </c>
      <c r="F5244" s="6">
        <v>42370</v>
      </c>
      <c r="G5244">
        <v>121</v>
      </c>
    </row>
    <row r="5245" spans="1:7" x14ac:dyDescent="0.25">
      <c r="A5245" s="5" t="s">
        <v>134</v>
      </c>
      <c r="B5245" s="5" t="s">
        <v>135</v>
      </c>
      <c r="C5245" s="5">
        <v>1000</v>
      </c>
      <c r="D5245" s="5" t="s">
        <v>45</v>
      </c>
      <c r="E5245" s="5" t="s">
        <v>60</v>
      </c>
      <c r="F5245" s="6">
        <v>42736</v>
      </c>
      <c r="G5245">
        <v>108</v>
      </c>
    </row>
    <row r="5246" spans="1:7" x14ac:dyDescent="0.25">
      <c r="A5246" s="5" t="s">
        <v>134</v>
      </c>
      <c r="B5246" s="5" t="s">
        <v>135</v>
      </c>
      <c r="C5246" s="5">
        <v>1000</v>
      </c>
      <c r="D5246" s="5" t="s">
        <v>45</v>
      </c>
      <c r="E5246" s="5" t="s">
        <v>61</v>
      </c>
      <c r="F5246" s="6">
        <v>42370</v>
      </c>
      <c r="G5246">
        <v>41</v>
      </c>
    </row>
    <row r="5247" spans="1:7" x14ac:dyDescent="0.25">
      <c r="A5247" s="5" t="s">
        <v>134</v>
      </c>
      <c r="B5247" s="5" t="s">
        <v>135</v>
      </c>
      <c r="C5247" s="5">
        <v>1000</v>
      </c>
      <c r="D5247" s="5" t="s">
        <v>45</v>
      </c>
      <c r="E5247" s="5" t="s">
        <v>61</v>
      </c>
      <c r="F5247" s="6">
        <v>42736</v>
      </c>
      <c r="G5247">
        <v>66</v>
      </c>
    </row>
    <row r="5248" spans="1:7" x14ac:dyDescent="0.25">
      <c r="A5248" s="5" t="s">
        <v>134</v>
      </c>
      <c r="B5248" s="5" t="s">
        <v>135</v>
      </c>
      <c r="C5248" s="5">
        <v>1000</v>
      </c>
      <c r="D5248" s="5" t="s">
        <v>62</v>
      </c>
      <c r="E5248" s="5" t="s">
        <v>63</v>
      </c>
      <c r="F5248" s="6">
        <v>42370</v>
      </c>
      <c r="G5248">
        <v>71</v>
      </c>
    </row>
    <row r="5249" spans="1:7" x14ac:dyDescent="0.25">
      <c r="A5249" s="5" t="s">
        <v>134</v>
      </c>
      <c r="B5249" s="5" t="s">
        <v>135</v>
      </c>
      <c r="C5249" s="5">
        <v>1000</v>
      </c>
      <c r="D5249" s="5" t="s">
        <v>62</v>
      </c>
      <c r="E5249" s="5" t="s">
        <v>63</v>
      </c>
      <c r="F5249" s="6">
        <v>42736</v>
      </c>
      <c r="G5249">
        <v>113</v>
      </c>
    </row>
    <row r="5250" spans="1:7" x14ac:dyDescent="0.25">
      <c r="A5250" s="5" t="s">
        <v>134</v>
      </c>
      <c r="B5250" s="5" t="s">
        <v>135</v>
      </c>
      <c r="C5250" s="5">
        <v>1000</v>
      </c>
      <c r="D5250" s="5" t="s">
        <v>62</v>
      </c>
      <c r="E5250" s="5" t="s">
        <v>64</v>
      </c>
      <c r="F5250" s="6">
        <v>42370</v>
      </c>
      <c r="G5250">
        <v>63</v>
      </c>
    </row>
    <row r="5251" spans="1:7" x14ac:dyDescent="0.25">
      <c r="A5251" s="5" t="s">
        <v>134</v>
      </c>
      <c r="B5251" s="5" t="s">
        <v>135</v>
      </c>
      <c r="C5251" s="5">
        <v>1000</v>
      </c>
      <c r="D5251" s="5" t="s">
        <v>62</v>
      </c>
      <c r="E5251" s="5" t="s">
        <v>64</v>
      </c>
      <c r="F5251" s="6">
        <v>42736</v>
      </c>
      <c r="G5251">
        <v>81</v>
      </c>
    </row>
    <row r="5252" spans="1:7" x14ac:dyDescent="0.25">
      <c r="A5252" s="5" t="s">
        <v>134</v>
      </c>
      <c r="B5252" s="5" t="s">
        <v>135</v>
      </c>
      <c r="C5252" s="5">
        <v>1000</v>
      </c>
      <c r="D5252" s="5" t="s">
        <v>62</v>
      </c>
      <c r="E5252" s="5" t="s">
        <v>9</v>
      </c>
      <c r="F5252" s="6">
        <v>42370</v>
      </c>
      <c r="G5252">
        <v>17</v>
      </c>
    </row>
    <row r="5253" spans="1:7" x14ac:dyDescent="0.25">
      <c r="A5253" s="5" t="s">
        <v>134</v>
      </c>
      <c r="B5253" s="5" t="s">
        <v>135</v>
      </c>
      <c r="C5253" s="5">
        <v>1000</v>
      </c>
      <c r="D5253" s="5" t="s">
        <v>62</v>
      </c>
      <c r="E5253" s="5" t="s">
        <v>9</v>
      </c>
      <c r="F5253" s="6">
        <v>42736</v>
      </c>
      <c r="G5253">
        <v>37</v>
      </c>
    </row>
    <row r="5254" spans="1:7" x14ac:dyDescent="0.25">
      <c r="A5254" s="5" t="s">
        <v>134</v>
      </c>
      <c r="B5254" s="5" t="s">
        <v>135</v>
      </c>
      <c r="C5254" s="5">
        <v>1000</v>
      </c>
      <c r="D5254" s="5" t="s">
        <v>62</v>
      </c>
      <c r="E5254" s="5" t="s">
        <v>65</v>
      </c>
      <c r="F5254" s="6">
        <v>42370</v>
      </c>
      <c r="G5254">
        <v>0</v>
      </c>
    </row>
    <row r="5255" spans="1:7" x14ac:dyDescent="0.25">
      <c r="A5255" s="5" t="s">
        <v>134</v>
      </c>
      <c r="B5255" s="5" t="s">
        <v>135</v>
      </c>
      <c r="C5255" s="5">
        <v>1000</v>
      </c>
      <c r="D5255" s="5" t="s">
        <v>62</v>
      </c>
      <c r="E5255" s="5" t="s">
        <v>65</v>
      </c>
      <c r="F5255" s="6">
        <v>42736</v>
      </c>
      <c r="G5255">
        <v>0</v>
      </c>
    </row>
    <row r="5256" spans="1:7" x14ac:dyDescent="0.25">
      <c r="A5256" s="5" t="s">
        <v>134</v>
      </c>
      <c r="B5256" s="5" t="s">
        <v>135</v>
      </c>
      <c r="C5256" s="5">
        <v>1000</v>
      </c>
      <c r="D5256" s="5" t="s">
        <v>62</v>
      </c>
      <c r="E5256" s="5" t="s">
        <v>66</v>
      </c>
      <c r="F5256" s="6">
        <v>42370</v>
      </c>
      <c r="G5256">
        <v>0</v>
      </c>
    </row>
    <row r="5257" spans="1:7" x14ac:dyDescent="0.25">
      <c r="A5257" s="5" t="s">
        <v>134</v>
      </c>
      <c r="B5257" s="5" t="s">
        <v>135</v>
      </c>
      <c r="C5257" s="5">
        <v>1000</v>
      </c>
      <c r="D5257" s="5" t="s">
        <v>62</v>
      </c>
      <c r="E5257" s="5" t="s">
        <v>66</v>
      </c>
      <c r="F5257" s="6">
        <v>42736</v>
      </c>
      <c r="G5257">
        <v>0</v>
      </c>
    </row>
    <row r="5258" spans="1:7" x14ac:dyDescent="0.25">
      <c r="A5258" s="5" t="s">
        <v>134</v>
      </c>
      <c r="B5258" s="5" t="s">
        <v>135</v>
      </c>
      <c r="C5258" s="5">
        <v>1000</v>
      </c>
      <c r="D5258" s="5" t="s">
        <v>62</v>
      </c>
      <c r="E5258" s="5" t="s">
        <v>67</v>
      </c>
      <c r="F5258" s="6">
        <v>42370</v>
      </c>
      <c r="G5258">
        <v>0</v>
      </c>
    </row>
    <row r="5259" spans="1:7" x14ac:dyDescent="0.25">
      <c r="A5259" s="5" t="s">
        <v>134</v>
      </c>
      <c r="B5259" s="5" t="s">
        <v>135</v>
      </c>
      <c r="C5259" s="5">
        <v>1000</v>
      </c>
      <c r="D5259" s="5" t="s">
        <v>62</v>
      </c>
      <c r="E5259" s="5" t="s">
        <v>67</v>
      </c>
      <c r="F5259" s="6">
        <v>42736</v>
      </c>
      <c r="G5259">
        <v>0</v>
      </c>
    </row>
    <row r="5260" spans="1:7" x14ac:dyDescent="0.25">
      <c r="A5260" s="5" t="s">
        <v>134</v>
      </c>
      <c r="B5260" s="5" t="s">
        <v>135</v>
      </c>
      <c r="C5260" s="5">
        <v>1000</v>
      </c>
      <c r="D5260" s="5" t="s">
        <v>62</v>
      </c>
      <c r="E5260" s="5" t="s">
        <v>68</v>
      </c>
      <c r="F5260" s="6">
        <v>42370</v>
      </c>
      <c r="G5260">
        <v>7</v>
      </c>
    </row>
    <row r="5261" spans="1:7" x14ac:dyDescent="0.25">
      <c r="A5261" s="5" t="s">
        <v>134</v>
      </c>
      <c r="B5261" s="5" t="s">
        <v>135</v>
      </c>
      <c r="C5261" s="5">
        <v>1000</v>
      </c>
      <c r="D5261" s="5" t="s">
        <v>62</v>
      </c>
      <c r="E5261" s="5" t="s">
        <v>68</v>
      </c>
      <c r="F5261" s="6">
        <v>42736</v>
      </c>
      <c r="G5261">
        <v>10</v>
      </c>
    </row>
    <row r="5262" spans="1:7" x14ac:dyDescent="0.25">
      <c r="A5262" s="5" t="s">
        <v>134</v>
      </c>
      <c r="B5262" s="5" t="s">
        <v>135</v>
      </c>
      <c r="C5262" s="5">
        <v>1000</v>
      </c>
      <c r="D5262" s="5" t="s">
        <v>62</v>
      </c>
      <c r="E5262" s="5" t="s">
        <v>69</v>
      </c>
      <c r="F5262" s="6">
        <v>42370</v>
      </c>
      <c r="G5262">
        <v>179</v>
      </c>
    </row>
    <row r="5263" spans="1:7" x14ac:dyDescent="0.25">
      <c r="A5263" s="5" t="s">
        <v>134</v>
      </c>
      <c r="B5263" s="5" t="s">
        <v>135</v>
      </c>
      <c r="C5263" s="5">
        <v>1000</v>
      </c>
      <c r="D5263" s="5" t="s">
        <v>62</v>
      </c>
      <c r="E5263" s="5" t="s">
        <v>69</v>
      </c>
      <c r="F5263" s="6">
        <v>42736</v>
      </c>
      <c r="G5263">
        <v>286</v>
      </c>
    </row>
    <row r="5264" spans="1:7" x14ac:dyDescent="0.25">
      <c r="A5264" s="5" t="s">
        <v>134</v>
      </c>
      <c r="B5264" s="5" t="s">
        <v>135</v>
      </c>
      <c r="C5264" s="5">
        <v>1000</v>
      </c>
      <c r="D5264" s="5" t="s">
        <v>62</v>
      </c>
      <c r="E5264" s="5" t="s">
        <v>70</v>
      </c>
      <c r="F5264" s="6">
        <v>42370</v>
      </c>
      <c r="G5264">
        <v>253</v>
      </c>
    </row>
    <row r="5265" spans="1:7" x14ac:dyDescent="0.25">
      <c r="A5265" s="5" t="s">
        <v>134</v>
      </c>
      <c r="B5265" s="5" t="s">
        <v>135</v>
      </c>
      <c r="C5265" s="5">
        <v>1000</v>
      </c>
      <c r="D5265" s="5" t="s">
        <v>62</v>
      </c>
      <c r="E5265" s="5" t="s">
        <v>70</v>
      </c>
      <c r="F5265" s="6">
        <v>42736</v>
      </c>
      <c r="G5265">
        <v>355</v>
      </c>
    </row>
    <row r="5266" spans="1:7" x14ac:dyDescent="0.25">
      <c r="A5266" s="5" t="s">
        <v>134</v>
      </c>
      <c r="B5266" s="5" t="s">
        <v>135</v>
      </c>
      <c r="C5266" s="5">
        <v>1000</v>
      </c>
      <c r="D5266" s="5" t="s">
        <v>62</v>
      </c>
      <c r="E5266" s="5" t="s">
        <v>71</v>
      </c>
      <c r="F5266" s="6">
        <v>42370</v>
      </c>
      <c r="G5266">
        <v>0</v>
      </c>
    </row>
    <row r="5267" spans="1:7" x14ac:dyDescent="0.25">
      <c r="A5267" s="5" t="s">
        <v>134</v>
      </c>
      <c r="B5267" s="5" t="s">
        <v>135</v>
      </c>
      <c r="C5267" s="5">
        <v>1000</v>
      </c>
      <c r="D5267" s="5" t="s">
        <v>62</v>
      </c>
      <c r="E5267" s="5" t="s">
        <v>71</v>
      </c>
      <c r="F5267" s="6">
        <v>42736</v>
      </c>
      <c r="G5267">
        <v>0</v>
      </c>
    </row>
    <row r="5268" spans="1:7" x14ac:dyDescent="0.25">
      <c r="A5268" s="5" t="s">
        <v>134</v>
      </c>
      <c r="B5268" s="5" t="s">
        <v>135</v>
      </c>
      <c r="C5268" s="5">
        <v>1000</v>
      </c>
      <c r="D5268" s="5" t="s">
        <v>72</v>
      </c>
      <c r="E5268" s="5" t="s">
        <v>73</v>
      </c>
      <c r="F5268" s="6">
        <v>42370</v>
      </c>
      <c r="G5268">
        <v>635</v>
      </c>
    </row>
    <row r="5269" spans="1:7" x14ac:dyDescent="0.25">
      <c r="A5269" s="5" t="s">
        <v>134</v>
      </c>
      <c r="B5269" s="5" t="s">
        <v>135</v>
      </c>
      <c r="C5269" s="5">
        <v>1000</v>
      </c>
      <c r="D5269" s="5" t="s">
        <v>72</v>
      </c>
      <c r="E5269" s="5" t="s">
        <v>73</v>
      </c>
      <c r="F5269" s="6">
        <v>42736</v>
      </c>
      <c r="G5269">
        <v>1159</v>
      </c>
    </row>
    <row r="5270" spans="1:7" x14ac:dyDescent="0.25">
      <c r="A5270" s="5" t="s">
        <v>134</v>
      </c>
      <c r="B5270" s="5" t="s">
        <v>135</v>
      </c>
      <c r="C5270" s="5">
        <v>1000</v>
      </c>
      <c r="D5270" s="5" t="s">
        <v>72</v>
      </c>
      <c r="E5270" s="5" t="s">
        <v>9</v>
      </c>
      <c r="F5270" s="6">
        <v>42370</v>
      </c>
      <c r="G5270">
        <v>0</v>
      </c>
    </row>
    <row r="5271" spans="1:7" x14ac:dyDescent="0.25">
      <c r="A5271" s="5" t="s">
        <v>134</v>
      </c>
      <c r="B5271" s="5" t="s">
        <v>135</v>
      </c>
      <c r="C5271" s="5">
        <v>1000</v>
      </c>
      <c r="D5271" s="5" t="s">
        <v>72</v>
      </c>
      <c r="E5271" s="5" t="s">
        <v>9</v>
      </c>
      <c r="F5271" s="6">
        <v>42736</v>
      </c>
      <c r="G5271">
        <v>0</v>
      </c>
    </row>
    <row r="5272" spans="1:7" x14ac:dyDescent="0.25">
      <c r="A5272" s="5" t="s">
        <v>134</v>
      </c>
      <c r="B5272" s="5" t="s">
        <v>135</v>
      </c>
      <c r="C5272" s="5">
        <v>1000</v>
      </c>
      <c r="D5272" s="5" t="s">
        <v>72</v>
      </c>
      <c r="E5272" s="5" t="s">
        <v>34</v>
      </c>
      <c r="F5272" s="6">
        <v>42370</v>
      </c>
      <c r="G5272">
        <v>0</v>
      </c>
    </row>
    <row r="5273" spans="1:7" x14ac:dyDescent="0.25">
      <c r="A5273" s="5" t="s">
        <v>134</v>
      </c>
      <c r="B5273" s="5" t="s">
        <v>135</v>
      </c>
      <c r="C5273" s="5">
        <v>1000</v>
      </c>
      <c r="D5273" s="5" t="s">
        <v>72</v>
      </c>
      <c r="E5273" s="5" t="s">
        <v>34</v>
      </c>
      <c r="F5273" s="6">
        <v>42736</v>
      </c>
      <c r="G5273">
        <v>0</v>
      </c>
    </row>
    <row r="5274" spans="1:7" x14ac:dyDescent="0.25">
      <c r="A5274" s="5" t="s">
        <v>134</v>
      </c>
      <c r="B5274" s="5" t="s">
        <v>135</v>
      </c>
      <c r="C5274" s="5">
        <v>1000</v>
      </c>
      <c r="D5274" s="5" t="s">
        <v>72</v>
      </c>
      <c r="E5274" s="5" t="s">
        <v>74</v>
      </c>
      <c r="F5274" s="6">
        <v>42370</v>
      </c>
      <c r="G5274">
        <v>306</v>
      </c>
    </row>
    <row r="5275" spans="1:7" x14ac:dyDescent="0.25">
      <c r="A5275" s="5" t="s">
        <v>134</v>
      </c>
      <c r="B5275" s="5" t="s">
        <v>135</v>
      </c>
      <c r="C5275" s="5">
        <v>1000</v>
      </c>
      <c r="D5275" s="5" t="s">
        <v>72</v>
      </c>
      <c r="E5275" s="5" t="s">
        <v>74</v>
      </c>
      <c r="F5275" s="6">
        <v>42736</v>
      </c>
      <c r="G5275">
        <v>0</v>
      </c>
    </row>
    <row r="5276" spans="1:7" x14ac:dyDescent="0.25">
      <c r="A5276" s="5" t="s">
        <v>134</v>
      </c>
      <c r="B5276" s="5" t="s">
        <v>135</v>
      </c>
      <c r="C5276" s="5">
        <v>1000</v>
      </c>
      <c r="D5276" s="5" t="s">
        <v>72</v>
      </c>
      <c r="E5276" s="5" t="s">
        <v>75</v>
      </c>
      <c r="F5276" s="6">
        <v>42370</v>
      </c>
      <c r="G5276">
        <v>945</v>
      </c>
    </row>
    <row r="5277" spans="1:7" x14ac:dyDescent="0.25">
      <c r="A5277" s="5" t="s">
        <v>134</v>
      </c>
      <c r="B5277" s="5" t="s">
        <v>135</v>
      </c>
      <c r="C5277" s="5">
        <v>1000</v>
      </c>
      <c r="D5277" s="5" t="s">
        <v>72</v>
      </c>
      <c r="E5277" s="5" t="s">
        <v>75</v>
      </c>
      <c r="F5277" s="6">
        <v>42736</v>
      </c>
      <c r="G5277">
        <v>1207</v>
      </c>
    </row>
    <row r="5278" spans="1:7" x14ac:dyDescent="0.25">
      <c r="A5278" s="5" t="s">
        <v>134</v>
      </c>
      <c r="B5278" s="5" t="s">
        <v>135</v>
      </c>
      <c r="C5278" s="5">
        <v>1000</v>
      </c>
      <c r="D5278" s="5" t="s">
        <v>76</v>
      </c>
      <c r="E5278" s="5" t="s">
        <v>9</v>
      </c>
      <c r="F5278" s="6">
        <v>42370</v>
      </c>
      <c r="G5278">
        <v>1743</v>
      </c>
    </row>
    <row r="5279" spans="1:7" x14ac:dyDescent="0.25">
      <c r="A5279" s="5" t="s">
        <v>134</v>
      </c>
      <c r="B5279" s="5" t="s">
        <v>135</v>
      </c>
      <c r="C5279" s="5">
        <v>1000</v>
      </c>
      <c r="D5279" s="5" t="s">
        <v>76</v>
      </c>
      <c r="E5279" s="5" t="s">
        <v>9</v>
      </c>
      <c r="F5279" s="6">
        <v>42736</v>
      </c>
      <c r="G5279">
        <v>1006</v>
      </c>
    </row>
    <row r="5280" spans="1:7" x14ac:dyDescent="0.25">
      <c r="A5280" s="5" t="s">
        <v>134</v>
      </c>
      <c r="B5280" s="5" t="s">
        <v>135</v>
      </c>
      <c r="C5280" s="5">
        <v>1000</v>
      </c>
      <c r="D5280" s="5" t="s">
        <v>76</v>
      </c>
      <c r="E5280" s="5" t="s">
        <v>77</v>
      </c>
      <c r="F5280" s="6">
        <v>42370</v>
      </c>
      <c r="G5280">
        <v>916</v>
      </c>
    </row>
    <row r="5281" spans="1:7" x14ac:dyDescent="0.25">
      <c r="A5281" s="5" t="s">
        <v>134</v>
      </c>
      <c r="B5281" s="5" t="s">
        <v>135</v>
      </c>
      <c r="C5281" s="5">
        <v>1000</v>
      </c>
      <c r="D5281" s="5" t="s">
        <v>76</v>
      </c>
      <c r="E5281" s="5" t="s">
        <v>77</v>
      </c>
      <c r="F5281" s="6">
        <v>42736</v>
      </c>
      <c r="G5281">
        <v>982</v>
      </c>
    </row>
    <row r="5282" spans="1:7" x14ac:dyDescent="0.25">
      <c r="A5282" s="5" t="s">
        <v>134</v>
      </c>
      <c r="B5282" s="5" t="s">
        <v>135</v>
      </c>
      <c r="C5282" s="5">
        <v>1000</v>
      </c>
      <c r="D5282" s="5" t="s">
        <v>78</v>
      </c>
      <c r="E5282" s="5" t="s">
        <v>79</v>
      </c>
      <c r="F5282" s="6">
        <v>42370</v>
      </c>
      <c r="G5282">
        <v>543</v>
      </c>
    </row>
    <row r="5283" spans="1:7" x14ac:dyDescent="0.25">
      <c r="A5283" s="5" t="s">
        <v>134</v>
      </c>
      <c r="B5283" s="5" t="s">
        <v>135</v>
      </c>
      <c r="C5283" s="5">
        <v>1000</v>
      </c>
      <c r="D5283" s="5" t="s">
        <v>78</v>
      </c>
      <c r="E5283" s="5" t="s">
        <v>79</v>
      </c>
      <c r="F5283" s="6">
        <v>42736</v>
      </c>
      <c r="G5283">
        <v>985</v>
      </c>
    </row>
    <row r="5284" spans="1:7" x14ac:dyDescent="0.25">
      <c r="A5284" s="5" t="s">
        <v>134</v>
      </c>
      <c r="B5284" s="5" t="s">
        <v>135</v>
      </c>
      <c r="C5284" s="5">
        <v>1000</v>
      </c>
      <c r="D5284" s="5" t="s">
        <v>78</v>
      </c>
      <c r="E5284" s="5" t="s">
        <v>80</v>
      </c>
      <c r="F5284" s="6">
        <v>42370</v>
      </c>
      <c r="G5284">
        <v>1424</v>
      </c>
    </row>
    <row r="5285" spans="1:7" x14ac:dyDescent="0.25">
      <c r="A5285" s="5" t="s">
        <v>134</v>
      </c>
      <c r="B5285" s="5" t="s">
        <v>135</v>
      </c>
      <c r="C5285" s="5">
        <v>1000</v>
      </c>
      <c r="D5285" s="5" t="s">
        <v>78</v>
      </c>
      <c r="E5285" s="5" t="s">
        <v>80</v>
      </c>
      <c r="F5285" s="6">
        <v>42736</v>
      </c>
      <c r="G5285">
        <v>2903</v>
      </c>
    </row>
    <row r="5286" spans="1:7" x14ac:dyDescent="0.25">
      <c r="A5286" s="5" t="s">
        <v>134</v>
      </c>
      <c r="B5286" s="5" t="s">
        <v>135</v>
      </c>
      <c r="C5286" s="5">
        <v>1000</v>
      </c>
      <c r="D5286" s="5" t="s">
        <v>78</v>
      </c>
      <c r="E5286" s="5" t="s">
        <v>81</v>
      </c>
      <c r="F5286" s="6">
        <v>42370</v>
      </c>
      <c r="G5286">
        <v>14048</v>
      </c>
    </row>
    <row r="5287" spans="1:7" x14ac:dyDescent="0.25">
      <c r="A5287" s="5" t="s">
        <v>134</v>
      </c>
      <c r="B5287" s="5" t="s">
        <v>135</v>
      </c>
      <c r="C5287" s="5">
        <v>1000</v>
      </c>
      <c r="D5287" s="5" t="s">
        <v>78</v>
      </c>
      <c r="E5287" s="5" t="s">
        <v>81</v>
      </c>
      <c r="F5287" s="6">
        <v>42736</v>
      </c>
      <c r="G5287">
        <v>17520</v>
      </c>
    </row>
    <row r="5288" spans="1:7" x14ac:dyDescent="0.25">
      <c r="A5288" s="5" t="s">
        <v>134</v>
      </c>
      <c r="B5288" s="5" t="s">
        <v>135</v>
      </c>
      <c r="C5288" s="5">
        <v>1000</v>
      </c>
      <c r="D5288" s="5" t="s">
        <v>78</v>
      </c>
      <c r="E5288" s="5" t="s">
        <v>82</v>
      </c>
      <c r="F5288" s="6">
        <v>42370</v>
      </c>
      <c r="G5288">
        <v>445</v>
      </c>
    </row>
    <row r="5289" spans="1:7" x14ac:dyDescent="0.25">
      <c r="A5289" s="5" t="s">
        <v>134</v>
      </c>
      <c r="B5289" s="5" t="s">
        <v>135</v>
      </c>
      <c r="C5289" s="5">
        <v>1000</v>
      </c>
      <c r="D5289" s="5" t="s">
        <v>78</v>
      </c>
      <c r="E5289" s="5" t="s">
        <v>82</v>
      </c>
      <c r="F5289" s="6">
        <v>42736</v>
      </c>
      <c r="G5289">
        <v>530</v>
      </c>
    </row>
    <row r="5290" spans="1:7" x14ac:dyDescent="0.25">
      <c r="A5290" s="5" t="s">
        <v>134</v>
      </c>
      <c r="B5290" s="5" t="s">
        <v>135</v>
      </c>
      <c r="C5290" s="5">
        <v>1000</v>
      </c>
      <c r="D5290" s="5" t="s">
        <v>78</v>
      </c>
      <c r="E5290" s="5" t="s">
        <v>83</v>
      </c>
      <c r="F5290" s="6">
        <v>42370</v>
      </c>
      <c r="G5290">
        <v>732</v>
      </c>
    </row>
    <row r="5291" spans="1:7" x14ac:dyDescent="0.25">
      <c r="A5291" s="5" t="s">
        <v>134</v>
      </c>
      <c r="B5291" s="5" t="s">
        <v>135</v>
      </c>
      <c r="C5291" s="5">
        <v>1000</v>
      </c>
      <c r="D5291" s="5" t="s">
        <v>78</v>
      </c>
      <c r="E5291" s="5" t="s">
        <v>83</v>
      </c>
      <c r="F5291" s="6">
        <v>42736</v>
      </c>
      <c r="G5291">
        <v>922</v>
      </c>
    </row>
    <row r="5292" spans="1:7" x14ac:dyDescent="0.25">
      <c r="A5292" s="5" t="s">
        <v>134</v>
      </c>
      <c r="B5292" s="5" t="s">
        <v>135</v>
      </c>
      <c r="C5292" s="5">
        <v>1000</v>
      </c>
      <c r="D5292" s="5" t="s">
        <v>78</v>
      </c>
      <c r="E5292" s="5" t="s">
        <v>84</v>
      </c>
      <c r="F5292" s="6">
        <v>42370</v>
      </c>
      <c r="G5292">
        <v>91</v>
      </c>
    </row>
    <row r="5293" spans="1:7" x14ac:dyDescent="0.25">
      <c r="A5293" s="5" t="s">
        <v>134</v>
      </c>
      <c r="B5293" s="5" t="s">
        <v>135</v>
      </c>
      <c r="C5293" s="5">
        <v>1000</v>
      </c>
      <c r="D5293" s="5" t="s">
        <v>78</v>
      </c>
      <c r="E5293" s="5" t="s">
        <v>84</v>
      </c>
      <c r="F5293" s="6">
        <v>42736</v>
      </c>
      <c r="G5293">
        <v>144</v>
      </c>
    </row>
    <row r="5294" spans="1:7" x14ac:dyDescent="0.25">
      <c r="A5294" s="5" t="s">
        <v>134</v>
      </c>
      <c r="B5294" s="5" t="s">
        <v>135</v>
      </c>
      <c r="C5294" s="5">
        <v>1000</v>
      </c>
      <c r="D5294" s="5" t="s">
        <v>78</v>
      </c>
      <c r="E5294" s="5" t="s">
        <v>85</v>
      </c>
      <c r="F5294" s="6">
        <v>42370</v>
      </c>
      <c r="G5294">
        <v>113</v>
      </c>
    </row>
    <row r="5295" spans="1:7" x14ac:dyDescent="0.25">
      <c r="A5295" s="5" t="s">
        <v>134</v>
      </c>
      <c r="B5295" s="5" t="s">
        <v>135</v>
      </c>
      <c r="C5295" s="5">
        <v>1000</v>
      </c>
      <c r="D5295" s="5" t="s">
        <v>78</v>
      </c>
      <c r="E5295" s="5" t="s">
        <v>85</v>
      </c>
      <c r="F5295" s="6">
        <v>42736</v>
      </c>
      <c r="G5295">
        <v>141</v>
      </c>
    </row>
    <row r="5296" spans="1:7" x14ac:dyDescent="0.25">
      <c r="A5296" s="5" t="s">
        <v>134</v>
      </c>
      <c r="B5296" s="5" t="s">
        <v>135</v>
      </c>
      <c r="C5296" s="5">
        <v>1000</v>
      </c>
      <c r="D5296" s="5" t="s">
        <v>78</v>
      </c>
      <c r="E5296" s="5" t="s">
        <v>86</v>
      </c>
      <c r="F5296" s="6">
        <v>42370</v>
      </c>
      <c r="G5296">
        <v>0</v>
      </c>
    </row>
    <row r="5297" spans="1:7" x14ac:dyDescent="0.25">
      <c r="A5297" s="5" t="s">
        <v>134</v>
      </c>
      <c r="B5297" s="5" t="s">
        <v>135</v>
      </c>
      <c r="C5297" s="5">
        <v>1000</v>
      </c>
      <c r="D5297" s="5" t="s">
        <v>78</v>
      </c>
      <c r="E5297" s="5" t="s">
        <v>86</v>
      </c>
      <c r="F5297" s="6">
        <v>42736</v>
      </c>
      <c r="G5297">
        <v>0</v>
      </c>
    </row>
    <row r="5298" spans="1:7" x14ac:dyDescent="0.25">
      <c r="A5298" s="5" t="s">
        <v>134</v>
      </c>
      <c r="B5298" s="5" t="s">
        <v>135</v>
      </c>
      <c r="C5298" s="5">
        <v>1000</v>
      </c>
      <c r="D5298" s="5" t="s">
        <v>78</v>
      </c>
      <c r="E5298" s="5" t="s">
        <v>87</v>
      </c>
      <c r="F5298" s="6">
        <v>42370</v>
      </c>
      <c r="G5298">
        <v>956</v>
      </c>
    </row>
    <row r="5299" spans="1:7" x14ac:dyDescent="0.25">
      <c r="A5299" s="5" t="s">
        <v>134</v>
      </c>
      <c r="B5299" s="5" t="s">
        <v>135</v>
      </c>
      <c r="C5299" s="5">
        <v>1000</v>
      </c>
      <c r="D5299" s="5" t="s">
        <v>78</v>
      </c>
      <c r="E5299" s="5" t="s">
        <v>87</v>
      </c>
      <c r="F5299" s="6">
        <v>42736</v>
      </c>
      <c r="G5299">
        <v>934</v>
      </c>
    </row>
    <row r="5300" spans="1:7" x14ac:dyDescent="0.25">
      <c r="A5300" s="5" t="s">
        <v>134</v>
      </c>
      <c r="B5300" s="5" t="s">
        <v>135</v>
      </c>
      <c r="C5300" s="5">
        <v>1000</v>
      </c>
      <c r="D5300" s="5" t="s">
        <v>78</v>
      </c>
      <c r="E5300" s="5" t="s">
        <v>88</v>
      </c>
      <c r="F5300" s="6">
        <v>42370</v>
      </c>
      <c r="G5300">
        <v>3159</v>
      </c>
    </row>
    <row r="5301" spans="1:7" x14ac:dyDescent="0.25">
      <c r="A5301" s="5" t="s">
        <v>134</v>
      </c>
      <c r="B5301" s="5" t="s">
        <v>135</v>
      </c>
      <c r="C5301" s="5">
        <v>1000</v>
      </c>
      <c r="D5301" s="5" t="s">
        <v>78</v>
      </c>
      <c r="E5301" s="5" t="s">
        <v>88</v>
      </c>
      <c r="F5301" s="6">
        <v>42736</v>
      </c>
      <c r="G5301">
        <v>4535</v>
      </c>
    </row>
    <row r="5302" spans="1:7" x14ac:dyDescent="0.25">
      <c r="A5302" s="5" t="s">
        <v>134</v>
      </c>
      <c r="B5302" s="5" t="s">
        <v>135</v>
      </c>
      <c r="C5302" s="5">
        <v>1000</v>
      </c>
      <c r="D5302" s="5" t="s">
        <v>78</v>
      </c>
      <c r="E5302" s="5" t="s">
        <v>89</v>
      </c>
      <c r="F5302" s="6">
        <v>42370</v>
      </c>
      <c r="G5302">
        <v>32327</v>
      </c>
    </row>
    <row r="5303" spans="1:7" x14ac:dyDescent="0.25">
      <c r="A5303" s="5" t="s">
        <v>134</v>
      </c>
      <c r="B5303" s="5" t="s">
        <v>135</v>
      </c>
      <c r="C5303" s="5">
        <v>1000</v>
      </c>
      <c r="D5303" s="5" t="s">
        <v>78</v>
      </c>
      <c r="E5303" s="5" t="s">
        <v>89</v>
      </c>
      <c r="F5303" s="6">
        <v>42736</v>
      </c>
      <c r="G5303">
        <v>41665</v>
      </c>
    </row>
    <row r="5304" spans="1:7" x14ac:dyDescent="0.25">
      <c r="A5304" s="5" t="s">
        <v>134</v>
      </c>
      <c r="B5304" s="5" t="s">
        <v>135</v>
      </c>
      <c r="C5304" s="5">
        <v>1000</v>
      </c>
      <c r="D5304" s="5" t="s">
        <v>78</v>
      </c>
      <c r="E5304" s="5" t="s">
        <v>90</v>
      </c>
      <c r="F5304" s="6">
        <v>42370</v>
      </c>
      <c r="G5304">
        <v>57</v>
      </c>
    </row>
    <row r="5305" spans="1:7" x14ac:dyDescent="0.25">
      <c r="A5305" s="5" t="s">
        <v>134</v>
      </c>
      <c r="B5305" s="5" t="s">
        <v>135</v>
      </c>
      <c r="C5305" s="5">
        <v>1000</v>
      </c>
      <c r="D5305" s="5" t="s">
        <v>78</v>
      </c>
      <c r="E5305" s="5" t="s">
        <v>90</v>
      </c>
      <c r="F5305" s="6">
        <v>42736</v>
      </c>
      <c r="G5305">
        <v>71</v>
      </c>
    </row>
    <row r="5306" spans="1:7" x14ac:dyDescent="0.25">
      <c r="A5306" s="5" t="s">
        <v>134</v>
      </c>
      <c r="B5306" s="5" t="s">
        <v>135</v>
      </c>
      <c r="C5306" s="5">
        <v>1000</v>
      </c>
      <c r="D5306" s="5" t="s">
        <v>78</v>
      </c>
      <c r="E5306" s="5" t="s">
        <v>91</v>
      </c>
      <c r="F5306" s="6">
        <v>42370</v>
      </c>
      <c r="G5306">
        <v>303</v>
      </c>
    </row>
    <row r="5307" spans="1:7" x14ac:dyDescent="0.25">
      <c r="A5307" s="5" t="s">
        <v>134</v>
      </c>
      <c r="B5307" s="5" t="s">
        <v>135</v>
      </c>
      <c r="C5307" s="5">
        <v>1000</v>
      </c>
      <c r="D5307" s="5" t="s">
        <v>78</v>
      </c>
      <c r="E5307" s="5" t="s">
        <v>91</v>
      </c>
      <c r="F5307" s="6">
        <v>42736</v>
      </c>
      <c r="G5307">
        <v>1017</v>
      </c>
    </row>
    <row r="5308" spans="1:7" x14ac:dyDescent="0.25">
      <c r="A5308" s="5" t="s">
        <v>134</v>
      </c>
      <c r="B5308" s="5" t="s">
        <v>135</v>
      </c>
      <c r="C5308" s="5">
        <v>1000</v>
      </c>
      <c r="D5308" s="5" t="s">
        <v>78</v>
      </c>
      <c r="E5308" s="5" t="s">
        <v>92</v>
      </c>
      <c r="F5308" s="6">
        <v>42370</v>
      </c>
      <c r="G5308">
        <v>75</v>
      </c>
    </row>
    <row r="5309" spans="1:7" x14ac:dyDescent="0.25">
      <c r="A5309" s="5" t="s">
        <v>134</v>
      </c>
      <c r="B5309" s="5" t="s">
        <v>135</v>
      </c>
      <c r="C5309" s="5">
        <v>1000</v>
      </c>
      <c r="D5309" s="5" t="s">
        <v>78</v>
      </c>
      <c r="E5309" s="5" t="s">
        <v>92</v>
      </c>
      <c r="F5309" s="6">
        <v>42736</v>
      </c>
      <c r="G5309">
        <v>97</v>
      </c>
    </row>
    <row r="5310" spans="1:7" x14ac:dyDescent="0.25">
      <c r="A5310" s="5" t="s">
        <v>134</v>
      </c>
      <c r="B5310" s="5" t="s">
        <v>135</v>
      </c>
      <c r="C5310" s="5">
        <v>1000</v>
      </c>
      <c r="D5310" s="5" t="s">
        <v>78</v>
      </c>
      <c r="E5310" s="5" t="s">
        <v>93</v>
      </c>
      <c r="F5310" s="6">
        <v>42370</v>
      </c>
      <c r="G5310">
        <v>534</v>
      </c>
    </row>
    <row r="5311" spans="1:7" x14ac:dyDescent="0.25">
      <c r="A5311" s="5" t="s">
        <v>134</v>
      </c>
      <c r="B5311" s="5" t="s">
        <v>135</v>
      </c>
      <c r="C5311" s="5">
        <v>1000</v>
      </c>
      <c r="D5311" s="5" t="s">
        <v>78</v>
      </c>
      <c r="E5311" s="5" t="s">
        <v>93</v>
      </c>
      <c r="F5311" s="6">
        <v>42736</v>
      </c>
      <c r="G5311">
        <v>835</v>
      </c>
    </row>
    <row r="5312" spans="1:7" x14ac:dyDescent="0.25">
      <c r="A5312" s="5" t="s">
        <v>134</v>
      </c>
      <c r="B5312" s="5" t="s">
        <v>135</v>
      </c>
      <c r="C5312" s="5">
        <v>1000</v>
      </c>
      <c r="D5312" s="5" t="s">
        <v>78</v>
      </c>
      <c r="E5312" s="5" t="s">
        <v>94</v>
      </c>
      <c r="F5312" s="6">
        <v>42370</v>
      </c>
      <c r="G5312">
        <v>925</v>
      </c>
    </row>
    <row r="5313" spans="1:7" x14ac:dyDescent="0.25">
      <c r="A5313" s="5" t="s">
        <v>134</v>
      </c>
      <c r="B5313" s="5" t="s">
        <v>135</v>
      </c>
      <c r="C5313" s="5">
        <v>1000</v>
      </c>
      <c r="D5313" s="5" t="s">
        <v>78</v>
      </c>
      <c r="E5313" s="5" t="s">
        <v>94</v>
      </c>
      <c r="F5313" s="6">
        <v>42736</v>
      </c>
      <c r="G5313">
        <v>2603</v>
      </c>
    </row>
    <row r="5314" spans="1:7" x14ac:dyDescent="0.25">
      <c r="A5314" s="5" t="s">
        <v>134</v>
      </c>
      <c r="B5314" s="5" t="s">
        <v>135</v>
      </c>
      <c r="C5314" s="5">
        <v>1000</v>
      </c>
      <c r="D5314" s="5" t="s">
        <v>78</v>
      </c>
      <c r="E5314" s="5" t="s">
        <v>95</v>
      </c>
      <c r="F5314" s="6">
        <v>42370</v>
      </c>
      <c r="G5314">
        <v>49</v>
      </c>
    </row>
    <row r="5315" spans="1:7" x14ac:dyDescent="0.25">
      <c r="A5315" s="5" t="s">
        <v>134</v>
      </c>
      <c r="B5315" s="5" t="s">
        <v>135</v>
      </c>
      <c r="C5315" s="5">
        <v>1000</v>
      </c>
      <c r="D5315" s="5" t="s">
        <v>78</v>
      </c>
      <c r="E5315" s="5" t="s">
        <v>95</v>
      </c>
      <c r="F5315" s="6">
        <v>42736</v>
      </c>
      <c r="G5315">
        <v>118</v>
      </c>
    </row>
    <row r="5316" spans="1:7" x14ac:dyDescent="0.25">
      <c r="A5316" s="5" t="s">
        <v>134</v>
      </c>
      <c r="B5316" s="5" t="s">
        <v>135</v>
      </c>
      <c r="C5316" s="5">
        <v>1000</v>
      </c>
      <c r="D5316" s="5" t="s">
        <v>78</v>
      </c>
      <c r="E5316" s="5" t="s">
        <v>96</v>
      </c>
      <c r="F5316" s="6">
        <v>42370</v>
      </c>
      <c r="G5316">
        <v>766</v>
      </c>
    </row>
    <row r="5317" spans="1:7" x14ac:dyDescent="0.25">
      <c r="A5317" s="5" t="s">
        <v>134</v>
      </c>
      <c r="B5317" s="5" t="s">
        <v>135</v>
      </c>
      <c r="C5317" s="5">
        <v>1000</v>
      </c>
      <c r="D5317" s="5" t="s">
        <v>78</v>
      </c>
      <c r="E5317" s="5" t="s">
        <v>96</v>
      </c>
      <c r="F5317" s="6">
        <v>42736</v>
      </c>
      <c r="G5317">
        <v>932</v>
      </c>
    </row>
    <row r="5318" spans="1:7" x14ac:dyDescent="0.25">
      <c r="A5318" s="5" t="s">
        <v>134</v>
      </c>
      <c r="B5318" s="5" t="s">
        <v>135</v>
      </c>
      <c r="C5318" s="5">
        <v>1000</v>
      </c>
      <c r="D5318" s="5" t="s">
        <v>78</v>
      </c>
      <c r="E5318" s="5" t="s">
        <v>97</v>
      </c>
      <c r="F5318" s="6">
        <v>42370</v>
      </c>
      <c r="G5318">
        <v>432</v>
      </c>
    </row>
    <row r="5319" spans="1:7" x14ac:dyDescent="0.25">
      <c r="A5319" s="5" t="s">
        <v>134</v>
      </c>
      <c r="B5319" s="5" t="s">
        <v>135</v>
      </c>
      <c r="C5319" s="5">
        <v>1000</v>
      </c>
      <c r="D5319" s="5" t="s">
        <v>78</v>
      </c>
      <c r="E5319" s="5" t="s">
        <v>97</v>
      </c>
      <c r="F5319" s="6">
        <v>42736</v>
      </c>
      <c r="G5319">
        <v>3066</v>
      </c>
    </row>
    <row r="5320" spans="1:7" x14ac:dyDescent="0.25">
      <c r="A5320" s="5" t="s">
        <v>134</v>
      </c>
      <c r="B5320" s="5" t="s">
        <v>135</v>
      </c>
      <c r="C5320" s="5">
        <v>1000</v>
      </c>
      <c r="D5320" s="5" t="s">
        <v>78</v>
      </c>
      <c r="E5320" s="5" t="s">
        <v>98</v>
      </c>
      <c r="F5320" s="6">
        <v>42370</v>
      </c>
      <c r="G5320">
        <v>1937</v>
      </c>
    </row>
    <row r="5321" spans="1:7" x14ac:dyDescent="0.25">
      <c r="A5321" s="5" t="s">
        <v>134</v>
      </c>
      <c r="B5321" s="5" t="s">
        <v>135</v>
      </c>
      <c r="C5321" s="5">
        <v>1000</v>
      </c>
      <c r="D5321" s="5" t="s">
        <v>78</v>
      </c>
      <c r="E5321" s="5" t="s">
        <v>98</v>
      </c>
      <c r="F5321" s="6">
        <v>42736</v>
      </c>
      <c r="G5321">
        <v>3081</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2:J35"/>
  <sheetViews>
    <sheetView workbookViewId="0">
      <selection activeCell="H36" sqref="H36"/>
    </sheetView>
  </sheetViews>
  <sheetFormatPr defaultRowHeight="15" x14ac:dyDescent="0.25"/>
  <cols>
    <col min="1" max="1" width="25.7109375" style="2" customWidth="1"/>
    <col min="2" max="2" width="71.42578125" customWidth="1"/>
    <col min="3" max="3" width="12.85546875" customWidth="1"/>
    <col min="4" max="4" width="13.7109375" customWidth="1"/>
    <col min="5" max="5" width="13.5703125" customWidth="1"/>
    <col min="6" max="7" width="13.7109375" customWidth="1"/>
    <col min="8" max="8" width="15.7109375" hidden="1" customWidth="1"/>
    <col min="9" max="9" width="11.140625" bestFit="1" customWidth="1"/>
    <col min="10" max="10" width="9.85546875" customWidth="1"/>
    <col min="11" max="11" width="14" customWidth="1"/>
    <col min="12" max="17" width="6.85546875" bestFit="1" customWidth="1"/>
    <col min="18" max="18" width="11.28515625" bestFit="1" customWidth="1"/>
    <col min="19" max="19" width="5.85546875" bestFit="1" customWidth="1"/>
    <col min="20" max="20" width="6.7109375" bestFit="1" customWidth="1"/>
    <col min="21" max="21" width="6.28515625" bestFit="1" customWidth="1"/>
    <col min="22" max="22" width="6.140625" bestFit="1" customWidth="1"/>
    <col min="23" max="23" width="6.7109375" bestFit="1" customWidth="1"/>
    <col min="24" max="24" width="6.42578125" bestFit="1" customWidth="1"/>
    <col min="25" max="25" width="6.140625" bestFit="1" customWidth="1"/>
    <col min="26" max="26" width="6.85546875" bestFit="1" customWidth="1"/>
    <col min="27" max="29" width="6.7109375" bestFit="1" customWidth="1"/>
    <col min="30" max="30" width="6.85546875" bestFit="1" customWidth="1"/>
    <col min="31" max="32" width="6.7109375" bestFit="1" customWidth="1"/>
    <col min="33" max="33" width="5.85546875" bestFit="1" customWidth="1"/>
    <col min="34" max="34" width="6.7109375" bestFit="1" customWidth="1"/>
    <col min="35" max="35" width="6.28515625" bestFit="1" customWidth="1"/>
    <col min="36" max="36" width="6.140625" bestFit="1" customWidth="1"/>
    <col min="37" max="37" width="6.7109375" bestFit="1" customWidth="1"/>
    <col min="38" max="38" width="6.42578125" bestFit="1" customWidth="1"/>
    <col min="39" max="39" width="6.140625" bestFit="1" customWidth="1"/>
    <col min="40" max="40" width="6.85546875" bestFit="1" customWidth="1"/>
    <col min="41" max="43" width="6.7109375" bestFit="1" customWidth="1"/>
    <col min="44" max="44" width="6.85546875" bestFit="1" customWidth="1"/>
    <col min="45" max="46" width="6.7109375" bestFit="1" customWidth="1"/>
    <col min="47" max="47" width="5.85546875" bestFit="1" customWidth="1"/>
    <col min="48" max="48" width="6.7109375" bestFit="1" customWidth="1"/>
    <col min="49" max="49" width="6.28515625" bestFit="1" customWidth="1"/>
    <col min="50" max="50" width="6.140625" bestFit="1" customWidth="1"/>
    <col min="51" max="51" width="6.7109375" bestFit="1" customWidth="1"/>
    <col min="52" max="52" width="6.42578125" bestFit="1" customWidth="1"/>
    <col min="53" max="53" width="6.140625" bestFit="1" customWidth="1"/>
    <col min="54" max="54" width="6.85546875" bestFit="1" customWidth="1"/>
    <col min="55" max="57" width="6.7109375" bestFit="1" customWidth="1"/>
    <col min="58" max="58" width="6.85546875" bestFit="1" customWidth="1"/>
    <col min="59" max="60" width="6.7109375" bestFit="1" customWidth="1"/>
    <col min="61" max="61" width="5.85546875" bestFit="1" customWidth="1"/>
    <col min="62" max="62" width="6.7109375" bestFit="1" customWidth="1"/>
    <col min="63" max="63" width="6.28515625" bestFit="1" customWidth="1"/>
    <col min="64" max="64" width="6.140625" bestFit="1" customWidth="1"/>
    <col min="65" max="65" width="6.7109375" bestFit="1" customWidth="1"/>
    <col min="66" max="66" width="6.42578125" bestFit="1" customWidth="1"/>
    <col min="67" max="67" width="6.140625" bestFit="1" customWidth="1"/>
    <col min="68" max="68" width="6.85546875" bestFit="1" customWidth="1"/>
    <col min="69" max="71" width="6.7109375" bestFit="1" customWidth="1"/>
    <col min="72" max="72" width="6.85546875" bestFit="1" customWidth="1"/>
    <col min="73" max="74" width="6.7109375" bestFit="1" customWidth="1"/>
    <col min="75" max="75" width="5.85546875" bestFit="1" customWidth="1"/>
    <col min="76" max="76" width="6.7109375" bestFit="1" customWidth="1"/>
    <col min="77" max="77" width="6.28515625" bestFit="1" customWidth="1"/>
    <col min="78" max="78" width="6.140625" bestFit="1" customWidth="1"/>
    <col min="79" max="79" width="6.7109375" bestFit="1" customWidth="1"/>
    <col min="80" max="80" width="6.42578125" bestFit="1" customWidth="1"/>
    <col min="81" max="81" width="6.140625" bestFit="1" customWidth="1"/>
    <col min="82" max="82" width="6.85546875" bestFit="1" customWidth="1"/>
    <col min="83" max="85" width="6.7109375" bestFit="1" customWidth="1"/>
    <col min="86" max="86" width="6.85546875" bestFit="1" customWidth="1"/>
    <col min="87" max="88" width="6.7109375" bestFit="1" customWidth="1"/>
    <col min="89" max="89" width="5.85546875" bestFit="1" customWidth="1"/>
    <col min="90" max="90" width="6.7109375" bestFit="1" customWidth="1"/>
    <col min="91" max="91" width="6.28515625" bestFit="1" customWidth="1"/>
    <col min="92" max="92" width="6.140625" bestFit="1" customWidth="1"/>
    <col min="93" max="93" width="6.7109375" bestFit="1" customWidth="1"/>
    <col min="94" max="94" width="6.42578125" bestFit="1" customWidth="1"/>
    <col min="95" max="95" width="6.140625" bestFit="1" customWidth="1"/>
    <col min="96" max="96" width="6.85546875" bestFit="1" customWidth="1"/>
    <col min="97" max="99" width="6.7109375" bestFit="1" customWidth="1"/>
    <col min="100" max="100" width="6.85546875" bestFit="1" customWidth="1"/>
    <col min="101" max="102" width="6.7109375" bestFit="1" customWidth="1"/>
    <col min="103" max="103" width="5.85546875" bestFit="1" customWidth="1"/>
    <col min="104" max="104" width="6.7109375" bestFit="1" customWidth="1"/>
    <col min="105" max="105" width="6.28515625" bestFit="1" customWidth="1"/>
    <col min="106" max="106" width="6.140625" bestFit="1" customWidth="1"/>
    <col min="107" max="107" width="6.7109375" bestFit="1" customWidth="1"/>
    <col min="108" max="108" width="6.42578125" bestFit="1" customWidth="1"/>
    <col min="109" max="109" width="6.140625" bestFit="1" customWidth="1"/>
    <col min="110" max="110" width="6.85546875" bestFit="1" customWidth="1"/>
    <col min="111" max="113" width="6.7109375" bestFit="1" customWidth="1"/>
    <col min="114" max="114" width="11.28515625" bestFit="1" customWidth="1"/>
  </cols>
  <sheetData>
    <row r="2" spans="1:10" ht="39" hidden="1" customHeight="1" x14ac:dyDescent="0.25">
      <c r="B2" s="2"/>
      <c r="C2" s="190" t="s">
        <v>581</v>
      </c>
      <c r="D2" s="190" t="s">
        <v>582</v>
      </c>
      <c r="E2" s="2"/>
      <c r="F2" s="2"/>
      <c r="G2" s="2"/>
      <c r="H2" s="2"/>
      <c r="I2" s="2"/>
      <c r="J2" s="2"/>
    </row>
    <row r="3" spans="1:10" ht="28.5" customHeight="1" x14ac:dyDescent="0.25">
      <c r="B3" s="2"/>
      <c r="C3" s="2" t="s">
        <v>579</v>
      </c>
      <c r="D3" s="2"/>
      <c r="E3" s="2" t="s">
        <v>580</v>
      </c>
      <c r="F3" s="2"/>
      <c r="G3" s="2" t="s">
        <v>1091</v>
      </c>
      <c r="H3" s="2"/>
      <c r="I3" s="2" t="s">
        <v>583</v>
      </c>
      <c r="J3" s="2" t="s">
        <v>584</v>
      </c>
    </row>
    <row r="4" spans="1:10" ht="137.25" customHeight="1" x14ac:dyDescent="0.25">
      <c r="A4" s="190" t="s">
        <v>587</v>
      </c>
      <c r="B4" s="4" t="s">
        <v>586</v>
      </c>
      <c r="C4" s="2" t="s">
        <v>269</v>
      </c>
      <c r="D4" s="2" t="s">
        <v>585</v>
      </c>
      <c r="E4" s="2" t="s">
        <v>269</v>
      </c>
      <c r="F4" s="2" t="s">
        <v>585</v>
      </c>
      <c r="G4" t="s">
        <v>269</v>
      </c>
      <c r="H4" t="s">
        <v>585</v>
      </c>
      <c r="I4" s="2"/>
      <c r="J4" s="2"/>
    </row>
    <row r="5" spans="1:10" x14ac:dyDescent="0.25">
      <c r="A5" s="257" t="s">
        <v>256</v>
      </c>
      <c r="B5" t="s">
        <v>1092</v>
      </c>
      <c r="C5" s="1"/>
      <c r="D5" s="1"/>
      <c r="E5" s="1">
        <v>35000000</v>
      </c>
      <c r="F5" s="1">
        <v>0</v>
      </c>
      <c r="G5" s="1"/>
      <c r="H5" s="1"/>
      <c r="I5" s="1">
        <v>35000000</v>
      </c>
      <c r="J5" s="1">
        <v>0</v>
      </c>
    </row>
    <row r="6" spans="1:10" x14ac:dyDescent="0.25">
      <c r="A6" s="257" t="s">
        <v>257</v>
      </c>
      <c r="B6" t="s">
        <v>1177</v>
      </c>
      <c r="C6" s="1"/>
      <c r="D6" s="1"/>
      <c r="E6" s="1">
        <v>6811000</v>
      </c>
      <c r="F6" s="1">
        <v>0</v>
      </c>
      <c r="G6" s="1"/>
      <c r="H6" s="1"/>
      <c r="I6" s="1">
        <v>6811000</v>
      </c>
      <c r="J6" s="1">
        <v>0</v>
      </c>
    </row>
    <row r="7" spans="1:10" x14ac:dyDescent="0.25">
      <c r="A7" s="257" t="s">
        <v>575</v>
      </c>
      <c r="B7" s="2" t="s">
        <v>576</v>
      </c>
      <c r="C7" s="1"/>
      <c r="D7" s="1"/>
      <c r="E7" s="1">
        <v>14160000</v>
      </c>
      <c r="F7" s="1">
        <v>14160000</v>
      </c>
      <c r="G7" s="1"/>
      <c r="H7" s="1"/>
      <c r="I7" s="1">
        <v>14160000</v>
      </c>
      <c r="J7" s="1">
        <v>14160000</v>
      </c>
    </row>
    <row r="8" spans="1:10" x14ac:dyDescent="0.25">
      <c r="A8" s="257" t="s">
        <v>603</v>
      </c>
      <c r="B8" t="s">
        <v>1093</v>
      </c>
      <c r="C8" s="1"/>
      <c r="D8" s="1"/>
      <c r="E8" s="1">
        <v>1000000</v>
      </c>
      <c r="F8" s="1">
        <v>0</v>
      </c>
      <c r="G8" s="1"/>
      <c r="H8" s="1"/>
      <c r="I8" s="1">
        <v>1000000</v>
      </c>
      <c r="J8" s="1">
        <v>0</v>
      </c>
    </row>
    <row r="9" spans="1:10" x14ac:dyDescent="0.25">
      <c r="A9" s="257"/>
      <c r="B9" t="s">
        <v>1094</v>
      </c>
      <c r="C9" s="1"/>
      <c r="D9" s="1"/>
      <c r="E9" s="1">
        <v>1000000</v>
      </c>
      <c r="F9" s="1">
        <v>0</v>
      </c>
      <c r="G9" s="1"/>
      <c r="H9" s="1"/>
      <c r="I9" s="1">
        <v>1000000</v>
      </c>
      <c r="J9" s="1">
        <v>0</v>
      </c>
    </row>
    <row r="10" spans="1:10" x14ac:dyDescent="0.25">
      <c r="A10" s="257"/>
      <c r="B10" t="s">
        <v>1095</v>
      </c>
      <c r="C10" s="1"/>
      <c r="D10" s="1"/>
      <c r="E10" s="1">
        <v>3670000</v>
      </c>
      <c r="F10" s="1">
        <v>0</v>
      </c>
      <c r="G10" s="1"/>
      <c r="H10" s="1"/>
      <c r="I10" s="1">
        <v>3670000</v>
      </c>
      <c r="J10" s="1">
        <v>0</v>
      </c>
    </row>
    <row r="11" spans="1:10" x14ac:dyDescent="0.25">
      <c r="A11" s="257" t="s">
        <v>604</v>
      </c>
      <c r="B11" t="s">
        <v>1096</v>
      </c>
      <c r="C11" s="1"/>
      <c r="D11" s="1"/>
      <c r="E11" s="1"/>
      <c r="F11" s="1"/>
      <c r="G11" s="1">
        <v>1340000</v>
      </c>
      <c r="H11" s="1">
        <v>0</v>
      </c>
      <c r="I11" s="1">
        <v>1340000</v>
      </c>
      <c r="J11" s="1">
        <v>0</v>
      </c>
    </row>
    <row r="12" spans="1:10" x14ac:dyDescent="0.25">
      <c r="A12" s="257"/>
      <c r="B12" t="s">
        <v>1097</v>
      </c>
      <c r="C12" s="1"/>
      <c r="D12" s="1"/>
      <c r="E12" s="1">
        <v>5000000</v>
      </c>
      <c r="F12" s="1">
        <v>0</v>
      </c>
      <c r="G12" s="1"/>
      <c r="H12" s="1"/>
      <c r="I12" s="1">
        <v>5000000</v>
      </c>
      <c r="J12" s="1">
        <v>0</v>
      </c>
    </row>
    <row r="13" spans="1:10" x14ac:dyDescent="0.25">
      <c r="A13" s="257"/>
      <c r="B13" t="s">
        <v>1098</v>
      </c>
      <c r="C13" s="1"/>
      <c r="D13" s="1"/>
      <c r="E13" s="1">
        <v>2500000</v>
      </c>
      <c r="F13" s="1">
        <v>0</v>
      </c>
      <c r="G13" s="1"/>
      <c r="H13" s="1"/>
      <c r="I13" s="1">
        <v>2500000</v>
      </c>
      <c r="J13" s="1">
        <v>0</v>
      </c>
    </row>
    <row r="14" spans="1:10" x14ac:dyDescent="0.25">
      <c r="A14" s="257"/>
      <c r="B14" t="s">
        <v>1099</v>
      </c>
      <c r="C14" s="1"/>
      <c r="D14" s="1"/>
      <c r="E14" s="1">
        <v>2500000</v>
      </c>
      <c r="F14" s="1">
        <v>0</v>
      </c>
      <c r="G14" s="1"/>
      <c r="H14" s="1"/>
      <c r="I14" s="1">
        <v>2500000</v>
      </c>
      <c r="J14" s="1">
        <v>0</v>
      </c>
    </row>
    <row r="15" spans="1:10" x14ac:dyDescent="0.25">
      <c r="A15" s="257" t="s">
        <v>608</v>
      </c>
      <c r="B15" t="s">
        <v>1100</v>
      </c>
      <c r="C15" s="1">
        <v>2000000</v>
      </c>
      <c r="D15" s="1">
        <v>0</v>
      </c>
      <c r="E15" s="1"/>
      <c r="F15" s="1"/>
      <c r="G15" s="1"/>
      <c r="H15" s="1"/>
      <c r="I15" s="1">
        <v>2000000</v>
      </c>
      <c r="J15" s="1">
        <v>0</v>
      </c>
    </row>
    <row r="16" spans="1:10" x14ac:dyDescent="0.25">
      <c r="A16" s="257" t="s">
        <v>609</v>
      </c>
      <c r="B16" t="s">
        <v>1101</v>
      </c>
      <c r="C16" s="1"/>
      <c r="D16" s="1"/>
      <c r="E16" s="1">
        <v>1260000</v>
      </c>
      <c r="F16" s="1">
        <v>0</v>
      </c>
      <c r="G16" s="1"/>
      <c r="H16" s="1"/>
      <c r="I16" s="1">
        <v>1260000</v>
      </c>
      <c r="J16" s="1">
        <v>0</v>
      </c>
    </row>
    <row r="17" spans="1:10" x14ac:dyDescent="0.25">
      <c r="A17" s="257" t="s">
        <v>1141</v>
      </c>
      <c r="B17" t="s">
        <v>1142</v>
      </c>
      <c r="C17" s="1"/>
      <c r="D17" s="1"/>
      <c r="E17" s="1">
        <v>6825000</v>
      </c>
      <c r="F17" s="1">
        <v>0</v>
      </c>
      <c r="G17" s="1"/>
      <c r="H17" s="1"/>
      <c r="I17" s="1">
        <v>6825000</v>
      </c>
      <c r="J17" s="1">
        <v>0</v>
      </c>
    </row>
    <row r="18" spans="1:10" x14ac:dyDescent="0.25">
      <c r="A18" s="257" t="s">
        <v>1178</v>
      </c>
      <c r="B18" t="s">
        <v>1170</v>
      </c>
      <c r="C18" s="1"/>
      <c r="D18" s="1"/>
      <c r="E18" s="1"/>
      <c r="F18" s="1"/>
      <c r="G18" s="1">
        <v>2310000</v>
      </c>
      <c r="H18" s="1">
        <v>0</v>
      </c>
      <c r="I18" s="1">
        <v>2310000</v>
      </c>
      <c r="J18" s="1">
        <v>0</v>
      </c>
    </row>
    <row r="19" spans="1:10" hidden="1" x14ac:dyDescent="0.25">
      <c r="A19" s="257" t="s">
        <v>1179</v>
      </c>
      <c r="B19" t="s">
        <v>1180</v>
      </c>
      <c r="C19" s="1"/>
      <c r="D19" s="1"/>
      <c r="E19" s="1"/>
      <c r="F19" s="1"/>
      <c r="G19" s="1">
        <v>6195000</v>
      </c>
      <c r="H19" s="1">
        <v>0</v>
      </c>
      <c r="I19" s="1">
        <v>6195000</v>
      </c>
      <c r="J19" s="1">
        <v>0</v>
      </c>
    </row>
    <row r="20" spans="1:10" x14ac:dyDescent="0.25">
      <c r="A20" s="257" t="s">
        <v>1106</v>
      </c>
      <c r="B20" t="s">
        <v>1107</v>
      </c>
      <c r="C20" s="1"/>
      <c r="D20" s="1"/>
      <c r="E20" s="1">
        <v>590000</v>
      </c>
      <c r="F20" s="1">
        <v>0</v>
      </c>
      <c r="G20" s="1"/>
      <c r="H20" s="1"/>
      <c r="I20" s="1">
        <v>590000</v>
      </c>
      <c r="J20" s="1">
        <v>0</v>
      </c>
    </row>
    <row r="21" spans="1:10" x14ac:dyDescent="0.25">
      <c r="A21" s="257" t="s">
        <v>1108</v>
      </c>
      <c r="B21" t="s">
        <v>1109</v>
      </c>
      <c r="C21" s="1"/>
      <c r="D21" s="1"/>
      <c r="E21" s="1">
        <v>236000</v>
      </c>
      <c r="F21" s="1">
        <v>0</v>
      </c>
      <c r="G21" s="1"/>
      <c r="H21" s="1"/>
      <c r="I21" s="1">
        <v>236000</v>
      </c>
      <c r="J21" s="1">
        <v>0</v>
      </c>
    </row>
    <row r="22" spans="1:10" x14ac:dyDescent="0.25">
      <c r="A22" s="257" t="s">
        <v>1110</v>
      </c>
      <c r="B22" t="s">
        <v>1111</v>
      </c>
      <c r="C22" s="1"/>
      <c r="D22" s="1"/>
      <c r="E22" s="1">
        <v>495600</v>
      </c>
      <c r="F22" s="1">
        <v>0</v>
      </c>
      <c r="G22" s="1"/>
      <c r="H22" s="1"/>
      <c r="I22" s="1">
        <v>495600</v>
      </c>
      <c r="J22" s="1">
        <v>0</v>
      </c>
    </row>
    <row r="23" spans="1:10" x14ac:dyDescent="0.25">
      <c r="A23" s="257" t="s">
        <v>1156</v>
      </c>
      <c r="B23" t="s">
        <v>572</v>
      </c>
      <c r="C23" s="1"/>
      <c r="D23" s="1"/>
      <c r="E23" s="1">
        <v>2124000</v>
      </c>
      <c r="F23" s="1">
        <v>0</v>
      </c>
      <c r="G23" s="1"/>
      <c r="H23" s="1"/>
      <c r="I23" s="1">
        <v>2124000</v>
      </c>
      <c r="J23" s="1">
        <v>0</v>
      </c>
    </row>
    <row r="24" spans="1:10" x14ac:dyDescent="0.25">
      <c r="A24" s="257" t="s">
        <v>1159</v>
      </c>
      <c r="B24" t="s">
        <v>1103</v>
      </c>
      <c r="C24" s="1"/>
      <c r="D24" s="1"/>
      <c r="E24" s="1">
        <v>1890000</v>
      </c>
      <c r="F24" s="1">
        <v>0</v>
      </c>
      <c r="G24" s="1"/>
      <c r="H24" s="1"/>
      <c r="I24" s="1">
        <v>1890000</v>
      </c>
      <c r="J24" s="1">
        <v>0</v>
      </c>
    </row>
    <row r="25" spans="1:10" x14ac:dyDescent="0.25">
      <c r="A25" s="257" t="s">
        <v>1112</v>
      </c>
      <c r="B25" t="s">
        <v>1113</v>
      </c>
      <c r="C25" s="1"/>
      <c r="D25" s="1"/>
      <c r="E25" s="1">
        <v>6000000</v>
      </c>
      <c r="F25" s="1">
        <v>0</v>
      </c>
      <c r="G25" s="1"/>
      <c r="H25" s="1"/>
      <c r="I25" s="1">
        <v>6000000</v>
      </c>
      <c r="J25" s="1">
        <v>0</v>
      </c>
    </row>
    <row r="26" spans="1:10" x14ac:dyDescent="0.25">
      <c r="A26" s="257" t="s">
        <v>1114</v>
      </c>
      <c r="B26" t="s">
        <v>1115</v>
      </c>
      <c r="C26" s="1"/>
      <c r="D26" s="1"/>
      <c r="E26" s="1">
        <v>18000000</v>
      </c>
      <c r="F26" s="1">
        <v>0</v>
      </c>
      <c r="G26" s="1"/>
      <c r="H26" s="1"/>
      <c r="I26" s="1">
        <v>18000000</v>
      </c>
      <c r="J26" s="1">
        <v>0</v>
      </c>
    </row>
    <row r="27" spans="1:10" x14ac:dyDescent="0.25">
      <c r="A27" s="257" t="s">
        <v>1116</v>
      </c>
      <c r="B27" t="s">
        <v>1117</v>
      </c>
      <c r="C27" s="1"/>
      <c r="D27" s="1"/>
      <c r="E27" s="1">
        <v>1180000</v>
      </c>
      <c r="F27" s="1">
        <v>0</v>
      </c>
      <c r="G27" s="1"/>
      <c r="H27" s="1"/>
      <c r="I27" s="1">
        <v>1180000</v>
      </c>
      <c r="J27" s="1">
        <v>0</v>
      </c>
    </row>
    <row r="28" spans="1:10" x14ac:dyDescent="0.25">
      <c r="A28" s="257" t="s">
        <v>1160</v>
      </c>
      <c r="B28" t="s">
        <v>1171</v>
      </c>
      <c r="C28" s="1"/>
      <c r="D28" s="1"/>
      <c r="E28" s="1">
        <v>15375000</v>
      </c>
      <c r="F28" s="1">
        <v>0</v>
      </c>
      <c r="G28" s="1"/>
      <c r="H28" s="1"/>
      <c r="I28" s="1">
        <v>15375000</v>
      </c>
      <c r="J28" s="1">
        <v>0</v>
      </c>
    </row>
    <row r="29" spans="1:10" x14ac:dyDescent="0.25">
      <c r="A29" s="257" t="s">
        <v>1118</v>
      </c>
      <c r="B29" t="s">
        <v>1172</v>
      </c>
      <c r="C29" s="1"/>
      <c r="D29" s="1"/>
      <c r="E29" s="1">
        <v>7100000</v>
      </c>
      <c r="F29" s="1">
        <v>0</v>
      </c>
      <c r="G29" s="1"/>
      <c r="H29" s="1"/>
      <c r="I29" s="1">
        <v>7100000</v>
      </c>
      <c r="J29" s="1">
        <v>0</v>
      </c>
    </row>
    <row r="30" spans="1:10" x14ac:dyDescent="0.25">
      <c r="A30" s="257" t="s">
        <v>1120</v>
      </c>
      <c r="B30" t="s">
        <v>573</v>
      </c>
      <c r="C30" s="1"/>
      <c r="D30" s="1"/>
      <c r="E30" s="1">
        <v>1200000</v>
      </c>
      <c r="F30" s="1">
        <v>0</v>
      </c>
      <c r="G30" s="1"/>
      <c r="H30" s="1"/>
      <c r="I30" s="1">
        <v>1200000</v>
      </c>
      <c r="J30" s="1">
        <v>0</v>
      </c>
    </row>
    <row r="31" spans="1:10" x14ac:dyDescent="0.25">
      <c r="A31" s="257" t="s">
        <v>1143</v>
      </c>
      <c r="B31" t="s">
        <v>1144</v>
      </c>
      <c r="C31" s="1"/>
      <c r="D31" s="1"/>
      <c r="E31" s="1">
        <v>1260000</v>
      </c>
      <c r="F31" s="1">
        <v>0</v>
      </c>
      <c r="G31" s="1"/>
      <c r="H31" s="1"/>
      <c r="I31" s="1">
        <v>1260000</v>
      </c>
      <c r="J31" s="1">
        <v>0</v>
      </c>
    </row>
    <row r="32" spans="1:10" x14ac:dyDescent="0.25">
      <c r="A32" s="257" t="s">
        <v>1157</v>
      </c>
      <c r="B32" t="s">
        <v>1173</v>
      </c>
      <c r="C32" s="1"/>
      <c r="D32" s="1"/>
      <c r="E32" s="1">
        <v>3500000</v>
      </c>
      <c r="F32" s="1">
        <v>0</v>
      </c>
      <c r="G32" s="1"/>
      <c r="H32" s="1"/>
      <c r="I32" s="1">
        <v>3500000</v>
      </c>
      <c r="J32" s="1">
        <v>0</v>
      </c>
    </row>
    <row r="33" spans="1:10" x14ac:dyDescent="0.25">
      <c r="A33" s="257" t="s">
        <v>1158</v>
      </c>
      <c r="B33" t="s">
        <v>1161</v>
      </c>
      <c r="C33" s="1"/>
      <c r="D33" s="1"/>
      <c r="E33" s="1">
        <v>630000</v>
      </c>
      <c r="F33" s="1">
        <v>0</v>
      </c>
      <c r="G33" s="1"/>
      <c r="H33" s="1"/>
      <c r="I33" s="1">
        <v>630000</v>
      </c>
      <c r="J33" s="1">
        <v>0</v>
      </c>
    </row>
    <row r="34" spans="1:10" x14ac:dyDescent="0.25">
      <c r="A34" s="2" t="s">
        <v>138</v>
      </c>
      <c r="B34" s="2"/>
      <c r="C34" s="1">
        <v>2000000</v>
      </c>
      <c r="D34" s="1">
        <v>0</v>
      </c>
      <c r="E34" s="1">
        <v>139306600</v>
      </c>
      <c r="F34" s="1">
        <v>14160000</v>
      </c>
      <c r="G34" s="1">
        <v>9845000</v>
      </c>
      <c r="H34" s="1">
        <v>0</v>
      </c>
      <c r="I34" s="1">
        <v>151151600</v>
      </c>
      <c r="J34" s="1">
        <v>14160000</v>
      </c>
    </row>
    <row r="35" spans="1:10" x14ac:dyDescent="0.25">
      <c r="A35"/>
    </row>
  </sheetData>
  <pageMargins left="0.7" right="0.7" top="0.75" bottom="0.75" header="0.3" footer="0.3"/>
  <pageSetup scale="64" fitToHeight="0" orientation="landscape"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U68"/>
  <sheetViews>
    <sheetView topLeftCell="A37" workbookViewId="0">
      <selection activeCell="F59" sqref="F59"/>
    </sheetView>
  </sheetViews>
  <sheetFormatPr defaultRowHeight="15" x14ac:dyDescent="0.25"/>
  <cols>
    <col min="1" max="1" width="14.42578125" customWidth="1"/>
    <col min="2" max="2" width="37.28515625" style="2" customWidth="1"/>
    <col min="3" max="3" width="20.42578125" customWidth="1"/>
    <col min="4" max="4" width="16.140625" customWidth="1"/>
    <col min="5" max="5" width="9" customWidth="1"/>
    <col min="6" max="6" width="11.140625" customWidth="1"/>
    <col min="7" max="7" width="10.42578125" customWidth="1"/>
    <col min="8" max="8" width="15.5703125" customWidth="1"/>
    <col min="9" max="9" width="11.7109375" customWidth="1"/>
    <col min="10" max="12" width="15.5703125" customWidth="1"/>
    <col min="13" max="13" width="9" customWidth="1"/>
    <col min="14" max="14" width="15.5703125" customWidth="1"/>
    <col min="15" max="17" width="10.7109375" customWidth="1"/>
    <col min="18" max="18" width="13.28515625" customWidth="1"/>
  </cols>
  <sheetData>
    <row r="1" spans="1:21" x14ac:dyDescent="0.25">
      <c r="B1"/>
    </row>
    <row r="3" spans="1:21" x14ac:dyDescent="0.25">
      <c r="A3" t="str" vm="137">
        <f>CUBEMEMBER("ThisWorkbookDataModel","[Measures].[Sum of Проценета вредност на набавка со ДДВ (денари)]")</f>
        <v>Sum of Проценета вредност на набавка со ДДВ (денари)</v>
      </c>
      <c r="B3"/>
      <c r="C3" t="s">
        <v>151</v>
      </c>
      <c r="D3" t="s">
        <v>139</v>
      </c>
    </row>
    <row r="4" spans="1:21" x14ac:dyDescent="0.25">
      <c r="B4"/>
      <c r="C4" s="220" t="str" vm="142">
        <f>CUBEMEMBER("ThisWorkbookDataModel","[Calendar].[Година].&amp;[2021]")</f>
        <v>2021</v>
      </c>
      <c r="D4" s="220"/>
      <c r="E4" t="str" vm="11">
        <f>CUBEMEMBER("ThisWorkbookDataModel","[Calendar].[Година].&amp;[2020]","2021 Total")</f>
        <v>2021 Total</v>
      </c>
      <c r="F4" s="2" t="str" vm="250">
        <f>CUBEMEMBER("ThisWorkbookDataModel","[Calendar].[Година].&amp;[2022]")</f>
        <v>2022</v>
      </c>
      <c r="G4" s="2"/>
      <c r="H4" s="2"/>
      <c r="I4" s="2"/>
      <c r="J4" s="2"/>
      <c r="K4" s="2"/>
      <c r="L4" s="2"/>
      <c r="M4" s="2"/>
      <c r="N4" s="2"/>
      <c r="O4" s="2"/>
      <c r="P4" s="2"/>
      <c r="Q4" s="2"/>
    </row>
    <row r="5" spans="1:21" x14ac:dyDescent="0.25">
      <c r="A5" t="s">
        <v>270</v>
      </c>
      <c r="B5" t="s">
        <v>271</v>
      </c>
      <c r="C5" s="219" t="e">
        <f>CUBEMEMBER("ThisWorkbookDataModel","[CAPEX].[Очекуван датум на плаќање].&amp;[2021-11-01T00:00:00]")</f>
        <v>#N/A</v>
      </c>
      <c r="D5" s="219" t="str" vm="232">
        <f>CUBEMEMBER("ThisWorkbookDataModel","[CAPEX].[Очекуван датум на плаќање].&amp;[2021-12-01T00:00:00]")</f>
        <v>12/1/2021</v>
      </c>
      <c r="F5" t="e">
        <f>CUBEMEMBER("ThisWorkbookDataModel","[CAPEX].[Очекуван датум на плаќање].&amp;[2022-01-01T00:00:00]")</f>
        <v>#N/A</v>
      </c>
      <c r="G5" t="str" vm="2115">
        <f>CUBEMEMBER("ThisWorkbookDataModel","[CAPEX].[Очекуван датум на плаќање].&amp;[2022-02-01T00:00:00]")</f>
        <v>2/1/2022</v>
      </c>
      <c r="H5" t="str" vm="2125">
        <f>CUBEMEMBER("ThisWorkbookDataModel","[CAPEX].[Очекуван датум на плаќање].&amp;[2022-03-01T00:00:00]")</f>
        <v>3/1/2022</v>
      </c>
      <c r="I5" t="str" vm="2139">
        <f>CUBEMEMBER("ThisWorkbookDataModel","[CAPEX].[Очекуван датум на плаќање].&amp;[2022-04-01T00:00:00]")</f>
        <v>4/1/2022</v>
      </c>
      <c r="J5" t="str" vm="2136">
        <f>CUBEMEMBER("ThisWorkbookDataModel","[CAPEX].[Очекуван датум на плаќање].&amp;[2022-05-01T00:00:00]")</f>
        <v>5/1/2022</v>
      </c>
      <c r="K5" t="str" vm="2137">
        <f>CUBEMEMBER("ThisWorkbookDataModel","[CAPEX].[Очекуван датум на плаќање].&amp;[2022-06-01T00:00:00]")</f>
        <v>6/1/2022</v>
      </c>
      <c r="L5" t="str" vm="2141">
        <f>CUBEMEMBER("ThisWorkbookDataModel","[CAPEX].[Очекуван датум на плаќање].&amp;[2022-07-01T00:00:00]")</f>
        <v>7/1/2022</v>
      </c>
      <c r="M5" t="e">
        <f>CUBEMEMBER("ThisWorkbookDataModel","[CAPEX].[Очекуван датум на плаќање].&amp;[2022-08-01T00:00:00]")</f>
        <v>#N/A</v>
      </c>
      <c r="N5" t="str" vm="2135">
        <f>CUBEMEMBER("ThisWorkbookDataModel","[CAPEX].[Очекуван датум на плаќање].&amp;[2022-09-01T00:00:00]")</f>
        <v>9/1/2022</v>
      </c>
      <c r="O5" t="e">
        <f>CUBEMEMBER("ThisWorkbookDataModel","[CAPEX].[Очекуван датум на плаќање].&amp;[2022-10-01T00:00:00]")</f>
        <v>#N/A</v>
      </c>
      <c r="P5" t="str" vm="2140">
        <f>CUBEMEMBER("ThisWorkbookDataModel","[CAPEX].[Очекуван датум на плаќање].&amp;[2022-11-01T00:00:00]")</f>
        <v>11/1/2022</v>
      </c>
      <c r="Q5" t="str" vm="2138">
        <f>CUBEMEMBER("ThisWorkbookDataModel","[CAPEX].[Очекуван датум на плаќање].&amp;[2022-12-01T00:00:00]")</f>
        <v>12/1/2022</v>
      </c>
      <c r="R5" t="str" vm="250">
        <f>CUBEMEMBER("ThisWorkbookDataModel","[Calendar].[Година].&amp;[2022]","2022 Total")</f>
        <v>2022 Total</v>
      </c>
      <c r="U5" s="148" t="s">
        <v>603</v>
      </c>
    </row>
    <row r="6" spans="1:21" x14ac:dyDescent="0.25">
      <c r="A6" t="str" vm="237">
        <f>CUBEMEMBER("ThisWorkbookDataModel","[CAPEX].[Број на јавна набавка (план)].&amp;[2019-006]")</f>
        <v>2019-006</v>
      </c>
      <c r="C6">
        <f t="shared" ref="C6:D12" si="0">IF(ISERROR(CUBEVALUE("ThisWorkbookDataModel",$A$3,$A6,C$5)),0,CUBEVALUE("ThisWorkbookDataModel",$A$3,$A6,C$5))</f>
        <v>0</v>
      </c>
      <c r="D6" t="str" vm="239">
        <f t="shared" si="0"/>
        <v/>
      </c>
      <c r="E6" s="9">
        <f t="shared" ref="E6:E12" si="1">SUM(C6:D6)</f>
        <v>0</v>
      </c>
      <c r="F6">
        <f t="shared" ref="F6:Q7" si="2">IF(ISERROR(CUBEVALUE("ThisWorkbookDataModel",$A$3,$A6,F$5)),0,CUBEVALUE("ThisWorkbookDataModel",$A$3,$A6,F$5))</f>
        <v>0</v>
      </c>
      <c r="G6" t="str" vm="2118">
        <f t="shared" si="2"/>
        <v/>
      </c>
      <c r="H6" t="str" vm="2126">
        <f t="shared" si="2"/>
        <v/>
      </c>
      <c r="I6" vm="2142">
        <f t="shared" si="2"/>
        <v>35000000</v>
      </c>
      <c r="J6" t="str" vm="2149">
        <f t="shared" si="2"/>
        <v/>
      </c>
      <c r="K6" t="str" vm="2171">
        <f t="shared" si="2"/>
        <v/>
      </c>
      <c r="L6" t="str" vm="2166">
        <f t="shared" si="2"/>
        <v/>
      </c>
      <c r="M6">
        <f t="shared" si="2"/>
        <v>0</v>
      </c>
      <c r="N6" t="str" vm="2160">
        <f t="shared" si="2"/>
        <v/>
      </c>
      <c r="O6">
        <f t="shared" si="2"/>
        <v>0</v>
      </c>
      <c r="P6" t="str" vm="2152">
        <f t="shared" si="2"/>
        <v/>
      </c>
      <c r="Q6" t="str" vm="2179">
        <f t="shared" si="2"/>
        <v/>
      </c>
      <c r="R6" s="308">
        <f t="shared" ref="R6" si="3">SUM(F6:Q6)</f>
        <v>35000000</v>
      </c>
      <c r="U6" s="148" t="s">
        <v>604</v>
      </c>
    </row>
    <row r="7" spans="1:21" x14ac:dyDescent="0.25">
      <c r="A7" t="str" vm="243">
        <f>CUBEMEMBER("ThisWorkbookDataModel","[CAPEX].[Број на јавна набавка (план)].&amp;[2019-007]")</f>
        <v>2019-007</v>
      </c>
      <c r="B7"/>
      <c r="C7">
        <f t="shared" si="0"/>
        <v>0</v>
      </c>
      <c r="D7" t="str" vm="244">
        <f t="shared" si="0"/>
        <v/>
      </c>
      <c r="E7" s="9">
        <f t="shared" si="1"/>
        <v>0</v>
      </c>
      <c r="F7">
        <f t="shared" si="2"/>
        <v>0</v>
      </c>
      <c r="G7" t="str" vm="2119">
        <f t="shared" si="2"/>
        <v/>
      </c>
      <c r="H7" t="str" vm="2129">
        <f t="shared" si="2"/>
        <v/>
      </c>
      <c r="I7" t="str" vm="2168">
        <f t="shared" si="2"/>
        <v/>
      </c>
      <c r="J7" t="str" vm="2159">
        <f t="shared" si="2"/>
        <v/>
      </c>
      <c r="K7" t="str" vm="2162">
        <f t="shared" si="2"/>
        <v/>
      </c>
      <c r="L7" t="str" vm="2146">
        <f t="shared" si="2"/>
        <v/>
      </c>
      <c r="M7">
        <f t="shared" si="2"/>
        <v>0</v>
      </c>
      <c r="N7" vm="2145">
        <f t="shared" si="2"/>
        <v>6811000</v>
      </c>
      <c r="O7">
        <f t="shared" si="2"/>
        <v>0</v>
      </c>
      <c r="P7" t="str" vm="2174">
        <f t="shared" si="2"/>
        <v/>
      </c>
      <c r="Q7" t="str" vm="2167">
        <f t="shared" si="2"/>
        <v/>
      </c>
      <c r="R7" s="308">
        <f t="shared" ref="R7:R13" si="4">SUM(F7:Q7)</f>
        <v>6811000</v>
      </c>
      <c r="U7" s="148" t="s">
        <v>256</v>
      </c>
    </row>
    <row r="8" spans="1:21" x14ac:dyDescent="0.25">
      <c r="A8" t="str" vm="231">
        <f>CUBEMEMBER("ThisWorkbookDataModel","[CAPEX].[Број на јавна набавка (план)].&amp;[2021-010]")</f>
        <v>2021-010</v>
      </c>
      <c r="B8"/>
      <c r="C8">
        <f t="shared" si="0"/>
        <v>0</v>
      </c>
      <c r="D8" t="str" vm="234">
        <f t="shared" si="0"/>
        <v/>
      </c>
      <c r="E8" s="9">
        <f t="shared" si="1"/>
        <v>0</v>
      </c>
      <c r="F8">
        <f t="shared" ref="F8:Q12" si="5">IF(ISERROR(CUBEVALUE("ThisWorkbookDataModel",$A$3,$A8,F$5)),0,CUBEVALUE("ThisWorkbookDataModel",$A$3,$A8,F$5))</f>
        <v>0</v>
      </c>
      <c r="G8" t="str" vm="2121">
        <f t="shared" si="5"/>
        <v/>
      </c>
      <c r="H8" t="str" vm="2131">
        <f t="shared" si="5"/>
        <v/>
      </c>
      <c r="I8" t="str" vm="2182">
        <f t="shared" si="5"/>
        <v/>
      </c>
      <c r="J8" t="str" vm="2170">
        <f t="shared" si="5"/>
        <v/>
      </c>
      <c r="K8" t="str" vm="2164">
        <f t="shared" si="5"/>
        <v/>
      </c>
      <c r="L8" t="str" vm="2183">
        <f t="shared" si="5"/>
        <v/>
      </c>
      <c r="M8">
        <f t="shared" si="5"/>
        <v>0</v>
      </c>
      <c r="N8" t="str" vm="2180">
        <f t="shared" si="5"/>
        <v/>
      </c>
      <c r="O8">
        <f t="shared" si="5"/>
        <v>0</v>
      </c>
      <c r="P8" s="148" vm="2181">
        <f t="shared" si="5"/>
        <v>14160000</v>
      </c>
      <c r="Q8" t="str" vm="2153">
        <f t="shared" si="5"/>
        <v/>
      </c>
      <c r="R8" s="308">
        <f t="shared" si="4"/>
        <v>14160000</v>
      </c>
      <c r="U8" s="148" t="s">
        <v>1119</v>
      </c>
    </row>
    <row r="9" spans="1:21" x14ac:dyDescent="0.25">
      <c r="A9" t="str" vm="235">
        <f>CUBEMEMBER("ThisWorkbookDataModel","[CAPEX].[Број на јавна набавка (план)].&amp;[2021-011]")</f>
        <v>2021-011</v>
      </c>
      <c r="B9"/>
      <c r="C9">
        <f t="shared" si="0"/>
        <v>0</v>
      </c>
      <c r="D9" t="str" vm="854">
        <f t="shared" si="0"/>
        <v/>
      </c>
      <c r="E9" s="9">
        <f t="shared" si="1"/>
        <v>0</v>
      </c>
      <c r="F9">
        <f t="shared" si="5"/>
        <v>0</v>
      </c>
      <c r="G9" t="str" vm="2117">
        <f t="shared" si="5"/>
        <v/>
      </c>
      <c r="H9" vm="2130">
        <f t="shared" si="5"/>
        <v>3670000</v>
      </c>
      <c r="I9" t="str" vm="2157">
        <f t="shared" si="5"/>
        <v/>
      </c>
      <c r="J9" t="str" vm="2156">
        <f t="shared" si="5"/>
        <v/>
      </c>
      <c r="K9" vm="2158">
        <f t="shared" si="5"/>
        <v>1000000</v>
      </c>
      <c r="L9" t="str" vm="2177">
        <f t="shared" si="5"/>
        <v/>
      </c>
      <c r="M9">
        <f t="shared" si="5"/>
        <v>0</v>
      </c>
      <c r="N9" vm="2144">
        <f t="shared" si="5"/>
        <v>1000000</v>
      </c>
      <c r="O9">
        <f t="shared" si="5"/>
        <v>0</v>
      </c>
      <c r="P9" t="str" vm="2143">
        <f t="shared" si="5"/>
        <v/>
      </c>
      <c r="Q9" t="str" vm="2163">
        <f t="shared" si="5"/>
        <v/>
      </c>
      <c r="R9" s="308">
        <f t="shared" si="4"/>
        <v>5670000</v>
      </c>
      <c r="U9" s="148" t="s">
        <v>1120</v>
      </c>
    </row>
    <row r="10" spans="1:21" x14ac:dyDescent="0.25">
      <c r="A10" t="str" vm="236">
        <f>CUBEMEMBER("ThisWorkbookDataModel","[CAPEX].[Број на јавна набавка (план)].&amp;[2021-012]")</f>
        <v>2021-012</v>
      </c>
      <c r="B10"/>
      <c r="C10">
        <f t="shared" si="0"/>
        <v>0</v>
      </c>
      <c r="D10" t="str" vm="238">
        <f t="shared" si="0"/>
        <v/>
      </c>
      <c r="E10" s="9">
        <f t="shared" si="1"/>
        <v>0</v>
      </c>
      <c r="F10">
        <f t="shared" si="5"/>
        <v>0</v>
      </c>
      <c r="G10" t="str" vm="2116">
        <f t="shared" si="5"/>
        <v/>
      </c>
      <c r="H10" t="str" vm="2127">
        <f t="shared" si="5"/>
        <v/>
      </c>
      <c r="I10" t="str" vm="2175">
        <f t="shared" si="5"/>
        <v/>
      </c>
      <c r="J10" t="str" vm="2155">
        <f t="shared" si="5"/>
        <v/>
      </c>
      <c r="K10" vm="2151">
        <f t="shared" si="5"/>
        <v>2500000</v>
      </c>
      <c r="L10" t="str" vm="2148">
        <f t="shared" si="5"/>
        <v/>
      </c>
      <c r="M10">
        <f t="shared" si="5"/>
        <v>0</v>
      </c>
      <c r="N10" vm="2147">
        <f t="shared" si="5"/>
        <v>2500000</v>
      </c>
      <c r="O10">
        <f t="shared" si="5"/>
        <v>0</v>
      </c>
      <c r="P10" t="str" vm="2173">
        <f t="shared" si="5"/>
        <v/>
      </c>
      <c r="Q10" vm="2150">
        <f t="shared" si="5"/>
        <v>5000000</v>
      </c>
      <c r="R10" s="308">
        <f t="shared" si="4"/>
        <v>10000000</v>
      </c>
      <c r="U10" s="258" t="s">
        <v>1141</v>
      </c>
    </row>
    <row r="11" spans="1:21" s="14" customFormat="1" x14ac:dyDescent="0.25">
      <c r="A11" s="14" t="str" vm="240">
        <f>CUBEMEMBER("ThisWorkbookDataModel","[CAPEX].[Број на јавна набавка (план)].&amp;[2021-013]")</f>
        <v>2021-013</v>
      </c>
      <c r="B11" s="307"/>
      <c r="C11" s="14">
        <f t="shared" si="0"/>
        <v>0</v>
      </c>
      <c r="D11" s="14" vm="853">
        <f t="shared" si="0"/>
        <v>2000000</v>
      </c>
      <c r="E11" s="305">
        <f t="shared" si="1"/>
        <v>2000000</v>
      </c>
      <c r="F11" s="14">
        <f t="shared" si="5"/>
        <v>0</v>
      </c>
      <c r="G11" s="14" t="str" vm="2120">
        <f t="shared" si="5"/>
        <v/>
      </c>
      <c r="H11" s="14" t="str" vm="2128">
        <f t="shared" si="5"/>
        <v/>
      </c>
      <c r="I11" s="14" t="str" vm="2178">
        <f t="shared" si="5"/>
        <v/>
      </c>
      <c r="J11" s="14" t="str" vm="2172">
        <f t="shared" si="5"/>
        <v/>
      </c>
      <c r="K11" s="14" t="str" vm="2165">
        <f t="shared" si="5"/>
        <v/>
      </c>
      <c r="L11" s="14" t="str" vm="2154">
        <f t="shared" si="5"/>
        <v/>
      </c>
      <c r="M11" s="14">
        <f t="shared" si="5"/>
        <v>0</v>
      </c>
      <c r="N11" s="14" t="str" vm="2169">
        <f t="shared" si="5"/>
        <v/>
      </c>
      <c r="O11" s="14">
        <f t="shared" si="5"/>
        <v>0</v>
      </c>
      <c r="P11" s="14" t="str" vm="2161">
        <f t="shared" si="5"/>
        <v/>
      </c>
      <c r="Q11" s="14" t="str" vm="2176">
        <f t="shared" si="5"/>
        <v/>
      </c>
      <c r="R11" s="308">
        <f t="shared" si="4"/>
        <v>0</v>
      </c>
      <c r="U11" s="14" t="s">
        <v>1143</v>
      </c>
    </row>
    <row r="12" spans="1:21" s="14" customFormat="1" x14ac:dyDescent="0.25">
      <c r="A12" s="14" t="str" vm="2249">
        <f>CUBEMEMBER("ThisWorkbookDataModel","[CAPEX].[Број на јавна набавка (план)].&amp;[2021-014]")</f>
        <v>2021-014</v>
      </c>
      <c r="B12" s="307"/>
      <c r="C12" s="14">
        <f t="shared" si="0"/>
        <v>0</v>
      </c>
      <c r="D12" s="14" t="str" vm="2255">
        <f t="shared" si="0"/>
        <v/>
      </c>
      <c r="E12" s="305">
        <f t="shared" si="1"/>
        <v>0</v>
      </c>
      <c r="F12" s="14">
        <f t="shared" si="5"/>
        <v>0</v>
      </c>
      <c r="G12" s="14" t="str" vm="2257">
        <f t="shared" si="5"/>
        <v/>
      </c>
      <c r="H12" s="14" t="str" vm="2251">
        <f t="shared" si="5"/>
        <v/>
      </c>
      <c r="I12" s="14" t="str" vm="2258">
        <f t="shared" si="5"/>
        <v/>
      </c>
      <c r="J12" s="14" t="str" vm="2254">
        <f t="shared" si="5"/>
        <v/>
      </c>
      <c r="K12" s="14" vm="2256">
        <f t="shared" si="5"/>
        <v>1260000</v>
      </c>
      <c r="L12" s="14" t="str" vm="2259">
        <f t="shared" si="5"/>
        <v/>
      </c>
      <c r="M12" s="14">
        <f t="shared" si="5"/>
        <v>0</v>
      </c>
      <c r="N12" s="14" t="str" vm="2252">
        <f t="shared" si="5"/>
        <v/>
      </c>
      <c r="O12" s="14">
        <f t="shared" si="5"/>
        <v>0</v>
      </c>
      <c r="P12" s="14" t="str" vm="2250">
        <f t="shared" si="5"/>
        <v/>
      </c>
      <c r="Q12" s="14" t="str" vm="2253">
        <f t="shared" si="5"/>
        <v/>
      </c>
      <c r="R12" s="308">
        <f t="shared" si="4"/>
        <v>1260000</v>
      </c>
      <c r="U12" s="14" t="s">
        <v>1143</v>
      </c>
    </row>
    <row r="13" spans="1:21" x14ac:dyDescent="0.25">
      <c r="A13" s="215" t="str" vm="2315">
        <f>CUBEMEMBER("ThisWorkbookDataModel","[CAPEX].[Број на јавна набавка (план)].&amp;[2021-015]")</f>
        <v>2021-015</v>
      </c>
      <c r="B13"/>
      <c r="C13">
        <f t="shared" ref="C13:H19" si="6">IF(ISERROR(CUBEVALUE("ThisWorkbookDataModel",$A$3,$A13,C$5)),0,CUBEVALUE("ThisWorkbookDataModel",$A$3,$A13,C$5))</f>
        <v>0</v>
      </c>
      <c r="D13" t="str" vm="2317">
        <f t="shared" si="6"/>
        <v/>
      </c>
      <c r="E13" s="9">
        <f t="shared" ref="E13:E30" si="7">SUM(C13:D13)</f>
        <v>0</v>
      </c>
      <c r="F13">
        <f t="shared" si="6"/>
        <v>0</v>
      </c>
      <c r="G13" t="str" vm="2321">
        <f t="shared" si="6"/>
        <v/>
      </c>
      <c r="H13" t="str" vm="2322">
        <f>IF(ISERROR(CUBEVALUE("ThisWorkbookDataModel",$A$3,$A13,H$5)),0,CUBEVALUE("ThisWorkbookDataModel",$A$3,$A13,H$5))</f>
        <v/>
      </c>
      <c r="I13" t="str" vm="2319">
        <f t="shared" ref="I13:Q19" si="8">IF(ISERROR(CUBEVALUE("ThisWorkbookDataModel",$A$3,$A13,I$5)),0,CUBEVALUE("ThisWorkbookDataModel",$A$3,$A13,I$5))</f>
        <v/>
      </c>
      <c r="J13" t="str" vm="2324">
        <f t="shared" si="8"/>
        <v/>
      </c>
      <c r="K13" t="str" vm="2318">
        <f t="shared" si="8"/>
        <v/>
      </c>
      <c r="L13" t="str" vm="2320">
        <f t="shared" si="8"/>
        <v/>
      </c>
      <c r="M13">
        <f t="shared" si="8"/>
        <v>0</v>
      </c>
      <c r="N13" t="str" vm="2323">
        <f t="shared" si="8"/>
        <v/>
      </c>
      <c r="O13">
        <f t="shared" si="8"/>
        <v>0</v>
      </c>
      <c r="P13" t="str" vm="2325">
        <f t="shared" si="8"/>
        <v/>
      </c>
      <c r="Q13" vm="2316">
        <f t="shared" si="8"/>
        <v>6825000</v>
      </c>
      <c r="R13" s="308">
        <f t="shared" si="4"/>
        <v>6825000</v>
      </c>
      <c r="U13" s="148" t="s">
        <v>257</v>
      </c>
    </row>
    <row r="14" spans="1:21" s="148" customFormat="1" x14ac:dyDescent="0.25">
      <c r="A14" s="14" t="str" vm="2217">
        <f>CUBEMEMBER("ThisWorkbookDataModel","[CAPEX].[Број на јавна набавка (план)].&amp;[2022-001]")</f>
        <v>2022-001</v>
      </c>
      <c r="C14" s="148">
        <f t="shared" si="6"/>
        <v>0</v>
      </c>
      <c r="D14" s="148" t="str" vm="2223">
        <f t="shared" si="6"/>
        <v/>
      </c>
      <c r="E14" s="161">
        <f t="shared" si="7"/>
        <v>0</v>
      </c>
      <c r="F14" s="148">
        <f t="shared" si="6"/>
        <v>0</v>
      </c>
      <c r="G14" s="148" vm="2403">
        <f t="shared" si="6"/>
        <v>590000</v>
      </c>
      <c r="H14" s="148" t="str" vm="2221">
        <f t="shared" si="6"/>
        <v/>
      </c>
      <c r="I14" s="148" t="str" vm="2218">
        <f t="shared" si="8"/>
        <v/>
      </c>
      <c r="J14" s="148" t="str" vm="2226">
        <f t="shared" si="8"/>
        <v/>
      </c>
      <c r="K14" s="148" t="str" vm="2222">
        <f t="shared" si="8"/>
        <v/>
      </c>
      <c r="L14" s="148" t="str" vm="2219">
        <f t="shared" si="8"/>
        <v/>
      </c>
      <c r="M14" s="148">
        <f t="shared" si="8"/>
        <v>0</v>
      </c>
      <c r="N14" s="148" t="str" vm="2225">
        <f t="shared" si="8"/>
        <v/>
      </c>
      <c r="O14" s="148">
        <f t="shared" si="8"/>
        <v>0</v>
      </c>
      <c r="P14" s="148" t="str" vm="2224">
        <f t="shared" si="8"/>
        <v/>
      </c>
      <c r="Q14" s="148" t="str" vm="2220">
        <f t="shared" si="8"/>
        <v/>
      </c>
      <c r="R14" s="306">
        <f t="shared" ref="R14:R19" si="9">SUM(F14:Q14)</f>
        <v>590000</v>
      </c>
      <c r="U14" s="148" t="s">
        <v>575</v>
      </c>
    </row>
    <row r="15" spans="1:21" x14ac:dyDescent="0.25">
      <c r="A15" t="str" vm="2227">
        <f>CUBEMEMBER("ThisWorkbookDataModel","[CAPEX].[Број на јавна набавка (план)].&amp;[2022-002]")</f>
        <v>2022-002</v>
      </c>
      <c r="B15"/>
      <c r="C15">
        <f t="shared" si="6"/>
        <v>0</v>
      </c>
      <c r="D15" t="str" vm="2234">
        <f t="shared" si="6"/>
        <v/>
      </c>
      <c r="E15" s="9">
        <f t="shared" si="7"/>
        <v>0</v>
      </c>
      <c r="F15">
        <f t="shared" si="6"/>
        <v>0</v>
      </c>
      <c r="G15" vm="2229">
        <f t="shared" si="6"/>
        <v>236000</v>
      </c>
      <c r="H15" t="str" vm="2228">
        <f t="shared" si="6"/>
        <v/>
      </c>
      <c r="I15" t="str" vm="2231">
        <f t="shared" si="8"/>
        <v/>
      </c>
      <c r="J15" t="str" vm="2230">
        <f t="shared" si="8"/>
        <v/>
      </c>
      <c r="K15" t="str" vm="2237">
        <f t="shared" si="8"/>
        <v/>
      </c>
      <c r="L15" t="str" vm="2235">
        <f t="shared" si="8"/>
        <v/>
      </c>
      <c r="M15">
        <f t="shared" si="8"/>
        <v>0</v>
      </c>
      <c r="N15" t="str" vm="2233">
        <f t="shared" si="8"/>
        <v/>
      </c>
      <c r="O15">
        <f t="shared" si="8"/>
        <v>0</v>
      </c>
      <c r="P15" t="str" vm="2236">
        <f t="shared" si="8"/>
        <v/>
      </c>
      <c r="Q15" t="str" vm="2232">
        <f t="shared" si="8"/>
        <v/>
      </c>
      <c r="R15" s="308">
        <f t="shared" si="9"/>
        <v>236000</v>
      </c>
      <c r="U15" s="148" t="s">
        <v>608</v>
      </c>
    </row>
    <row r="16" spans="1:21" x14ac:dyDescent="0.25">
      <c r="A16" t="str" vm="2238">
        <f>CUBEMEMBER("ThisWorkbookDataModel","[CAPEX].[Број на јавна набавка (план)].&amp;[2022-003]")</f>
        <v>2022-003</v>
      </c>
      <c r="B16"/>
      <c r="C16">
        <f t="shared" si="6"/>
        <v>0</v>
      </c>
      <c r="D16" t="str" vm="2243">
        <f t="shared" si="6"/>
        <v/>
      </c>
      <c r="E16" s="9">
        <f t="shared" si="7"/>
        <v>0</v>
      </c>
      <c r="F16">
        <f t="shared" si="6"/>
        <v>0</v>
      </c>
      <c r="G16" vm="2244">
        <f t="shared" si="6"/>
        <v>495600</v>
      </c>
      <c r="H16" t="str" vm="2241">
        <f t="shared" si="6"/>
        <v/>
      </c>
      <c r="I16" t="str" vm="2242">
        <f t="shared" si="8"/>
        <v/>
      </c>
      <c r="J16" t="str" vm="2239">
        <f t="shared" si="8"/>
        <v/>
      </c>
      <c r="K16" t="str" vm="2247">
        <f t="shared" si="8"/>
        <v/>
      </c>
      <c r="L16" t="str" vm="2245">
        <f t="shared" si="8"/>
        <v/>
      </c>
      <c r="M16">
        <f t="shared" si="8"/>
        <v>0</v>
      </c>
      <c r="N16" t="str" vm="2240">
        <f t="shared" si="8"/>
        <v/>
      </c>
      <c r="O16">
        <f t="shared" si="8"/>
        <v>0</v>
      </c>
      <c r="P16" t="str" vm="2248">
        <f t="shared" si="8"/>
        <v/>
      </c>
      <c r="Q16" t="str" vm="2246">
        <f t="shared" si="8"/>
        <v/>
      </c>
      <c r="R16" s="308">
        <f t="shared" si="9"/>
        <v>495600</v>
      </c>
      <c r="U16" s="148" t="s">
        <v>609</v>
      </c>
    </row>
    <row r="17" spans="1:21" x14ac:dyDescent="0.25">
      <c r="A17" t="str" vm="2326">
        <f>CUBEMEMBER("ThisWorkbookDataModel","[CAPEX].[Број на јавна набавка (план)].&amp;[2022-004]")</f>
        <v>2022-004</v>
      </c>
      <c r="B17"/>
      <c r="C17">
        <f t="shared" si="6"/>
        <v>0</v>
      </c>
      <c r="D17" t="str" vm="2344">
        <f t="shared" si="6"/>
        <v/>
      </c>
      <c r="E17" s="9">
        <f t="shared" si="7"/>
        <v>0</v>
      </c>
      <c r="F17">
        <f t="shared" si="6"/>
        <v>0</v>
      </c>
      <c r="G17" vm="2350">
        <f t="shared" si="6"/>
        <v>2124000</v>
      </c>
      <c r="H17" t="str" vm="2338">
        <f t="shared" si="6"/>
        <v/>
      </c>
      <c r="I17" t="str" vm="2357">
        <f t="shared" si="8"/>
        <v/>
      </c>
      <c r="J17" t="str" vm="2345">
        <f t="shared" si="8"/>
        <v/>
      </c>
      <c r="K17" t="str" vm="2343">
        <f t="shared" si="8"/>
        <v/>
      </c>
      <c r="L17" t="str" vm="2354">
        <f t="shared" si="8"/>
        <v/>
      </c>
      <c r="M17">
        <f t="shared" si="8"/>
        <v>0</v>
      </c>
      <c r="N17" t="str" vm="2352">
        <f t="shared" si="8"/>
        <v/>
      </c>
      <c r="O17">
        <f t="shared" si="8"/>
        <v>0</v>
      </c>
      <c r="P17" t="str" vm="2348">
        <f t="shared" si="8"/>
        <v/>
      </c>
      <c r="Q17" t="str" vm="2360">
        <f t="shared" si="8"/>
        <v/>
      </c>
      <c r="R17" s="308">
        <f t="shared" si="9"/>
        <v>2124000</v>
      </c>
      <c r="U17" s="148" t="s">
        <v>1108</v>
      </c>
    </row>
    <row r="18" spans="1:21" x14ac:dyDescent="0.25">
      <c r="A18" t="str" vm="2330">
        <f>CUBEMEMBER("ThisWorkbookDataModel","[CAPEX].[Број на јавна набавка (план)].&amp;[2022-005]")</f>
        <v>2022-005</v>
      </c>
      <c r="B18"/>
      <c r="C18">
        <f t="shared" si="6"/>
        <v>0</v>
      </c>
      <c r="D18" t="str" vm="2356">
        <f t="shared" si="6"/>
        <v/>
      </c>
      <c r="E18" s="9">
        <f t="shared" si="7"/>
        <v>0</v>
      </c>
      <c r="F18">
        <f t="shared" si="6"/>
        <v>0</v>
      </c>
      <c r="G18" t="str" vm="2341">
        <f t="shared" si="6"/>
        <v/>
      </c>
      <c r="H18" t="str" vm="2334">
        <f t="shared" si="6"/>
        <v/>
      </c>
      <c r="I18" vm="2358">
        <f t="shared" si="8"/>
        <v>1890000</v>
      </c>
      <c r="J18" t="str" vm="2355">
        <f t="shared" si="8"/>
        <v/>
      </c>
      <c r="K18" t="str" vm="2339">
        <f t="shared" si="8"/>
        <v/>
      </c>
      <c r="L18" t="str" vm="2335">
        <f t="shared" si="8"/>
        <v/>
      </c>
      <c r="M18">
        <f t="shared" si="8"/>
        <v>0</v>
      </c>
      <c r="N18" t="str" vm="2362">
        <f t="shared" si="8"/>
        <v/>
      </c>
      <c r="O18">
        <f t="shared" si="8"/>
        <v>0</v>
      </c>
      <c r="P18" t="str" vm="2333">
        <f t="shared" si="8"/>
        <v/>
      </c>
      <c r="Q18" t="str" vm="2346">
        <f t="shared" si="8"/>
        <v/>
      </c>
      <c r="R18" s="308">
        <f>SUM(F18:Q18)</f>
        <v>1890000</v>
      </c>
      <c r="U18" s="148" t="s">
        <v>1110</v>
      </c>
    </row>
    <row r="19" spans="1:21" x14ac:dyDescent="0.25">
      <c r="A19" t="str" vm="2260">
        <f>CUBEMEMBER("ThisWorkbookDataModel","[CAPEX].[Број на јавна набавка (план)].&amp;[2022-006]")</f>
        <v>2022-006</v>
      </c>
      <c r="B19"/>
      <c r="C19">
        <f t="shared" si="6"/>
        <v>0</v>
      </c>
      <c r="D19" t="str" vm="2267">
        <f t="shared" si="6"/>
        <v/>
      </c>
      <c r="E19" s="9">
        <f t="shared" si="7"/>
        <v>0</v>
      </c>
      <c r="F19">
        <f t="shared" si="6"/>
        <v>0</v>
      </c>
      <c r="G19" t="str" vm="2263">
        <f t="shared" si="6"/>
        <v/>
      </c>
      <c r="H19" t="str" vm="2269">
        <f t="shared" si="6"/>
        <v/>
      </c>
      <c r="I19" t="str" vm="2261">
        <f t="shared" si="8"/>
        <v/>
      </c>
      <c r="J19" vm="2264">
        <f t="shared" si="8"/>
        <v>6000000</v>
      </c>
      <c r="K19" t="str" vm="2270">
        <f t="shared" si="8"/>
        <v/>
      </c>
      <c r="L19" t="str" vm="2268">
        <f t="shared" si="8"/>
        <v/>
      </c>
      <c r="M19">
        <f t="shared" si="8"/>
        <v>0</v>
      </c>
      <c r="N19" t="str" vm="2266">
        <f t="shared" si="8"/>
        <v/>
      </c>
      <c r="O19">
        <f t="shared" si="8"/>
        <v>0</v>
      </c>
      <c r="P19" t="str" vm="2265">
        <f t="shared" si="8"/>
        <v/>
      </c>
      <c r="Q19" t="str" vm="2262">
        <f t="shared" si="8"/>
        <v/>
      </c>
      <c r="R19" s="308">
        <f t="shared" si="9"/>
        <v>6000000</v>
      </c>
      <c r="U19" t="s">
        <v>1156</v>
      </c>
    </row>
    <row r="20" spans="1:21" x14ac:dyDescent="0.25">
      <c r="A20" t="str" vm="2271">
        <f>CUBEMEMBER("ThisWorkbookDataModel","[CAPEX].[Број на јавна набавка (план)].&amp;[2022-007]")</f>
        <v>2022-007</v>
      </c>
      <c r="B20"/>
      <c r="C20">
        <f>IF(ISERROR(CUBEVALUE("ThisWorkbookDataModel",$A$3,$A20,C$5)),0,CUBEVALUE("ThisWorkbookDataModel",$A$3,$A20,C$5))</f>
        <v>0</v>
      </c>
      <c r="D20" t="str" vm="2276">
        <f>IF(ISERROR(CUBEVALUE("ThisWorkbookDataModel",$A$3,$A20,D$5)),0,CUBEVALUE("ThisWorkbookDataModel",$A$3,$A20,D$5))</f>
        <v/>
      </c>
      <c r="E20" s="9">
        <f>SUM(C20:D20)</f>
        <v>0</v>
      </c>
      <c r="F20">
        <f t="shared" ref="F20:Q24" si="10">IF(ISERROR(CUBEVALUE("ThisWorkbookDataModel",$A$3,$A20,F$5)),0,CUBEVALUE("ThisWorkbookDataModel",$A$3,$A20,F$5))</f>
        <v>0</v>
      </c>
      <c r="G20" t="str" vm="2273">
        <f t="shared" si="10"/>
        <v/>
      </c>
      <c r="H20" vm="2278">
        <f t="shared" si="10"/>
        <v>18000000</v>
      </c>
      <c r="I20" t="str" vm="2274">
        <f t="shared" si="10"/>
        <v/>
      </c>
      <c r="J20" t="str" vm="2277">
        <f t="shared" si="10"/>
        <v/>
      </c>
      <c r="K20" t="str" vm="2275">
        <f t="shared" si="10"/>
        <v/>
      </c>
      <c r="L20" t="str" vm="2279">
        <f t="shared" si="10"/>
        <v/>
      </c>
      <c r="M20">
        <f t="shared" si="10"/>
        <v>0</v>
      </c>
      <c r="N20" t="str" vm="2281">
        <f t="shared" si="10"/>
        <v/>
      </c>
      <c r="O20">
        <f t="shared" si="10"/>
        <v>0</v>
      </c>
      <c r="P20" t="str" vm="2280">
        <f t="shared" si="10"/>
        <v/>
      </c>
      <c r="Q20" t="str" vm="2272">
        <f t="shared" si="10"/>
        <v/>
      </c>
      <c r="R20" s="308">
        <f>SUM(F20:Q20)</f>
        <v>18000000</v>
      </c>
      <c r="U20" t="s">
        <v>1102</v>
      </c>
    </row>
    <row r="21" spans="1:21" s="14" customFormat="1" x14ac:dyDescent="0.25">
      <c r="A21" s="14" t="str" vm="2282">
        <f>CUBEMEMBER("ThisWorkbookDataModel","[CAPEX].[Број на јавна набавка (план)].&amp;[2022-008]")</f>
        <v>2022-008</v>
      </c>
      <c r="C21" s="14">
        <f t="shared" ref="C21:D24" si="11">IF(ISERROR(CUBEVALUE("ThisWorkbookDataModel",$A$3,$A21,C$5)),0,CUBEVALUE("ThisWorkbookDataModel",$A$3,$A21,C$5))</f>
        <v>0</v>
      </c>
      <c r="D21" s="14" t="str" vm="2288">
        <f t="shared" si="11"/>
        <v/>
      </c>
      <c r="E21" s="305">
        <f t="shared" ref="E21:E24" si="12">SUM(C21:D21)</f>
        <v>0</v>
      </c>
      <c r="F21" s="14">
        <f t="shared" si="10"/>
        <v>0</v>
      </c>
      <c r="G21" s="14" vm="2363">
        <f t="shared" si="10"/>
        <v>1180000</v>
      </c>
      <c r="H21" s="14" t="str" vm="2284">
        <f t="shared" si="10"/>
        <v/>
      </c>
      <c r="I21" s="14" t="str" vm="2290">
        <f>IF(ISERROR(CUBEVALUE("ThisWorkbookDataModel",$A$3,$A21,I$5)),0,CUBEVALUE("ThisWorkbookDataModel",$A$3,$A21,I$5))</f>
        <v/>
      </c>
      <c r="J21" s="14" t="str" vm="2287">
        <f t="shared" si="10"/>
        <v/>
      </c>
      <c r="K21" s="14" t="str" vm="2289">
        <f t="shared" si="10"/>
        <v/>
      </c>
      <c r="L21" s="14" t="str" vm="2291">
        <f t="shared" si="10"/>
        <v/>
      </c>
      <c r="M21" s="14">
        <f t="shared" si="10"/>
        <v>0</v>
      </c>
      <c r="N21" s="14" t="str" vm="2285">
        <f t="shared" si="10"/>
        <v/>
      </c>
      <c r="O21" s="14">
        <f t="shared" si="10"/>
        <v>0</v>
      </c>
      <c r="P21" s="14" t="str" vm="2283">
        <f t="shared" si="10"/>
        <v/>
      </c>
      <c r="Q21" s="14" t="str" vm="2286">
        <f t="shared" si="10"/>
        <v/>
      </c>
      <c r="R21" s="308">
        <f t="shared" ref="R21:R24" si="13">SUM(F21:Q21)</f>
        <v>1180000</v>
      </c>
      <c r="U21" s="14" t="s">
        <v>1112</v>
      </c>
    </row>
    <row r="22" spans="1:21" x14ac:dyDescent="0.25">
      <c r="A22" t="e">
        <f>CUBEMEMBER("ThisWorkbookDataModel","[CAPEX].[Број на јавна набавка (план)].&amp;[2022-011]")</f>
        <v>#N/A</v>
      </c>
      <c r="B22"/>
      <c r="C22">
        <f t="shared" si="11"/>
        <v>0</v>
      </c>
      <c r="D22">
        <f t="shared" si="11"/>
        <v>0</v>
      </c>
      <c r="E22" s="9">
        <f t="shared" si="12"/>
        <v>0</v>
      </c>
      <c r="F22">
        <f t="shared" si="10"/>
        <v>0</v>
      </c>
      <c r="G22">
        <f t="shared" si="10"/>
        <v>0</v>
      </c>
      <c r="H22">
        <f t="shared" si="10"/>
        <v>0</v>
      </c>
      <c r="I22">
        <f t="shared" si="10"/>
        <v>0</v>
      </c>
      <c r="J22">
        <f t="shared" si="10"/>
        <v>0</v>
      </c>
      <c r="K22">
        <f t="shared" si="10"/>
        <v>0</v>
      </c>
      <c r="L22">
        <f t="shared" si="10"/>
        <v>0</v>
      </c>
      <c r="M22">
        <f t="shared" si="10"/>
        <v>0</v>
      </c>
      <c r="N22">
        <f t="shared" si="10"/>
        <v>0</v>
      </c>
      <c r="O22">
        <f t="shared" si="10"/>
        <v>0</v>
      </c>
      <c r="P22">
        <f t="shared" si="10"/>
        <v>0</v>
      </c>
      <c r="Q22">
        <f t="shared" si="10"/>
        <v>0</v>
      </c>
      <c r="R22" s="308">
        <f t="shared" si="13"/>
        <v>0</v>
      </c>
      <c r="U22" s="148" t="s">
        <v>1114</v>
      </c>
    </row>
    <row r="23" spans="1:21" x14ac:dyDescent="0.25">
      <c r="A23" t="str" vm="2329">
        <f>CUBEMEMBER("ThisWorkbookDataModel","[CAPEX].[Број на јавна набавка (план)].&amp;[2022-012]")</f>
        <v>2022-012</v>
      </c>
      <c r="B23"/>
      <c r="C23">
        <f t="shared" si="11"/>
        <v>0</v>
      </c>
      <c r="D23" t="str" vm="2353">
        <f t="shared" si="11"/>
        <v/>
      </c>
      <c r="E23" s="9">
        <f t="shared" si="12"/>
        <v>0</v>
      </c>
      <c r="F23">
        <f t="shared" si="10"/>
        <v>0</v>
      </c>
      <c r="G23" t="str" vm="2342">
        <f t="shared" si="10"/>
        <v/>
      </c>
      <c r="H23" t="str" vm="2351">
        <f t="shared" si="10"/>
        <v/>
      </c>
      <c r="I23" t="str" vm="2331">
        <f t="shared" si="10"/>
        <v/>
      </c>
      <c r="J23" t="str" vm="2340">
        <f t="shared" si="10"/>
        <v/>
      </c>
      <c r="K23" t="str" vm="2336">
        <f t="shared" si="10"/>
        <v/>
      </c>
      <c r="L23" t="str" vm="2332">
        <f t="shared" si="10"/>
        <v/>
      </c>
      <c r="M23">
        <f t="shared" si="10"/>
        <v>0</v>
      </c>
      <c r="N23" vm="2337">
        <f t="shared" si="10"/>
        <v>15375000</v>
      </c>
      <c r="O23">
        <f t="shared" si="10"/>
        <v>0</v>
      </c>
      <c r="P23" t="str" vm="2361">
        <f t="shared" si="10"/>
        <v/>
      </c>
      <c r="Q23" t="str" vm="2359">
        <f t="shared" si="10"/>
        <v/>
      </c>
      <c r="R23" s="308">
        <f t="shared" si="13"/>
        <v>15375000</v>
      </c>
      <c r="U23" s="148" t="s">
        <v>1116</v>
      </c>
    </row>
    <row r="24" spans="1:21" x14ac:dyDescent="0.25">
      <c r="A24" t="str" vm="2292">
        <f>CUBEMEMBER("ThisWorkbookDataModel","[CAPEX].[Број на јавна набавка (план)].&amp;[2022-013]")</f>
        <v>2022-013</v>
      </c>
      <c r="B24"/>
      <c r="C24">
        <f t="shared" si="11"/>
        <v>0</v>
      </c>
      <c r="D24" t="str" vm="2296">
        <f t="shared" si="11"/>
        <v/>
      </c>
      <c r="E24" s="9">
        <f t="shared" si="12"/>
        <v>0</v>
      </c>
      <c r="F24">
        <f t="shared" si="10"/>
        <v>0</v>
      </c>
      <c r="G24" t="str" vm="2298">
        <f t="shared" si="10"/>
        <v/>
      </c>
      <c r="H24" t="str" vm="2295">
        <f t="shared" si="10"/>
        <v/>
      </c>
      <c r="I24" t="str" vm="2294">
        <f t="shared" si="10"/>
        <v/>
      </c>
      <c r="J24" t="str" vm="2293">
        <f t="shared" si="10"/>
        <v/>
      </c>
      <c r="K24" t="str" vm="2301">
        <f t="shared" si="10"/>
        <v/>
      </c>
      <c r="L24" t="str" vm="2299">
        <f t="shared" si="10"/>
        <v/>
      </c>
      <c r="M24">
        <f t="shared" si="10"/>
        <v>0</v>
      </c>
      <c r="N24" vm="2297">
        <f t="shared" si="10"/>
        <v>7100000</v>
      </c>
      <c r="O24">
        <f t="shared" si="10"/>
        <v>0</v>
      </c>
      <c r="P24" t="str" vm="2302">
        <f t="shared" si="10"/>
        <v/>
      </c>
      <c r="Q24" t="str" vm="2300">
        <f t="shared" si="10"/>
        <v/>
      </c>
      <c r="R24" s="308">
        <f t="shared" si="13"/>
        <v>7100000</v>
      </c>
      <c r="U24" t="s">
        <v>1104</v>
      </c>
    </row>
    <row r="25" spans="1:21" x14ac:dyDescent="0.25">
      <c r="A25" t="e">
        <f>CUBEMEMBER("ThisWorkbookDataModel","[CAPEX].[Број на јавна набавка (план)].&amp;[2022-014]")</f>
        <v>#N/A</v>
      </c>
      <c r="B25"/>
      <c r="C25">
        <f>IF(ISERROR(CUBEVALUE("ThisWorkbookDataModel",$A$3,$A25,C$5)),0,CUBEVALUE("ThisWorkbookDataModel",$A$3,$A25,C$5))</f>
        <v>0</v>
      </c>
      <c r="D25">
        <f>IF(ISERROR(CUBEVALUE("ThisWorkbookDataModel",$A$3,$A25,D$5)),0,CUBEVALUE("ThisWorkbookDataModel",$A$3,$A25,D$5))</f>
        <v>0</v>
      </c>
      <c r="E25" s="9">
        <f>SUM(C25:D25)</f>
        <v>0</v>
      </c>
      <c r="F25">
        <f t="shared" ref="F25:Q29" si="14">IF(ISERROR(CUBEVALUE("ThisWorkbookDataModel",$A$3,$A25,F$5)),0,CUBEVALUE("ThisWorkbookDataModel",$A$3,$A25,F$5))</f>
        <v>0</v>
      </c>
      <c r="G25">
        <f t="shared" si="14"/>
        <v>0</v>
      </c>
      <c r="H25">
        <f t="shared" si="14"/>
        <v>0</v>
      </c>
      <c r="I25">
        <f t="shared" si="14"/>
        <v>0</v>
      </c>
      <c r="J25">
        <f t="shared" si="14"/>
        <v>0</v>
      </c>
      <c r="K25">
        <f t="shared" si="14"/>
        <v>0</v>
      </c>
      <c r="L25">
        <f t="shared" si="14"/>
        <v>0</v>
      </c>
      <c r="M25">
        <f t="shared" si="14"/>
        <v>0</v>
      </c>
      <c r="N25">
        <f t="shared" si="14"/>
        <v>0</v>
      </c>
      <c r="O25">
        <f t="shared" si="14"/>
        <v>0</v>
      </c>
      <c r="P25">
        <f t="shared" si="14"/>
        <v>0</v>
      </c>
      <c r="Q25">
        <f t="shared" si="14"/>
        <v>0</v>
      </c>
      <c r="R25" s="308">
        <f>SUM(F25:Q25)</f>
        <v>0</v>
      </c>
      <c r="U25" t="s">
        <v>1105</v>
      </c>
    </row>
    <row r="26" spans="1:21" s="14" customFormat="1" x14ac:dyDescent="0.25">
      <c r="A26" s="14" t="str" vm="2303">
        <f>CUBEMEMBER("ThisWorkbookDataModel","[CAPEX].[Број на јавна набавка (план)].&amp;[2022-015]")</f>
        <v>2022-015</v>
      </c>
      <c r="C26" s="14">
        <f>IF(ISERROR(CUBEVALUE("ThisWorkbookDataModel",$A$3,$A26,C$5)),0,CUBEVALUE("ThisWorkbookDataModel",$A$3,$A26,C$5))</f>
        <v>0</v>
      </c>
      <c r="D26" s="14" t="str" vm="2313">
        <f>IF(ISERROR(CUBEVALUE("ThisWorkbookDataModel",$A$3,$A26,D$5)),0,CUBEVALUE("ThisWorkbookDataModel",$A$3,$A26,D$5))</f>
        <v/>
      </c>
      <c r="E26" s="305">
        <f>SUM(C26:D26)</f>
        <v>0</v>
      </c>
      <c r="F26" s="14">
        <f t="shared" si="14"/>
        <v>0</v>
      </c>
      <c r="G26" s="14" t="str" vm="2311">
        <f t="shared" si="14"/>
        <v/>
      </c>
      <c r="H26" s="14" t="str" vm="2310">
        <f t="shared" si="14"/>
        <v/>
      </c>
      <c r="I26" s="14" t="str" vm="2308">
        <f t="shared" si="14"/>
        <v/>
      </c>
      <c r="J26" s="14" t="str" vm="2309">
        <f t="shared" si="14"/>
        <v/>
      </c>
      <c r="K26" s="14" t="str" vm="2304">
        <f t="shared" si="14"/>
        <v/>
      </c>
      <c r="L26" s="14" vm="2307">
        <f t="shared" si="14"/>
        <v>1200000</v>
      </c>
      <c r="M26" s="14">
        <f t="shared" si="14"/>
        <v>0</v>
      </c>
      <c r="N26" s="14" t="str" vm="2305">
        <f t="shared" si="14"/>
        <v/>
      </c>
      <c r="O26" s="14">
        <f t="shared" si="14"/>
        <v>0</v>
      </c>
      <c r="P26" s="14" t="str" vm="2312">
        <f t="shared" si="14"/>
        <v/>
      </c>
      <c r="Q26" s="14" t="str" vm="2306">
        <f t="shared" si="14"/>
        <v/>
      </c>
      <c r="R26" s="308">
        <f>SUM(F26:Q26)</f>
        <v>1200000</v>
      </c>
      <c r="U26" s="14" t="s">
        <v>1118</v>
      </c>
    </row>
    <row r="27" spans="1:21" s="148" customFormat="1" x14ac:dyDescent="0.25">
      <c r="A27" s="148" t="str" vm="2314">
        <f>CUBEMEMBER("ThisWorkbookDataModel","[CAPEX].[Број на јавна набавка (план)].&amp;[2022-016]")</f>
        <v>2022-016</v>
      </c>
      <c r="C27" s="14">
        <f t="shared" ref="C27:D29" si="15">IF(ISERROR(CUBEVALUE("ThisWorkbookDataModel",$A$3,$A27,C$5)),0,CUBEVALUE("ThisWorkbookDataModel",$A$3,$A27,C$5))</f>
        <v>0</v>
      </c>
      <c r="D27" s="14" t="str" vm="2388">
        <f t="shared" si="15"/>
        <v/>
      </c>
      <c r="E27" s="305">
        <f t="shared" ref="E27:E29" si="16">SUM(C27:D27)</f>
        <v>0</v>
      </c>
      <c r="F27" s="14">
        <f t="shared" si="14"/>
        <v>0</v>
      </c>
      <c r="G27" s="14" t="str" vm="2364">
        <f t="shared" si="14"/>
        <v/>
      </c>
      <c r="H27" s="14" t="str" vm="2389">
        <f t="shared" si="14"/>
        <v/>
      </c>
      <c r="I27" s="14" t="str" vm="2374">
        <f t="shared" si="14"/>
        <v/>
      </c>
      <c r="J27" s="14" t="str" vm="2380">
        <f t="shared" si="14"/>
        <v/>
      </c>
      <c r="K27" s="14" vm="2365">
        <f t="shared" si="14"/>
        <v>1260000</v>
      </c>
      <c r="L27" s="14" t="str" vm="2372">
        <f t="shared" si="14"/>
        <v/>
      </c>
      <c r="M27" s="14">
        <f t="shared" si="14"/>
        <v>0</v>
      </c>
      <c r="N27" s="14" t="str" vm="2381">
        <f t="shared" si="14"/>
        <v/>
      </c>
      <c r="O27" s="14">
        <f t="shared" si="14"/>
        <v>0</v>
      </c>
      <c r="P27" s="14" t="str" vm="2390">
        <f t="shared" si="14"/>
        <v/>
      </c>
      <c r="Q27" s="14" t="str" vm="2375">
        <f t="shared" si="14"/>
        <v/>
      </c>
      <c r="R27" s="306">
        <f t="shared" ref="R27:R30" si="17">SUM(F27:Q27)</f>
        <v>1260000</v>
      </c>
      <c r="U27" s="148" t="s">
        <v>1157</v>
      </c>
    </row>
    <row r="28" spans="1:21" s="148" customFormat="1" x14ac:dyDescent="0.25">
      <c r="A28" s="148" t="str" vm="2328">
        <f>CUBEMEMBER("ThisWorkbookDataModel","[CAPEX].[Број на јавна набавка (план)].&amp;[2022-017]")</f>
        <v>2022-017</v>
      </c>
      <c r="C28" s="14">
        <f t="shared" si="15"/>
        <v>0</v>
      </c>
      <c r="D28" s="14" t="str" vm="2366">
        <f t="shared" si="15"/>
        <v/>
      </c>
      <c r="E28" s="305">
        <f t="shared" si="16"/>
        <v>0</v>
      </c>
      <c r="F28" s="14">
        <f t="shared" si="14"/>
        <v>0</v>
      </c>
      <c r="G28" s="14" t="str" vm="2382">
        <f t="shared" si="14"/>
        <v/>
      </c>
      <c r="H28" s="14" t="str" vm="2367">
        <f t="shared" si="14"/>
        <v/>
      </c>
      <c r="I28" s="14" t="str" vm="2391">
        <f t="shared" si="14"/>
        <v/>
      </c>
      <c r="J28" s="14" vm="2376">
        <f t="shared" si="14"/>
        <v>3500000</v>
      </c>
      <c r="K28" s="14" t="str" vm="2383">
        <f t="shared" si="14"/>
        <v/>
      </c>
      <c r="L28" s="14" t="str" vm="2368">
        <f t="shared" si="14"/>
        <v/>
      </c>
      <c r="M28" s="14">
        <f t="shared" si="14"/>
        <v>0</v>
      </c>
      <c r="N28" s="14" t="str" vm="2377">
        <f t="shared" si="14"/>
        <v/>
      </c>
      <c r="O28" s="14">
        <f t="shared" si="14"/>
        <v>0</v>
      </c>
      <c r="P28" s="14" t="str" vm="2369">
        <f t="shared" si="14"/>
        <v/>
      </c>
      <c r="Q28" s="14" t="str" vm="2392">
        <f t="shared" si="14"/>
        <v/>
      </c>
      <c r="R28" s="306">
        <f t="shared" si="17"/>
        <v>3500000</v>
      </c>
      <c r="U28" s="148" t="s">
        <v>1158</v>
      </c>
    </row>
    <row r="29" spans="1:21" s="148" customFormat="1" x14ac:dyDescent="0.25">
      <c r="A29" s="148" t="str" vm="2327">
        <f>CUBEMEMBER("ThisWorkbookDataModel","[CAPEX].[Број на јавна набавка (план)].&amp;[2022-018]")</f>
        <v>2022-018</v>
      </c>
      <c r="C29" s="14">
        <f t="shared" si="15"/>
        <v>0</v>
      </c>
      <c r="D29" s="14" t="str" vm="2384">
        <f t="shared" si="15"/>
        <v/>
      </c>
      <c r="E29" s="305">
        <f t="shared" si="16"/>
        <v>0</v>
      </c>
      <c r="F29" s="14">
        <f t="shared" si="14"/>
        <v>0</v>
      </c>
      <c r="G29" s="14" t="str" vm="2378">
        <f t="shared" si="14"/>
        <v/>
      </c>
      <c r="H29" s="14" t="str" vm="2385">
        <f t="shared" si="14"/>
        <v/>
      </c>
      <c r="I29" s="14" t="str" vm="2370">
        <f t="shared" si="14"/>
        <v/>
      </c>
      <c r="J29" s="14" t="str" vm="2373">
        <f t="shared" si="14"/>
        <v/>
      </c>
      <c r="K29" s="14" vm="2379">
        <f t="shared" si="14"/>
        <v>630000</v>
      </c>
      <c r="L29" s="14" t="str" vm="2386">
        <f t="shared" si="14"/>
        <v/>
      </c>
      <c r="M29" s="14">
        <f t="shared" si="14"/>
        <v>0</v>
      </c>
      <c r="N29" s="14" t="str" vm="2393">
        <f t="shared" si="14"/>
        <v/>
      </c>
      <c r="O29" s="14">
        <f t="shared" si="14"/>
        <v>0</v>
      </c>
      <c r="P29" s="14" t="str" vm="2387">
        <f t="shared" si="14"/>
        <v/>
      </c>
      <c r="Q29" s="14" t="str" vm="2371">
        <f t="shared" si="14"/>
        <v/>
      </c>
      <c r="R29" s="306">
        <f t="shared" si="17"/>
        <v>630000</v>
      </c>
    </row>
    <row r="30" spans="1:21" x14ac:dyDescent="0.25">
      <c r="B30"/>
      <c r="E30" s="9">
        <f t="shared" si="7"/>
        <v>0</v>
      </c>
      <c r="R30" s="41">
        <f t="shared" si="17"/>
        <v>0</v>
      </c>
    </row>
    <row r="31" spans="1:21" x14ac:dyDescent="0.25">
      <c r="A31" t="str" vm="138">
        <f>CUBEMEMBER("ThisWorkbookDataModel","[CAPEX].[Број на јавна набавка (план)].[All]","Grand Total")</f>
        <v>Grand Total</v>
      </c>
      <c r="B31"/>
      <c r="C31">
        <f t="shared" ref="C31:R31" si="18">SUM(C6:C30)</f>
        <v>0</v>
      </c>
      <c r="D31">
        <f t="shared" si="18"/>
        <v>2000000</v>
      </c>
      <c r="E31">
        <f t="shared" si="18"/>
        <v>2000000</v>
      </c>
      <c r="F31">
        <f t="shared" si="18"/>
        <v>0</v>
      </c>
      <c r="G31">
        <f t="shared" si="18"/>
        <v>4625600</v>
      </c>
      <c r="H31">
        <f t="shared" si="18"/>
        <v>21670000</v>
      </c>
      <c r="I31">
        <f t="shared" si="18"/>
        <v>36890000</v>
      </c>
      <c r="J31">
        <f t="shared" si="18"/>
        <v>9500000</v>
      </c>
      <c r="K31">
        <f t="shared" si="18"/>
        <v>6650000</v>
      </c>
      <c r="L31">
        <f t="shared" si="18"/>
        <v>1200000</v>
      </c>
      <c r="M31">
        <f t="shared" si="18"/>
        <v>0</v>
      </c>
      <c r="N31">
        <f t="shared" si="18"/>
        <v>32786000</v>
      </c>
      <c r="O31">
        <f t="shared" si="18"/>
        <v>0</v>
      </c>
      <c r="P31">
        <f t="shared" si="18"/>
        <v>14160000</v>
      </c>
      <c r="Q31">
        <f t="shared" si="18"/>
        <v>11825000</v>
      </c>
      <c r="R31" s="41">
        <f t="shared" si="18"/>
        <v>139306600</v>
      </c>
    </row>
    <row r="32" spans="1:21" x14ac:dyDescent="0.25">
      <c r="G32">
        <v>4035600</v>
      </c>
      <c r="R32" s="41"/>
    </row>
    <row r="33" spans="2:18" x14ac:dyDescent="0.25">
      <c r="G33">
        <f>G32-G31</f>
        <v>-590000</v>
      </c>
    </row>
    <row r="39" spans="2:18" x14ac:dyDescent="0.25">
      <c r="B39" t="str" vm="137">
        <f>CUBEMEMBER("ThisWorkbookDataModel","[Measures].[Sum of Проценета вредност на набавка со ДДВ (денари)]")</f>
        <v>Sum of Проценета вредност на набавка со ДДВ (денари)</v>
      </c>
      <c r="C39" s="219" t="s">
        <v>290</v>
      </c>
    </row>
    <row r="40" spans="2:18" x14ac:dyDescent="0.25">
      <c r="B40" t="s">
        <v>291</v>
      </c>
      <c r="C40" t="e">
        <f t="shared" ref="C40:R40" si="19">C5</f>
        <v>#N/A</v>
      </c>
      <c r="D40" t="str" vm="232">
        <f t="shared" si="19"/>
        <v>12/1/2021</v>
      </c>
      <c r="E40">
        <f t="shared" si="19"/>
        <v>0</v>
      </c>
      <c r="F40" t="e">
        <f t="shared" si="19"/>
        <v>#N/A</v>
      </c>
      <c r="G40" t="str" vm="2115">
        <f t="shared" si="19"/>
        <v>2/1/2022</v>
      </c>
      <c r="H40" t="str" vm="2125">
        <f t="shared" si="19"/>
        <v>3/1/2022</v>
      </c>
      <c r="I40" t="str" vm="2139">
        <f t="shared" si="19"/>
        <v>4/1/2022</v>
      </c>
      <c r="J40" t="str" vm="2136">
        <f t="shared" si="19"/>
        <v>5/1/2022</v>
      </c>
      <c r="K40" t="str" vm="2137">
        <f t="shared" si="19"/>
        <v>6/1/2022</v>
      </c>
      <c r="L40" t="str" vm="2141">
        <f t="shared" si="19"/>
        <v>7/1/2022</v>
      </c>
      <c r="M40" t="e">
        <f t="shared" si="19"/>
        <v>#N/A</v>
      </c>
      <c r="N40" t="str" vm="2135">
        <f t="shared" si="19"/>
        <v>9/1/2022</v>
      </c>
      <c r="O40" t="e">
        <f t="shared" si="19"/>
        <v>#N/A</v>
      </c>
      <c r="P40" t="str" vm="2140">
        <f t="shared" si="19"/>
        <v>11/1/2022</v>
      </c>
      <c r="Q40" t="str" vm="2138">
        <f t="shared" si="19"/>
        <v>12/1/2022</v>
      </c>
      <c r="R40" t="str" vm="250">
        <f t="shared" si="19"/>
        <v>2022 Total</v>
      </c>
    </row>
    <row r="41" spans="2:18" x14ac:dyDescent="0.25">
      <c r="B41" t="str" vm="227">
        <f>CUBEMEMBER("ThisWorkbookDataModel","[CAPEX].[Конто Средства].&amp;[0030]")</f>
        <v>0030</v>
      </c>
      <c r="C41">
        <f t="shared" ref="C41:C46" si="20">IF(ISERROR(CUBEVALUE("ThisWorkbookDataModel",$B$39,$B41,C$40)),0,CUBEVALUE("ThisWorkbookDataModel",$B$39,$B41,C$40))</f>
        <v>0</v>
      </c>
      <c r="D41" t="str" vm="855">
        <f t="shared" ref="D41:Q47" si="21">IF(ISERROR(CUBEVALUE("ThisWorkbookDataModel",$B$39,$B41,D$40)),0,CUBEVALUE("ThisWorkbookDataModel",$B$39,$B41,D$40))</f>
        <v/>
      </c>
      <c r="E41" s="9">
        <f t="shared" ref="E41:E46" si="22">SUM(C41:D41)</f>
        <v>0</v>
      </c>
      <c r="F41">
        <f t="shared" si="21"/>
        <v>0</v>
      </c>
      <c r="G41" vm="2123">
        <f t="shared" si="21"/>
        <v>495600</v>
      </c>
      <c r="H41" vm="2132">
        <f t="shared" si="21"/>
        <v>3670000</v>
      </c>
      <c r="I41" vm="2193">
        <f t="shared" si="21"/>
        <v>36890000</v>
      </c>
      <c r="J41" vm="2185">
        <f t="shared" si="21"/>
        <v>6000000</v>
      </c>
      <c r="K41" vm="2195">
        <f t="shared" si="21"/>
        <v>4760000</v>
      </c>
      <c r="L41" t="str" vm="2186">
        <f t="shared" si="21"/>
        <v/>
      </c>
      <c r="M41">
        <f t="shared" si="21"/>
        <v>0</v>
      </c>
      <c r="N41" vm="2199">
        <f t="shared" si="21"/>
        <v>25975000</v>
      </c>
      <c r="O41">
        <f t="shared" si="21"/>
        <v>0</v>
      </c>
      <c r="P41" vm="2189">
        <f t="shared" si="21"/>
        <v>14160000</v>
      </c>
      <c r="Q41" vm="2200">
        <f t="shared" si="21"/>
        <v>5000000</v>
      </c>
      <c r="R41">
        <f t="shared" ref="R41:R47" si="23">SUM(F41:Q41)</f>
        <v>96950600</v>
      </c>
    </row>
    <row r="42" spans="2:18" x14ac:dyDescent="0.25">
      <c r="B42" t="str" vm="229">
        <f>CUBEMEMBER("ThisWorkbookDataModel","[CAPEX].[Конто Средства].&amp;[0031]")</f>
        <v>0031</v>
      </c>
      <c r="C42">
        <f t="shared" si="20"/>
        <v>0</v>
      </c>
      <c r="D42" t="str" vm="233">
        <f t="shared" si="21"/>
        <v/>
      </c>
      <c r="E42" s="9">
        <f t="shared" si="22"/>
        <v>0</v>
      </c>
      <c r="F42">
        <f t="shared" si="21"/>
        <v>0</v>
      </c>
      <c r="G42" vm="2124">
        <f t="shared" si="21"/>
        <v>3304000</v>
      </c>
      <c r="H42" t="str" vm="2134">
        <f t="shared" si="21"/>
        <v/>
      </c>
      <c r="I42" t="str" vm="2194">
        <f t="shared" si="21"/>
        <v/>
      </c>
      <c r="J42" t="str" vm="2184">
        <f t="shared" si="21"/>
        <v/>
      </c>
      <c r="K42" t="str" vm="2349">
        <f t="shared" si="21"/>
        <v/>
      </c>
      <c r="L42" t="str" vm="2187">
        <f t="shared" si="21"/>
        <v/>
      </c>
      <c r="M42">
        <f t="shared" si="21"/>
        <v>0</v>
      </c>
      <c r="N42" vm="2197">
        <f t="shared" si="21"/>
        <v>6811000</v>
      </c>
      <c r="O42">
        <f t="shared" si="21"/>
        <v>0</v>
      </c>
      <c r="P42" t="str" vm="2191">
        <f t="shared" si="21"/>
        <v/>
      </c>
      <c r="Q42" t="str" vm="2202">
        <f t="shared" si="21"/>
        <v/>
      </c>
      <c r="R42">
        <f t="shared" si="23"/>
        <v>10115000</v>
      </c>
    </row>
    <row r="43" spans="2:18" x14ac:dyDescent="0.25">
      <c r="B43" t="str" vm="2426">
        <f>CUBEMEMBER("ThisWorkbookDataModel","[CAPEX].[Конто Средства].&amp;[01363]")</f>
        <v>01363</v>
      </c>
      <c r="C43">
        <f t="shared" si="20"/>
        <v>0</v>
      </c>
      <c r="D43" t="str" vm="2427">
        <f t="shared" si="21"/>
        <v/>
      </c>
      <c r="E43" s="9">
        <f t="shared" ref="E43" si="24">SUM(C43:D43)</f>
        <v>0</v>
      </c>
      <c r="F43">
        <f t="shared" si="21"/>
        <v>0</v>
      </c>
      <c r="G43" t="str" vm="2431">
        <f t="shared" si="21"/>
        <v/>
      </c>
      <c r="H43" t="str" vm="2428">
        <f t="shared" si="21"/>
        <v/>
      </c>
      <c r="I43" t="str" vm="2432">
        <f t="shared" si="21"/>
        <v/>
      </c>
      <c r="J43" t="str" vm="2435">
        <f t="shared" si="21"/>
        <v/>
      </c>
      <c r="K43" vm="2434">
        <f t="shared" si="21"/>
        <v>630000</v>
      </c>
      <c r="L43" t="str" vm="2429">
        <f t="shared" si="21"/>
        <v/>
      </c>
      <c r="M43">
        <f t="shared" si="21"/>
        <v>0</v>
      </c>
      <c r="N43" t="str" vm="2436">
        <f t="shared" si="21"/>
        <v/>
      </c>
      <c r="O43">
        <f t="shared" si="21"/>
        <v>0</v>
      </c>
      <c r="P43" t="str" vm="2430">
        <f t="shared" si="21"/>
        <v/>
      </c>
      <c r="Q43" t="str" vm="2433">
        <f t="shared" si="21"/>
        <v/>
      </c>
      <c r="R43">
        <f t="shared" ref="R43" si="25">SUM(F43:Q43)</f>
        <v>630000</v>
      </c>
    </row>
    <row r="44" spans="2:18" x14ac:dyDescent="0.25">
      <c r="B44" t="str" vm="241">
        <f>CUBEMEMBER("ThisWorkbookDataModel","[CAPEX].[Конто Средства].&amp;[0191001]")</f>
        <v>0191001</v>
      </c>
      <c r="C44">
        <f t="shared" si="20"/>
        <v>0</v>
      </c>
      <c r="D44" vm="856">
        <f t="shared" si="21"/>
        <v>2000000</v>
      </c>
      <c r="E44" s="9">
        <f t="shared" si="22"/>
        <v>2000000</v>
      </c>
      <c r="F44">
        <f t="shared" si="21"/>
        <v>0</v>
      </c>
      <c r="G44" t="str" vm="2122">
        <f t="shared" si="21"/>
        <v/>
      </c>
      <c r="H44" t="str" vm="2133">
        <f t="shared" si="21"/>
        <v/>
      </c>
      <c r="I44" t="str" vm="2192">
        <f t="shared" si="21"/>
        <v/>
      </c>
      <c r="J44" vm="2347">
        <f t="shared" si="21"/>
        <v>3500000</v>
      </c>
      <c r="K44" t="str" vm="2196">
        <f t="shared" si="21"/>
        <v/>
      </c>
      <c r="L44" t="str" vm="2188">
        <f t="shared" si="21"/>
        <v/>
      </c>
      <c r="M44">
        <f t="shared" si="21"/>
        <v>0</v>
      </c>
      <c r="N44" t="str" vm="2198">
        <f t="shared" si="21"/>
        <v/>
      </c>
      <c r="O44">
        <f t="shared" si="21"/>
        <v>0</v>
      </c>
      <c r="P44" t="str" vm="2190">
        <f t="shared" si="21"/>
        <v/>
      </c>
      <c r="Q44" t="str" vm="2201">
        <f t="shared" si="21"/>
        <v/>
      </c>
      <c r="R44">
        <f t="shared" si="23"/>
        <v>3500000</v>
      </c>
    </row>
    <row r="45" spans="2:18" x14ac:dyDescent="0.25">
      <c r="B45" t="str" vm="2404">
        <f>CUBEMEMBER("ThisWorkbookDataModel","[CAPEX].[Конто Средства].&amp;[01213]")</f>
        <v>01213</v>
      </c>
      <c r="C45">
        <f t="shared" si="20"/>
        <v>0</v>
      </c>
      <c r="D45" t="str" vm="2405">
        <f t="shared" si="21"/>
        <v/>
      </c>
      <c r="E45" s="9">
        <f t="shared" si="22"/>
        <v>0</v>
      </c>
      <c r="F45">
        <f t="shared" si="21"/>
        <v>0</v>
      </c>
      <c r="G45" vm="2412">
        <f t="shared" si="21"/>
        <v>826000</v>
      </c>
      <c r="H45" vm="2410">
        <f t="shared" si="21"/>
        <v>18000000</v>
      </c>
      <c r="I45" t="str" vm="2407">
        <f t="shared" si="21"/>
        <v/>
      </c>
      <c r="J45" t="str" vm="2414">
        <f t="shared" si="21"/>
        <v/>
      </c>
      <c r="K45" vm="2411">
        <f t="shared" si="21"/>
        <v>1260000</v>
      </c>
      <c r="L45" t="str" vm="2409">
        <f t="shared" si="21"/>
        <v/>
      </c>
      <c r="M45">
        <f t="shared" si="21"/>
        <v>0</v>
      </c>
      <c r="N45" t="str" vm="2413">
        <f t="shared" si="21"/>
        <v/>
      </c>
      <c r="O45">
        <f t="shared" si="21"/>
        <v>0</v>
      </c>
      <c r="P45" t="str" vm="2408">
        <f t="shared" si="21"/>
        <v/>
      </c>
      <c r="Q45" vm="2406">
        <f t="shared" si="21"/>
        <v>6825000</v>
      </c>
      <c r="R45">
        <f t="shared" si="23"/>
        <v>26911000</v>
      </c>
    </row>
    <row r="46" spans="2:18" x14ac:dyDescent="0.25">
      <c r="B46" t="str" vm="2415">
        <f>CUBEMEMBER("ThisWorkbookDataModel","[CAPEX].[Конто Средства].&amp;[0135]")</f>
        <v>0135</v>
      </c>
      <c r="C46">
        <f t="shared" si="20"/>
        <v>0</v>
      </c>
      <c r="D46" t="str" vm="2416">
        <f t="shared" si="21"/>
        <v/>
      </c>
      <c r="E46" s="9">
        <f t="shared" si="22"/>
        <v>0</v>
      </c>
      <c r="F46">
        <f t="shared" si="21"/>
        <v>0</v>
      </c>
      <c r="G46" t="str" vm="2423">
        <f t="shared" si="21"/>
        <v/>
      </c>
      <c r="H46" t="str" vm="2421">
        <f t="shared" si="21"/>
        <v/>
      </c>
      <c r="I46" t="str" vm="2418">
        <f t="shared" si="21"/>
        <v/>
      </c>
      <c r="J46" t="str" vm="2425">
        <f t="shared" si="21"/>
        <v/>
      </c>
      <c r="K46" t="str" vm="2422">
        <f t="shared" si="21"/>
        <v/>
      </c>
      <c r="L46" vm="2420">
        <f t="shared" si="21"/>
        <v>1200000</v>
      </c>
      <c r="M46">
        <f t="shared" si="21"/>
        <v>0</v>
      </c>
      <c r="N46" t="str" vm="2424">
        <f t="shared" si="21"/>
        <v/>
      </c>
      <c r="O46">
        <f t="shared" si="21"/>
        <v>0</v>
      </c>
      <c r="P46" t="str" vm="2419">
        <f t="shared" si="21"/>
        <v/>
      </c>
      <c r="Q46" t="str" vm="2417">
        <f t="shared" si="21"/>
        <v/>
      </c>
      <c r="R46">
        <f t="shared" si="23"/>
        <v>1200000</v>
      </c>
    </row>
    <row r="47" spans="2:18" s="203" customFormat="1" x14ac:dyDescent="0.25">
      <c r="B47" s="203" t="str" vm="141">
        <f>CUBEMEMBER("ThisWorkbookDataModel","[CAPEX].[Конто Средства].[All]","Grand Total")</f>
        <v>Grand Total</v>
      </c>
      <c r="C47" s="203">
        <f>SUM(C41:C46)</f>
        <v>0</v>
      </c>
      <c r="D47" s="203">
        <f>SUM(D41:D46)</f>
        <v>2000000</v>
      </c>
      <c r="E47" s="203">
        <f>SUM(E41:E46)</f>
        <v>2000000</v>
      </c>
      <c r="F47">
        <f t="shared" si="21"/>
        <v>0</v>
      </c>
      <c r="G47" vm="2396">
        <f t="shared" si="21"/>
        <v>4625600</v>
      </c>
      <c r="H47" vm="2398">
        <f t="shared" si="21"/>
        <v>21670000</v>
      </c>
      <c r="I47" vm="2401">
        <f t="shared" si="21"/>
        <v>36890000</v>
      </c>
      <c r="J47" vm="2394">
        <f t="shared" si="21"/>
        <v>9500000</v>
      </c>
      <c r="K47" vm="2397">
        <f t="shared" si="21"/>
        <v>6650000</v>
      </c>
      <c r="L47" vm="2399">
        <f t="shared" si="21"/>
        <v>1200000</v>
      </c>
      <c r="M47">
        <f t="shared" si="21"/>
        <v>0</v>
      </c>
      <c r="N47" vm="2395">
        <f t="shared" si="21"/>
        <v>32786000</v>
      </c>
      <c r="O47">
        <f t="shared" si="21"/>
        <v>0</v>
      </c>
      <c r="P47" vm="2400">
        <f t="shared" si="21"/>
        <v>14160000</v>
      </c>
      <c r="Q47" vm="2402">
        <f t="shared" si="21"/>
        <v>11825000</v>
      </c>
      <c r="R47" s="203">
        <f t="shared" si="23"/>
        <v>139306600</v>
      </c>
    </row>
    <row r="49" spans="2:18" s="9" customFormat="1" x14ac:dyDescent="0.25">
      <c r="B49" s="218" t="s">
        <v>296</v>
      </c>
      <c r="C49">
        <f t="shared" ref="C49:Q49" si="26">SUM(C43:C46)</f>
        <v>0</v>
      </c>
      <c r="D49">
        <f t="shared" si="26"/>
        <v>2000000</v>
      </c>
      <c r="E49">
        <f t="shared" si="26"/>
        <v>2000000</v>
      </c>
      <c r="F49">
        <f t="shared" si="26"/>
        <v>0</v>
      </c>
      <c r="G49">
        <f t="shared" si="26"/>
        <v>826000</v>
      </c>
      <c r="H49">
        <f t="shared" si="26"/>
        <v>18000000</v>
      </c>
      <c r="I49">
        <f t="shared" si="26"/>
        <v>0</v>
      </c>
      <c r="J49">
        <f t="shared" si="26"/>
        <v>3500000</v>
      </c>
      <c r="K49">
        <f t="shared" si="26"/>
        <v>1890000</v>
      </c>
      <c r="L49">
        <f t="shared" si="26"/>
        <v>1200000</v>
      </c>
      <c r="M49">
        <f t="shared" si="26"/>
        <v>0</v>
      </c>
      <c r="N49">
        <f t="shared" si="26"/>
        <v>0</v>
      </c>
      <c r="O49">
        <f t="shared" si="26"/>
        <v>0</v>
      </c>
      <c r="P49">
        <f t="shared" si="26"/>
        <v>0</v>
      </c>
      <c r="Q49">
        <f t="shared" si="26"/>
        <v>6825000</v>
      </c>
      <c r="R49" s="9">
        <f>SUM(R43:R46)</f>
        <v>32241000</v>
      </c>
    </row>
    <row r="50" spans="2:18" s="9" customFormat="1" x14ac:dyDescent="0.25">
      <c r="B50" s="218" t="s">
        <v>297</v>
      </c>
      <c r="C50" s="9">
        <f t="shared" ref="C50:Q50" si="27">SUM(C41:C42)</f>
        <v>0</v>
      </c>
      <c r="D50" s="9">
        <f t="shared" si="27"/>
        <v>0</v>
      </c>
      <c r="E50" s="9">
        <f t="shared" si="27"/>
        <v>0</v>
      </c>
      <c r="F50">
        <f t="shared" si="27"/>
        <v>0</v>
      </c>
      <c r="G50">
        <f t="shared" si="27"/>
        <v>3799600</v>
      </c>
      <c r="H50">
        <f t="shared" si="27"/>
        <v>3670000</v>
      </c>
      <c r="I50">
        <f t="shared" si="27"/>
        <v>36890000</v>
      </c>
      <c r="J50">
        <f t="shared" si="27"/>
        <v>6000000</v>
      </c>
      <c r="K50">
        <f t="shared" si="27"/>
        <v>4760000</v>
      </c>
      <c r="L50">
        <f t="shared" si="27"/>
        <v>0</v>
      </c>
      <c r="M50">
        <f t="shared" si="27"/>
        <v>0</v>
      </c>
      <c r="N50">
        <f t="shared" si="27"/>
        <v>32786000</v>
      </c>
      <c r="O50">
        <f t="shared" si="27"/>
        <v>0</v>
      </c>
      <c r="P50">
        <f t="shared" si="27"/>
        <v>14160000</v>
      </c>
      <c r="Q50">
        <f t="shared" si="27"/>
        <v>5000000</v>
      </c>
      <c r="R50" s="9">
        <f>SUM(R41:R42)</f>
        <v>107065600</v>
      </c>
    </row>
    <row r="51" spans="2:18" x14ac:dyDescent="0.25">
      <c r="R51">
        <f t="shared" ref="R51" si="28">SUM(R49:R50)</f>
        <v>139306600</v>
      </c>
    </row>
    <row r="53" spans="2:18" x14ac:dyDescent="0.25">
      <c r="R53" s="258">
        <f>R31-R51</f>
        <v>0</v>
      </c>
    </row>
    <row r="54" spans="2:18" x14ac:dyDescent="0.25">
      <c r="B54" t="str" vm="137">
        <f>CUBEMEMBER("ThisWorkbookDataModel","[Measures].[Sum of Проценета вредност на набавка со ДДВ (денари)]")</f>
        <v>Sum of Проценета вредност на набавка со ДДВ (денари)</v>
      </c>
      <c r="C54" s="219" t="s">
        <v>295</v>
      </c>
    </row>
    <row r="55" spans="2:18" x14ac:dyDescent="0.25">
      <c r="B55" t="s">
        <v>291</v>
      </c>
      <c r="C55" s="219" t="e">
        <f>CUBEMEMBER("ThisWorkbookDataModel","[CAPEX].[Очекуван датум за ставање во употреба (месец)].&amp;[2021-11-01T00:00:00]")</f>
        <v>#N/A</v>
      </c>
      <c r="D55" s="219" t="e">
        <f>CUBEMEMBER("ThisWorkbookDataModel","[CAPEX].[Очекуван датум за ставање во употреба (месец)].&amp;[2021-12-01T00:00:00]")</f>
        <v>#N/A</v>
      </c>
      <c r="F55" t="str" vm="2486">
        <f>CUBEMEMBER("ThisWorkbookDataModel","[CAPEX].[Очекуван датум за ставање во употреба (месец)].&amp;[2022-01-01T00:00:00]")</f>
        <v>1/1/2022</v>
      </c>
      <c r="G55" t="e">
        <f>CUBEMEMBER("ThisWorkbookDataModel","[CAPEX].[Очекуван датум за ставање во употреба (месец)].&amp;[2022-02-01T00:00:00]")</f>
        <v>#N/A</v>
      </c>
      <c r="H55" t="e">
        <f>CUBEMEMBER("ThisWorkbookDataModel","[CAPEX].[Очекуван датум за ставање во употреба (месец)].&amp;[2022-03-01T00:00:00]")</f>
        <v>#N/A</v>
      </c>
      <c r="I55" t="str" vm="2437">
        <f>CUBEMEMBER("ThisWorkbookDataModel","[CAPEX].[Очекуван датум за ставање во употреба (месец)].&amp;[2022-04-01T00:00:00]")</f>
        <v>4/1/2022</v>
      </c>
      <c r="J55" t="str" vm="2444">
        <f>CUBEMEMBER("ThisWorkbookDataModel","[CAPEX].[Очекуван датум за ставање во употреба (месец)].&amp;[2022-05-01T00:00:00]")</f>
        <v>5/1/2022</v>
      </c>
      <c r="K55" t="str" vm="2451">
        <f>CUBEMEMBER("ThisWorkbookDataModel","[CAPEX].[Очекуван датум за ставање во употреба (месец)].&amp;[2022-06-01T00:00:00]")</f>
        <v>6/1/2022</v>
      </c>
      <c r="L55" t="str" vm="2458">
        <f>CUBEMEMBER("ThisWorkbookDataModel","[CAPEX].[Очекуван датум за ставање во употреба (месец)].&amp;[2022-07-01T00:00:00]")</f>
        <v>7/1/2022</v>
      </c>
      <c r="M55" t="e">
        <f>CUBEMEMBER("ThisWorkbookDataModel","[CAPEX].[Очекуван датум за ставање во употреба (месец)].&amp;[2022-08-01T00:00:00]")</f>
        <v>#N/A</v>
      </c>
      <c r="N55" t="str" vm="2465">
        <f>CUBEMEMBER("ThisWorkbookDataModel","[CAPEX].[Очекуван датум за ставање во употреба (месец)].&amp;[2022-09-01T00:00:00]")</f>
        <v>9/1/2022</v>
      </c>
      <c r="O55" t="str" vm="2472">
        <f>CUBEMEMBER("ThisWorkbookDataModel","[CAPEX].[Очекуван датум за ставање во употреба (месец)].&amp;[2022-10-01T00:00:00]")</f>
        <v>10/1/2022</v>
      </c>
      <c r="P55" t="str" vm="2479">
        <f>CUBEMEMBER("ThisWorkbookDataModel","[CAPEX].[Очекуван датум за ставање во употреба (месец)].&amp;[2022-11-01T00:00:00]")</f>
        <v>11/1/2022</v>
      </c>
      <c r="Q55" t="e">
        <f>CUBEMEMBER("ThisWorkbookDataModel","[CAPEX].[Очекуван датум за ставање во употреба (месец)].&amp;[2022-12-01T00:00:00]")</f>
        <v>#N/A</v>
      </c>
      <c r="R55" t="str" vm="250">
        <f>CUBEMEMBER("ThisWorkbookDataModel","[Calendar].[Година].&amp;[2022]","2022 Total")</f>
        <v>2022 Total</v>
      </c>
    </row>
    <row r="56" spans="2:18" x14ac:dyDescent="0.25">
      <c r="B56" t="str" vm="227">
        <f>CUBEMEMBER("ThisWorkbookDataModel","[CAPEX].[Конто Средства].&amp;[0030]")</f>
        <v>0030</v>
      </c>
      <c r="C56">
        <f t="shared" ref="C56:D61" si="29">IF(ISERROR(CUBEVALUE("ThisWorkbookDataModel",$B$39,$B56,C$55)),0,CUBEVALUE("ThisWorkbookDataModel",$B$39,$B56,C$55))</f>
        <v>0</v>
      </c>
      <c r="D56">
        <f t="shared" si="29"/>
        <v>0</v>
      </c>
      <c r="E56" s="9">
        <f t="shared" ref="E56:E61" si="30">SUM(C56:D56)</f>
        <v>0</v>
      </c>
      <c r="F56" t="str" vm="2488">
        <f t="shared" ref="F56:Q61" si="31">IF(ISERROR(CUBEVALUE("ThisWorkbookDataModel",$B$39,$B56,F$55)),0,CUBEVALUE("ThisWorkbookDataModel",$B$39,$B56,F$55))</f>
        <v/>
      </c>
      <c r="G56">
        <f t="shared" si="31"/>
        <v>0</v>
      </c>
      <c r="H56">
        <f t="shared" si="31"/>
        <v>0</v>
      </c>
      <c r="I56" t="str" vm="2439">
        <f t="shared" si="31"/>
        <v/>
      </c>
      <c r="J56" t="str" vm="2450">
        <f t="shared" si="31"/>
        <v/>
      </c>
      <c r="K56" vm="2453">
        <f t="shared" si="31"/>
        <v>495600</v>
      </c>
      <c r="L56" t="str" vm="2461">
        <f t="shared" si="31"/>
        <v/>
      </c>
      <c r="M56">
        <f t="shared" si="31"/>
        <v>0</v>
      </c>
      <c r="N56" t="str" vm="2471">
        <f t="shared" si="31"/>
        <v/>
      </c>
      <c r="O56" vm="2477">
        <f t="shared" si="31"/>
        <v>1260000</v>
      </c>
      <c r="P56" vm="2485">
        <f t="shared" si="31"/>
        <v>14160000</v>
      </c>
      <c r="Q56">
        <f t="shared" si="31"/>
        <v>0</v>
      </c>
      <c r="R56">
        <f t="shared" ref="R56:R61" si="32">SUM(F56:Q56)</f>
        <v>15915600</v>
      </c>
    </row>
    <row r="57" spans="2:18" x14ac:dyDescent="0.25">
      <c r="B57" t="str" vm="229">
        <f>CUBEMEMBER("ThisWorkbookDataModel","[CAPEX].[Конто Средства].&amp;[0031]")</f>
        <v>0031</v>
      </c>
      <c r="C57">
        <f t="shared" si="29"/>
        <v>0</v>
      </c>
      <c r="D57">
        <f t="shared" si="29"/>
        <v>0</v>
      </c>
      <c r="E57" s="9">
        <f t="shared" si="30"/>
        <v>0</v>
      </c>
      <c r="F57" t="str" vm="2490">
        <f t="shared" si="31"/>
        <v/>
      </c>
      <c r="G57">
        <f t="shared" si="31"/>
        <v>0</v>
      </c>
      <c r="H57">
        <f t="shared" si="31"/>
        <v>0</v>
      </c>
      <c r="I57" vm="2442">
        <f t="shared" si="31"/>
        <v>1180000</v>
      </c>
      <c r="J57" t="str" vm="2449">
        <f t="shared" si="31"/>
        <v/>
      </c>
      <c r="K57" vm="2456">
        <f t="shared" si="31"/>
        <v>2124000</v>
      </c>
      <c r="L57" t="str" vm="2464">
        <f t="shared" si="31"/>
        <v/>
      </c>
      <c r="M57">
        <f t="shared" si="31"/>
        <v>0</v>
      </c>
      <c r="N57" vm="2468">
        <f t="shared" si="31"/>
        <v>6811000</v>
      </c>
      <c r="O57" t="str" vm="2476">
        <f t="shared" si="31"/>
        <v/>
      </c>
      <c r="P57" t="str" vm="2483">
        <f t="shared" si="31"/>
        <v/>
      </c>
      <c r="Q57">
        <f t="shared" si="31"/>
        <v>0</v>
      </c>
      <c r="R57">
        <f t="shared" si="32"/>
        <v>10115000</v>
      </c>
    </row>
    <row r="58" spans="2:18" x14ac:dyDescent="0.25">
      <c r="B58" t="str" vm="2426">
        <f>CUBEMEMBER("ThisWorkbookDataModel","[CAPEX].[Конто Средства].&amp;[01363]")</f>
        <v>01363</v>
      </c>
      <c r="C58">
        <f t="shared" si="29"/>
        <v>0</v>
      </c>
      <c r="D58">
        <f t="shared" si="29"/>
        <v>0</v>
      </c>
      <c r="E58" s="9">
        <f t="shared" si="30"/>
        <v>0</v>
      </c>
      <c r="F58" t="str" vm="2492">
        <f t="shared" si="31"/>
        <v/>
      </c>
      <c r="G58">
        <f t="shared" si="31"/>
        <v>0</v>
      </c>
      <c r="H58">
        <f t="shared" si="31"/>
        <v>0</v>
      </c>
      <c r="I58" t="str" vm="2443">
        <f t="shared" si="31"/>
        <v/>
      </c>
      <c r="J58" t="str" vm="2446">
        <f t="shared" si="31"/>
        <v/>
      </c>
      <c r="K58" vm="2454">
        <f t="shared" si="31"/>
        <v>630000</v>
      </c>
      <c r="L58" t="str" vm="2462">
        <f t="shared" si="31"/>
        <v/>
      </c>
      <c r="M58">
        <f t="shared" si="31"/>
        <v>0</v>
      </c>
      <c r="N58" t="str" vm="2467">
        <f t="shared" si="31"/>
        <v/>
      </c>
      <c r="O58" t="str" vm="2474">
        <f t="shared" si="31"/>
        <v/>
      </c>
      <c r="P58" t="str" vm="2482">
        <f t="shared" si="31"/>
        <v/>
      </c>
      <c r="Q58">
        <f t="shared" si="31"/>
        <v>0</v>
      </c>
      <c r="R58">
        <f t="shared" si="32"/>
        <v>630000</v>
      </c>
    </row>
    <row r="59" spans="2:18" x14ac:dyDescent="0.25">
      <c r="B59" t="str" vm="241">
        <f>CUBEMEMBER("ThisWorkbookDataModel","[CAPEX].[Конто Средства].&amp;[0191001]")</f>
        <v>0191001</v>
      </c>
      <c r="C59">
        <f t="shared" si="29"/>
        <v>0</v>
      </c>
      <c r="D59">
        <f t="shared" si="29"/>
        <v>0</v>
      </c>
      <c r="E59" s="9">
        <f t="shared" si="30"/>
        <v>0</v>
      </c>
      <c r="F59" vm="2491">
        <f t="shared" si="31"/>
        <v>2000000</v>
      </c>
      <c r="G59">
        <f t="shared" si="31"/>
        <v>0</v>
      </c>
      <c r="H59">
        <f t="shared" si="31"/>
        <v>0</v>
      </c>
      <c r="I59" t="str" vm="2441">
        <f t="shared" si="31"/>
        <v/>
      </c>
      <c r="J59" t="str" vm="2447">
        <f t="shared" si="31"/>
        <v/>
      </c>
      <c r="K59" t="str" vm="2455">
        <f t="shared" si="31"/>
        <v/>
      </c>
      <c r="L59" t="str" vm="2463">
        <f t="shared" si="31"/>
        <v/>
      </c>
      <c r="M59">
        <f t="shared" si="31"/>
        <v>0</v>
      </c>
      <c r="N59" t="str" vm="2470">
        <f t="shared" si="31"/>
        <v/>
      </c>
      <c r="O59" t="str" vm="2478">
        <f t="shared" si="31"/>
        <v/>
      </c>
      <c r="P59" t="str" vm="2484">
        <f t="shared" si="31"/>
        <v/>
      </c>
      <c r="Q59">
        <f t="shared" si="31"/>
        <v>0</v>
      </c>
      <c r="R59">
        <f t="shared" si="32"/>
        <v>2000000</v>
      </c>
    </row>
    <row r="60" spans="2:18" x14ac:dyDescent="0.25">
      <c r="B60" t="str" vm="2404">
        <f>CUBEMEMBER("ThisWorkbookDataModel","[CAPEX].[Конто Средства].&amp;[01213]")</f>
        <v>01213</v>
      </c>
      <c r="C60">
        <f t="shared" si="29"/>
        <v>0</v>
      </c>
      <c r="D60">
        <f t="shared" si="29"/>
        <v>0</v>
      </c>
      <c r="E60" s="9">
        <f t="shared" ref="E60" si="33">SUM(C60:D60)</f>
        <v>0</v>
      </c>
      <c r="F60" t="str" vm="2487">
        <f t="shared" si="31"/>
        <v/>
      </c>
      <c r="G60">
        <f t="shared" si="31"/>
        <v>0</v>
      </c>
      <c r="H60">
        <f t="shared" si="31"/>
        <v>0</v>
      </c>
      <c r="I60" t="str" vm="2438">
        <f t="shared" si="31"/>
        <v/>
      </c>
      <c r="J60" vm="2445">
        <f t="shared" si="31"/>
        <v>6825000</v>
      </c>
      <c r="K60" vm="2452">
        <f t="shared" si="31"/>
        <v>2086000</v>
      </c>
      <c r="L60" t="str" vm="2459">
        <f t="shared" si="31"/>
        <v/>
      </c>
      <c r="M60">
        <f t="shared" si="31"/>
        <v>0</v>
      </c>
      <c r="N60" t="str" vm="2466">
        <f t="shared" si="31"/>
        <v/>
      </c>
      <c r="O60" t="str" vm="2473">
        <f t="shared" si="31"/>
        <v/>
      </c>
      <c r="P60" t="str" vm="2480">
        <f t="shared" si="31"/>
        <v/>
      </c>
      <c r="Q60">
        <f t="shared" si="31"/>
        <v>0</v>
      </c>
      <c r="R60">
        <f t="shared" si="32"/>
        <v>8911000</v>
      </c>
    </row>
    <row r="61" spans="2:18" x14ac:dyDescent="0.25">
      <c r="B61" t="str" vm="2415">
        <f>CUBEMEMBER("ThisWorkbookDataModel","[CAPEX].[Конто Средства].&amp;[0135]")</f>
        <v>0135</v>
      </c>
      <c r="C61">
        <f t="shared" si="29"/>
        <v>0</v>
      </c>
      <c r="D61">
        <f t="shared" si="29"/>
        <v>0</v>
      </c>
      <c r="E61" s="9">
        <f t="shared" si="30"/>
        <v>0</v>
      </c>
      <c r="F61" t="str" vm="2489">
        <f t="shared" si="31"/>
        <v/>
      </c>
      <c r="G61">
        <f t="shared" si="31"/>
        <v>0</v>
      </c>
      <c r="H61">
        <f t="shared" si="31"/>
        <v>0</v>
      </c>
      <c r="I61" t="str" vm="2440">
        <f t="shared" si="31"/>
        <v/>
      </c>
      <c r="J61" t="str" vm="2448">
        <f t="shared" si="31"/>
        <v/>
      </c>
      <c r="K61" t="str" vm="2457">
        <f t="shared" si="31"/>
        <v/>
      </c>
      <c r="L61" vm="2460">
        <f t="shared" si="31"/>
        <v>1200000</v>
      </c>
      <c r="M61">
        <f t="shared" si="31"/>
        <v>0</v>
      </c>
      <c r="N61" t="str" vm="2469">
        <f t="shared" si="31"/>
        <v/>
      </c>
      <c r="O61" t="str" vm="2475">
        <f t="shared" si="31"/>
        <v/>
      </c>
      <c r="P61" t="str" vm="2481">
        <f t="shared" si="31"/>
        <v/>
      </c>
      <c r="Q61">
        <f t="shared" si="31"/>
        <v>0</v>
      </c>
      <c r="R61">
        <f t="shared" si="32"/>
        <v>1200000</v>
      </c>
    </row>
    <row r="62" spans="2:18" s="203" customFormat="1" x14ac:dyDescent="0.25">
      <c r="B62" s="203" t="str" vm="141">
        <f>CUBEMEMBER("ThisWorkbookDataModel","[CAPEX].[Конто Средства].[All]","Grand Total")</f>
        <v>Grand Total</v>
      </c>
      <c r="C62" s="203">
        <f>SUM(C56:C61)</f>
        <v>0</v>
      </c>
      <c r="D62" s="203">
        <f>SUM(D56:D61)</f>
        <v>0</v>
      </c>
      <c r="E62" s="203">
        <f>SUM(E56:E61)</f>
        <v>0</v>
      </c>
      <c r="F62" s="203">
        <f>SUM(F56:F61)</f>
        <v>2000000</v>
      </c>
      <c r="G62" s="203">
        <f t="shared" ref="G62:R62" si="34">SUM(G56:G61)</f>
        <v>0</v>
      </c>
      <c r="H62" s="203">
        <f t="shared" si="34"/>
        <v>0</v>
      </c>
      <c r="I62" s="203">
        <f t="shared" si="34"/>
        <v>1180000</v>
      </c>
      <c r="J62" s="203">
        <f t="shared" si="34"/>
        <v>6825000</v>
      </c>
      <c r="K62" s="203">
        <f t="shared" si="34"/>
        <v>5335600</v>
      </c>
      <c r="L62" s="203">
        <f t="shared" si="34"/>
        <v>1200000</v>
      </c>
      <c r="M62" s="203">
        <f t="shared" si="34"/>
        <v>0</v>
      </c>
      <c r="N62" s="203">
        <f t="shared" si="34"/>
        <v>6811000</v>
      </c>
      <c r="O62" s="203">
        <f t="shared" si="34"/>
        <v>1260000</v>
      </c>
      <c r="P62" s="203">
        <f t="shared" si="34"/>
        <v>14160000</v>
      </c>
      <c r="Q62" s="203">
        <f t="shared" si="34"/>
        <v>0</v>
      </c>
      <c r="R62" s="216">
        <f t="shared" si="34"/>
        <v>38771600</v>
      </c>
    </row>
    <row r="64" spans="2:18" x14ac:dyDescent="0.25">
      <c r="B64" s="217" t="s">
        <v>296</v>
      </c>
      <c r="C64" s="9">
        <f>SUM(C58:C61)</f>
        <v>0</v>
      </c>
      <c r="D64" s="9">
        <f t="shared" ref="D64:R64" si="35">SUM(D58:D61)</f>
        <v>0</v>
      </c>
      <c r="E64" s="9">
        <f t="shared" si="35"/>
        <v>0</v>
      </c>
      <c r="F64" s="9">
        <f t="shared" si="35"/>
        <v>2000000</v>
      </c>
      <c r="G64" s="9">
        <f t="shared" si="35"/>
        <v>0</v>
      </c>
      <c r="H64" s="9">
        <f t="shared" si="35"/>
        <v>0</v>
      </c>
      <c r="I64" s="9">
        <f t="shared" si="35"/>
        <v>0</v>
      </c>
      <c r="J64" s="9">
        <f t="shared" si="35"/>
        <v>6825000</v>
      </c>
      <c r="K64" s="9">
        <f t="shared" si="35"/>
        <v>2716000</v>
      </c>
      <c r="L64" s="9">
        <f t="shared" si="35"/>
        <v>1200000</v>
      </c>
      <c r="M64" s="9">
        <f t="shared" si="35"/>
        <v>0</v>
      </c>
      <c r="N64" s="9">
        <f t="shared" si="35"/>
        <v>0</v>
      </c>
      <c r="O64" s="9">
        <f t="shared" si="35"/>
        <v>0</v>
      </c>
      <c r="P64" s="9">
        <f t="shared" si="35"/>
        <v>0</v>
      </c>
      <c r="Q64" s="9">
        <f t="shared" si="35"/>
        <v>0</v>
      </c>
      <c r="R64" s="9">
        <f t="shared" si="35"/>
        <v>12741000</v>
      </c>
    </row>
    <row r="65" spans="2:20" x14ac:dyDescent="0.25">
      <c r="B65" s="217" t="s">
        <v>297</v>
      </c>
      <c r="C65" s="9">
        <f>SUM(C56:C57)</f>
        <v>0</v>
      </c>
      <c r="D65" s="9">
        <f t="shared" ref="D65:R65" si="36">SUM(D56:D57)</f>
        <v>0</v>
      </c>
      <c r="E65" s="9">
        <f t="shared" si="36"/>
        <v>0</v>
      </c>
      <c r="F65" s="9">
        <f t="shared" si="36"/>
        <v>0</v>
      </c>
      <c r="G65" s="9">
        <f t="shared" si="36"/>
        <v>0</v>
      </c>
      <c r="H65" s="9">
        <f t="shared" si="36"/>
        <v>0</v>
      </c>
      <c r="I65" s="9">
        <f t="shared" si="36"/>
        <v>1180000</v>
      </c>
      <c r="J65" s="9">
        <f t="shared" si="36"/>
        <v>0</v>
      </c>
      <c r="K65" s="9">
        <f t="shared" si="36"/>
        <v>2619600</v>
      </c>
      <c r="L65" s="9">
        <f t="shared" si="36"/>
        <v>0</v>
      </c>
      <c r="M65" s="9">
        <f t="shared" si="36"/>
        <v>0</v>
      </c>
      <c r="N65" s="9">
        <f t="shared" si="36"/>
        <v>6811000</v>
      </c>
      <c r="O65" s="9">
        <f t="shared" si="36"/>
        <v>1260000</v>
      </c>
      <c r="P65" s="9">
        <f t="shared" si="36"/>
        <v>14160000</v>
      </c>
      <c r="Q65" s="9">
        <f t="shared" si="36"/>
        <v>0</v>
      </c>
      <c r="R65" s="9">
        <f t="shared" si="36"/>
        <v>26030600</v>
      </c>
      <c r="S65">
        <v>49700104</v>
      </c>
      <c r="T65" s="9">
        <f>S65-R65</f>
        <v>23669504</v>
      </c>
    </row>
    <row r="68" spans="2:20" x14ac:dyDescent="0.25">
      <c r="R68" s="258">
        <f>R62-R64-R65</f>
        <v>0</v>
      </c>
    </row>
  </sheetData>
  <autoFilter ref="U5:U28" xr:uid="{00000000-0009-0000-0000-00000A000000}"/>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N41"/>
  <sheetViews>
    <sheetView topLeftCell="A13" workbookViewId="0">
      <selection activeCell="H36" sqref="H36"/>
    </sheetView>
  </sheetViews>
  <sheetFormatPr defaultRowHeight="15" x14ac:dyDescent="0.25"/>
  <cols>
    <col min="1" max="1" width="56.7109375" bestFit="1" customWidth="1"/>
    <col min="2" max="2" width="33.7109375" bestFit="1" customWidth="1"/>
    <col min="3" max="4" width="10.140625" bestFit="1" customWidth="1"/>
    <col min="5" max="5" width="10.85546875" bestFit="1" customWidth="1"/>
    <col min="6" max="6" width="10.140625" bestFit="1" customWidth="1"/>
    <col min="7" max="7" width="10.85546875" bestFit="1" customWidth="1"/>
    <col min="8" max="8" width="9.85546875" bestFit="1" customWidth="1"/>
    <col min="9" max="9" width="10.85546875" bestFit="1" customWidth="1"/>
    <col min="10" max="11" width="9.85546875" bestFit="1" customWidth="1"/>
    <col min="12" max="12" width="11.28515625" bestFit="1" customWidth="1"/>
    <col min="13" max="13" width="15.28515625" bestFit="1" customWidth="1"/>
    <col min="14" max="14" width="14.28515625" bestFit="1" customWidth="1"/>
    <col min="15" max="15" width="11.28515625" bestFit="1" customWidth="1"/>
    <col min="16" max="16" width="10.85546875" bestFit="1" customWidth="1"/>
    <col min="17" max="17" width="9.85546875" bestFit="1" customWidth="1"/>
    <col min="18" max="18" width="10.85546875" bestFit="1" customWidth="1"/>
    <col min="19" max="19" width="9.85546875" bestFit="1" customWidth="1"/>
    <col min="20" max="20" width="10.85546875" bestFit="1" customWidth="1"/>
    <col min="21" max="21" width="11.140625" bestFit="1" customWidth="1"/>
    <col min="22" max="22" width="12.7109375" bestFit="1" customWidth="1"/>
    <col min="23" max="23" width="10.85546875" bestFit="1" customWidth="1"/>
    <col min="24" max="24" width="11.140625" bestFit="1" customWidth="1"/>
    <col min="25" max="25" width="11.28515625" bestFit="1" customWidth="1"/>
    <col min="26" max="26" width="13.140625" bestFit="1" customWidth="1"/>
    <col min="27" max="27" width="10.28515625" bestFit="1" customWidth="1"/>
    <col min="28" max="29" width="10.140625" bestFit="1" customWidth="1"/>
    <col min="30" max="30" width="13.140625" bestFit="1" customWidth="1"/>
    <col min="31" max="31" width="10.28515625" bestFit="1" customWidth="1"/>
    <col min="32" max="33" width="10.140625" bestFit="1" customWidth="1"/>
    <col min="34" max="34" width="13.140625" bestFit="1" customWidth="1"/>
    <col min="35" max="35" width="11.140625" bestFit="1" customWidth="1"/>
    <col min="36" max="36" width="13.140625" bestFit="1" customWidth="1"/>
    <col min="37" max="37" width="12.7109375" bestFit="1" customWidth="1"/>
    <col min="38" max="38" width="9" bestFit="1" customWidth="1"/>
    <col min="39" max="42" width="11" bestFit="1" customWidth="1"/>
  </cols>
  <sheetData>
    <row r="1" spans="1:14" x14ac:dyDescent="0.25">
      <c r="A1" s="4" t="s">
        <v>152</v>
      </c>
      <c r="B1" t="s" vm="119">
        <v>248</v>
      </c>
    </row>
    <row r="2" spans="1:14" x14ac:dyDescent="0.25">
      <c r="A2" s="4" t="s">
        <v>244</v>
      </c>
      <c r="B2" t="s" vm="122">
        <v>274</v>
      </c>
    </row>
    <row r="3" spans="1:14" x14ac:dyDescent="0.25">
      <c r="A3" s="4" t="s">
        <v>151</v>
      </c>
      <c r="B3" t="s" vm="2114">
        <v>579</v>
      </c>
    </row>
    <row r="5" spans="1:14" x14ac:dyDescent="0.25">
      <c r="A5" s="4" t="s">
        <v>136</v>
      </c>
      <c r="B5" s="4" t="s">
        <v>137</v>
      </c>
    </row>
    <row r="6" spans="1:14" x14ac:dyDescent="0.25">
      <c r="A6" s="4" t="s">
        <v>242</v>
      </c>
      <c r="B6" t="s">
        <v>140</v>
      </c>
      <c r="C6" t="s">
        <v>141</v>
      </c>
      <c r="D6" t="s">
        <v>142</v>
      </c>
      <c r="E6" t="s">
        <v>143</v>
      </c>
      <c r="F6" t="s">
        <v>144</v>
      </c>
      <c r="G6" t="s">
        <v>145</v>
      </c>
      <c r="H6" t="s">
        <v>146</v>
      </c>
      <c r="I6" t="s">
        <v>147</v>
      </c>
      <c r="J6" t="s">
        <v>148</v>
      </c>
      <c r="K6" t="s">
        <v>149</v>
      </c>
      <c r="L6" t="s">
        <v>138</v>
      </c>
    </row>
    <row r="7" spans="1:14" x14ac:dyDescent="0.25">
      <c r="A7" s="7" t="s">
        <v>1004</v>
      </c>
      <c r="B7" s="1">
        <v>77220704</v>
      </c>
      <c r="C7" s="1">
        <v>67317595</v>
      </c>
      <c r="D7" s="1">
        <v>60207498</v>
      </c>
      <c r="E7" s="1">
        <v>-10806701</v>
      </c>
      <c r="F7" s="1">
        <v>13312504</v>
      </c>
      <c r="G7" s="1">
        <v>-19126252</v>
      </c>
      <c r="H7" s="1">
        <v>-5069079</v>
      </c>
      <c r="I7" s="1">
        <v>-12811104</v>
      </c>
      <c r="J7" s="1">
        <v>-6039823</v>
      </c>
      <c r="K7" s="1">
        <v>-9572541</v>
      </c>
      <c r="L7" s="1">
        <v>154632801</v>
      </c>
      <c r="M7" s="41">
        <f>GETPIVOTDATA("[Measures].[Sum of Износ]",$A$5,"[fActualAndBudget].[StavkaKategorija]","[fActualAndBudget].[StavkaKategorija].&amp;[1.1. Парични средства]")+GETPIVOTDATA("[Measures].[Sum of Износ]",$A$5,"[fActualAndBudget].[StavkaKategorija]","[fActualAndBudget].[StavkaKategorija].&amp;[1.2. Побарувања]")+GETPIVOTDATA("[Measures].[Sum of Износ]",$A$5,"[fActualAndBudget].[StavkaKategorija]","[fActualAndBudget].[StavkaKategorija].&amp;[1.3. Залихи]")+GETPIVOTDATA("[Measures].[Sum of Износ]",$A$5,"[fActualAndBudget].[StavkaKategorija]","[fActualAndBudget].[StavkaKategorija].&amp;[1.7. Материјални средства и вложувања во недвижности]")+GETPIVOTDATA("[Measures].[Sum of Износ]",$A$5,"[fActualAndBudget].[StavkaKategorija]","[fActualAndBudget].[StavkaKategorija].&amp;[1.9. Нематеријални средства]")</f>
        <v>813053559</v>
      </c>
      <c r="N7" s="41"/>
    </row>
    <row r="8" spans="1:14" x14ac:dyDescent="0.25">
      <c r="A8" s="7" t="s">
        <v>1005</v>
      </c>
      <c r="B8" s="1">
        <v>0</v>
      </c>
      <c r="C8" s="1">
        <v>0</v>
      </c>
      <c r="D8" s="1">
        <v>0</v>
      </c>
      <c r="E8" s="1">
        <v>0</v>
      </c>
      <c r="F8" s="1">
        <v>0</v>
      </c>
      <c r="G8" s="1">
        <v>0</v>
      </c>
      <c r="H8" s="1">
        <v>0</v>
      </c>
      <c r="I8" s="1">
        <v>0</v>
      </c>
      <c r="J8" s="1">
        <v>0</v>
      </c>
      <c r="K8" s="1">
        <v>0</v>
      </c>
      <c r="L8" s="1">
        <v>0</v>
      </c>
      <c r="M8" s="41">
        <f>GETPIVOTDATA("[Measures].[Sum of Износ]",$A$5,"[fActualAndBudget].[StavkaKategorija]","[fActualAndBudget].[StavkaKategorija].&amp;[1.14. Краткорочни обврски]")+GETPIVOTDATA("[Measures].[Sum of Износ]",$A$5,"[fActualAndBudget].[StavkaKategorija]","[fActualAndBudget].[StavkaKategorija].&amp;[1.15. Одложено плаќање на трошоци и приходи (ПВР)]")+GETPIVOTDATA("[Measures].[Sum of Износ]",$A$5,"[fActualAndBudget].[StavkaKategorija]","[fActualAndBudget].[StavkaKategorija].&amp;[1.17. Долгорочни обврски]")+GETPIVOTDATA("[Measures].[Sum of Износ]",$A$5,"[fActualAndBudget].[StavkaKategorija]","[fActualAndBudget].[StavkaKategorija].&amp;[1.21. Капитал]")+GETPIVOTDATA("[Measures].[Sum of Износ]",$A$5,"[fActualAndBudget].[StavkaKategorija]","[fActualAndBudget].[StavkaKategorija].&amp;[1.22. Акумулирана добивка]")+GETPIVOTDATA("[Measures].[Sum of Износ]",$A$5,"[fActualAndBudget].[StavkaKategorija]","[fActualAndBudget].[StavkaKategorija].&amp;[1.23. Резерви]")</f>
        <v>749133980</v>
      </c>
      <c r="N8" s="41">
        <f>M7-M8</f>
        <v>63919579</v>
      </c>
    </row>
    <row r="9" spans="1:14" x14ac:dyDescent="0.25">
      <c r="A9" s="7" t="s">
        <v>1006</v>
      </c>
      <c r="B9" s="1">
        <v>24705151</v>
      </c>
      <c r="C9" s="1">
        <v>-1816480</v>
      </c>
      <c r="D9" s="1">
        <v>-236267</v>
      </c>
      <c r="E9" s="1">
        <v>-19131709</v>
      </c>
      <c r="F9" s="1">
        <v>18876781</v>
      </c>
      <c r="G9" s="1">
        <v>-490439</v>
      </c>
      <c r="H9" s="1">
        <v>-132809</v>
      </c>
      <c r="I9" s="1">
        <v>213213</v>
      </c>
      <c r="J9" s="1">
        <v>570561</v>
      </c>
      <c r="K9" s="1">
        <v>168451</v>
      </c>
      <c r="L9" s="1">
        <v>22726453</v>
      </c>
      <c r="M9" s="41"/>
      <c r="N9" s="41"/>
    </row>
    <row r="10" spans="1:14" x14ac:dyDescent="0.25">
      <c r="A10" s="7" t="s">
        <v>1007</v>
      </c>
      <c r="B10" s="1">
        <v>102965817</v>
      </c>
      <c r="C10" s="1">
        <v>-392981</v>
      </c>
      <c r="D10" s="1">
        <v>-392981</v>
      </c>
      <c r="E10" s="1">
        <v>-392981</v>
      </c>
      <c r="F10" s="1">
        <v>-392981</v>
      </c>
      <c r="G10" s="1">
        <v>-392981</v>
      </c>
      <c r="H10" s="1">
        <v>-392981</v>
      </c>
      <c r="I10" s="1">
        <v>-392981</v>
      </c>
      <c r="J10" s="1">
        <v>-392981</v>
      </c>
      <c r="K10" s="1">
        <v>-392981</v>
      </c>
      <c r="L10" s="1">
        <v>99428988</v>
      </c>
    </row>
    <row r="11" spans="1:14" x14ac:dyDescent="0.25">
      <c r="A11" s="7" t="s">
        <v>1008</v>
      </c>
      <c r="B11" s="1">
        <v>86079840</v>
      </c>
      <c r="C11" s="1">
        <v>0</v>
      </c>
      <c r="D11" s="1">
        <v>0</v>
      </c>
      <c r="E11" s="1">
        <v>0</v>
      </c>
      <c r="F11" s="1">
        <v>0</v>
      </c>
      <c r="G11" s="1">
        <v>0</v>
      </c>
      <c r="H11" s="1">
        <v>0</v>
      </c>
      <c r="I11" s="1">
        <v>0</v>
      </c>
      <c r="J11" s="1">
        <v>0</v>
      </c>
      <c r="K11" s="1">
        <v>0</v>
      </c>
      <c r="L11" s="1">
        <v>86079840</v>
      </c>
      <c r="M11" s="1">
        <v>208235281</v>
      </c>
    </row>
    <row r="12" spans="1:14" x14ac:dyDescent="0.25">
      <c r="A12" s="7" t="s">
        <v>1009</v>
      </c>
      <c r="B12" s="1">
        <v>4246940</v>
      </c>
      <c r="C12" s="1">
        <v>-19205</v>
      </c>
      <c r="D12" s="1">
        <v>16512</v>
      </c>
      <c r="E12" s="1">
        <v>-1678</v>
      </c>
      <c r="F12" s="1">
        <v>-41250</v>
      </c>
      <c r="G12" s="1">
        <v>45371</v>
      </c>
      <c r="H12" s="1">
        <v>-1685</v>
      </c>
      <c r="I12" s="1">
        <v>1935</v>
      </c>
      <c r="J12" s="1">
        <v>0</v>
      </c>
      <c r="K12" s="1">
        <v>-67814</v>
      </c>
      <c r="L12" s="1">
        <v>4179126</v>
      </c>
      <c r="M12" s="1">
        <v>212533744</v>
      </c>
    </row>
    <row r="13" spans="1:14" x14ac:dyDescent="0.25">
      <c r="A13" s="7" t="s">
        <v>1010</v>
      </c>
      <c r="B13" s="1">
        <v>126859046</v>
      </c>
      <c r="C13" s="1">
        <v>0</v>
      </c>
      <c r="D13" s="1">
        <v>0</v>
      </c>
      <c r="E13" s="1">
        <v>0</v>
      </c>
      <c r="F13" s="1">
        <v>0</v>
      </c>
      <c r="G13" s="1">
        <v>0</v>
      </c>
      <c r="H13" s="1">
        <v>0</v>
      </c>
      <c r="I13" s="1">
        <v>0</v>
      </c>
      <c r="J13" s="1">
        <v>0</v>
      </c>
      <c r="K13" s="1">
        <v>0</v>
      </c>
      <c r="L13" s="1">
        <v>126859046</v>
      </c>
      <c r="M13" s="1">
        <f>M12-M11</f>
        <v>4298463</v>
      </c>
    </row>
    <row r="14" spans="1:14" x14ac:dyDescent="0.25">
      <c r="A14" s="7" t="s">
        <v>1011</v>
      </c>
      <c r="B14" s="1">
        <v>292646501</v>
      </c>
      <c r="C14" s="1">
        <v>0</v>
      </c>
      <c r="D14" s="1">
        <v>0</v>
      </c>
      <c r="E14" s="1">
        <v>0</v>
      </c>
      <c r="F14" s="1">
        <v>0</v>
      </c>
      <c r="G14" s="1">
        <v>0</v>
      </c>
      <c r="H14" s="1">
        <v>0</v>
      </c>
      <c r="I14" s="1">
        <v>0</v>
      </c>
      <c r="J14" s="1">
        <v>0</v>
      </c>
      <c r="K14" s="1">
        <v>0</v>
      </c>
      <c r="L14" s="1">
        <v>292646501</v>
      </c>
    </row>
    <row r="15" spans="1:14" x14ac:dyDescent="0.25">
      <c r="A15" s="7" t="s">
        <v>1012</v>
      </c>
      <c r="B15" s="1">
        <v>121393152</v>
      </c>
      <c r="C15" s="1">
        <v>0</v>
      </c>
      <c r="D15" s="1">
        <v>0</v>
      </c>
      <c r="E15" s="1">
        <v>0</v>
      </c>
      <c r="F15" s="1">
        <v>0</v>
      </c>
      <c r="G15" s="1">
        <v>0</v>
      </c>
      <c r="H15" s="1">
        <v>0</v>
      </c>
      <c r="I15" s="1">
        <v>0</v>
      </c>
      <c r="J15" s="1">
        <v>0</v>
      </c>
      <c r="K15" s="1">
        <v>0</v>
      </c>
      <c r="L15" s="1">
        <v>121393152</v>
      </c>
    </row>
    <row r="16" spans="1:14" x14ac:dyDescent="0.25">
      <c r="A16" s="7" t="s">
        <v>1013</v>
      </c>
      <c r="B16" s="1">
        <v>0</v>
      </c>
      <c r="C16" s="1">
        <v>0</v>
      </c>
      <c r="D16" s="1">
        <v>0</v>
      </c>
      <c r="E16" s="1">
        <v>0</v>
      </c>
      <c r="F16" s="1">
        <v>0</v>
      </c>
      <c r="G16" s="1">
        <v>0</v>
      </c>
      <c r="H16" s="1">
        <v>0</v>
      </c>
      <c r="I16" s="1">
        <v>0</v>
      </c>
      <c r="J16" s="1">
        <v>0</v>
      </c>
      <c r="K16" s="1">
        <v>0</v>
      </c>
      <c r="L16" s="1">
        <v>0</v>
      </c>
    </row>
    <row r="17" spans="1:12" x14ac:dyDescent="0.25">
      <c r="A17" s="7" t="s">
        <v>1014</v>
      </c>
      <c r="B17" s="1">
        <v>0</v>
      </c>
      <c r="C17" s="1">
        <v>0</v>
      </c>
      <c r="D17" s="1">
        <v>0</v>
      </c>
      <c r="E17" s="1">
        <v>0</v>
      </c>
      <c r="F17" s="1">
        <v>0</v>
      </c>
      <c r="G17" s="1">
        <v>0</v>
      </c>
      <c r="H17" s="1">
        <v>0</v>
      </c>
      <c r="I17" s="1">
        <v>0</v>
      </c>
      <c r="J17" s="1">
        <v>0</v>
      </c>
      <c r="K17" s="1">
        <v>0</v>
      </c>
      <c r="L17" s="1">
        <v>0</v>
      </c>
    </row>
    <row r="18" spans="1:12" x14ac:dyDescent="0.25">
      <c r="A18" s="7" t="s">
        <v>1015</v>
      </c>
      <c r="B18" s="1">
        <v>1379181</v>
      </c>
      <c r="C18" s="1">
        <v>150432</v>
      </c>
      <c r="D18" s="1">
        <v>-126971</v>
      </c>
      <c r="E18" s="1">
        <v>36988</v>
      </c>
      <c r="F18" s="1">
        <v>-190381</v>
      </c>
      <c r="G18" s="1">
        <v>177272</v>
      </c>
      <c r="H18" s="1">
        <v>-120950</v>
      </c>
      <c r="I18" s="1">
        <v>39708</v>
      </c>
      <c r="J18" s="1">
        <v>-85671</v>
      </c>
      <c r="K18" s="1">
        <v>-179418</v>
      </c>
      <c r="L18" s="1">
        <v>1080190</v>
      </c>
    </row>
    <row r="19" spans="1:12" x14ac:dyDescent="0.25">
      <c r="A19" s="7" t="s">
        <v>1016</v>
      </c>
      <c r="B19" s="1">
        <v>604443071</v>
      </c>
      <c r="C19" s="1">
        <v>-2430269</v>
      </c>
      <c r="D19" s="1">
        <v>-2421359</v>
      </c>
      <c r="E19" s="1">
        <v>-2427863</v>
      </c>
      <c r="F19" s="1">
        <v>-2427863</v>
      </c>
      <c r="G19" s="1">
        <v>14043405</v>
      </c>
      <c r="H19" s="1">
        <v>-2482620</v>
      </c>
      <c r="I19" s="1">
        <v>-2696353</v>
      </c>
      <c r="J19" s="1">
        <v>-1146557</v>
      </c>
      <c r="K19" s="1">
        <v>-1471449</v>
      </c>
      <c r="L19" s="1">
        <v>600982143</v>
      </c>
    </row>
    <row r="20" spans="1:12" x14ac:dyDescent="0.25">
      <c r="A20" s="7" t="s">
        <v>1017</v>
      </c>
      <c r="B20" s="1">
        <v>57898197</v>
      </c>
      <c r="C20" s="1">
        <v>-590840</v>
      </c>
      <c r="D20" s="1">
        <v>-590840</v>
      </c>
      <c r="E20" s="1">
        <v>-630806</v>
      </c>
      <c r="F20" s="1">
        <v>-630806</v>
      </c>
      <c r="G20" s="1">
        <v>-630806</v>
      </c>
      <c r="H20" s="1">
        <v>-630806</v>
      </c>
      <c r="I20" s="1">
        <v>-630806</v>
      </c>
      <c r="J20" s="1">
        <v>-1333936</v>
      </c>
      <c r="K20" s="1">
        <v>-49252</v>
      </c>
      <c r="L20" s="1">
        <v>52179299</v>
      </c>
    </row>
    <row r="23" spans="1:12" x14ac:dyDescent="0.25">
      <c r="A23" t="s">
        <v>1004</v>
      </c>
      <c r="B23" s="41">
        <v>77220704</v>
      </c>
      <c r="C23" s="41">
        <v>67317595</v>
      </c>
      <c r="D23" s="41">
        <v>60207498</v>
      </c>
      <c r="E23" s="41">
        <v>-10806701</v>
      </c>
      <c r="F23" s="41">
        <v>13312504</v>
      </c>
      <c r="G23" s="41">
        <v>-19126252</v>
      </c>
      <c r="H23" s="41">
        <v>-5069079</v>
      </c>
      <c r="I23" s="41">
        <v>-12811104</v>
      </c>
      <c r="J23" s="41">
        <v>-6039823</v>
      </c>
      <c r="K23" s="41">
        <v>-9572541</v>
      </c>
      <c r="L23" s="41">
        <v>154632801</v>
      </c>
    </row>
    <row r="24" spans="1:12" x14ac:dyDescent="0.25">
      <c r="A24" t="s">
        <v>1005</v>
      </c>
      <c r="B24" s="41">
        <v>0</v>
      </c>
      <c r="C24" s="41">
        <v>0</v>
      </c>
      <c r="D24" s="41">
        <v>0</v>
      </c>
      <c r="E24" s="41">
        <v>0</v>
      </c>
      <c r="F24" s="41">
        <v>0</v>
      </c>
      <c r="G24" s="41">
        <v>0</v>
      </c>
      <c r="H24" s="41">
        <v>0</v>
      </c>
      <c r="I24" s="41">
        <v>0</v>
      </c>
      <c r="J24" s="41">
        <v>0</v>
      </c>
      <c r="K24" s="41">
        <v>0</v>
      </c>
      <c r="L24" s="41">
        <v>0</v>
      </c>
    </row>
    <row r="25" spans="1:12" x14ac:dyDescent="0.25">
      <c r="A25" t="s">
        <v>1006</v>
      </c>
      <c r="B25" s="41">
        <v>24705151</v>
      </c>
      <c r="C25" s="41">
        <v>-1816480</v>
      </c>
      <c r="D25" s="41">
        <v>-236267</v>
      </c>
      <c r="E25" s="41">
        <v>-19131709</v>
      </c>
      <c r="F25" s="41">
        <v>18876781</v>
      </c>
      <c r="G25" s="41">
        <v>-490439</v>
      </c>
      <c r="H25" s="41">
        <v>-132809</v>
      </c>
      <c r="I25" s="41">
        <v>213213</v>
      </c>
      <c r="J25" s="41">
        <v>570561</v>
      </c>
      <c r="K25" s="41">
        <v>168451</v>
      </c>
      <c r="L25" s="41">
        <v>22726453</v>
      </c>
    </row>
    <row r="26" spans="1:12" x14ac:dyDescent="0.25">
      <c r="A26" t="s">
        <v>1007</v>
      </c>
      <c r="B26" s="41">
        <v>102965817</v>
      </c>
      <c r="C26" s="41">
        <v>-392981</v>
      </c>
      <c r="D26" s="41">
        <v>-392981</v>
      </c>
      <c r="E26" s="41">
        <v>-392981</v>
      </c>
      <c r="F26" s="41">
        <v>-392981</v>
      </c>
      <c r="G26" s="41">
        <v>-392981</v>
      </c>
      <c r="H26" s="41">
        <v>-392981</v>
      </c>
      <c r="I26" s="41">
        <v>-392981</v>
      </c>
      <c r="J26" s="41">
        <v>-392981</v>
      </c>
      <c r="K26" s="41">
        <v>-392981</v>
      </c>
      <c r="L26" s="41">
        <v>99428988</v>
      </c>
    </row>
    <row r="27" spans="1:12" x14ac:dyDescent="0.25">
      <c r="A27" t="s">
        <v>1008</v>
      </c>
      <c r="B27" s="41">
        <v>86079840</v>
      </c>
      <c r="C27" s="41">
        <v>0</v>
      </c>
      <c r="D27" s="41">
        <v>0</v>
      </c>
      <c r="E27" s="41">
        <v>0</v>
      </c>
      <c r="F27" s="41">
        <v>0</v>
      </c>
      <c r="G27" s="41">
        <v>0</v>
      </c>
      <c r="H27" s="41">
        <v>0</v>
      </c>
      <c r="I27" s="41">
        <v>0</v>
      </c>
      <c r="J27" s="41">
        <v>0</v>
      </c>
      <c r="K27" s="41">
        <v>0</v>
      </c>
      <c r="L27" s="41">
        <v>86079840</v>
      </c>
    </row>
    <row r="28" spans="1:12" x14ac:dyDescent="0.25">
      <c r="A28" t="s">
        <v>1009</v>
      </c>
      <c r="B28" s="41">
        <v>4246940</v>
      </c>
      <c r="C28" s="41">
        <v>-19205</v>
      </c>
      <c r="D28" s="41">
        <v>16512</v>
      </c>
      <c r="E28" s="41">
        <v>-1678</v>
      </c>
      <c r="F28" s="41">
        <v>-41250</v>
      </c>
      <c r="G28" s="41">
        <v>45371</v>
      </c>
      <c r="H28" s="41">
        <v>250</v>
      </c>
      <c r="I28" s="41">
        <v>1935</v>
      </c>
      <c r="J28" s="41">
        <v>0</v>
      </c>
      <c r="K28" s="41">
        <v>-67814</v>
      </c>
      <c r="L28" s="41">
        <v>4181061</v>
      </c>
    </row>
    <row r="29" spans="1:12" x14ac:dyDescent="0.25">
      <c r="A29" t="s">
        <v>1010</v>
      </c>
      <c r="B29" s="41">
        <v>126859046</v>
      </c>
      <c r="C29" s="41">
        <v>0</v>
      </c>
      <c r="D29" s="41">
        <v>0</v>
      </c>
      <c r="E29" s="41">
        <v>0</v>
      </c>
      <c r="F29" s="41">
        <v>0</v>
      </c>
      <c r="G29" s="41">
        <v>0</v>
      </c>
      <c r="H29" s="41">
        <v>0</v>
      </c>
      <c r="I29" s="41">
        <v>0</v>
      </c>
      <c r="J29" s="41">
        <v>0</v>
      </c>
      <c r="K29" s="41">
        <v>0</v>
      </c>
      <c r="L29" s="41">
        <v>126859046</v>
      </c>
    </row>
    <row r="30" spans="1:12" x14ac:dyDescent="0.25">
      <c r="A30" t="s">
        <v>1011</v>
      </c>
      <c r="B30" s="41">
        <v>292646501</v>
      </c>
      <c r="C30" s="41">
        <v>0</v>
      </c>
      <c r="D30" s="41">
        <v>0</v>
      </c>
      <c r="E30" s="41">
        <v>0</v>
      </c>
      <c r="F30" s="41">
        <v>0</v>
      </c>
      <c r="G30" s="41">
        <v>0</v>
      </c>
      <c r="H30" s="41">
        <v>0</v>
      </c>
      <c r="I30" s="41">
        <v>0</v>
      </c>
      <c r="J30" s="41">
        <v>0</v>
      </c>
      <c r="K30" s="41">
        <v>0</v>
      </c>
      <c r="L30" s="41">
        <v>292646501</v>
      </c>
    </row>
    <row r="31" spans="1:12" x14ac:dyDescent="0.25">
      <c r="A31" t="s">
        <v>1012</v>
      </c>
      <c r="B31" s="41">
        <v>121393152</v>
      </c>
      <c r="C31" s="41">
        <v>0</v>
      </c>
      <c r="D31" s="41">
        <v>0</v>
      </c>
      <c r="E31" s="41">
        <v>0</v>
      </c>
      <c r="F31" s="41">
        <v>0</v>
      </c>
      <c r="G31" s="41">
        <v>0</v>
      </c>
      <c r="H31" s="41">
        <v>0</v>
      </c>
      <c r="I31" s="41">
        <v>0</v>
      </c>
      <c r="J31" s="41">
        <v>0</v>
      </c>
      <c r="K31" s="41">
        <v>0</v>
      </c>
      <c r="L31" s="41">
        <v>121393152</v>
      </c>
    </row>
    <row r="32" spans="1:12" x14ac:dyDescent="0.25">
      <c r="A32" t="s">
        <v>1013</v>
      </c>
      <c r="B32" s="41">
        <v>0</v>
      </c>
      <c r="C32" s="41">
        <v>0</v>
      </c>
      <c r="D32" s="41">
        <v>0</v>
      </c>
      <c r="E32" s="41">
        <v>0</v>
      </c>
      <c r="F32" s="41">
        <v>0</v>
      </c>
      <c r="G32" s="41">
        <v>0</v>
      </c>
      <c r="H32" s="41">
        <v>0</v>
      </c>
      <c r="I32" s="41">
        <v>0</v>
      </c>
      <c r="J32" s="41">
        <v>0</v>
      </c>
      <c r="K32" s="41">
        <v>0</v>
      </c>
      <c r="L32" s="41">
        <v>0</v>
      </c>
    </row>
    <row r="33" spans="1:12" x14ac:dyDescent="0.25">
      <c r="A33" t="s">
        <v>1014</v>
      </c>
      <c r="B33" s="41">
        <v>0</v>
      </c>
      <c r="C33" s="41">
        <v>0</v>
      </c>
      <c r="D33" s="41">
        <v>0</v>
      </c>
      <c r="E33" s="41">
        <v>0</v>
      </c>
      <c r="F33" s="41">
        <v>0</v>
      </c>
      <c r="G33" s="41">
        <v>0</v>
      </c>
      <c r="H33" s="41">
        <v>0</v>
      </c>
      <c r="I33" s="41">
        <v>0</v>
      </c>
      <c r="J33" s="41">
        <v>0</v>
      </c>
      <c r="K33" s="41">
        <v>0</v>
      </c>
      <c r="L33" s="41">
        <v>0</v>
      </c>
    </row>
    <row r="34" spans="1:12" x14ac:dyDescent="0.25">
      <c r="A34" t="s">
        <v>1015</v>
      </c>
      <c r="B34" s="41">
        <v>1379181</v>
      </c>
      <c r="C34" s="41">
        <v>150432</v>
      </c>
      <c r="D34" s="41">
        <v>-126971</v>
      </c>
      <c r="E34" s="41">
        <v>36988</v>
      </c>
      <c r="F34" s="41">
        <v>-190381</v>
      </c>
      <c r="G34" s="41">
        <v>177272</v>
      </c>
      <c r="H34" s="41">
        <v>-120950</v>
      </c>
      <c r="I34" s="41">
        <v>39708</v>
      </c>
      <c r="J34" s="41">
        <v>-85671</v>
      </c>
      <c r="K34" s="41">
        <v>-179418</v>
      </c>
      <c r="L34" s="41">
        <v>1080190</v>
      </c>
    </row>
    <row r="35" spans="1:12" x14ac:dyDescent="0.25">
      <c r="A35" t="s">
        <v>1016</v>
      </c>
      <c r="B35" s="41">
        <v>604443071</v>
      </c>
      <c r="C35" s="41">
        <v>-2430269</v>
      </c>
      <c r="D35" s="41">
        <v>-2421359</v>
      </c>
      <c r="E35" s="41">
        <v>-2427863</v>
      </c>
      <c r="F35" s="41">
        <v>-2427863</v>
      </c>
      <c r="G35" s="41">
        <v>14043405</v>
      </c>
      <c r="H35" s="41">
        <v>-2482620</v>
      </c>
      <c r="I35" s="41">
        <v>-2696353</v>
      </c>
      <c r="J35" s="41">
        <v>-1146557</v>
      </c>
      <c r="K35" s="41">
        <v>-1471449</v>
      </c>
      <c r="L35" s="41">
        <v>600982143</v>
      </c>
    </row>
    <row r="36" spans="1:12" x14ac:dyDescent="0.25">
      <c r="A36" t="s">
        <v>1017</v>
      </c>
      <c r="B36" s="41">
        <v>57898197</v>
      </c>
      <c r="C36" s="41">
        <v>-590840</v>
      </c>
      <c r="D36" s="41">
        <v>-590840</v>
      </c>
      <c r="E36" s="41">
        <v>-630806</v>
      </c>
      <c r="F36" s="41">
        <v>-630806</v>
      </c>
      <c r="G36" s="41">
        <v>-630806</v>
      </c>
      <c r="H36" s="41">
        <v>-630806</v>
      </c>
      <c r="I36" s="41">
        <v>-630806</v>
      </c>
      <c r="J36" s="41">
        <v>-1333936</v>
      </c>
      <c r="K36" s="41">
        <v>-49252</v>
      </c>
      <c r="L36" s="41">
        <v>52179299</v>
      </c>
    </row>
    <row r="37" spans="1:12" x14ac:dyDescent="0.25">
      <c r="B37" s="41"/>
      <c r="C37" s="41"/>
      <c r="D37" s="41"/>
      <c r="E37" s="41"/>
      <c r="F37" s="41"/>
      <c r="G37" s="41"/>
      <c r="H37" s="41"/>
      <c r="I37" s="41"/>
      <c r="J37" s="41"/>
      <c r="K37" s="41"/>
      <c r="L37" s="41"/>
    </row>
    <row r="38" spans="1:12" x14ac:dyDescent="0.25">
      <c r="B38" s="41"/>
      <c r="C38" s="41"/>
      <c r="D38" s="41"/>
      <c r="E38" s="41"/>
      <c r="F38" s="41"/>
      <c r="G38" s="41"/>
      <c r="H38" s="41"/>
      <c r="I38" s="41"/>
      <c r="J38" s="41"/>
      <c r="K38" s="41"/>
      <c r="L38" s="41"/>
    </row>
    <row r="39" spans="1:12" x14ac:dyDescent="0.25">
      <c r="B39" s="41">
        <f>B23+B24+B28+B34+B35+B36</f>
        <v>745188093</v>
      </c>
      <c r="C39" s="41">
        <f t="shared" ref="C39:L39" si="0">C23+C24+C28+C34+C35+C36</f>
        <v>64427713</v>
      </c>
      <c r="D39" s="41">
        <f t="shared" si="0"/>
        <v>57084840</v>
      </c>
      <c r="E39" s="41">
        <f t="shared" si="0"/>
        <v>-13830060</v>
      </c>
      <c r="F39" s="41">
        <f t="shared" si="0"/>
        <v>10022204</v>
      </c>
      <c r="G39" s="41">
        <f t="shared" si="0"/>
        <v>-5491010</v>
      </c>
      <c r="H39" s="41">
        <f t="shared" si="0"/>
        <v>-8303205</v>
      </c>
      <c r="I39" s="41">
        <f t="shared" si="0"/>
        <v>-16096620</v>
      </c>
      <c r="J39" s="41">
        <f t="shared" si="0"/>
        <v>-8605987</v>
      </c>
      <c r="K39" s="41">
        <f t="shared" si="0"/>
        <v>-11340474</v>
      </c>
      <c r="L39" s="41">
        <f t="shared" si="0"/>
        <v>813055494</v>
      </c>
    </row>
    <row r="40" spans="1:12" x14ac:dyDescent="0.25">
      <c r="B40" s="104">
        <f>B25+B26+B27+B33+B29+B30+B31</f>
        <v>754649507</v>
      </c>
      <c r="C40" s="104">
        <f t="shared" ref="C40:L40" si="1">C25+C26+C27+C33+C29+C30+C31</f>
        <v>-2209461</v>
      </c>
      <c r="D40" s="104">
        <f t="shared" si="1"/>
        <v>-629248</v>
      </c>
      <c r="E40" s="104">
        <f t="shared" si="1"/>
        <v>-19524690</v>
      </c>
      <c r="F40" s="104">
        <f t="shared" si="1"/>
        <v>18483800</v>
      </c>
      <c r="G40" s="104">
        <f t="shared" si="1"/>
        <v>-883420</v>
      </c>
      <c r="H40" s="104">
        <f t="shared" si="1"/>
        <v>-525790</v>
      </c>
      <c r="I40" s="104">
        <f t="shared" si="1"/>
        <v>-179768</v>
      </c>
      <c r="J40" s="104">
        <f t="shared" si="1"/>
        <v>177580</v>
      </c>
      <c r="K40" s="104">
        <f t="shared" si="1"/>
        <v>-224530</v>
      </c>
      <c r="L40" s="104">
        <f t="shared" si="1"/>
        <v>749133980</v>
      </c>
    </row>
    <row r="41" spans="1:12" x14ac:dyDescent="0.25">
      <c r="L41" s="104">
        <f>L39-L40</f>
        <v>63921514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58"/>
  <sheetViews>
    <sheetView topLeftCell="B4" workbookViewId="0">
      <selection activeCell="H36" sqref="H36"/>
    </sheetView>
  </sheetViews>
  <sheetFormatPr defaultRowHeight="15" outlineLevelRow="1" x14ac:dyDescent="0.25"/>
  <cols>
    <col min="1" max="1" width="63.140625" bestFit="1" customWidth="1"/>
    <col min="2" max="2" width="13.7109375" customWidth="1"/>
    <col min="3" max="3" width="13.5703125" customWidth="1"/>
    <col min="4" max="4" width="12.5703125" bestFit="1" customWidth="1"/>
    <col min="5" max="6" width="11.5703125" bestFit="1" customWidth="1"/>
    <col min="7" max="7" width="12.28515625" bestFit="1" customWidth="1"/>
    <col min="8" max="8" width="11.5703125" bestFit="1" customWidth="1"/>
    <col min="9" max="10" width="11.28515625" bestFit="1" customWidth="1"/>
    <col min="11" max="11" width="12.28515625" bestFit="1" customWidth="1"/>
    <col min="12" max="12" width="11.28515625" bestFit="1" customWidth="1"/>
    <col min="13" max="13" width="12.28515625" bestFit="1" customWidth="1"/>
    <col min="14" max="14" width="15.28515625" bestFit="1" customWidth="1"/>
    <col min="15" max="15" width="13.28515625" bestFit="1" customWidth="1"/>
    <col min="16" max="16" width="12.28515625" bestFit="1" customWidth="1"/>
    <col min="17" max="17" width="12.5703125" bestFit="1" customWidth="1"/>
    <col min="18" max="18" width="13.42578125" bestFit="1" customWidth="1"/>
    <col min="19" max="19" width="10.85546875" bestFit="1" customWidth="1"/>
    <col min="20" max="20" width="9.85546875" bestFit="1" customWidth="1"/>
    <col min="21" max="21" width="10.85546875" bestFit="1" customWidth="1"/>
    <col min="22" max="22" width="11.140625" bestFit="1" customWidth="1"/>
    <col min="23" max="23" width="12.7109375" bestFit="1" customWidth="1"/>
    <col min="24" max="24" width="10.85546875" bestFit="1" customWidth="1"/>
    <col min="25" max="25" width="11.140625" bestFit="1" customWidth="1"/>
    <col min="26" max="26" width="11.28515625" bestFit="1" customWidth="1"/>
    <col min="27" max="27" width="13.140625" bestFit="1" customWidth="1"/>
    <col min="28" max="28" width="10.28515625" bestFit="1" customWidth="1"/>
    <col min="29" max="30" width="10.140625" bestFit="1" customWidth="1"/>
    <col min="31" max="31" width="13.140625" bestFit="1" customWidth="1"/>
    <col min="32" max="32" width="10.28515625" bestFit="1" customWidth="1"/>
    <col min="33" max="34" width="10.140625" bestFit="1" customWidth="1"/>
    <col min="35" max="35" width="13.140625" bestFit="1" customWidth="1"/>
    <col min="36" max="36" width="11.140625" bestFit="1" customWidth="1"/>
    <col min="37" max="37" width="13.140625" bestFit="1" customWidth="1"/>
    <col min="38" max="38" width="12.7109375" bestFit="1" customWidth="1"/>
    <col min="39" max="39" width="9" bestFit="1" customWidth="1"/>
    <col min="40" max="43" width="11" bestFit="1" customWidth="1"/>
  </cols>
  <sheetData>
    <row r="1" spans="1:18" x14ac:dyDescent="0.25">
      <c r="A1" t="s">
        <v>152</v>
      </c>
      <c r="B1" t="str" vm="7">
        <f>CUBEMEMBER("ThisWorkbookDataModel","[fActualAndBudget].[ReportType].&amp;[Предвидување]")</f>
        <v>Предвидување</v>
      </c>
    </row>
    <row r="2" spans="1:18" x14ac:dyDescent="0.25">
      <c r="A2" t="s">
        <v>244</v>
      </c>
      <c r="B2" t="str" vm="144">
        <f>CUBEMEMBER("ThisWorkbookDataModel","[fActualAndBudget].[ObrazecIme].&amp;[Finansiski plan_Bilans na sostojba]")</f>
        <v>Finansiski plan_Bilans na sostojba</v>
      </c>
    </row>
    <row r="3" spans="1:18" x14ac:dyDescent="0.25">
      <c r="A3" t="s">
        <v>151</v>
      </c>
      <c r="B3" t="str" vm="142">
        <f>CUBEMEMBER("ThisWorkbookDataModel","[Calendar].[Година].&amp;[2021]")</f>
        <v>2021</v>
      </c>
    </row>
    <row r="5" spans="1:18" x14ac:dyDescent="0.25">
      <c r="A5" t="str" vm="10">
        <f>CUBEMEMBER("ThisWorkbookDataModel","[Measures].[Sum of Износ]")</f>
        <v>Sum of Износ</v>
      </c>
      <c r="B5" t="s">
        <v>137</v>
      </c>
    </row>
    <row r="6" spans="1:18" s="2" customFormat="1" ht="30" x14ac:dyDescent="0.25">
      <c r="A6" s="2" t="s">
        <v>242</v>
      </c>
      <c r="B6" s="2" t="str" vm="1">
        <f>CUBEMEMBER("ThisWorkbookDataModel","[Calendar].[Година].&amp;[2019]")</f>
        <v>2019</v>
      </c>
      <c r="C6" s="2" t="str" vm="11">
        <f>CUBEMEMBER("ThisWorkbookDataModel","[Calendar].[Година].&amp;[2020]")</f>
        <v>2020</v>
      </c>
      <c r="D6" s="2" t="str" vm="14">
        <f>CUBEMEMBER("ThisWorkbookDataModel","[Calendar].[Месец].&amp;[Jan]")</f>
        <v>Jan</v>
      </c>
      <c r="E6" s="2" t="str" vm="15">
        <f>CUBEMEMBER("ThisWorkbookDataModel","[Calendar].[Месец].&amp;[Feb]")</f>
        <v>Feb</v>
      </c>
      <c r="F6" s="2" t="str" vm="16">
        <f>CUBEMEMBER("ThisWorkbookDataModel","[Calendar].[Месец].&amp;[Mar]")</f>
        <v>Mar</v>
      </c>
      <c r="G6" s="2" t="str" vm="17">
        <f>CUBEMEMBER("ThisWorkbookDataModel","[Calendar].[Месец].&amp;[Apr]")</f>
        <v>Apr</v>
      </c>
      <c r="H6" s="2" t="str" vm="18">
        <f>CUBEMEMBER("ThisWorkbookDataModel","[Calendar].[Месец].&amp;[May]")</f>
        <v>May</v>
      </c>
      <c r="I6" s="2" t="str" vm="19">
        <f>CUBEMEMBER("ThisWorkbookDataModel","[Calendar].[Месец].&amp;[Jun]")</f>
        <v>Jun</v>
      </c>
      <c r="J6" s="2" t="str" vm="20">
        <f>CUBEMEMBER("ThisWorkbookDataModel","[Calendar].[Месец].&amp;[Jul]")</f>
        <v>Jul</v>
      </c>
      <c r="K6" s="2" t="str" vm="21">
        <f>CUBEMEMBER("ThisWorkbookDataModel","[Calendar].[Месец].&amp;[Aug]")</f>
        <v>Aug</v>
      </c>
      <c r="L6" s="2" t="str" vm="22">
        <f>CUBEMEMBER("ThisWorkbookDataModel","[Calendar].[Месец].&amp;[Sep]")</f>
        <v>Sep</v>
      </c>
      <c r="M6" s="2" t="str" vm="23">
        <f>CUBEMEMBER("ThisWorkbookDataModel","[Calendar].[Месец].&amp;[Oct]")</f>
        <v>Oct</v>
      </c>
      <c r="N6" s="2" t="str" vm="26">
        <f>CUBEMEMBER("ThisWorkbookDataModel","[Calendar].[Месец].[All]","Grand Total")</f>
        <v>Grand Total</v>
      </c>
      <c r="O6" s="2" t="s">
        <v>1139</v>
      </c>
      <c r="P6" s="2" t="s">
        <v>1148</v>
      </c>
      <c r="Q6" s="2" t="s">
        <v>1147</v>
      </c>
    </row>
    <row r="7" spans="1:18" s="9" customFormat="1" x14ac:dyDescent="0.25">
      <c r="A7" s="109" t="str" vm="123">
        <f>CUBEMEMBER("ThisWorkbookDataModel","[fActualAndBudget].[StavkaKategorija].&amp;[1.1. Парични средства]")</f>
        <v>1.1. Парични средства</v>
      </c>
      <c r="B7" s="200" vm="224">
        <f>CUBEVALUE("ThisWorkbookDataModel","[fActualAndBudget].[ReportType].&amp;[Остварено]",$B$2,$A$5,$A7,B$6)</f>
        <v>123932851</v>
      </c>
      <c r="C7" s="110" vm="1517">
        <f>CUBEVALUE("ThisWorkbookDataModel","[fActualAndBudget].[ReportType].&amp;[Остварено]",$B$2,$A$5,$A7,C$6)</f>
        <v>81347615</v>
      </c>
      <c r="D7" s="9" vm="1738">
        <f t="shared" ref="D7:N16" si="0">CUBEVALUE("ThisWorkbookDataModel",$B$1,$B$2,$B$3,$A$5,$A7,D$6)</f>
        <v>77220704</v>
      </c>
      <c r="E7" s="9" vm="1636">
        <f t="shared" si="0"/>
        <v>67317595</v>
      </c>
      <c r="F7" s="9" vm="2087">
        <f t="shared" si="0"/>
        <v>60207498</v>
      </c>
      <c r="G7" s="9" vm="1725">
        <f t="shared" si="0"/>
        <v>-10806701</v>
      </c>
      <c r="H7" s="9" vm="1895">
        <f t="shared" si="0"/>
        <v>13312504</v>
      </c>
      <c r="I7" s="9" vm="1774">
        <f t="shared" si="0"/>
        <v>-19126252</v>
      </c>
      <c r="J7" s="9" vm="1892">
        <f t="shared" si="0"/>
        <v>-5069079</v>
      </c>
      <c r="K7" s="9" vm="1720">
        <f t="shared" si="0"/>
        <v>-12811104</v>
      </c>
      <c r="L7" s="9" vm="2063">
        <f t="shared" si="0"/>
        <v>-6039823</v>
      </c>
      <c r="M7" s="9" vm="1783">
        <f t="shared" si="0"/>
        <v>-9572541</v>
      </c>
      <c r="N7" s="160" vm="1998">
        <f>CUBEVALUE("ThisWorkbookDataModel",$B$1,$B$2,$B$3,$A$5,$A7,N$6)</f>
        <v>154632801</v>
      </c>
      <c r="P7" s="221">
        <f>O13*2</f>
        <v>-45452906</v>
      </c>
      <c r="Q7" s="110">
        <f>SUM(N7:P7)</f>
        <v>109179895</v>
      </c>
      <c r="R7" s="221"/>
    </row>
    <row r="8" spans="1:18" outlineLevel="1" x14ac:dyDescent="0.25">
      <c r="A8" s="8" t="str" vm="165">
        <f>CUBEMEMBER("ThisWorkbookDataModel",{"[fActualAndBudget].[StavkaKategorija].&amp;[1.1. Парични средства]","[fActualAndBudget].[StavkaImeMK].&amp;[Готовина домашна валута]"})</f>
        <v>Готовина домашна валута</v>
      </c>
      <c r="B8" s="157" vm="186">
        <f t="shared" ref="B8:C53" si="1">CUBEVALUE("ThisWorkbookDataModel","[fActualAndBudget].[ReportType].&amp;[Остварено]",$B$2,$A$5,$A8,B$6)</f>
        <v>2942</v>
      </c>
      <c r="C8" vm="1519">
        <f t="shared" si="1"/>
        <v>18210</v>
      </c>
      <c r="D8" vm="1613">
        <f t="shared" si="0"/>
        <v>8895</v>
      </c>
      <c r="E8" vm="1640">
        <f t="shared" si="0"/>
        <v>-1630</v>
      </c>
      <c r="F8" vm="1871">
        <f t="shared" si="0"/>
        <v>0</v>
      </c>
      <c r="G8" vm="1625">
        <f t="shared" si="0"/>
        <v>-691</v>
      </c>
      <c r="H8" vm="1658">
        <f t="shared" si="0"/>
        <v>45310</v>
      </c>
      <c r="I8" vm="1940">
        <f t="shared" si="0"/>
        <v>-2206</v>
      </c>
      <c r="J8" vm="1978">
        <f t="shared" si="0"/>
        <v>-4100</v>
      </c>
      <c r="K8" vm="2003">
        <f t="shared" si="0"/>
        <v>0</v>
      </c>
      <c r="L8" vm="2072">
        <f t="shared" si="0"/>
        <v>-360</v>
      </c>
      <c r="M8" vm="1825">
        <f t="shared" si="0"/>
        <v>-1440</v>
      </c>
      <c r="N8" s="41" vm="1852">
        <f t="shared" si="0"/>
        <v>43778</v>
      </c>
      <c r="O8" s="41"/>
      <c r="P8" s="41"/>
      <c r="Q8" s="41">
        <f t="shared" ref="Q8:Q53" si="2">SUM(N8:P8)</f>
        <v>43778</v>
      </c>
    </row>
    <row r="9" spans="1:18" outlineLevel="1" x14ac:dyDescent="0.25">
      <c r="A9" s="8" t="str" vm="157">
        <f>CUBEMEMBER("ThisWorkbookDataModel",{"[fActualAndBudget].[StavkaKategorija].&amp;[1.1. Парични средства]","[fActualAndBudget].[StavkaImeMK].&amp;[Готовина странска валута]"})</f>
        <v>Готовина странска валута</v>
      </c>
      <c r="B9" s="157" vm="205">
        <f t="shared" si="1"/>
        <v>118504</v>
      </c>
      <c r="C9" vm="1509">
        <f t="shared" si="1"/>
        <v>261141</v>
      </c>
      <c r="D9" vm="1736">
        <f t="shared" si="0"/>
        <v>265377</v>
      </c>
      <c r="E9" vm="1743">
        <f t="shared" si="0"/>
        <v>1056</v>
      </c>
      <c r="F9" vm="1857">
        <f t="shared" si="0"/>
        <v>1903</v>
      </c>
      <c r="G9" vm="1827">
        <f t="shared" si="0"/>
        <v>-143</v>
      </c>
      <c r="H9" vm="1675">
        <f t="shared" si="0"/>
        <v>10018</v>
      </c>
      <c r="I9" vm="2058">
        <f t="shared" si="0"/>
        <v>521</v>
      </c>
      <c r="J9" vm="1908">
        <f t="shared" si="0"/>
        <v>-969</v>
      </c>
      <c r="K9" vm="1799">
        <f t="shared" si="0"/>
        <v>10950</v>
      </c>
      <c r="L9" vm="1709">
        <f t="shared" si="0"/>
        <v>938</v>
      </c>
      <c r="M9" vm="1712">
        <f t="shared" si="0"/>
        <v>-93</v>
      </c>
      <c r="N9" s="41" vm="1917">
        <f t="shared" si="0"/>
        <v>289558</v>
      </c>
      <c r="P9" s="41"/>
      <c r="Q9" s="41">
        <f t="shared" si="2"/>
        <v>289558</v>
      </c>
    </row>
    <row r="10" spans="1:18" outlineLevel="1" x14ac:dyDescent="0.25">
      <c r="A10" s="8" t="str" vm="154">
        <f>CUBEMEMBER("ThisWorkbookDataModel",{"[fActualAndBudget].[StavkaKategorija].&amp;[1.1. Парични средства]","[fActualAndBudget].[StavkaImeMK].&amp;[Жиро сметки]"})</f>
        <v>Жиро сметки</v>
      </c>
      <c r="B10" s="157" vm="194">
        <f t="shared" si="1"/>
        <v>123811405</v>
      </c>
      <c r="C10" vm="1498">
        <f t="shared" si="1"/>
        <v>81068264</v>
      </c>
      <c r="D10" vm="1933">
        <f t="shared" si="0"/>
        <v>76946432</v>
      </c>
      <c r="E10" vm="1788">
        <f t="shared" si="0"/>
        <v>67318169</v>
      </c>
      <c r="F10" vm="1696">
        <f t="shared" si="0"/>
        <v>60205595</v>
      </c>
      <c r="G10" vm="1856">
        <f t="shared" si="0"/>
        <v>-10805867</v>
      </c>
      <c r="H10" vm="1828">
        <f t="shared" si="0"/>
        <v>13257176</v>
      </c>
      <c r="I10" vm="1768">
        <f t="shared" si="0"/>
        <v>-19124567</v>
      </c>
      <c r="J10" vm="1820">
        <f t="shared" si="0"/>
        <v>-5064010</v>
      </c>
      <c r="K10" vm="1891">
        <f t="shared" si="0"/>
        <v>-12822054</v>
      </c>
      <c r="L10" vm="1734">
        <f t="shared" si="0"/>
        <v>-6040401</v>
      </c>
      <c r="M10" vm="1956">
        <f t="shared" si="0"/>
        <v>-9571008</v>
      </c>
      <c r="N10" s="41" vm="1623">
        <f t="shared" si="0"/>
        <v>154299465</v>
      </c>
      <c r="P10" s="41"/>
      <c r="Q10" s="41">
        <f t="shared" si="2"/>
        <v>154299465</v>
      </c>
    </row>
    <row r="11" spans="1:18" s="9" customFormat="1" x14ac:dyDescent="0.25">
      <c r="A11" s="109" t="str" vm="136">
        <f>CUBEMEMBER("ThisWorkbookDataModel","[fActualAndBudget].[StavkaKategorija].&amp;[1.13. Вонбилансна актива]")</f>
        <v>1.13. Вонбилансна актива</v>
      </c>
      <c r="B11" s="200" vm="211">
        <f t="shared" si="1"/>
        <v>0</v>
      </c>
      <c r="C11" s="110" vm="1524">
        <f t="shared" si="1"/>
        <v>0</v>
      </c>
      <c r="D11" s="9" vm="1718">
        <f t="shared" si="0"/>
        <v>0</v>
      </c>
      <c r="E11" s="9" vm="2062">
        <f t="shared" si="0"/>
        <v>0</v>
      </c>
      <c r="F11" s="9" vm="2083">
        <f t="shared" si="0"/>
        <v>0</v>
      </c>
      <c r="G11" s="9" vm="1603">
        <f t="shared" si="0"/>
        <v>0</v>
      </c>
      <c r="H11" s="9" vm="1661">
        <f t="shared" si="0"/>
        <v>0</v>
      </c>
      <c r="I11" s="9" vm="1713">
        <f t="shared" si="0"/>
        <v>0</v>
      </c>
      <c r="J11" s="9" vm="1798">
        <f t="shared" si="0"/>
        <v>0</v>
      </c>
      <c r="K11" s="9" vm="1840">
        <f t="shared" si="0"/>
        <v>0</v>
      </c>
      <c r="L11" s="9" vm="1622">
        <f t="shared" si="0"/>
        <v>0</v>
      </c>
      <c r="M11" s="9" vm="1959">
        <f t="shared" si="0"/>
        <v>0</v>
      </c>
      <c r="N11" s="110" vm="1792">
        <f t="shared" si="0"/>
        <v>0</v>
      </c>
      <c r="O11" s="110"/>
      <c r="P11" s="110"/>
      <c r="Q11" s="110">
        <f t="shared" si="2"/>
        <v>0</v>
      </c>
    </row>
    <row r="12" spans="1:18" outlineLevel="1" x14ac:dyDescent="0.25">
      <c r="A12" s="8" t="str" vm="166">
        <f>CUBEMEMBER("ThisWorkbookDataModel",{"[fActualAndBudget].[StavkaKategorija].&amp;[1.13. Вонбилансна актива]","[fActualAndBudget].[StavkaImeMK].&amp;[Вонбилансна актива]"})</f>
        <v>Вонбилансна актива</v>
      </c>
      <c r="B12" s="157" vm="201">
        <f t="shared" si="1"/>
        <v>0</v>
      </c>
      <c r="C12" s="157" vm="1500">
        <f t="shared" si="1"/>
        <v>0</v>
      </c>
      <c r="D12" vm="1758">
        <f t="shared" si="0"/>
        <v>0</v>
      </c>
      <c r="E12" vm="2005">
        <f t="shared" si="0"/>
        <v>0</v>
      </c>
      <c r="F12" vm="1643">
        <f t="shared" si="0"/>
        <v>0</v>
      </c>
      <c r="G12" vm="2046">
        <f t="shared" si="0"/>
        <v>0</v>
      </c>
      <c r="H12" vm="1949">
        <f t="shared" si="0"/>
        <v>0</v>
      </c>
      <c r="I12" vm="1612">
        <f t="shared" si="0"/>
        <v>0</v>
      </c>
      <c r="J12" vm="2026">
        <f t="shared" si="0"/>
        <v>0</v>
      </c>
      <c r="K12" vm="2080">
        <f t="shared" si="0"/>
        <v>0</v>
      </c>
      <c r="L12" vm="1889">
        <f t="shared" si="0"/>
        <v>0</v>
      </c>
      <c r="M12" vm="1881">
        <f t="shared" si="0"/>
        <v>0</v>
      </c>
      <c r="N12" s="41" vm="1647">
        <f t="shared" si="0"/>
        <v>0</v>
      </c>
      <c r="O12" s="41"/>
      <c r="P12" s="41"/>
      <c r="Q12" s="41">
        <f t="shared" si="2"/>
        <v>0</v>
      </c>
    </row>
    <row r="13" spans="1:18" s="9" customFormat="1" x14ac:dyDescent="0.25">
      <c r="A13" s="109" t="str" vm="134">
        <f>CUBEMEMBER("ThisWorkbookDataModel","[fActualAndBudget].[StavkaKategorija].&amp;[1.14. Краткорочни обврски]")</f>
        <v>1.14. Краткорочни обврски</v>
      </c>
      <c r="B13" s="200" vm="193">
        <f t="shared" si="1"/>
        <v>7448731</v>
      </c>
      <c r="C13" s="200" vm="1514">
        <f t="shared" si="1"/>
        <v>23095106</v>
      </c>
      <c r="D13" s="9" vm="1989">
        <f t="shared" si="0"/>
        <v>24705151</v>
      </c>
      <c r="E13" s="9" vm="1984">
        <f t="shared" si="0"/>
        <v>-1816480</v>
      </c>
      <c r="F13" s="9" vm="1980">
        <f t="shared" si="0"/>
        <v>-236267</v>
      </c>
      <c r="G13" s="9" vm="1782">
        <f t="shared" si="0"/>
        <v>-19131709</v>
      </c>
      <c r="H13" s="9" vm="1911">
        <f t="shared" si="0"/>
        <v>18876781</v>
      </c>
      <c r="I13" s="9" vm="2050">
        <f t="shared" si="0"/>
        <v>-490439</v>
      </c>
      <c r="J13" s="9" vm="2039">
        <f t="shared" si="0"/>
        <v>-132809</v>
      </c>
      <c r="K13" s="9" vm="1838">
        <f t="shared" si="0"/>
        <v>213213</v>
      </c>
      <c r="L13" s="9" vm="1853">
        <f t="shared" si="0"/>
        <v>570561</v>
      </c>
      <c r="M13" s="9" vm="1968">
        <f t="shared" si="0"/>
        <v>168451</v>
      </c>
      <c r="N13" s="302" vm="1760">
        <f t="shared" si="0"/>
        <v>22726453</v>
      </c>
      <c r="O13" s="110">
        <f>SUM(O14:O18)</f>
        <v>-22726453</v>
      </c>
      <c r="P13" s="110"/>
      <c r="Q13" s="110">
        <f t="shared" si="2"/>
        <v>0</v>
      </c>
    </row>
    <row r="14" spans="1:18" outlineLevel="1" x14ac:dyDescent="0.25">
      <c r="A14" s="8" t="str" vm="172">
        <f>CUBEMEMBER("ThisWorkbookDataModel",{"[fActualAndBudget].[StavkaKategorija].&amp;[1.14. Краткорочни обврски]","[fActualAndBudget].[StavkaImeMK].&amp;[Обврски за даноци и придонеси]"})</f>
        <v>Обврски за даноци и придонеси</v>
      </c>
      <c r="B14" s="157" vm="218">
        <f t="shared" si="1"/>
        <v>-343851</v>
      </c>
      <c r="C14" s="157" vm="1531">
        <f t="shared" si="1"/>
        <v>32480</v>
      </c>
      <c r="D14" vm="1701">
        <f t="shared" si="0"/>
        <v>6207331</v>
      </c>
      <c r="E14" vm="1977">
        <f t="shared" si="0"/>
        <v>-67175</v>
      </c>
      <c r="F14" vm="1769">
        <f t="shared" si="0"/>
        <v>93884</v>
      </c>
      <c r="G14" vm="1985">
        <f t="shared" si="0"/>
        <v>-6234040</v>
      </c>
      <c r="H14" vm="1637">
        <f t="shared" si="0"/>
        <v>6433511</v>
      </c>
      <c r="I14" vm="1982">
        <f t="shared" si="0"/>
        <v>-45522</v>
      </c>
      <c r="J14" vm="1627">
        <f t="shared" si="0"/>
        <v>-50604</v>
      </c>
      <c r="K14" vm="2077">
        <f t="shared" si="0"/>
        <v>-66605</v>
      </c>
      <c r="L14" vm="1641">
        <f t="shared" si="0"/>
        <v>55403</v>
      </c>
      <c r="M14" vm="1907">
        <f t="shared" si="0"/>
        <v>-15214</v>
      </c>
      <c r="N14" s="41" vm="1912">
        <f t="shared" si="0"/>
        <v>6310969</v>
      </c>
      <c r="O14" s="41">
        <f>-N14</f>
        <v>-6310969</v>
      </c>
      <c r="Q14" s="41">
        <f t="shared" si="2"/>
        <v>0</v>
      </c>
    </row>
    <row r="15" spans="1:18" outlineLevel="1" x14ac:dyDescent="0.25">
      <c r="A15" s="8" t="str" vm="170">
        <f>CUBEMEMBER("ThisWorkbookDataModel",{"[fActualAndBudget].[StavkaKategorija].&amp;[1.14. Краткорочни обврски]","[fActualAndBudget].[StavkaImeMK].&amp;[Обврски кон вработените]"})</f>
        <v>Обврски кон вработените</v>
      </c>
      <c r="B15" s="157" vm="214">
        <f t="shared" si="1"/>
        <v>-425233</v>
      </c>
      <c r="C15" s="157" vm="1516">
        <f t="shared" si="1"/>
        <v>168432</v>
      </c>
      <c r="D15" vm="1964">
        <f t="shared" si="0"/>
        <v>12161657</v>
      </c>
      <c r="E15" vm="1843">
        <f t="shared" si="0"/>
        <v>-126266</v>
      </c>
      <c r="F15" vm="2089">
        <f t="shared" si="0"/>
        <v>184233</v>
      </c>
      <c r="G15" vm="1791">
        <f t="shared" si="0"/>
        <v>-11757872</v>
      </c>
      <c r="H15" vm="1847">
        <f t="shared" si="0"/>
        <v>12144490</v>
      </c>
      <c r="I15" vm="1896">
        <f t="shared" si="0"/>
        <v>-90688</v>
      </c>
      <c r="J15" vm="2031">
        <f t="shared" si="0"/>
        <v>-97187</v>
      </c>
      <c r="K15" vm="1909">
        <f t="shared" si="0"/>
        <v>-130034</v>
      </c>
      <c r="L15" vm="2078">
        <f t="shared" si="0"/>
        <v>108386</v>
      </c>
      <c r="M15" vm="1771">
        <f t="shared" si="0"/>
        <v>-28873</v>
      </c>
      <c r="N15" s="41" vm="1817">
        <f t="shared" si="0"/>
        <v>12367846</v>
      </c>
      <c r="O15" s="41">
        <f>-N15</f>
        <v>-12367846</v>
      </c>
      <c r="P15" s="41"/>
      <c r="Q15" s="41">
        <f t="shared" si="2"/>
        <v>0</v>
      </c>
    </row>
    <row r="16" spans="1:18" outlineLevel="1" x14ac:dyDescent="0.25">
      <c r="A16" s="8" t="str" vm="164">
        <f>CUBEMEMBER("ThisWorkbookDataModel",{"[fActualAndBudget].[StavkaKategorija].&amp;[1.14. Краткорочни обврски]","[fActualAndBudget].[StavkaImeMK].&amp;[Обврски кон добавувачи во земјата]"})</f>
        <v>Обврски кон добавувачи во земјата</v>
      </c>
      <c r="B16" s="157" vm="200">
        <f t="shared" si="1"/>
        <v>7973667</v>
      </c>
      <c r="C16" s="157" vm="1532">
        <f t="shared" si="1"/>
        <v>22894194</v>
      </c>
      <c r="D16" vm="1898">
        <f t="shared" si="0"/>
        <v>6336163</v>
      </c>
      <c r="E16" vm="1803">
        <f t="shared" si="0"/>
        <v>-1623039</v>
      </c>
      <c r="F16" vm="1983">
        <f t="shared" si="0"/>
        <v>-514384</v>
      </c>
      <c r="G16" vm="1914">
        <f t="shared" si="0"/>
        <v>-1139797</v>
      </c>
      <c r="H16" vm="1667">
        <f t="shared" si="0"/>
        <v>298780</v>
      </c>
      <c r="I16" vm="1859">
        <f t="shared" si="0"/>
        <v>-354229</v>
      </c>
      <c r="J16" vm="1962">
        <f t="shared" si="0"/>
        <v>14982</v>
      </c>
      <c r="K16" vm="2047">
        <f t="shared" si="0"/>
        <v>409852</v>
      </c>
      <c r="L16" vm="1919">
        <f t="shared" si="0"/>
        <v>406772</v>
      </c>
      <c r="M16" vm="1767">
        <f t="shared" si="0"/>
        <v>212538</v>
      </c>
      <c r="N16" s="41" vm="1900">
        <f t="shared" si="0"/>
        <v>4047638</v>
      </c>
      <c r="O16" s="41">
        <f>-N16</f>
        <v>-4047638</v>
      </c>
      <c r="P16" s="41"/>
      <c r="Q16" s="41">
        <f t="shared" si="2"/>
        <v>0</v>
      </c>
    </row>
    <row r="17" spans="1:18" outlineLevel="1" x14ac:dyDescent="0.25">
      <c r="A17" s="8" t="str" vm="151">
        <f>CUBEMEMBER("ThisWorkbookDataModel",{"[fActualAndBudget].[StavkaKategorija].&amp;[1.14. Краткорочни обврски]","[fActualAndBudget].[StavkaImeMK].&amp;[Обврски спрема државата]"})</f>
        <v>Обврски спрема државата</v>
      </c>
      <c r="B17" s="157" vm="198">
        <f t="shared" si="1"/>
        <v>244148</v>
      </c>
      <c r="C17" s="157" vm="1513">
        <f t="shared" si="1"/>
        <v>0</v>
      </c>
      <c r="D17" vm="1887">
        <f t="shared" ref="D17:N26" si="3">CUBEVALUE("ThisWorkbookDataModel",$B$1,$B$2,$B$3,$A$5,$A17,D$6)</f>
        <v>0</v>
      </c>
      <c r="E17" vm="1747">
        <f t="shared" si="3"/>
        <v>0</v>
      </c>
      <c r="F17" vm="1800">
        <f t="shared" si="3"/>
        <v>0</v>
      </c>
      <c r="G17" vm="1639">
        <f t="shared" si="3"/>
        <v>0</v>
      </c>
      <c r="H17" vm="2086">
        <f t="shared" si="3"/>
        <v>0</v>
      </c>
      <c r="I17" vm="2051">
        <f t="shared" si="3"/>
        <v>0</v>
      </c>
      <c r="J17" vm="1862">
        <f t="shared" si="3"/>
        <v>0</v>
      </c>
      <c r="K17" vm="1815">
        <f t="shared" si="3"/>
        <v>0</v>
      </c>
      <c r="L17" vm="1690">
        <f t="shared" si="3"/>
        <v>0</v>
      </c>
      <c r="M17" vm="1939">
        <f t="shared" si="3"/>
        <v>0</v>
      </c>
      <c r="N17" s="41" vm="1942">
        <f t="shared" si="3"/>
        <v>0</v>
      </c>
      <c r="O17" s="41"/>
      <c r="P17" s="41"/>
      <c r="Q17" s="41">
        <f t="shared" si="2"/>
        <v>0</v>
      </c>
    </row>
    <row r="18" spans="1:18" outlineLevel="1" x14ac:dyDescent="0.25">
      <c r="A18" s="8" t="str" vm="149">
        <f>CUBEMEMBER("ThisWorkbookDataModel",{"[fActualAndBudget].[StavkaKategorija].&amp;[1.14. Краткорочни обврски]","[fActualAndBudget].[StavkaImeMK].&amp;[Останати тековни обврски]"})</f>
        <v>Останати тековни обврски</v>
      </c>
      <c r="B18" s="157" vm="223">
        <f t="shared" si="1"/>
        <v>0</v>
      </c>
      <c r="C18" s="157" vm="1512">
        <f t="shared" si="1"/>
        <v>0</v>
      </c>
      <c r="D18" vm="2106">
        <f t="shared" si="3"/>
        <v>0</v>
      </c>
      <c r="E18" vm="2113">
        <f t="shared" si="3"/>
        <v>0</v>
      </c>
      <c r="F18" vm="2108">
        <f t="shared" si="3"/>
        <v>0</v>
      </c>
      <c r="G18" vm="2109">
        <f t="shared" si="3"/>
        <v>0</v>
      </c>
      <c r="H18" vm="2033">
        <f t="shared" si="3"/>
        <v>0</v>
      </c>
      <c r="I18" vm="2105">
        <f t="shared" si="3"/>
        <v>0</v>
      </c>
      <c r="J18" vm="2110">
        <f t="shared" si="3"/>
        <v>0</v>
      </c>
      <c r="K18" vm="2112">
        <f t="shared" si="3"/>
        <v>0</v>
      </c>
      <c r="L18" vm="2111">
        <f t="shared" si="3"/>
        <v>0</v>
      </c>
      <c r="M18" vm="2107">
        <f t="shared" si="3"/>
        <v>0</v>
      </c>
      <c r="N18" s="41" vm="2104">
        <f t="shared" si="3"/>
        <v>0</v>
      </c>
      <c r="O18" s="41"/>
      <c r="P18" s="41"/>
      <c r="Q18" s="41">
        <f t="shared" si="2"/>
        <v>0</v>
      </c>
    </row>
    <row r="19" spans="1:18" s="9" customFormat="1" x14ac:dyDescent="0.25">
      <c r="A19" s="109" t="str" vm="132">
        <f>CUBEMEMBER("ThisWorkbookDataModel","[fActualAndBudget].[StavkaKategorija].&amp;[1.15. Одложено плаќање на трошоци и приходи (ПВР)]")</f>
        <v>1.15. Одложено плаќање на трошоци и приходи (ПВР)</v>
      </c>
      <c r="B19" s="200" vm="213">
        <f t="shared" si="1"/>
        <v>108467551</v>
      </c>
      <c r="C19" s="200" vm="1535">
        <f t="shared" si="1"/>
        <v>103358798</v>
      </c>
      <c r="D19" s="9" vm="1793">
        <f t="shared" si="3"/>
        <v>102965817</v>
      </c>
      <c r="E19" s="9" vm="1786">
        <f t="shared" si="3"/>
        <v>-392981</v>
      </c>
      <c r="F19" s="9" vm="1694">
        <f t="shared" si="3"/>
        <v>-392981</v>
      </c>
      <c r="G19" s="9" vm="1830">
        <f t="shared" si="3"/>
        <v>-392981</v>
      </c>
      <c r="H19" s="9" vm="1659">
        <f t="shared" si="3"/>
        <v>-392981</v>
      </c>
      <c r="I19" s="9" vm="2073">
        <f t="shared" si="3"/>
        <v>-392981</v>
      </c>
      <c r="J19" s="9" vm="2093">
        <f t="shared" si="3"/>
        <v>-392981</v>
      </c>
      <c r="K19" s="9" vm="1773">
        <f t="shared" si="3"/>
        <v>-392981</v>
      </c>
      <c r="L19" s="9" vm="1969">
        <f t="shared" si="3"/>
        <v>-392981</v>
      </c>
      <c r="M19" s="9" vm="2094">
        <f t="shared" si="3"/>
        <v>-392981</v>
      </c>
      <c r="N19" s="302" vm="1777">
        <f t="shared" si="3"/>
        <v>99428988</v>
      </c>
      <c r="O19" s="110">
        <f>-392981*2</f>
        <v>-785962</v>
      </c>
      <c r="P19" s="110"/>
      <c r="Q19" s="110">
        <f t="shared" si="2"/>
        <v>98643026</v>
      </c>
      <c r="R19" s="221"/>
    </row>
    <row r="20" spans="1:18" outlineLevel="1" x14ac:dyDescent="0.25">
      <c r="A20" s="8" t="str" vm="169">
        <f>CUBEMEMBER("ThisWorkbookDataModel",{"[fActualAndBudget].[StavkaKategorija].&amp;[1.15. Одложено плаќање на трошоци и приходи (ПВР)]","[fActualAndBudget].[StavkaImeMK].&amp;[Одложено плаќање на трошоци и признавање на приходи (ПВР)]"})</f>
        <v>Одложено плаќање на трошоци и признавање на приходи (ПВР)</v>
      </c>
      <c r="B20" s="157" vm="196">
        <f t="shared" si="1"/>
        <v>108467551</v>
      </c>
      <c r="C20" s="157" vm="1539">
        <f t="shared" si="1"/>
        <v>103358798</v>
      </c>
      <c r="D20" vm="1748">
        <f t="shared" si="3"/>
        <v>102965817</v>
      </c>
      <c r="E20" vm="1938">
        <f t="shared" si="3"/>
        <v>-392981</v>
      </c>
      <c r="F20" vm="1733">
        <f t="shared" si="3"/>
        <v>-392981</v>
      </c>
      <c r="G20" vm="1880">
        <f t="shared" si="3"/>
        <v>-392981</v>
      </c>
      <c r="H20" vm="1744">
        <f t="shared" si="3"/>
        <v>-392981</v>
      </c>
      <c r="I20" vm="1976">
        <f t="shared" si="3"/>
        <v>-392981</v>
      </c>
      <c r="J20" vm="1765">
        <f t="shared" si="3"/>
        <v>-392981</v>
      </c>
      <c r="K20" vm="1811">
        <f t="shared" si="3"/>
        <v>-392981</v>
      </c>
      <c r="L20" vm="1867">
        <f t="shared" si="3"/>
        <v>-392981</v>
      </c>
      <c r="M20" vm="2035">
        <f t="shared" si="3"/>
        <v>-392981</v>
      </c>
      <c r="N20" s="41" vm="1935">
        <f t="shared" si="3"/>
        <v>99428988</v>
      </c>
      <c r="O20" s="41"/>
      <c r="P20" s="41"/>
      <c r="Q20" s="41">
        <f t="shared" si="2"/>
        <v>99428988</v>
      </c>
    </row>
    <row r="21" spans="1:18" s="9" customFormat="1" x14ac:dyDescent="0.25">
      <c r="A21" s="109" t="str" vm="131">
        <f>CUBEMEMBER("ThisWorkbookDataModel","[fActualAndBudget].[StavkaKategorija].&amp;[1.17. Долгорочни обврски]")</f>
        <v>1.17. Долгорочни обврски</v>
      </c>
      <c r="B21" s="200" vm="204">
        <f t="shared" si="1"/>
        <v>86079840</v>
      </c>
      <c r="C21" s="200" vm="1528">
        <f t="shared" si="1"/>
        <v>86079840</v>
      </c>
      <c r="D21" s="9" vm="2064">
        <f t="shared" si="3"/>
        <v>86079840</v>
      </c>
      <c r="E21" s="9" vm="1947">
        <f t="shared" si="3"/>
        <v>0</v>
      </c>
      <c r="F21" s="9" vm="1649">
        <f t="shared" si="3"/>
        <v>0</v>
      </c>
      <c r="G21" s="9" vm="1616">
        <f t="shared" si="3"/>
        <v>0</v>
      </c>
      <c r="H21" s="9" vm="1824">
        <f t="shared" si="3"/>
        <v>0</v>
      </c>
      <c r="I21" s="9" vm="1835">
        <f t="shared" si="3"/>
        <v>0</v>
      </c>
      <c r="J21" s="9" vm="1926">
        <f t="shared" si="3"/>
        <v>0</v>
      </c>
      <c r="K21" s="9" vm="1727">
        <f t="shared" si="3"/>
        <v>0</v>
      </c>
      <c r="L21" s="9" vm="1692">
        <f t="shared" si="3"/>
        <v>0</v>
      </c>
      <c r="M21" s="9" vm="1850">
        <f t="shared" si="3"/>
        <v>0</v>
      </c>
      <c r="N21" s="302" vm="1860">
        <f t="shared" si="3"/>
        <v>86079840</v>
      </c>
      <c r="O21" s="110"/>
      <c r="Q21" s="110">
        <f t="shared" si="2"/>
        <v>86079840</v>
      </c>
    </row>
    <row r="22" spans="1:18" outlineLevel="1" x14ac:dyDescent="0.25">
      <c r="A22" s="8" t="str" vm="175">
        <f>CUBEMEMBER("ThisWorkbookDataModel",{"[fActualAndBudget].[StavkaKategorija].&amp;[1.17. Долгорочни обврски]","[fActualAndBudget].[StavkaImeMK].&amp;[Долгорочни финансиски обврски]"})</f>
        <v>Долгорочни финансиски обврски</v>
      </c>
      <c r="B22" s="157" vm="219">
        <f t="shared" si="1"/>
        <v>86079840</v>
      </c>
      <c r="C22" s="157" vm="1533">
        <f t="shared" si="1"/>
        <v>86079840</v>
      </c>
      <c r="D22" vm="1832">
        <f t="shared" si="3"/>
        <v>86079840</v>
      </c>
      <c r="E22" vm="1807">
        <f t="shared" si="3"/>
        <v>0</v>
      </c>
      <c r="F22" vm="1689">
        <f t="shared" si="3"/>
        <v>0</v>
      </c>
      <c r="G22" vm="1702">
        <f t="shared" si="3"/>
        <v>0</v>
      </c>
      <c r="H22" vm="1687">
        <f t="shared" si="3"/>
        <v>0</v>
      </c>
      <c r="I22" vm="1646">
        <f t="shared" si="3"/>
        <v>0</v>
      </c>
      <c r="J22" vm="1598">
        <f t="shared" si="3"/>
        <v>0</v>
      </c>
      <c r="K22" vm="2090">
        <f t="shared" si="3"/>
        <v>0</v>
      </c>
      <c r="L22" vm="1877">
        <f t="shared" si="3"/>
        <v>0</v>
      </c>
      <c r="M22" vm="1644">
        <f t="shared" si="3"/>
        <v>0</v>
      </c>
      <c r="N22" s="41" vm="2045">
        <f t="shared" si="3"/>
        <v>86079840</v>
      </c>
      <c r="O22" s="41"/>
      <c r="Q22" s="41">
        <f t="shared" si="2"/>
        <v>86079840</v>
      </c>
    </row>
    <row r="23" spans="1:18" s="9" customFormat="1" x14ac:dyDescent="0.25">
      <c r="A23" s="109" t="str" vm="124">
        <f>CUBEMEMBER("ThisWorkbookDataModel","[fActualAndBudget].[StavkaKategorija].&amp;[1.2. Побарувања]")</f>
        <v>1.2. Побарувања</v>
      </c>
      <c r="B23" s="200" vm="188">
        <f t="shared" si="1"/>
        <v>3927851</v>
      </c>
      <c r="C23" s="200" vm="1503">
        <f t="shared" si="1"/>
        <v>4240420</v>
      </c>
      <c r="D23" s="9" vm="1719">
        <f t="shared" si="3"/>
        <v>4246940</v>
      </c>
      <c r="E23" s="9" vm="1819">
        <f t="shared" si="3"/>
        <v>-19205</v>
      </c>
      <c r="F23" s="9" vm="1620">
        <f t="shared" si="3"/>
        <v>16512</v>
      </c>
      <c r="G23" s="9" vm="1672">
        <f t="shared" si="3"/>
        <v>-1678</v>
      </c>
      <c r="H23" s="9" vm="1629">
        <f t="shared" si="3"/>
        <v>-41250</v>
      </c>
      <c r="I23" s="9" vm="1784">
        <f t="shared" si="3"/>
        <v>45371</v>
      </c>
      <c r="J23" s="9" vm="1706">
        <f t="shared" si="3"/>
        <v>-1685</v>
      </c>
      <c r="K23" s="9" vm="1614">
        <f t="shared" si="3"/>
        <v>1935</v>
      </c>
      <c r="L23" s="9" vm="1797">
        <f t="shared" si="3"/>
        <v>0</v>
      </c>
      <c r="M23" s="9" vm="1913">
        <f t="shared" si="3"/>
        <v>-67814</v>
      </c>
      <c r="N23" s="160" vm="1997">
        <f t="shared" si="3"/>
        <v>4179126</v>
      </c>
      <c r="O23" s="110">
        <f>SUM(O24:O26)</f>
        <v>0</v>
      </c>
      <c r="Q23" s="110">
        <f t="shared" si="2"/>
        <v>4179126</v>
      </c>
    </row>
    <row r="24" spans="1:18" outlineLevel="1" x14ac:dyDescent="0.25">
      <c r="A24" s="8" t="str" vm="163">
        <f>CUBEMEMBER("ThisWorkbookDataModel",{"[fActualAndBudget].[StavkaKategorija].&amp;[1.2. Побарувања]","[fActualAndBudget].[StavkaImeMK].&amp;[Краткорочни финансиски побарувања]"})</f>
        <v>Краткорочни финансиски побарувања</v>
      </c>
      <c r="B24" s="157" vm="180">
        <f t="shared" si="1"/>
        <v>144355</v>
      </c>
      <c r="C24" s="157" vm="1502">
        <f t="shared" si="1"/>
        <v>201210</v>
      </c>
      <c r="D24" vm="1780">
        <f t="shared" si="3"/>
        <v>202730</v>
      </c>
      <c r="E24" vm="1651">
        <f t="shared" si="3"/>
        <v>-19205</v>
      </c>
      <c r="F24" vm="1946">
        <f t="shared" si="3"/>
        <v>16512</v>
      </c>
      <c r="G24" vm="1920">
        <f t="shared" si="3"/>
        <v>-1678</v>
      </c>
      <c r="H24" vm="2075">
        <f t="shared" si="3"/>
        <v>-41250</v>
      </c>
      <c r="I24" vm="1711">
        <f t="shared" si="3"/>
        <v>45371</v>
      </c>
      <c r="J24" vm="1804">
        <f t="shared" si="3"/>
        <v>-1685</v>
      </c>
      <c r="K24" vm="1988">
        <f t="shared" si="3"/>
        <v>1935</v>
      </c>
      <c r="L24" vm="2029">
        <f t="shared" si="3"/>
        <v>0</v>
      </c>
      <c r="M24" vm="2028">
        <f t="shared" si="3"/>
        <v>-67814</v>
      </c>
      <c r="N24" s="41" vm="2069">
        <f t="shared" si="3"/>
        <v>134916</v>
      </c>
      <c r="Q24" s="41">
        <f t="shared" si="2"/>
        <v>134916</v>
      </c>
    </row>
    <row r="25" spans="1:18" outlineLevel="1" x14ac:dyDescent="0.25">
      <c r="A25" s="8" t="str" vm="156">
        <f>CUBEMEMBER("ThisWorkbookDataModel",{"[fActualAndBudget].[StavkaKategorija].&amp;[1.2. Побарувања]","[fActualAndBudget].[StavkaImeMK].&amp;[Побарувања од вработените]"})</f>
        <v>Побарувања од вработените</v>
      </c>
      <c r="B25" s="157" vm="185">
        <f t="shared" si="1"/>
        <v>885876</v>
      </c>
      <c r="C25" s="157" vm="1510">
        <f t="shared" si="1"/>
        <v>885875</v>
      </c>
      <c r="D25" vm="1682">
        <f t="shared" si="3"/>
        <v>890875</v>
      </c>
      <c r="E25" vm="1848">
        <f t="shared" si="3"/>
        <v>0</v>
      </c>
      <c r="F25" vm="2007">
        <f t="shared" si="3"/>
        <v>0</v>
      </c>
      <c r="G25" vm="1729">
        <f t="shared" si="3"/>
        <v>0</v>
      </c>
      <c r="H25" vm="2022">
        <f t="shared" si="3"/>
        <v>0</v>
      </c>
      <c r="I25" vm="1745">
        <f t="shared" si="3"/>
        <v>0</v>
      </c>
      <c r="J25" vm="1921">
        <f t="shared" si="3"/>
        <v>0</v>
      </c>
      <c r="K25" vm="1766">
        <f t="shared" si="3"/>
        <v>0</v>
      </c>
      <c r="L25" vm="2068">
        <f t="shared" si="3"/>
        <v>0</v>
      </c>
      <c r="M25" vm="2011">
        <f t="shared" si="3"/>
        <v>0</v>
      </c>
      <c r="N25" s="41" vm="2002">
        <f t="shared" si="3"/>
        <v>890875</v>
      </c>
      <c r="Q25" s="41">
        <f t="shared" si="2"/>
        <v>890875</v>
      </c>
    </row>
    <row r="26" spans="1:18" outlineLevel="1" x14ac:dyDescent="0.25">
      <c r="A26" s="8" t="str" vm="153">
        <f>CUBEMEMBER("ThisWorkbookDataModel",{"[fActualAndBudget].[StavkaKategorija].&amp;[1.2. Побарувања]","[fActualAndBudget].[StavkaImeMK].&amp;[Побарувања од државата]"})</f>
        <v>Побарувања од државата</v>
      </c>
      <c r="B26" s="157" vm="190">
        <f t="shared" si="1"/>
        <v>2897620</v>
      </c>
      <c r="C26" s="157" vm="1537">
        <f t="shared" si="1"/>
        <v>3153335</v>
      </c>
      <c r="D26" vm="1749">
        <f t="shared" si="3"/>
        <v>3153335</v>
      </c>
      <c r="E26" vm="1839">
        <f t="shared" si="3"/>
        <v>0</v>
      </c>
      <c r="F26" vm="1834">
        <f t="shared" si="3"/>
        <v>0</v>
      </c>
      <c r="G26" vm="1648">
        <f t="shared" si="3"/>
        <v>0</v>
      </c>
      <c r="H26" vm="1868">
        <f t="shared" si="3"/>
        <v>0</v>
      </c>
      <c r="I26" vm="1732">
        <f t="shared" si="3"/>
        <v>0</v>
      </c>
      <c r="J26" vm="1674">
        <f t="shared" si="3"/>
        <v>0</v>
      </c>
      <c r="K26" vm="1951">
        <f t="shared" si="3"/>
        <v>0</v>
      </c>
      <c r="L26" vm="1991">
        <f t="shared" si="3"/>
        <v>0</v>
      </c>
      <c r="M26" vm="2092">
        <f t="shared" si="3"/>
        <v>0</v>
      </c>
      <c r="N26" s="41" vm="1822">
        <f t="shared" si="3"/>
        <v>3153335</v>
      </c>
      <c r="Q26" s="41">
        <f t="shared" si="2"/>
        <v>3153335</v>
      </c>
    </row>
    <row r="27" spans="1:18" s="9" customFormat="1" x14ac:dyDescent="0.25">
      <c r="A27" s="109" t="str" vm="127">
        <f>CUBEMEMBER("ThisWorkbookDataModel","[fActualAndBudget].[StavkaKategorija].&amp;[1.21. Капитал]")</f>
        <v>1.21. Капитал</v>
      </c>
      <c r="B27" s="200" vm="187">
        <f t="shared" si="1"/>
        <v>126859046</v>
      </c>
      <c r="C27" s="200" vm="1525">
        <f t="shared" si="1"/>
        <v>126859046</v>
      </c>
      <c r="D27" s="9" vm="1632">
        <f t="shared" ref="D27:N36" si="4">CUBEVALUE("ThisWorkbookDataModel",$B$1,$B$2,$B$3,$A$5,$A27,D$6)</f>
        <v>126859046</v>
      </c>
      <c r="E27" s="9" vm="2085">
        <f t="shared" si="4"/>
        <v>0</v>
      </c>
      <c r="F27" s="9" vm="1945">
        <f t="shared" si="4"/>
        <v>0</v>
      </c>
      <c r="G27" s="9" vm="2056">
        <f t="shared" si="4"/>
        <v>0</v>
      </c>
      <c r="H27" s="9" vm="2001">
        <f t="shared" si="4"/>
        <v>0</v>
      </c>
      <c r="I27" s="9" vm="1948">
        <f t="shared" si="4"/>
        <v>0</v>
      </c>
      <c r="J27" s="9" vm="1960">
        <f t="shared" si="4"/>
        <v>0</v>
      </c>
      <c r="K27" s="9" vm="1823">
        <f t="shared" si="4"/>
        <v>0</v>
      </c>
      <c r="L27" s="9" vm="2091">
        <f t="shared" si="4"/>
        <v>0</v>
      </c>
      <c r="M27" s="9" vm="2013">
        <f t="shared" si="4"/>
        <v>0</v>
      </c>
      <c r="N27" s="302" vm="1992">
        <f t="shared" si="4"/>
        <v>126859046</v>
      </c>
      <c r="Q27" s="110">
        <f t="shared" si="2"/>
        <v>126859046</v>
      </c>
    </row>
    <row r="28" spans="1:18" outlineLevel="1" x14ac:dyDescent="0.25">
      <c r="A28" s="8" t="str" vm="177">
        <f>CUBEMEMBER("ThisWorkbookDataModel",{"[fActualAndBudget].[StavkaKategorija].&amp;[1.21. Капитал]","[fActualAndBudget].[StavkaImeMK].&amp;[Државен капитал]"})</f>
        <v>Државен капитал</v>
      </c>
      <c r="B28" s="157" vm="216">
        <f t="shared" si="1"/>
        <v>126859046</v>
      </c>
      <c r="C28" s="157" vm="1543">
        <f t="shared" si="1"/>
        <v>126859046</v>
      </c>
      <c r="D28" vm="2081">
        <f t="shared" si="4"/>
        <v>126859046</v>
      </c>
      <c r="E28" vm="2076">
        <f t="shared" si="4"/>
        <v>0</v>
      </c>
      <c r="F28" vm="1954">
        <f t="shared" si="4"/>
        <v>0</v>
      </c>
      <c r="G28" vm="1995">
        <f t="shared" si="4"/>
        <v>0</v>
      </c>
      <c r="H28" vm="2082">
        <f t="shared" si="4"/>
        <v>0</v>
      </c>
      <c r="I28" vm="1903">
        <f t="shared" si="4"/>
        <v>0</v>
      </c>
      <c r="J28" vm="2041">
        <f t="shared" si="4"/>
        <v>0</v>
      </c>
      <c r="K28" vm="2071">
        <f t="shared" si="4"/>
        <v>0</v>
      </c>
      <c r="L28" vm="1618">
        <f t="shared" si="4"/>
        <v>0</v>
      </c>
      <c r="M28" vm="1952">
        <f t="shared" si="4"/>
        <v>0</v>
      </c>
      <c r="N28" s="41" vm="1785">
        <f t="shared" si="4"/>
        <v>126859046</v>
      </c>
      <c r="Q28" s="41">
        <f t="shared" si="2"/>
        <v>126859046</v>
      </c>
    </row>
    <row r="29" spans="1:18" s="9" customFormat="1" x14ac:dyDescent="0.25">
      <c r="A29" s="109" t="str" vm="126">
        <f>CUBEMEMBER("ThisWorkbookDataModel","[fActualAndBudget].[StavkaKategorija].&amp;[1.22. Акумулирана добивка]")</f>
        <v>1.22. Акумулирана добивка</v>
      </c>
      <c r="B29" s="200" vm="189">
        <f t="shared" si="1"/>
        <v>287367650</v>
      </c>
      <c r="C29" s="200" vm="1530">
        <f t="shared" si="1"/>
        <v>292646501</v>
      </c>
      <c r="D29" s="9" vm="1601">
        <f t="shared" si="4"/>
        <v>292646501</v>
      </c>
      <c r="E29" s="9" vm="1812">
        <f t="shared" si="4"/>
        <v>0</v>
      </c>
      <c r="F29" s="9" vm="1801">
        <f t="shared" si="4"/>
        <v>0</v>
      </c>
      <c r="G29" s="9" vm="1897">
        <f t="shared" si="4"/>
        <v>0</v>
      </c>
      <c r="H29" s="9" vm="1679">
        <f t="shared" si="4"/>
        <v>0</v>
      </c>
      <c r="I29" s="9" vm="1761">
        <f t="shared" si="4"/>
        <v>0</v>
      </c>
      <c r="J29" s="9" vm="1802">
        <f t="shared" si="4"/>
        <v>0</v>
      </c>
      <c r="K29" s="9" vm="1775">
        <f t="shared" si="4"/>
        <v>0</v>
      </c>
      <c r="L29" s="9" vm="1971">
        <f t="shared" si="4"/>
        <v>0</v>
      </c>
      <c r="M29" s="9" vm="1739">
        <f t="shared" si="4"/>
        <v>0</v>
      </c>
      <c r="N29" s="302" vm="1730">
        <f t="shared" si="4"/>
        <v>292646501</v>
      </c>
      <c r="Q29" s="110">
        <f t="shared" si="2"/>
        <v>292646501</v>
      </c>
    </row>
    <row r="30" spans="1:18" outlineLevel="1" x14ac:dyDescent="0.25">
      <c r="A30" s="8" t="str" vm="176">
        <f>CUBEMEMBER("ThisWorkbookDataModel",{"[fActualAndBudget].[StavkaKategorija].&amp;[1.22. Акумулирана добивка]","[fActualAndBudget].[StavkaImeMK].&amp;[Акумулирана добивка]"})</f>
        <v>Акумулирана добивка</v>
      </c>
      <c r="B30" s="157" vm="184">
        <f t="shared" si="1"/>
        <v>287367650</v>
      </c>
      <c r="C30" s="157" vm="1501">
        <f t="shared" si="1"/>
        <v>292646501</v>
      </c>
      <c r="D30" vm="1716">
        <f t="shared" si="4"/>
        <v>292646501</v>
      </c>
      <c r="E30" vm="1876">
        <f t="shared" si="4"/>
        <v>0</v>
      </c>
      <c r="F30" vm="1814">
        <f t="shared" si="4"/>
        <v>0</v>
      </c>
      <c r="G30" vm="1930">
        <f t="shared" si="4"/>
        <v>0</v>
      </c>
      <c r="H30" vm="1626">
        <f t="shared" si="4"/>
        <v>0</v>
      </c>
      <c r="I30" vm="1762">
        <f t="shared" si="4"/>
        <v>0</v>
      </c>
      <c r="J30" vm="1809">
        <f t="shared" si="4"/>
        <v>0</v>
      </c>
      <c r="K30" vm="1943">
        <f t="shared" si="4"/>
        <v>0</v>
      </c>
      <c r="L30" vm="1681">
        <f t="shared" si="4"/>
        <v>0</v>
      </c>
      <c r="M30" vm="1831">
        <f t="shared" si="4"/>
        <v>0</v>
      </c>
      <c r="N30" s="41" vm="1746">
        <f t="shared" si="4"/>
        <v>292646501</v>
      </c>
      <c r="Q30" s="41">
        <f t="shared" si="2"/>
        <v>292646501</v>
      </c>
    </row>
    <row r="31" spans="1:18" s="9" customFormat="1" x14ac:dyDescent="0.25">
      <c r="A31" s="109" t="str" vm="133">
        <f>CUBEMEMBER("ThisWorkbookDataModel","[fActualAndBudget].[StavkaKategorija].&amp;[1.23. Резерви]")</f>
        <v>1.23. Резерви</v>
      </c>
      <c r="B31" s="200" vm="217">
        <f t="shared" si="1"/>
        <v>119753446</v>
      </c>
      <c r="C31" s="200" vm="1538">
        <f t="shared" si="1"/>
        <v>121393152</v>
      </c>
      <c r="D31" s="9" vm="1606">
        <f t="shared" si="4"/>
        <v>121393152</v>
      </c>
      <c r="E31" s="9" vm="1737">
        <f t="shared" si="4"/>
        <v>0</v>
      </c>
      <c r="F31" s="9" vm="2015">
        <f t="shared" si="4"/>
        <v>0</v>
      </c>
      <c r="G31" s="9" vm="2037">
        <f t="shared" si="4"/>
        <v>0</v>
      </c>
      <c r="H31" s="9" vm="1810">
        <f t="shared" si="4"/>
        <v>0</v>
      </c>
      <c r="I31" s="9" vm="1724">
        <f t="shared" si="4"/>
        <v>0</v>
      </c>
      <c r="J31" s="9" vm="1688">
        <f t="shared" si="4"/>
        <v>0</v>
      </c>
      <c r="K31" s="9" vm="1813">
        <f t="shared" si="4"/>
        <v>0</v>
      </c>
      <c r="L31" s="9" vm="1836">
        <f t="shared" si="4"/>
        <v>0</v>
      </c>
      <c r="M31" s="9" vm="1757">
        <f t="shared" si="4"/>
        <v>0</v>
      </c>
      <c r="N31" s="302" vm="1686">
        <f t="shared" si="4"/>
        <v>121393152</v>
      </c>
      <c r="Q31" s="110">
        <f t="shared" si="2"/>
        <v>121393152</v>
      </c>
    </row>
    <row r="32" spans="1:18" outlineLevel="1" x14ac:dyDescent="0.25">
      <c r="A32" s="8" t="str" vm="162">
        <f>CUBEMEMBER("ThisWorkbookDataModel",{"[fActualAndBudget].[StavkaKategorija].&amp;[1.23. Резерви]","[fActualAndBudget].[StavkaImeMK].&amp;[Законска резерва]"})</f>
        <v>Законска резерва</v>
      </c>
      <c r="B32" s="157" vm="178">
        <f t="shared" si="1"/>
        <v>9788760</v>
      </c>
      <c r="C32" s="157" vm="1508">
        <f t="shared" si="1"/>
        <v>10134688</v>
      </c>
      <c r="D32" vm="2061">
        <f t="shared" si="4"/>
        <v>10134688</v>
      </c>
      <c r="E32" vm="2000">
        <f t="shared" si="4"/>
        <v>0</v>
      </c>
      <c r="F32" vm="1883">
        <f t="shared" si="4"/>
        <v>0</v>
      </c>
      <c r="G32" vm="1858">
        <f t="shared" si="4"/>
        <v>0</v>
      </c>
      <c r="H32" vm="2012">
        <f t="shared" si="4"/>
        <v>0</v>
      </c>
      <c r="I32" vm="1668">
        <f t="shared" si="4"/>
        <v>0</v>
      </c>
      <c r="J32" vm="1779">
        <f t="shared" si="4"/>
        <v>0</v>
      </c>
      <c r="K32" vm="1818">
        <f t="shared" si="4"/>
        <v>0</v>
      </c>
      <c r="L32" vm="1714">
        <f t="shared" si="4"/>
        <v>0</v>
      </c>
      <c r="M32" vm="1602">
        <f t="shared" si="4"/>
        <v>0</v>
      </c>
      <c r="N32" s="41" vm="1740">
        <f t="shared" si="4"/>
        <v>10134688</v>
      </c>
      <c r="Q32" s="41">
        <f t="shared" si="2"/>
        <v>10134688</v>
      </c>
    </row>
    <row r="33" spans="1:17" outlineLevel="1" x14ac:dyDescent="0.25">
      <c r="A33" s="8" t="str" vm="150">
        <f>CUBEMEMBER("ThisWorkbookDataModel",{"[fActualAndBudget].[StavkaKategorija].&amp;[1.23. Резерви]","[fActualAndBudget].[StavkaImeMK].&amp;[Останати резерви - резерви за развој]"})</f>
        <v>Останати резерви - резерви за развој</v>
      </c>
      <c r="B33" s="157" vm="208">
        <f t="shared" si="1"/>
        <v>38081796</v>
      </c>
      <c r="C33" s="157" vm="1518">
        <f t="shared" si="1"/>
        <v>52177460</v>
      </c>
      <c r="D33" vm="2067">
        <f t="shared" si="4"/>
        <v>52177460</v>
      </c>
      <c r="E33" vm="1986">
        <f t="shared" si="4"/>
        <v>0</v>
      </c>
      <c r="F33" vm="1715">
        <f t="shared" si="4"/>
        <v>0</v>
      </c>
      <c r="G33" vm="1973">
        <f t="shared" si="4"/>
        <v>0</v>
      </c>
      <c r="H33" vm="1671">
        <f t="shared" si="4"/>
        <v>0</v>
      </c>
      <c r="I33" vm="1821">
        <f t="shared" si="4"/>
        <v>0</v>
      </c>
      <c r="J33" vm="1990">
        <f t="shared" si="4"/>
        <v>0</v>
      </c>
      <c r="K33" vm="1721">
        <f t="shared" si="4"/>
        <v>0</v>
      </c>
      <c r="L33" vm="1726">
        <f t="shared" si="4"/>
        <v>0</v>
      </c>
      <c r="M33" vm="2006">
        <f t="shared" si="4"/>
        <v>0</v>
      </c>
      <c r="N33" s="41" vm="1922">
        <f t="shared" si="4"/>
        <v>52177460</v>
      </c>
      <c r="O33" s="9"/>
      <c r="Q33" s="41">
        <f t="shared" si="2"/>
        <v>52177460</v>
      </c>
    </row>
    <row r="34" spans="1:17" outlineLevel="1" x14ac:dyDescent="0.25">
      <c r="A34" s="8" t="str" vm="148">
        <f>CUBEMEMBER("ThisWorkbookDataModel",{"[fActualAndBudget].[StavkaKategorija].&amp;[1.23. Резерви]","[fActualAndBudget].[StavkaImeMK].&amp;[Реинвестирана добивка]"})</f>
        <v>Реинвестирана добивка</v>
      </c>
      <c r="B34" s="157" vm="212">
        <f t="shared" si="1"/>
        <v>71882890</v>
      </c>
      <c r="C34" s="157" vm="1523">
        <f t="shared" si="1"/>
        <v>59081004</v>
      </c>
      <c r="D34" vm="1619">
        <f t="shared" si="4"/>
        <v>59081004</v>
      </c>
      <c r="E34" vm="1605">
        <f t="shared" si="4"/>
        <v>0</v>
      </c>
      <c r="F34" vm="1888">
        <f t="shared" si="4"/>
        <v>0</v>
      </c>
      <c r="G34" vm="1870">
        <f t="shared" si="4"/>
        <v>0</v>
      </c>
      <c r="H34" vm="1631">
        <f t="shared" si="4"/>
        <v>0</v>
      </c>
      <c r="I34" vm="2053">
        <f t="shared" si="4"/>
        <v>0</v>
      </c>
      <c r="J34" vm="1700">
        <f t="shared" si="4"/>
        <v>0</v>
      </c>
      <c r="K34" vm="1944">
        <f t="shared" si="4"/>
        <v>0</v>
      </c>
      <c r="L34" vm="1781">
        <f t="shared" si="4"/>
        <v>0</v>
      </c>
      <c r="M34" vm="1751">
        <f t="shared" si="4"/>
        <v>0</v>
      </c>
      <c r="N34" s="41" vm="1645">
        <f t="shared" si="4"/>
        <v>59081004</v>
      </c>
      <c r="Q34" s="41">
        <f t="shared" si="2"/>
        <v>59081004</v>
      </c>
    </row>
    <row r="35" spans="1:17" s="9" customFormat="1" outlineLevel="1" x14ac:dyDescent="0.25">
      <c r="A35" s="109" t="str" vm="135">
        <f>CUBEMEMBER("ThisWorkbookDataModel","[fActualAndBudget].[StavkaKategorija].&amp;[1.25. Добивка / Загуба за деловната година]")</f>
        <v>1.25. Добивка / Загуба за деловната година</v>
      </c>
      <c r="B35" s="200" vm="191">
        <f t="shared" si="1"/>
        <v>0</v>
      </c>
      <c r="C35" s="200" vm="1534">
        <f t="shared" si="1"/>
        <v>0</v>
      </c>
      <c r="D35" s="9" vm="1628">
        <f t="shared" si="4"/>
        <v>0</v>
      </c>
      <c r="E35" s="9" vm="1638">
        <f t="shared" si="4"/>
        <v>0</v>
      </c>
      <c r="F35" s="9" vm="1796">
        <f t="shared" si="4"/>
        <v>0</v>
      </c>
      <c r="G35" s="9" vm="1873">
        <f t="shared" si="4"/>
        <v>0</v>
      </c>
      <c r="H35" s="9" vm="2038">
        <f t="shared" si="4"/>
        <v>0</v>
      </c>
      <c r="I35" s="9" vm="1829">
        <f t="shared" si="4"/>
        <v>0</v>
      </c>
      <c r="J35" s="9" vm="2020">
        <f t="shared" si="4"/>
        <v>0</v>
      </c>
      <c r="K35" s="9" vm="1941">
        <f t="shared" si="4"/>
        <v>0</v>
      </c>
      <c r="L35" s="9" vm="1789">
        <f t="shared" si="4"/>
        <v>0</v>
      </c>
      <c r="M35" s="9" vm="1703">
        <f t="shared" si="4"/>
        <v>0</v>
      </c>
      <c r="N35" s="110" vm="1923">
        <f t="shared" si="4"/>
        <v>0</v>
      </c>
      <c r="Q35" s="110">
        <f t="shared" si="2"/>
        <v>0</v>
      </c>
    </row>
    <row r="36" spans="1:17" outlineLevel="1" x14ac:dyDescent="0.25">
      <c r="A36" s="8" t="str" vm="168">
        <f>CUBEMEMBER("ThisWorkbookDataModel",{"[fActualAndBudget].[StavkaKategorija].&amp;[1.25. Добивка / Загуба за деловната година]","[fActualAndBudget].[StavkaImeMK].&amp;[Добивка/ Загуба за деловната година]"})</f>
        <v>Добивка/ Загуба за деловната година</v>
      </c>
      <c r="B36" s="157" vm="215">
        <f t="shared" si="1"/>
        <v>0</v>
      </c>
      <c r="C36" s="157" vm="1507">
        <f t="shared" si="1"/>
        <v>0</v>
      </c>
      <c r="D36" vm="1611">
        <f t="shared" si="4"/>
        <v>0</v>
      </c>
      <c r="E36" vm="2010">
        <f t="shared" si="4"/>
        <v>0</v>
      </c>
      <c r="F36" vm="2019">
        <f t="shared" si="4"/>
        <v>0</v>
      </c>
      <c r="G36" vm="1925">
        <f t="shared" si="4"/>
        <v>0</v>
      </c>
      <c r="H36" vm="1849">
        <f t="shared" si="4"/>
        <v>0</v>
      </c>
      <c r="I36" vm="1842">
        <f t="shared" si="4"/>
        <v>0</v>
      </c>
      <c r="J36" vm="1974">
        <f t="shared" si="4"/>
        <v>0</v>
      </c>
      <c r="K36" vm="2034">
        <f t="shared" si="4"/>
        <v>0</v>
      </c>
      <c r="L36" vm="1772">
        <f t="shared" si="4"/>
        <v>0</v>
      </c>
      <c r="M36" vm="1663">
        <f t="shared" si="4"/>
        <v>0</v>
      </c>
      <c r="N36" s="41" vm="1776">
        <f t="shared" si="4"/>
        <v>0</v>
      </c>
      <c r="Q36" s="41">
        <f t="shared" si="2"/>
        <v>0</v>
      </c>
    </row>
    <row r="37" spans="1:17" s="9" customFormat="1" x14ac:dyDescent="0.25">
      <c r="A37" s="109" t="str" vm="130">
        <f>CUBEMEMBER("ThisWorkbookDataModel","[fActualAndBudget].[StavkaKategorija].&amp;[1.28. Вонбилансна пасива]")</f>
        <v>1.28. Вонбилансна пасива</v>
      </c>
      <c r="B37" s="200" vm="181">
        <f t="shared" si="1"/>
        <v>0</v>
      </c>
      <c r="C37" s="200" vm="1536">
        <f t="shared" si="1"/>
        <v>0</v>
      </c>
      <c r="D37" s="9" vm="1957">
        <f t="shared" ref="D37:N46" si="5">CUBEVALUE("ThisWorkbookDataModel",$B$1,$B$2,$B$3,$A$5,$A37,D$6)</f>
        <v>0</v>
      </c>
      <c r="E37" s="9" vm="2084">
        <f t="shared" si="5"/>
        <v>0</v>
      </c>
      <c r="F37" s="9" vm="1617">
        <f t="shared" si="5"/>
        <v>0</v>
      </c>
      <c r="G37" s="9" vm="1752">
        <f t="shared" si="5"/>
        <v>0</v>
      </c>
      <c r="H37" s="9" vm="1975">
        <f t="shared" si="5"/>
        <v>0</v>
      </c>
      <c r="I37" s="9" vm="1665">
        <f t="shared" si="5"/>
        <v>0</v>
      </c>
      <c r="J37" s="9" vm="1735">
        <f t="shared" si="5"/>
        <v>0</v>
      </c>
      <c r="K37" s="9" vm="1707">
        <f t="shared" si="5"/>
        <v>0</v>
      </c>
      <c r="L37" s="9" vm="1621">
        <f t="shared" si="5"/>
        <v>0</v>
      </c>
      <c r="M37" s="9" vm="1669">
        <f t="shared" si="5"/>
        <v>0</v>
      </c>
      <c r="N37" s="110" vm="1845">
        <f t="shared" si="5"/>
        <v>0</v>
      </c>
      <c r="Q37" s="110">
        <f t="shared" si="2"/>
        <v>0</v>
      </c>
    </row>
    <row r="38" spans="1:17" outlineLevel="1" x14ac:dyDescent="0.25">
      <c r="A38" s="8" t="str" vm="167">
        <f>CUBEMEMBER("ThisWorkbookDataModel",{"[fActualAndBudget].[StavkaKategorija].&amp;[1.28. Вонбилансна пасива]","[fActualAndBudget].[StavkaImeMK].&amp;[Вонбилансна пасива]"})</f>
        <v>Вонбилансна пасива</v>
      </c>
      <c r="B38" s="157" vm="202">
        <f t="shared" si="1"/>
        <v>0</v>
      </c>
      <c r="C38" s="157" vm="1527">
        <f t="shared" si="1"/>
        <v>0</v>
      </c>
      <c r="D38" vm="1684">
        <f t="shared" si="5"/>
        <v>0</v>
      </c>
      <c r="E38" vm="1879">
        <f t="shared" si="5"/>
        <v>0</v>
      </c>
      <c r="F38" vm="1698">
        <f t="shared" si="5"/>
        <v>0</v>
      </c>
      <c r="G38" vm="1863">
        <f t="shared" si="5"/>
        <v>0</v>
      </c>
      <c r="H38" vm="2036">
        <f t="shared" si="5"/>
        <v>0</v>
      </c>
      <c r="I38" vm="1866">
        <f t="shared" si="5"/>
        <v>0</v>
      </c>
      <c r="J38" vm="1934">
        <f t="shared" si="5"/>
        <v>0</v>
      </c>
      <c r="K38" vm="1754">
        <f t="shared" si="5"/>
        <v>0</v>
      </c>
      <c r="L38" vm="1615">
        <f t="shared" si="5"/>
        <v>0</v>
      </c>
      <c r="M38" vm="1655">
        <f t="shared" si="5"/>
        <v>0</v>
      </c>
      <c r="N38" s="41" vm="2018">
        <f t="shared" si="5"/>
        <v>0</v>
      </c>
      <c r="Q38" s="41">
        <f t="shared" si="2"/>
        <v>0</v>
      </c>
    </row>
    <row r="39" spans="1:17" s="9" customFormat="1" x14ac:dyDescent="0.25">
      <c r="A39" s="109" t="str" vm="125">
        <f>CUBEMEMBER("ThisWorkbookDataModel","[fActualAndBudget].[StavkaKategorija].&amp;[1.3. Залихи]")</f>
        <v>1.3. Залихи</v>
      </c>
      <c r="B39" s="200" vm="206">
        <f t="shared" si="1"/>
        <v>832563</v>
      </c>
      <c r="C39" s="200" vm="1529">
        <f t="shared" si="1"/>
        <v>1335757</v>
      </c>
      <c r="D39" s="9" vm="2030">
        <f t="shared" si="5"/>
        <v>1379181</v>
      </c>
      <c r="E39" s="9" vm="1816">
        <f t="shared" si="5"/>
        <v>150432</v>
      </c>
      <c r="F39" s="9" vm="1872">
        <f t="shared" si="5"/>
        <v>-126971</v>
      </c>
      <c r="G39" s="9" vm="1704">
        <f t="shared" si="5"/>
        <v>36988</v>
      </c>
      <c r="H39" s="9" vm="2074">
        <f t="shared" si="5"/>
        <v>-190381</v>
      </c>
      <c r="I39" s="9" vm="1650">
        <f t="shared" si="5"/>
        <v>177272</v>
      </c>
      <c r="J39" s="9" vm="1607">
        <f t="shared" si="5"/>
        <v>-120950</v>
      </c>
      <c r="K39" s="9" vm="1865">
        <f t="shared" si="5"/>
        <v>39708</v>
      </c>
      <c r="L39" s="9" vm="1861">
        <f t="shared" si="5"/>
        <v>-85671</v>
      </c>
      <c r="M39" s="9" vm="1937">
        <f t="shared" si="5"/>
        <v>-179418</v>
      </c>
      <c r="N39" s="160" vm="2017">
        <f t="shared" si="5"/>
        <v>1080190</v>
      </c>
      <c r="Q39" s="110">
        <f t="shared" si="2"/>
        <v>1080190</v>
      </c>
    </row>
    <row r="40" spans="1:17" outlineLevel="1" x14ac:dyDescent="0.25">
      <c r="A40" s="8" t="str" vm="161">
        <f>CUBEMEMBER("ThisWorkbookDataModel",{"[fActualAndBudget].[StavkaKategorija].&amp;[1.3. Залихи]","[fActualAndBudget].[StavkaImeMK].&amp;[Залихи на канцелариски и останат материјал]"})</f>
        <v>Залихи на канцелариски и останат материјал</v>
      </c>
      <c r="B40" s="157" vm="195">
        <f t="shared" si="1"/>
        <v>657048</v>
      </c>
      <c r="C40" s="157" vm="1544">
        <f t="shared" si="1"/>
        <v>828698</v>
      </c>
      <c r="D40" vm="1731">
        <f t="shared" si="5"/>
        <v>872122</v>
      </c>
      <c r="E40" vm="1910">
        <f t="shared" si="5"/>
        <v>150432</v>
      </c>
      <c r="F40" vm="1882">
        <f t="shared" si="5"/>
        <v>-126978</v>
      </c>
      <c r="G40" vm="1901">
        <f t="shared" si="5"/>
        <v>36986</v>
      </c>
      <c r="H40" vm="1902">
        <f t="shared" si="5"/>
        <v>-190381</v>
      </c>
      <c r="I40" vm="1893">
        <f t="shared" si="5"/>
        <v>177253</v>
      </c>
      <c r="J40" vm="2048">
        <f t="shared" si="5"/>
        <v>-61414</v>
      </c>
      <c r="K40" vm="2040">
        <f t="shared" si="5"/>
        <v>-19831</v>
      </c>
      <c r="L40" vm="1981">
        <f t="shared" si="5"/>
        <v>-64583</v>
      </c>
      <c r="M40" vm="2023">
        <f t="shared" si="5"/>
        <v>4343</v>
      </c>
      <c r="N40" s="41" vm="2042">
        <f t="shared" si="5"/>
        <v>777949</v>
      </c>
      <c r="Q40" s="41">
        <f t="shared" si="2"/>
        <v>777949</v>
      </c>
    </row>
    <row r="41" spans="1:17" outlineLevel="1" x14ac:dyDescent="0.25">
      <c r="A41" s="8" t="str" vm="155">
        <f>CUBEMEMBER("ThisWorkbookDataModel",{"[fActualAndBudget].[StavkaKategorija].&amp;[1.3. Залихи]","[fActualAndBudget].[StavkaImeMK].&amp;[Залихи на резервни делови]"})</f>
        <v>Залихи на резервни делови</v>
      </c>
      <c r="B41" s="157" vm="222">
        <f t="shared" si="1"/>
        <v>0</v>
      </c>
      <c r="C41" s="157" vm="1520">
        <f t="shared" si="1"/>
        <v>0</v>
      </c>
      <c r="D41" vm="2088">
        <f t="shared" si="5"/>
        <v>0</v>
      </c>
      <c r="E41" vm="1932">
        <f t="shared" si="5"/>
        <v>0</v>
      </c>
      <c r="F41" vm="1970">
        <f t="shared" si="5"/>
        <v>7</v>
      </c>
      <c r="G41" vm="1961">
        <f t="shared" si="5"/>
        <v>2</v>
      </c>
      <c r="H41" vm="1673">
        <f t="shared" si="5"/>
        <v>0</v>
      </c>
      <c r="I41" vm="1906">
        <f t="shared" si="5"/>
        <v>19</v>
      </c>
      <c r="J41" vm="1869">
        <f t="shared" si="5"/>
        <v>-59536</v>
      </c>
      <c r="K41" vm="1999">
        <f t="shared" si="5"/>
        <v>59539</v>
      </c>
      <c r="L41" vm="2044">
        <f t="shared" si="5"/>
        <v>0</v>
      </c>
      <c r="M41" vm="2054">
        <f t="shared" si="5"/>
        <v>0</v>
      </c>
      <c r="N41" s="41" vm="1750">
        <f t="shared" si="5"/>
        <v>31</v>
      </c>
      <c r="O41" s="201"/>
      <c r="Q41" s="41">
        <f t="shared" si="2"/>
        <v>31</v>
      </c>
    </row>
    <row r="42" spans="1:17" outlineLevel="1" x14ac:dyDescent="0.25">
      <c r="A42" s="8" t="str" vm="152">
        <f>CUBEMEMBER("ThisWorkbookDataModel",{"[fActualAndBudget].[StavkaKategorija].&amp;[1.3. Залихи]","[fActualAndBudget].[StavkaImeMK].&amp;[Залихи на ситен инвентар и авто гуми]"})</f>
        <v>Залихи на ситен инвентар и авто гуми</v>
      </c>
      <c r="B42" s="157" vm="207">
        <f t="shared" si="1"/>
        <v>175515</v>
      </c>
      <c r="C42" s="157" vm="1521">
        <f t="shared" si="1"/>
        <v>507059</v>
      </c>
      <c r="D42" vm="1846">
        <f t="shared" si="5"/>
        <v>507059</v>
      </c>
      <c r="E42" vm="1722">
        <f t="shared" si="5"/>
        <v>0</v>
      </c>
      <c r="F42" vm="1950">
        <f t="shared" si="5"/>
        <v>0</v>
      </c>
      <c r="G42" vm="1936">
        <f t="shared" si="5"/>
        <v>0</v>
      </c>
      <c r="H42" vm="1855">
        <f t="shared" si="5"/>
        <v>0</v>
      </c>
      <c r="I42" vm="1958">
        <f t="shared" si="5"/>
        <v>0</v>
      </c>
      <c r="J42" vm="1996">
        <f t="shared" si="5"/>
        <v>0</v>
      </c>
      <c r="K42" vm="2009">
        <f t="shared" si="5"/>
        <v>0</v>
      </c>
      <c r="L42" vm="1924">
        <f t="shared" si="5"/>
        <v>-21088</v>
      </c>
      <c r="M42" vm="2027">
        <f t="shared" si="5"/>
        <v>-183761</v>
      </c>
      <c r="N42" s="41" vm="2057">
        <f t="shared" si="5"/>
        <v>302210</v>
      </c>
      <c r="Q42" s="41">
        <f t="shared" si="2"/>
        <v>302210</v>
      </c>
    </row>
    <row r="43" spans="1:17" s="9" customFormat="1" x14ac:dyDescent="0.25">
      <c r="A43" s="109" t="str" vm="129">
        <f>CUBEMEMBER("ThisWorkbookDataModel","[fActualAndBudget].[StavkaKategorija].&amp;[1.7. Материјални средства и вложувања во недвижности]")</f>
        <v>1.7. Материјални средства и вложувања во недвижности</v>
      </c>
      <c r="B43" s="200" vm="221">
        <f t="shared" si="1"/>
        <v>581650282</v>
      </c>
      <c r="C43" s="200" vm="1542">
        <f t="shared" si="1"/>
        <v>608316917</v>
      </c>
      <c r="D43" s="9" vm="1874">
        <f t="shared" si="5"/>
        <v>604443071</v>
      </c>
      <c r="E43" s="9" vm="1610">
        <f t="shared" si="5"/>
        <v>-2430269</v>
      </c>
      <c r="F43" s="9" vm="1778">
        <f t="shared" si="5"/>
        <v>-2421359</v>
      </c>
      <c r="G43" s="9" vm="1965">
        <f t="shared" si="5"/>
        <v>-2427863</v>
      </c>
      <c r="H43" s="9" vm="1993">
        <f t="shared" si="5"/>
        <v>-2427863</v>
      </c>
      <c r="I43" s="9" vm="2025">
        <f t="shared" si="5"/>
        <v>14043405</v>
      </c>
      <c r="J43" s="9" vm="1916">
        <f t="shared" si="5"/>
        <v>-2482620</v>
      </c>
      <c r="K43" s="9" vm="1844">
        <f t="shared" si="5"/>
        <v>-2696353</v>
      </c>
      <c r="L43" s="9" vm="1918">
        <f t="shared" si="5"/>
        <v>-1146557</v>
      </c>
      <c r="M43" s="9" vm="1693">
        <f t="shared" si="5"/>
        <v>-1471449</v>
      </c>
      <c r="N43" s="160" vm="1642">
        <f t="shared" si="5"/>
        <v>600982143</v>
      </c>
      <c r="O43" s="214">
        <f>'CAPEX po meseci CUBE'!E64</f>
        <v>0</v>
      </c>
      <c r="P43" s="214">
        <f>Amortizacija_CUBE!C20*-1</f>
        <v>-2694122</v>
      </c>
      <c r="Q43" s="110">
        <f t="shared" si="2"/>
        <v>598288021</v>
      </c>
    </row>
    <row r="44" spans="1:17" outlineLevel="1" x14ac:dyDescent="0.25">
      <c r="A44" s="8" t="str" vm="174">
        <f>CUBEMEMBER("ThisWorkbookDataModel",{"[fActualAndBudget].[StavkaKategorija].&amp;[1.7. Материјални средства и вложувања во недвижности]","[fActualAndBudget].[StavkaImeMK].&amp;[Инвестиции во тек - недвижности]"})</f>
        <v>Инвестиции во тек - недвижности</v>
      </c>
      <c r="B44" s="157" vm="192">
        <f t="shared" si="1"/>
        <v>393234253</v>
      </c>
      <c r="C44" s="157" vm="1515">
        <f t="shared" si="1"/>
        <v>406156412</v>
      </c>
      <c r="D44" vm="1657">
        <f t="shared" si="5"/>
        <v>406156412</v>
      </c>
      <c r="E44" vm="1905">
        <f t="shared" si="5"/>
        <v>0</v>
      </c>
      <c r="F44" vm="1787">
        <f t="shared" si="5"/>
        <v>-312200</v>
      </c>
      <c r="G44" vm="1652">
        <f t="shared" si="5"/>
        <v>0</v>
      </c>
      <c r="H44" vm="1894">
        <f t="shared" si="5"/>
        <v>0</v>
      </c>
      <c r="I44" vm="1864">
        <f t="shared" si="5"/>
        <v>53150</v>
      </c>
      <c r="J44" vm="2060">
        <f t="shared" si="5"/>
        <v>259224</v>
      </c>
      <c r="K44" vm="1927">
        <f t="shared" si="5"/>
        <v>6551</v>
      </c>
      <c r="L44" vm="2055">
        <f t="shared" si="5"/>
        <v>-979095</v>
      </c>
      <c r="M44" vm="1966">
        <f t="shared" si="5"/>
        <v>-24675</v>
      </c>
      <c r="N44" s="41" vm="1808">
        <f t="shared" si="5"/>
        <v>405159367</v>
      </c>
      <c r="O44" s="215"/>
      <c r="P44" s="215"/>
      <c r="Q44" s="41">
        <f t="shared" si="2"/>
        <v>405159367</v>
      </c>
    </row>
    <row r="45" spans="1:17" outlineLevel="1" x14ac:dyDescent="0.25">
      <c r="A45" s="8" t="str" vm="173">
        <f>CUBEMEMBER("ThisWorkbookDataModel",{"[fActualAndBudget].[StavkaKategorija].&amp;[1.7. Материјални средства и вложувања во недвижности]","[fActualAndBudget].[StavkaImeMK].&amp;[Канцелариски мебел]"})</f>
        <v>Канцелариски мебел</v>
      </c>
      <c r="B45" s="157" vm="182">
        <f t="shared" si="1"/>
        <v>3249123</v>
      </c>
      <c r="C45" s="157" vm="1504">
        <f t="shared" si="1"/>
        <v>8204152</v>
      </c>
      <c r="D45" vm="1878">
        <f t="shared" si="5"/>
        <v>8088638</v>
      </c>
      <c r="E45" vm="1931">
        <f t="shared" si="5"/>
        <v>-193253</v>
      </c>
      <c r="F45" vm="1759">
        <f t="shared" si="5"/>
        <v>-191355</v>
      </c>
      <c r="G45" vm="1972">
        <f t="shared" si="5"/>
        <v>-191355</v>
      </c>
      <c r="H45" vm="1666">
        <f t="shared" si="5"/>
        <v>-191355</v>
      </c>
      <c r="I45" vm="1953">
        <f t="shared" si="5"/>
        <v>-191355</v>
      </c>
      <c r="J45" vm="1710">
        <f t="shared" si="5"/>
        <v>-191355</v>
      </c>
      <c r="K45" vm="1955">
        <f t="shared" si="5"/>
        <v>-191355</v>
      </c>
      <c r="L45" vm="1763">
        <f t="shared" si="5"/>
        <v>1680663</v>
      </c>
      <c r="M45" vm="1841">
        <f t="shared" si="5"/>
        <v>610503</v>
      </c>
      <c r="N45" s="41" vm="1875">
        <f t="shared" si="5"/>
        <v>9038421</v>
      </c>
      <c r="O45" s="215"/>
      <c r="P45" s="215"/>
      <c r="Q45" s="41">
        <f t="shared" si="2"/>
        <v>9038421</v>
      </c>
    </row>
    <row r="46" spans="1:17" outlineLevel="1" x14ac:dyDescent="0.25">
      <c r="A46" s="8" t="str" vm="171">
        <f>CUBEMEMBER("ThisWorkbookDataModel",{"[fActualAndBudget].[StavkaKategorija].&amp;[1.7. Материјални средства и вложувања во недвижности]","[fActualAndBudget].[StavkaImeMK].&amp;[Компјутерска и останата опрема]"})</f>
        <v>Компјутерска и останата опрема</v>
      </c>
      <c r="B46" s="157" vm="197">
        <f t="shared" si="1"/>
        <v>39901485</v>
      </c>
      <c r="C46" s="157" vm="1505">
        <f t="shared" si="1"/>
        <v>57330058</v>
      </c>
      <c r="D46" vm="1680">
        <f t="shared" si="5"/>
        <v>56744398</v>
      </c>
      <c r="E46" vm="1653">
        <f t="shared" si="5"/>
        <v>-1576668</v>
      </c>
      <c r="F46" vm="1963">
        <f t="shared" si="5"/>
        <v>-1264468</v>
      </c>
      <c r="G46" vm="1717">
        <f t="shared" si="5"/>
        <v>-1583172</v>
      </c>
      <c r="H46" vm="1851">
        <f t="shared" si="5"/>
        <v>-1583172</v>
      </c>
      <c r="I46" vm="2070">
        <f t="shared" si="5"/>
        <v>14834946</v>
      </c>
      <c r="J46" vm="1662">
        <f t="shared" si="5"/>
        <v>-1897153</v>
      </c>
      <c r="K46" vm="1695">
        <f t="shared" si="5"/>
        <v>-1858213</v>
      </c>
      <c r="L46" vm="1790">
        <f t="shared" si="5"/>
        <v>-1194789</v>
      </c>
      <c r="M46" vm="1664">
        <f t="shared" si="5"/>
        <v>-1403941</v>
      </c>
      <c r="N46" s="41" vm="2014">
        <f t="shared" si="5"/>
        <v>59217768</v>
      </c>
      <c r="O46" s="215"/>
      <c r="P46" s="215"/>
      <c r="Q46" s="41">
        <f t="shared" si="2"/>
        <v>59217768</v>
      </c>
    </row>
    <row r="47" spans="1:17" outlineLevel="1" x14ac:dyDescent="0.25">
      <c r="A47" s="8" t="str" vm="158">
        <f>CUBEMEMBER("ThisWorkbookDataModel",{"[fActualAndBudget].[StavkaKategorija].&amp;[1.7. Материјални средства и вложувања во недвижности]","[fActualAndBudget].[StavkaImeMK].&amp;[Недвижности]"})</f>
        <v>Недвижности</v>
      </c>
      <c r="B47" s="157" vm="203">
        <f t="shared" si="1"/>
        <v>135681639</v>
      </c>
      <c r="C47" s="157" vm="1506">
        <f t="shared" si="1"/>
        <v>129468263</v>
      </c>
      <c r="D47" vm="1699">
        <f t="shared" ref="D47:N53" si="6">CUBEVALUE("ThisWorkbookDataModel",$B$1,$B$2,$B$3,$A$5,$A47,D$6)</f>
        <v>128990311</v>
      </c>
      <c r="E47" vm="1794">
        <f t="shared" si="6"/>
        <v>-484964</v>
      </c>
      <c r="F47" vm="1833">
        <f t="shared" si="6"/>
        <v>-477952</v>
      </c>
      <c r="G47" vm="1826">
        <f t="shared" si="6"/>
        <v>-477952</v>
      </c>
      <c r="H47" vm="1654">
        <f t="shared" si="6"/>
        <v>-477952</v>
      </c>
      <c r="I47" vm="1635">
        <f t="shared" si="6"/>
        <v>-477952</v>
      </c>
      <c r="J47" vm="2008">
        <f t="shared" si="6"/>
        <v>-477952</v>
      </c>
      <c r="K47" vm="1723">
        <f t="shared" si="6"/>
        <v>-477952</v>
      </c>
      <c r="L47" vm="2032">
        <f t="shared" si="6"/>
        <v>-477952</v>
      </c>
      <c r="M47" vm="1660">
        <f t="shared" si="6"/>
        <v>-477952</v>
      </c>
      <c r="N47" s="41" vm="1884">
        <f t="shared" si="6"/>
        <v>124681731</v>
      </c>
      <c r="O47" s="215"/>
      <c r="P47" s="215"/>
      <c r="Q47" s="41">
        <f t="shared" si="2"/>
        <v>124681731</v>
      </c>
    </row>
    <row r="48" spans="1:17" outlineLevel="1" x14ac:dyDescent="0.25">
      <c r="A48" s="8" t="str" vm="160">
        <f>CUBEMEMBER("ThisWorkbookDataModel",{"[fActualAndBudget].[StavkaKategorija].&amp;[1.7. Материјални средства и вложувања во недвижности]","[fActualAndBudget].[StavkaImeMK].&amp;[Останати материјални основни средства]"})</f>
        <v>Останати материјални основни средства</v>
      </c>
      <c r="B48" s="157" vm="183">
        <f t="shared" si="1"/>
        <v>719198</v>
      </c>
      <c r="C48" s="157" vm="1540">
        <f t="shared" si="1"/>
        <v>697806</v>
      </c>
      <c r="D48" vm="2103">
        <f t="shared" si="6"/>
        <v>697807</v>
      </c>
      <c r="E48" vm="2100">
        <f t="shared" si="6"/>
        <v>-1528</v>
      </c>
      <c r="F48" vm="2096">
        <f t="shared" si="6"/>
        <v>-1528</v>
      </c>
      <c r="G48" vm="2102">
        <f t="shared" si="6"/>
        <v>-1528</v>
      </c>
      <c r="H48" vm="2097">
        <f t="shared" si="6"/>
        <v>-1528</v>
      </c>
      <c r="I48" vm="2049">
        <f t="shared" si="6"/>
        <v>-1528</v>
      </c>
      <c r="J48" vm="2095">
        <f t="shared" si="6"/>
        <v>-1528</v>
      </c>
      <c r="K48" vm="2024">
        <f t="shared" si="6"/>
        <v>-1528</v>
      </c>
      <c r="L48" vm="2101">
        <f t="shared" si="6"/>
        <v>-1528</v>
      </c>
      <c r="M48" vm="2099">
        <f t="shared" si="6"/>
        <v>-1528</v>
      </c>
      <c r="N48" s="41" vm="2098">
        <f t="shared" si="6"/>
        <v>684055</v>
      </c>
      <c r="O48" s="215"/>
      <c r="P48" s="215"/>
      <c r="Q48" s="41">
        <f t="shared" si="2"/>
        <v>684055</v>
      </c>
    </row>
    <row r="49" spans="1:17" outlineLevel="1" x14ac:dyDescent="0.25">
      <c r="A49" s="8" t="str" vm="159">
        <f>CUBEMEMBER("ThisWorkbookDataModel",{"[fActualAndBudget].[StavkaKategorija].&amp;[1.7. Материјални средства и вложувања во недвижности]","[fActualAndBudget].[StavkaImeMK].&amp;[Патнички автомобили]"})</f>
        <v>Патнички автомобили</v>
      </c>
      <c r="B49" s="157" vm="199">
        <f t="shared" si="1"/>
        <v>6199489</v>
      </c>
      <c r="C49" s="157" vm="1526">
        <f t="shared" si="1"/>
        <v>3795131</v>
      </c>
      <c r="D49" vm="1656">
        <f t="shared" si="6"/>
        <v>3765505</v>
      </c>
      <c r="E49" vm="1854">
        <f t="shared" si="6"/>
        <v>-173856</v>
      </c>
      <c r="F49" vm="1764">
        <f t="shared" si="6"/>
        <v>-173856</v>
      </c>
      <c r="G49" vm="2021">
        <f t="shared" si="6"/>
        <v>-173856</v>
      </c>
      <c r="H49" vm="2059">
        <f t="shared" si="6"/>
        <v>-173856</v>
      </c>
      <c r="I49" vm="1630">
        <f t="shared" si="6"/>
        <v>-173856</v>
      </c>
      <c r="J49" vm="1597">
        <f t="shared" si="6"/>
        <v>-173856</v>
      </c>
      <c r="K49" vm="1886">
        <f t="shared" si="6"/>
        <v>-173856</v>
      </c>
      <c r="L49" vm="1608">
        <f t="shared" si="6"/>
        <v>-173856</v>
      </c>
      <c r="M49" vm="1708">
        <f t="shared" si="6"/>
        <v>-173856</v>
      </c>
      <c r="N49" s="41" vm="1705">
        <f t="shared" si="6"/>
        <v>2200801</v>
      </c>
      <c r="O49" s="215"/>
      <c r="P49" s="215"/>
      <c r="Q49" s="41">
        <f t="shared" si="2"/>
        <v>2200801</v>
      </c>
    </row>
    <row r="50" spans="1:17" outlineLevel="1" x14ac:dyDescent="0.25">
      <c r="A50" s="8" t="str" vm="147">
        <f>CUBEMEMBER("ThisWorkbookDataModel",{"[fActualAndBudget].[StavkaKategorija].&amp;[1.7. Материјални средства и вложувања во недвижности]","[fActualAndBudget].[StavkaImeMK].&amp;[Побарувања за аванси за материјални исредства]"})</f>
        <v>Побарувања за аванси за материјални исредства</v>
      </c>
      <c r="B50" s="157" vm="210">
        <f t="shared" si="1"/>
        <v>2665095</v>
      </c>
      <c r="C50" s="157" vm="1541">
        <f t="shared" si="1"/>
        <v>2665095</v>
      </c>
      <c r="D50" vm="2043">
        <f t="shared" si="6"/>
        <v>0</v>
      </c>
      <c r="E50" vm="1795">
        <f t="shared" si="6"/>
        <v>0</v>
      </c>
      <c r="F50" vm="1770">
        <f t="shared" si="6"/>
        <v>0</v>
      </c>
      <c r="G50" vm="1633">
        <f t="shared" si="6"/>
        <v>0</v>
      </c>
      <c r="H50" vm="1691">
        <f t="shared" si="6"/>
        <v>0</v>
      </c>
      <c r="I50" vm="2066">
        <f t="shared" si="6"/>
        <v>0</v>
      </c>
      <c r="J50" vm="1755">
        <f t="shared" si="6"/>
        <v>0</v>
      </c>
      <c r="K50" vm="1697">
        <f t="shared" si="6"/>
        <v>0</v>
      </c>
      <c r="L50" vm="1979">
        <f t="shared" si="6"/>
        <v>0</v>
      </c>
      <c r="M50" vm="2052">
        <f t="shared" si="6"/>
        <v>0</v>
      </c>
      <c r="N50" s="41" vm="2004">
        <f t="shared" si="6"/>
        <v>0</v>
      </c>
      <c r="O50" s="215"/>
      <c r="P50" s="215"/>
      <c r="Q50" s="41">
        <f t="shared" si="2"/>
        <v>0</v>
      </c>
    </row>
    <row r="51" spans="1:17" s="9" customFormat="1" x14ac:dyDescent="0.25">
      <c r="A51" s="109" t="str" vm="128">
        <f>CUBEMEMBER("ThisWorkbookDataModel","[fActualAndBudget].[StavkaKategorija].&amp;[1.9. Нематеријални средства]")</f>
        <v>1.9. Нематеријални средства</v>
      </c>
      <c r="B51" s="200" vm="220">
        <f t="shared" si="1"/>
        <v>35874428</v>
      </c>
      <c r="C51" s="200" vm="1511">
        <f t="shared" si="1"/>
        <v>58191734</v>
      </c>
      <c r="D51" s="9" vm="1928">
        <f t="shared" si="6"/>
        <v>57898197</v>
      </c>
      <c r="E51" s="9" vm="1837">
        <f t="shared" si="6"/>
        <v>-590840</v>
      </c>
      <c r="F51" s="9" vm="1728">
        <f t="shared" si="6"/>
        <v>-590840</v>
      </c>
      <c r="G51" s="9" vm="1890">
        <f t="shared" si="6"/>
        <v>-630806</v>
      </c>
      <c r="H51" s="9" vm="1678">
        <f t="shared" si="6"/>
        <v>-630806</v>
      </c>
      <c r="I51" s="9" vm="1929">
        <f t="shared" si="6"/>
        <v>-630806</v>
      </c>
      <c r="J51" s="9" vm="1994">
        <f t="shared" si="6"/>
        <v>-630806</v>
      </c>
      <c r="K51" s="9" vm="1742">
        <f t="shared" si="6"/>
        <v>-630806</v>
      </c>
      <c r="L51" s="9" vm="1624">
        <f t="shared" si="6"/>
        <v>-1333936</v>
      </c>
      <c r="M51" s="9" vm="1683">
        <f t="shared" si="6"/>
        <v>-49252</v>
      </c>
      <c r="N51" s="160" vm="1756">
        <f t="shared" si="6"/>
        <v>52179299</v>
      </c>
      <c r="O51" s="214">
        <f>'CAPEX po meseci CUBE'!E72</f>
        <v>0</v>
      </c>
      <c r="P51" s="214">
        <f>Amortizacija_CUBE!C19*-1</f>
        <v>-5575612</v>
      </c>
      <c r="Q51" s="110">
        <f t="shared" si="2"/>
        <v>46603687</v>
      </c>
    </row>
    <row r="52" spans="1:17" outlineLevel="1" x14ac:dyDescent="0.25">
      <c r="A52" s="8" t="str" vm="146">
        <f>CUBEMEMBER("ThisWorkbookDataModel",{"[fActualAndBudget].[StavkaKategorija].&amp;[1.9. Нематеријални средства]","[fActualAndBudget].[StavkaImeMK].&amp;[Нематеријални средства во подготовка]"})</f>
        <v>Нематеријални средства во подготовка</v>
      </c>
      <c r="B52" s="157" vm="179">
        <f t="shared" si="1"/>
        <v>14095050</v>
      </c>
      <c r="C52" s="157" vm="1522">
        <f t="shared" si="1"/>
        <v>36416605</v>
      </c>
      <c r="D52" vm="1806">
        <f t="shared" si="6"/>
        <v>36416605</v>
      </c>
      <c r="E52" vm="1753">
        <f t="shared" si="6"/>
        <v>0</v>
      </c>
      <c r="F52" vm="1685">
        <f t="shared" si="6"/>
        <v>-1918355</v>
      </c>
      <c r="G52" vm="2065">
        <f t="shared" si="6"/>
        <v>0</v>
      </c>
      <c r="H52" vm="1604">
        <f t="shared" si="6"/>
        <v>0</v>
      </c>
      <c r="I52" vm="1885">
        <f t="shared" si="6"/>
        <v>0</v>
      </c>
      <c r="J52" vm="1634">
        <f t="shared" si="6"/>
        <v>0</v>
      </c>
      <c r="K52" vm="1904">
        <f t="shared" si="6"/>
        <v>-33750250</v>
      </c>
      <c r="L52" vm="1805">
        <f t="shared" si="6"/>
        <v>-630000</v>
      </c>
      <c r="M52" vm="1915">
        <f t="shared" si="6"/>
        <v>0</v>
      </c>
      <c r="N52" vm="1599">
        <f t="shared" si="6"/>
        <v>118000</v>
      </c>
      <c r="Q52" s="41">
        <f t="shared" si="2"/>
        <v>118000</v>
      </c>
    </row>
    <row r="53" spans="1:17" outlineLevel="1" x14ac:dyDescent="0.25">
      <c r="A53" s="8" t="str" vm="145">
        <f>CUBEMEMBER("ThisWorkbookDataModel",{"[fActualAndBudget].[StavkaKategorija].&amp;[1.9. Нематеријални средства]","[fActualAndBudget].[StavkaImeMK].&amp;[Софтвер]"})</f>
        <v>Софтвер</v>
      </c>
      <c r="B53" s="157" vm="209">
        <f t="shared" si="1"/>
        <v>21779378</v>
      </c>
      <c r="C53" s="157" vm="1499">
        <f t="shared" si="1"/>
        <v>21775129</v>
      </c>
      <c r="D53" vm="1676">
        <f t="shared" si="6"/>
        <v>21481592</v>
      </c>
      <c r="E53" vm="1609">
        <f t="shared" si="6"/>
        <v>-590840</v>
      </c>
      <c r="F53" vm="2079">
        <f t="shared" si="6"/>
        <v>1327515</v>
      </c>
      <c r="G53" vm="2016">
        <f t="shared" si="6"/>
        <v>-630806</v>
      </c>
      <c r="H53" vm="1967">
        <f t="shared" si="6"/>
        <v>-630806</v>
      </c>
      <c r="I53" vm="1677">
        <f t="shared" si="6"/>
        <v>-630806</v>
      </c>
      <c r="J53" vm="1741">
        <f t="shared" si="6"/>
        <v>-630806</v>
      </c>
      <c r="K53" vm="1987">
        <f t="shared" si="6"/>
        <v>33119444</v>
      </c>
      <c r="L53" vm="1670">
        <f t="shared" si="6"/>
        <v>-703936</v>
      </c>
      <c r="M53" vm="1899">
        <f t="shared" si="6"/>
        <v>-49252</v>
      </c>
      <c r="N53" vm="1600">
        <f t="shared" si="6"/>
        <v>52061299</v>
      </c>
      <c r="Q53" s="41">
        <f t="shared" si="2"/>
        <v>52061299</v>
      </c>
    </row>
    <row r="56" spans="1:17" x14ac:dyDescent="0.25">
      <c r="A56" t="s">
        <v>1149</v>
      </c>
      <c r="B56" s="104">
        <f>B7+B23+B39+B43+B51</f>
        <v>746217975</v>
      </c>
      <c r="C56" s="104">
        <f t="shared" ref="C56:N56" si="7">C7+C23+C39+C43+C51</f>
        <v>753432443</v>
      </c>
      <c r="D56" s="104">
        <f t="shared" si="7"/>
        <v>745188093</v>
      </c>
      <c r="E56" s="104">
        <f t="shared" si="7"/>
        <v>64427713</v>
      </c>
      <c r="F56" s="104">
        <f t="shared" si="7"/>
        <v>57084840</v>
      </c>
      <c r="G56" s="104">
        <f t="shared" si="7"/>
        <v>-13830060</v>
      </c>
      <c r="H56" s="104">
        <f t="shared" si="7"/>
        <v>10022204</v>
      </c>
      <c r="I56" s="104">
        <f t="shared" si="7"/>
        <v>-5491010</v>
      </c>
      <c r="J56" s="104">
        <f t="shared" si="7"/>
        <v>-8305140</v>
      </c>
      <c r="K56" s="104">
        <f t="shared" si="7"/>
        <v>-16096620</v>
      </c>
      <c r="L56" s="104">
        <f t="shared" si="7"/>
        <v>-8605987</v>
      </c>
      <c r="M56" s="104">
        <f t="shared" si="7"/>
        <v>-11340474</v>
      </c>
      <c r="N56" s="104">
        <f t="shared" si="7"/>
        <v>813053559</v>
      </c>
    </row>
    <row r="57" spans="1:17" x14ac:dyDescent="0.25">
      <c r="A57" t="s">
        <v>1150</v>
      </c>
      <c r="B57" s="104">
        <f t="shared" ref="B57:C57" si="8">B13+B19+B21+B29+B31+B27</f>
        <v>735976264</v>
      </c>
      <c r="C57" s="104">
        <f t="shared" si="8"/>
        <v>753432443</v>
      </c>
      <c r="D57" s="104">
        <f>D13+D19+D21+D29+D31+D27</f>
        <v>754649507</v>
      </c>
      <c r="E57" s="104">
        <f t="shared" ref="E57:N57" si="9">E13+E19+E21+E29+E31+E27</f>
        <v>-2209461</v>
      </c>
      <c r="F57" s="104">
        <f t="shared" si="9"/>
        <v>-629248</v>
      </c>
      <c r="G57" s="104">
        <f t="shared" si="9"/>
        <v>-19524690</v>
      </c>
      <c r="H57" s="104">
        <f t="shared" si="9"/>
        <v>18483800</v>
      </c>
      <c r="I57" s="104">
        <f t="shared" si="9"/>
        <v>-883420</v>
      </c>
      <c r="J57" s="104">
        <f t="shared" si="9"/>
        <v>-525790</v>
      </c>
      <c r="K57" s="104">
        <f t="shared" si="9"/>
        <v>-179768</v>
      </c>
      <c r="L57" s="104">
        <f t="shared" si="9"/>
        <v>177580</v>
      </c>
      <c r="M57" s="104">
        <f t="shared" si="9"/>
        <v>-224530</v>
      </c>
      <c r="N57" s="104">
        <f t="shared" si="9"/>
        <v>749133980</v>
      </c>
    </row>
    <row r="58" spans="1:17" x14ac:dyDescent="0.25">
      <c r="A58" t="s">
        <v>1155</v>
      </c>
      <c r="B58" s="104">
        <f>B56-B57</f>
        <v>10241711</v>
      </c>
      <c r="C58" s="104">
        <f t="shared" ref="C58:N58" si="10">C56-C57</f>
        <v>0</v>
      </c>
      <c r="D58" s="104">
        <f t="shared" si="10"/>
        <v>-9461414</v>
      </c>
      <c r="E58" s="104">
        <f t="shared" si="10"/>
        <v>66637174</v>
      </c>
      <c r="F58" s="104">
        <f t="shared" si="10"/>
        <v>57714088</v>
      </c>
      <c r="G58" s="104">
        <f t="shared" si="10"/>
        <v>5694630</v>
      </c>
      <c r="H58" s="104">
        <f t="shared" si="10"/>
        <v>-8461596</v>
      </c>
      <c r="I58" s="104">
        <f t="shared" si="10"/>
        <v>-4607590</v>
      </c>
      <c r="J58" s="104">
        <f t="shared" si="10"/>
        <v>-7779350</v>
      </c>
      <c r="K58" s="104">
        <f t="shared" si="10"/>
        <v>-15916852</v>
      </c>
      <c r="L58" s="104">
        <f t="shared" si="10"/>
        <v>-8783567</v>
      </c>
      <c r="M58" s="104">
        <f t="shared" si="10"/>
        <v>-11115944</v>
      </c>
      <c r="N58" s="104">
        <f t="shared" si="10"/>
        <v>63919579</v>
      </c>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4:R5966"/>
  <sheetViews>
    <sheetView showGridLines="0" topLeftCell="A4" zoomScale="110" zoomScaleNormal="110" workbookViewId="0">
      <pane xSplit="1" ySplit="7" topLeftCell="D23" activePane="bottomRight" state="frozen"/>
      <selection activeCell="H36" sqref="H36"/>
      <selection pane="topRight" activeCell="H36" sqref="H36"/>
      <selection pane="bottomLeft" activeCell="H36" sqref="H36"/>
      <selection pane="bottomRight" activeCell="O29" sqref="O29"/>
    </sheetView>
  </sheetViews>
  <sheetFormatPr defaultRowHeight="15" x14ac:dyDescent="0.25"/>
  <cols>
    <col min="1" max="1" width="51" style="2" customWidth="1"/>
    <col min="2" max="2" width="11.28515625" style="2" bestFit="1" customWidth="1"/>
    <col min="3" max="3" width="14.5703125" customWidth="1"/>
    <col min="4" max="4" width="11" bestFit="1" customWidth="1"/>
    <col min="5" max="5" width="11.140625" bestFit="1" customWidth="1"/>
    <col min="6" max="6" width="11.140625" style="9" bestFit="1" customWidth="1"/>
    <col min="7" max="15" width="11.140625" bestFit="1" customWidth="1"/>
    <col min="16" max="16" width="11.7109375" customWidth="1"/>
    <col min="17" max="17" width="13.42578125" customWidth="1"/>
    <col min="18" max="18" width="11.140625" customWidth="1"/>
    <col min="19" max="20" width="11.140625" bestFit="1" customWidth="1"/>
    <col min="21" max="25" width="10.140625" bestFit="1" customWidth="1"/>
    <col min="26" max="26" width="11.28515625" bestFit="1" customWidth="1"/>
    <col min="27" max="28" width="11.140625" bestFit="1" customWidth="1"/>
    <col min="29" max="31" width="12.7109375" bestFit="1" customWidth="1"/>
    <col min="32" max="32" width="8.42578125" bestFit="1" customWidth="1"/>
    <col min="33" max="33" width="9.42578125" bestFit="1" customWidth="1"/>
    <col min="34" max="35" width="8.42578125" bestFit="1" customWidth="1"/>
    <col min="37" max="37" width="11.28515625" bestFit="1" customWidth="1"/>
  </cols>
  <sheetData>
    <row r="4" spans="1:18" ht="13.9" customHeight="1" x14ac:dyDescent="0.25"/>
    <row r="5" spans="1:18" ht="30" x14ac:dyDescent="0.25">
      <c r="A5" s="69" t="s">
        <v>187</v>
      </c>
      <c r="B5" s="69" t="s">
        <v>1165</v>
      </c>
      <c r="C5" s="1">
        <f t="shared" ref="C5:O5" si="0">SUM(C18:C20)</f>
        <v>644891708</v>
      </c>
      <c r="D5" s="1">
        <f t="shared" si="0"/>
        <v>640752674</v>
      </c>
      <c r="E5" s="1">
        <f t="shared" si="0"/>
        <v>641239240</v>
      </c>
      <c r="F5" s="1">
        <f t="shared" si="0"/>
        <v>658770206</v>
      </c>
      <c r="G5" s="1">
        <f t="shared" si="0"/>
        <v>691564191</v>
      </c>
      <c r="H5" s="1">
        <f t="shared" si="0"/>
        <v>696683800</v>
      </c>
      <c r="I5" s="1">
        <f t="shared" si="0"/>
        <v>698749232</v>
      </c>
      <c r="J5" s="1">
        <f t="shared" si="0"/>
        <v>695339664</v>
      </c>
      <c r="K5" s="1">
        <f t="shared" si="0"/>
        <v>690872284</v>
      </c>
      <c r="L5" s="1">
        <f t="shared" si="0"/>
        <v>718906820</v>
      </c>
      <c r="M5" s="1">
        <f t="shared" si="0"/>
        <v>714129106</v>
      </c>
      <c r="N5" s="1">
        <f t="shared" si="0"/>
        <v>723216392</v>
      </c>
      <c r="O5" s="1">
        <f t="shared" si="0"/>
        <v>729968678</v>
      </c>
      <c r="P5" s="1">
        <f>C5-O5</f>
        <v>-85076970</v>
      </c>
      <c r="Q5" s="1">
        <f>P5-'2. Bilans Na Uspeh'!F90</f>
        <v>-139306600</v>
      </c>
      <c r="R5" s="1">
        <f>Q5-P5</f>
        <v>-54229630</v>
      </c>
    </row>
    <row r="6" spans="1:18" x14ac:dyDescent="0.25">
      <c r="Q6" s="258">
        <f>Q5*-1-'CAPEX po meseci CUBE'!R51</f>
        <v>0</v>
      </c>
      <c r="R6" s="258">
        <f>R5-'2. Bilans Na Uspeh'!F90*-1</f>
        <v>0</v>
      </c>
    </row>
    <row r="7" spans="1:18" x14ac:dyDescent="0.25">
      <c r="A7"/>
      <c r="B7"/>
      <c r="D7" s="1"/>
      <c r="E7" s="1"/>
      <c r="F7" s="1"/>
      <c r="G7" s="1"/>
      <c r="H7" s="1"/>
      <c r="I7" s="1"/>
      <c r="J7" s="1"/>
      <c r="K7" s="1"/>
      <c r="L7" s="1"/>
      <c r="M7" s="1"/>
      <c r="N7" s="1"/>
      <c r="O7" s="1"/>
    </row>
    <row r="8" spans="1:18" x14ac:dyDescent="0.25">
      <c r="C8" s="1"/>
      <c r="D8" s="1"/>
      <c r="E8" s="1"/>
      <c r="F8" s="1"/>
      <c r="G8" s="1"/>
      <c r="H8" s="1"/>
      <c r="I8" s="1"/>
      <c r="J8" s="1"/>
      <c r="K8" s="1"/>
      <c r="L8" s="1"/>
      <c r="M8" s="1"/>
      <c r="N8" s="1"/>
      <c r="O8" s="1"/>
      <c r="P8" s="1"/>
    </row>
    <row r="9" spans="1:18" x14ac:dyDescent="0.25">
      <c r="A9" s="3" t="str" vm="10">
        <f>CUBEMEMBER("ThisWorkbookDataModel","[Measures].[Sum of Износ]")</f>
        <v>Sum of Износ</v>
      </c>
      <c r="B9" s="3"/>
    </row>
    <row r="10" spans="1:18" s="20" customFormat="1" x14ac:dyDescent="0.25">
      <c r="A10" s="38" t="s">
        <v>607</v>
      </c>
      <c r="B10" s="42">
        <v>44166</v>
      </c>
      <c r="C10" s="42">
        <v>44531</v>
      </c>
      <c r="D10" s="42">
        <v>44562</v>
      </c>
      <c r="E10" s="42">
        <v>44593</v>
      </c>
      <c r="F10" s="42">
        <v>44621</v>
      </c>
      <c r="G10" s="42">
        <v>44652</v>
      </c>
      <c r="H10" s="42">
        <v>44682</v>
      </c>
      <c r="I10" s="42">
        <v>44713</v>
      </c>
      <c r="J10" s="42">
        <v>44743</v>
      </c>
      <c r="K10" s="42">
        <v>44774</v>
      </c>
      <c r="L10" s="42">
        <v>44805</v>
      </c>
      <c r="M10" s="42">
        <v>44835</v>
      </c>
      <c r="N10" s="42">
        <v>44866</v>
      </c>
      <c r="O10" s="43">
        <v>44896</v>
      </c>
    </row>
    <row r="11" spans="1:18" s="20" customFormat="1" x14ac:dyDescent="0.25">
      <c r="A11" s="39" t="s">
        <v>177</v>
      </c>
      <c r="B11" s="82"/>
      <c r="C11" s="45"/>
      <c r="D11" s="45"/>
      <c r="E11" s="45"/>
      <c r="F11" s="46"/>
      <c r="G11" s="47"/>
      <c r="H11" s="47"/>
      <c r="I11" s="47"/>
      <c r="J11" s="47"/>
      <c r="K11" s="47"/>
      <c r="L11" s="47"/>
      <c r="M11" s="47"/>
      <c r="N11" s="47"/>
      <c r="O11" s="48"/>
    </row>
    <row r="12" spans="1:18" x14ac:dyDescent="0.25">
      <c r="A12" s="49" t="str" vm="123">
        <f>CUBEMEMBER("ThisWorkbookDataModel",{"[fActualAndBudget].[StavkaKategorija].&amp;[1.1. Парични средства]"})</f>
        <v>1.1. Парични средства</v>
      </c>
      <c r="B12" s="30" vm="1517">
        <f>BS_predviduvanje!C7</f>
        <v>81347615</v>
      </c>
      <c r="C12" s="206">
        <v>118116082</v>
      </c>
      <c r="D12" s="30">
        <f>'8. Izv. za paricni tekovi'!B21</f>
        <v>115849683</v>
      </c>
      <c r="E12" s="30">
        <f>'8. Izv. za paricni tekovi'!C21</f>
        <v>199352512</v>
      </c>
      <c r="F12" s="30">
        <f>'8. Izv. za paricni tekovi'!D21</f>
        <v>214119752</v>
      </c>
      <c r="G12" s="30">
        <f>'8. Izv. za paricni tekovi'!E21</f>
        <v>170645322</v>
      </c>
      <c r="H12" s="30">
        <f>'8. Izv. za paricni tekovi'!F21</f>
        <v>151563463</v>
      </c>
      <c r="I12" s="30">
        <f>'8. Izv. za paricni tekovi'!G21</f>
        <v>130945404</v>
      </c>
      <c r="J12" s="30">
        <f>'8. Izv. za paricni tekovi'!H21</f>
        <v>123298073</v>
      </c>
      <c r="K12" s="30">
        <f>'8. Izv. za paricni tekovi'!I21</f>
        <v>113822242</v>
      </c>
      <c r="L12" s="30">
        <f>'8. Izv. za paricni tekovi'!J21</f>
        <v>75426232</v>
      </c>
      <c r="M12" s="30">
        <f>'8. Izv. za paricni tekovi'!K21</f>
        <v>67598968</v>
      </c>
      <c r="N12" s="30">
        <f>'8. Izv. za paricni tekovi'!L21</f>
        <v>48558476</v>
      </c>
      <c r="O12" s="30">
        <f>'8. Izv. za paricni tekovi'!M21</f>
        <v>48300929</v>
      </c>
    </row>
    <row r="13" spans="1:18" x14ac:dyDescent="0.25">
      <c r="A13" s="49" t="str" vm="124">
        <f>CUBEMEMBER("ThisWorkbookDataModel",{"[fActualAndBudget].[StavkaKategorija].&amp;[1.2. Побарувања]"})</f>
        <v>1.2. Побарувања</v>
      </c>
      <c r="B13" s="30" vm="1503">
        <f>BS_predviduvanje!C23</f>
        <v>4240420</v>
      </c>
      <c r="C13" s="207">
        <f>BS_predviduvanje!Q23</f>
        <v>4179126</v>
      </c>
      <c r="D13" s="30">
        <f t="shared" ref="D13:O13" si="1">C13</f>
        <v>4179126</v>
      </c>
      <c r="E13" s="30">
        <f t="shared" si="1"/>
        <v>4179126</v>
      </c>
      <c r="F13" s="30">
        <f t="shared" si="1"/>
        <v>4179126</v>
      </c>
      <c r="G13" s="30">
        <f t="shared" si="1"/>
        <v>4179126</v>
      </c>
      <c r="H13" s="30">
        <f t="shared" si="1"/>
        <v>4179126</v>
      </c>
      <c r="I13" s="30">
        <f t="shared" si="1"/>
        <v>4179126</v>
      </c>
      <c r="J13" s="30">
        <f t="shared" si="1"/>
        <v>4179126</v>
      </c>
      <c r="K13" s="30">
        <f t="shared" si="1"/>
        <v>4179126</v>
      </c>
      <c r="L13" s="30">
        <f t="shared" si="1"/>
        <v>4179126</v>
      </c>
      <c r="M13" s="30">
        <f t="shared" si="1"/>
        <v>4179126</v>
      </c>
      <c r="N13" s="30">
        <f t="shared" si="1"/>
        <v>4179126</v>
      </c>
      <c r="O13" s="53">
        <f t="shared" si="1"/>
        <v>4179126</v>
      </c>
    </row>
    <row r="14" spans="1:18" s="9" customFormat="1" x14ac:dyDescent="0.25">
      <c r="A14" s="49" t="str" vm="125">
        <f>CUBEMEMBER("ThisWorkbookDataModel",{"[fActualAndBudget].[StavkaKategorija].&amp;[1.3. Залихи]"})</f>
        <v>1.3. Залихи</v>
      </c>
      <c r="B14" s="30" vm="1529">
        <f>BS_predviduvanje!C39</f>
        <v>1335757</v>
      </c>
      <c r="C14" s="30">
        <f>BS_predviduvanje!Q39</f>
        <v>1080190</v>
      </c>
      <c r="D14" s="30">
        <f>C14</f>
        <v>1080190</v>
      </c>
      <c r="E14" s="30">
        <f t="shared" ref="E14:O14" si="2">D14</f>
        <v>1080190</v>
      </c>
      <c r="F14" s="30">
        <f t="shared" si="2"/>
        <v>1080190</v>
      </c>
      <c r="G14" s="30">
        <f t="shared" si="2"/>
        <v>1080190</v>
      </c>
      <c r="H14" s="30">
        <f t="shared" si="2"/>
        <v>1080190</v>
      </c>
      <c r="I14" s="30">
        <f t="shared" si="2"/>
        <v>1080190</v>
      </c>
      <c r="J14" s="30">
        <f t="shared" si="2"/>
        <v>1080190</v>
      </c>
      <c r="K14" s="30">
        <f t="shared" si="2"/>
        <v>1080190</v>
      </c>
      <c r="L14" s="30">
        <f t="shared" si="2"/>
        <v>1080190</v>
      </c>
      <c r="M14" s="30">
        <f t="shared" si="2"/>
        <v>1080190</v>
      </c>
      <c r="N14" s="30">
        <f t="shared" si="2"/>
        <v>1080190</v>
      </c>
      <c r="O14" s="53">
        <f t="shared" si="2"/>
        <v>1080190</v>
      </c>
    </row>
    <row r="15" spans="1:18" s="9" customFormat="1" x14ac:dyDescent="0.25">
      <c r="A15" s="49" t="e">
        <f>CUBEMEMBER("ThisWorkbookDataModel",{"[fActualAndBudget].[StavkaKategorija].&amp;[1.4. Краткорочни финансиски средства]"})</f>
        <v>#N/A</v>
      </c>
      <c r="B15" s="186"/>
      <c r="C15" s="186"/>
      <c r="D15" s="34"/>
      <c r="E15" s="34"/>
      <c r="F15" s="34"/>
      <c r="G15" s="35"/>
      <c r="H15" s="54"/>
      <c r="I15" s="54"/>
      <c r="J15" s="54"/>
      <c r="K15" s="54"/>
      <c r="L15" s="54"/>
      <c r="M15" s="54"/>
      <c r="N15" s="54"/>
      <c r="O15" s="55"/>
      <c r="Q15" s="77"/>
    </row>
    <row r="16" spans="1:18" s="9" customFormat="1" x14ac:dyDescent="0.25">
      <c r="A16" s="49" t="e">
        <f>CUBEMEMBER("ThisWorkbookDataModel",{"[fActualAndBudget].[StavkaKategorija].&amp;[1.5. Други тековни средства (АВР)"})</f>
        <v>#N/A</v>
      </c>
      <c r="B16" s="186"/>
      <c r="C16" s="186"/>
      <c r="D16" s="34"/>
      <c r="E16" s="34"/>
      <c r="F16" s="34"/>
      <c r="G16" s="35"/>
      <c r="H16" s="54"/>
      <c r="I16" s="54"/>
      <c r="J16" s="54"/>
      <c r="K16" s="54"/>
      <c r="L16" s="54"/>
      <c r="M16" s="54"/>
      <c r="N16" s="54"/>
      <c r="O16" s="55"/>
    </row>
    <row r="17" spans="1:17" s="9" customFormat="1" x14ac:dyDescent="0.25">
      <c r="A17" s="56" t="s">
        <v>178</v>
      </c>
      <c r="B17" s="34">
        <f t="shared" ref="B17:O17" si="3">SUM(B12:B16)</f>
        <v>86923792</v>
      </c>
      <c r="C17" s="34">
        <f>SUM(C12:C16)</f>
        <v>123375398</v>
      </c>
      <c r="D17" s="34">
        <f t="shared" si="3"/>
        <v>121108999</v>
      </c>
      <c r="E17" s="34">
        <f t="shared" si="3"/>
        <v>204611828</v>
      </c>
      <c r="F17" s="34">
        <f t="shared" si="3"/>
        <v>219379068</v>
      </c>
      <c r="G17" s="34">
        <f t="shared" si="3"/>
        <v>175904638</v>
      </c>
      <c r="H17" s="34">
        <f t="shared" si="3"/>
        <v>156822779</v>
      </c>
      <c r="I17" s="34">
        <f t="shared" si="3"/>
        <v>136204720</v>
      </c>
      <c r="J17" s="34">
        <f t="shared" si="3"/>
        <v>128557389</v>
      </c>
      <c r="K17" s="34">
        <f t="shared" si="3"/>
        <v>119081558</v>
      </c>
      <c r="L17" s="34">
        <f t="shared" si="3"/>
        <v>80685548</v>
      </c>
      <c r="M17" s="34">
        <f t="shared" si="3"/>
        <v>72858284</v>
      </c>
      <c r="N17" s="34">
        <f t="shared" si="3"/>
        <v>53817792</v>
      </c>
      <c r="O17" s="57">
        <f t="shared" si="3"/>
        <v>53560245</v>
      </c>
    </row>
    <row r="18" spans="1:17" s="9" customFormat="1" x14ac:dyDescent="0.25">
      <c r="A18" s="49" t="str" vm="129">
        <f>CUBEMEMBER("ThisWorkbookDataModel",{"[fActualAndBudget].[StavkaKategorija].&amp;[1.7. Материјални средства и вложувања во недвижности]"})</f>
        <v>1.7. Материјални средства и вложувања во недвижности</v>
      </c>
      <c r="B18" s="30" vm="1542">
        <f>BS_predviduvanje!C43</f>
        <v>608316917</v>
      </c>
      <c r="C18" s="30">
        <f>BS_predviduvanje!Q43</f>
        <v>598288021</v>
      </c>
      <c r="D18" s="30">
        <f>C18+'CAPEX po meseci CUBE'!F49-Amortizacija_CUBE!D20</f>
        <v>596936793</v>
      </c>
      <c r="E18" s="30">
        <f>D18+'CAPEX po meseci CUBE'!G49-Amortizacija_CUBE!E20</f>
        <v>596411565</v>
      </c>
      <c r="F18" s="30">
        <f>E18+'CAPEX po meseci CUBE'!H49-Amortizacija_CUBE!F20</f>
        <v>613060337</v>
      </c>
      <c r="G18" s="30">
        <f>F18+'CAPEX po meseci CUBE'!I49-Amortizacija_CUBE!G20</f>
        <v>611709109</v>
      </c>
      <c r="H18" s="30">
        <f>G18+'CAPEX po meseci CUBE'!J49-Amortizacija_CUBE!H20</f>
        <v>613573505</v>
      </c>
      <c r="I18" s="30">
        <f>H18+'CAPEX po meseci CUBE'!K49-Amortizacija_CUBE!I20</f>
        <v>613697474</v>
      </c>
      <c r="J18" s="30">
        <f>I18+'CAPEX po meseci CUBE'!L49-Amortizacija_CUBE!J20</f>
        <v>613106443</v>
      </c>
      <c r="K18" s="30">
        <f>J18+'CAPEX po meseci CUBE'!M49-Amortizacija_CUBE!K20</f>
        <v>611457600</v>
      </c>
      <c r="L18" s="30">
        <f>K18+'CAPEX po meseci CUBE'!N49-Amortizacija_CUBE!L20</f>
        <v>609666569</v>
      </c>
      <c r="M18" s="30">
        <f>L18+'CAPEX po meseci CUBE'!O49-Amortizacija_CUBE!M20</f>
        <v>607875538</v>
      </c>
      <c r="N18" s="30">
        <f>M18+'CAPEX po meseci CUBE'!P49-Amortizacija_CUBE!N20</f>
        <v>606084507</v>
      </c>
      <c r="O18" s="30">
        <f>N18+'CAPEX po meseci CUBE'!Q49-Amortizacija_CUBE!O20</f>
        <v>611118476</v>
      </c>
      <c r="P18" s="77"/>
    </row>
    <row r="19" spans="1:17" s="9" customFormat="1" x14ac:dyDescent="0.25">
      <c r="A19" s="49" t="e">
        <f>CUBEMEMBER("ThisWorkbookDataModel",{"[fActualAndBudget].[StavkaKategorija].&amp;[1.8. Долгорочни финансиски вложувања]"})</f>
        <v>#N/A</v>
      </c>
      <c r="B19" s="186"/>
      <c r="C19" s="186"/>
      <c r="D19" s="30"/>
      <c r="E19" s="30"/>
      <c r="F19" s="30"/>
      <c r="G19" s="30"/>
      <c r="H19" s="30"/>
      <c r="I19" s="30"/>
      <c r="J19" s="30"/>
      <c r="K19" s="30"/>
      <c r="L19" s="30"/>
      <c r="M19" s="30"/>
      <c r="N19" s="30"/>
      <c r="O19" s="30"/>
    </row>
    <row r="20" spans="1:17" s="9" customFormat="1" x14ac:dyDescent="0.25">
      <c r="A20" s="49" t="str" vm="128">
        <f>CUBEMEMBER("ThisWorkbookDataModel",{"[fActualAndBudget].[StavkaKategorija].&amp;[1.9. Нематеријални средства]"})</f>
        <v>1.9. Нематеријални средства</v>
      </c>
      <c r="B20" s="30" vm="1511">
        <f>BS_predviduvanje!C51</f>
        <v>58191734</v>
      </c>
      <c r="C20" s="30">
        <f>BS_predviduvanje!Q51</f>
        <v>46603687</v>
      </c>
      <c r="D20" s="30">
        <f>C20+'CAPEX po meseci CUBE'!F50-Amortizacija_CUBE!D19</f>
        <v>43815881</v>
      </c>
      <c r="E20" s="30">
        <f>D20+'CAPEX po meseci CUBE'!G50-Amortizacija_CUBE!E19</f>
        <v>44827675</v>
      </c>
      <c r="F20" s="30">
        <f>E20+'CAPEX po meseci CUBE'!H50-Amortizacija_CUBE!F19</f>
        <v>45709869</v>
      </c>
      <c r="G20" s="30">
        <f>F20+'CAPEX po meseci CUBE'!I50-Amortizacija_CUBE!G19</f>
        <v>79855082</v>
      </c>
      <c r="H20" s="30">
        <f>G20+'CAPEX po meseci CUBE'!J50-Amortizacija_CUBE!H19</f>
        <v>83110295</v>
      </c>
      <c r="I20" s="30">
        <f>H20+'CAPEX po meseci CUBE'!K50-Amortizacija_CUBE!I19</f>
        <v>85051758</v>
      </c>
      <c r="J20" s="30">
        <f>I20+'CAPEX po meseci CUBE'!L50-Amortizacija_CUBE!J19</f>
        <v>82233221</v>
      </c>
      <c r="K20" s="30">
        <f>J20+'CAPEX po meseci CUBE'!M50-Amortizacija_CUBE!K19</f>
        <v>79414684</v>
      </c>
      <c r="L20" s="30">
        <f>K20+'CAPEX po meseci CUBE'!N50-Amortizacija_CUBE!L19</f>
        <v>109240251</v>
      </c>
      <c r="M20" s="30">
        <f>L20+'CAPEX po meseci CUBE'!O50-Amortizacija_CUBE!M19</f>
        <v>106253568</v>
      </c>
      <c r="N20" s="30">
        <f>M20+'CAPEX po meseci CUBE'!P50-Amortizacija_CUBE!N19</f>
        <v>117131885</v>
      </c>
      <c r="O20" s="30">
        <f>N20+'CAPEX po meseci CUBE'!Q50-Amortizacija_CUBE!O19</f>
        <v>118850202</v>
      </c>
    </row>
    <row r="21" spans="1:17" s="9" customFormat="1" x14ac:dyDescent="0.25">
      <c r="A21" s="49" t="e">
        <f>CUBEMEMBER("ThisWorkbookDataModel",{"[fActualAndBudget].[StavkaKategorija].&amp;[1.10. Долгорочни финансиски средства]"})</f>
        <v>#N/A</v>
      </c>
      <c r="B21" s="186"/>
      <c r="C21" s="186"/>
      <c r="D21" s="30"/>
      <c r="E21" s="30"/>
      <c r="F21" s="30"/>
      <c r="G21" s="30"/>
      <c r="H21" s="30"/>
      <c r="I21" s="30"/>
      <c r="J21" s="30"/>
      <c r="K21" s="30"/>
      <c r="L21" s="30"/>
      <c r="M21" s="30"/>
      <c r="N21" s="30"/>
      <c r="O21" s="30"/>
      <c r="Q21" s="77"/>
    </row>
    <row r="22" spans="1:17" s="9" customFormat="1" x14ac:dyDescent="0.25">
      <c r="A22" s="49" t="e">
        <f>CUBEMEMBER("ThisWorkbookDataModel",{"[fActualAndBudget].[StavkaKategorija].&amp;[1.11. Други средства]"})</f>
        <v>#N/A</v>
      </c>
      <c r="B22" s="186"/>
      <c r="C22" s="186"/>
      <c r="D22" s="30"/>
      <c r="E22" s="30"/>
      <c r="F22" s="30"/>
      <c r="G22" s="30"/>
      <c r="H22" s="30"/>
      <c r="I22" s="30"/>
      <c r="J22" s="30"/>
      <c r="K22" s="30"/>
      <c r="L22" s="30"/>
      <c r="M22" s="30"/>
      <c r="N22" s="30"/>
      <c r="O22" s="30"/>
    </row>
    <row r="23" spans="1:17" s="9" customFormat="1" x14ac:dyDescent="0.25">
      <c r="A23" s="56" t="s">
        <v>179</v>
      </c>
      <c r="B23" s="34">
        <f t="shared" ref="B23:O23" si="4">SUM(B17:B22)</f>
        <v>753432443</v>
      </c>
      <c r="C23" s="34">
        <f>SUM(C17:C22)</f>
        <v>768267106</v>
      </c>
      <c r="D23" s="34">
        <f t="shared" si="4"/>
        <v>761861673</v>
      </c>
      <c r="E23" s="34">
        <f t="shared" si="4"/>
        <v>845851068</v>
      </c>
      <c r="F23" s="34">
        <f t="shared" si="4"/>
        <v>878149274</v>
      </c>
      <c r="G23" s="34">
        <f t="shared" si="4"/>
        <v>867468829</v>
      </c>
      <c r="H23" s="34">
        <f t="shared" si="4"/>
        <v>853506579</v>
      </c>
      <c r="I23" s="34">
        <f t="shared" si="4"/>
        <v>834953952</v>
      </c>
      <c r="J23" s="34">
        <f t="shared" si="4"/>
        <v>823897053</v>
      </c>
      <c r="K23" s="34">
        <f t="shared" si="4"/>
        <v>809953842</v>
      </c>
      <c r="L23" s="34">
        <f t="shared" si="4"/>
        <v>799592368</v>
      </c>
      <c r="M23" s="34">
        <f t="shared" si="4"/>
        <v>786987390</v>
      </c>
      <c r="N23" s="34">
        <f t="shared" si="4"/>
        <v>777034184</v>
      </c>
      <c r="O23" s="57">
        <f t="shared" si="4"/>
        <v>783528923</v>
      </c>
    </row>
    <row r="24" spans="1:17" s="9" customFormat="1" x14ac:dyDescent="0.25">
      <c r="A24" s="58" t="str" vm="136">
        <f>CUBEMEMBER("ThisWorkbookDataModel",{"[fActualAndBudget].[StavkaKategorija].&amp;[1.13. Вонбилансна актива]"})</f>
        <v>1.13. Вонбилансна актива</v>
      </c>
      <c r="B24" s="30" vm="1524">
        <f>BS_predviduvanje!C11</f>
        <v>0</v>
      </c>
      <c r="C24" s="30" vm="1524">
        <f>BS_predviduvanje!C11</f>
        <v>0</v>
      </c>
      <c r="D24" s="30" vm="1524">
        <f>C24</f>
        <v>0</v>
      </c>
      <c r="E24" s="30" vm="1524">
        <f t="shared" ref="E24:O24" si="5">D24</f>
        <v>0</v>
      </c>
      <c r="F24" s="30" vm="1524">
        <f t="shared" si="5"/>
        <v>0</v>
      </c>
      <c r="G24" s="30" vm="1524">
        <f t="shared" si="5"/>
        <v>0</v>
      </c>
      <c r="H24" s="30" vm="1524">
        <f t="shared" si="5"/>
        <v>0</v>
      </c>
      <c r="I24" s="30" vm="1524">
        <f t="shared" si="5"/>
        <v>0</v>
      </c>
      <c r="J24" s="30" vm="1524">
        <f t="shared" si="5"/>
        <v>0</v>
      </c>
      <c r="K24" s="30" vm="1524">
        <f t="shared" si="5"/>
        <v>0</v>
      </c>
      <c r="L24" s="30" vm="1524">
        <f t="shared" si="5"/>
        <v>0</v>
      </c>
      <c r="M24" s="30" vm="1524">
        <f t="shared" si="5"/>
        <v>0</v>
      </c>
      <c r="N24" s="30" vm="1524">
        <f t="shared" si="5"/>
        <v>0</v>
      </c>
      <c r="O24" s="30" vm="1524">
        <f t="shared" si="5"/>
        <v>0</v>
      </c>
    </row>
    <row r="25" spans="1:17" s="19" customFormat="1" x14ac:dyDescent="0.25">
      <c r="A25" s="18"/>
      <c r="B25" s="18"/>
      <c r="C25" s="18"/>
      <c r="D25" s="17"/>
      <c r="E25" s="17"/>
      <c r="F25" s="17"/>
      <c r="G25" s="17"/>
    </row>
    <row r="26" spans="1:17" s="9" customFormat="1" x14ac:dyDescent="0.25">
      <c r="A26" s="60" t="s">
        <v>180</v>
      </c>
      <c r="B26" s="187"/>
      <c r="C26" s="187"/>
      <c r="D26" s="61"/>
      <c r="E26" s="61"/>
      <c r="F26" s="61"/>
      <c r="G26" s="61"/>
      <c r="H26" s="62"/>
      <c r="I26" s="62"/>
      <c r="J26" s="62"/>
      <c r="K26" s="62"/>
      <c r="L26" s="62"/>
      <c r="M26" s="62"/>
      <c r="N26" s="62"/>
      <c r="O26" s="63"/>
    </row>
    <row r="27" spans="1:17" x14ac:dyDescent="0.25">
      <c r="A27" s="49" t="str" vm="134">
        <f>CUBEMEMBER("ThisWorkbookDataModel",{"[fActualAndBudget].[StavkaKategorija].&amp;[1.14. Краткорочни обврски]"})</f>
        <v>1.14. Краткорочни обврски</v>
      </c>
      <c r="B27" s="30" vm="1514">
        <f>BS_predviduvanje!C13</f>
        <v>23095106</v>
      </c>
      <c r="C27" s="30">
        <f>BS_predviduvanje!Q13</f>
        <v>0</v>
      </c>
      <c r="D27" s="30">
        <v>0</v>
      </c>
      <c r="E27" s="30">
        <v>0</v>
      </c>
      <c r="F27" s="30">
        <v>0</v>
      </c>
      <c r="G27" s="30">
        <v>0</v>
      </c>
      <c r="H27" s="30">
        <v>0</v>
      </c>
      <c r="I27" s="30">
        <v>0</v>
      </c>
      <c r="J27" s="30">
        <v>0</v>
      </c>
      <c r="K27" s="30">
        <v>0</v>
      </c>
      <c r="L27" s="30">
        <v>0</v>
      </c>
      <c r="M27" s="30">
        <v>0</v>
      </c>
      <c r="N27" s="30">
        <v>0</v>
      </c>
      <c r="O27" s="30">
        <v>19012130</v>
      </c>
    </row>
    <row r="28" spans="1:17" x14ac:dyDescent="0.25">
      <c r="A28" s="49" t="str" vm="132">
        <f>CUBEMEMBER("ThisWorkbookDataModel",{"[fActualAndBudget].[StavkaKategorija].&amp;[1.15. Одложено плаќање на трошоци и приходи (ПВР)]"})</f>
        <v>1.15. Одложено плаќање на трошоци и приходи (ПВР)</v>
      </c>
      <c r="B28" s="30" vm="1535">
        <f>BS_predviduvanje!C19</f>
        <v>103358798</v>
      </c>
      <c r="C28" s="30">
        <f>BS_predviduvanje!Q19</f>
        <v>98643026</v>
      </c>
      <c r="D28" s="311">
        <f>C28-D44-392981</f>
        <v>98250045</v>
      </c>
      <c r="E28" s="311">
        <f t="shared" ref="E28:O28" si="6">D28-E44-392981</f>
        <v>97857064</v>
      </c>
      <c r="F28" s="311">
        <f t="shared" si="6"/>
        <v>97464083</v>
      </c>
      <c r="G28" s="311">
        <f t="shared" si="6"/>
        <v>97071102</v>
      </c>
      <c r="H28" s="311">
        <f t="shared" si="6"/>
        <v>96678121</v>
      </c>
      <c r="I28" s="311">
        <f t="shared" si="6"/>
        <v>96285140</v>
      </c>
      <c r="J28" s="311">
        <f t="shared" si="6"/>
        <v>95892159</v>
      </c>
      <c r="K28" s="311">
        <f t="shared" si="6"/>
        <v>95499178</v>
      </c>
      <c r="L28" s="311">
        <f t="shared" si="6"/>
        <v>95106197</v>
      </c>
      <c r="M28" s="311">
        <f t="shared" si="6"/>
        <v>94713216</v>
      </c>
      <c r="N28" s="311">
        <f t="shared" si="6"/>
        <v>94025235</v>
      </c>
      <c r="O28" s="311">
        <f t="shared" si="6"/>
        <v>93337254</v>
      </c>
      <c r="P28" s="1" t="s">
        <v>1168</v>
      </c>
    </row>
    <row r="29" spans="1:17" x14ac:dyDescent="0.25">
      <c r="A29" s="56" t="s">
        <v>181</v>
      </c>
      <c r="B29" s="34">
        <f t="shared" ref="B29:O29" si="7">SUM(B27:B28)</f>
        <v>126453904</v>
      </c>
      <c r="C29" s="34">
        <f>SUM(C27:C28)</f>
        <v>98643026</v>
      </c>
      <c r="D29" s="34">
        <f t="shared" si="7"/>
        <v>98250045</v>
      </c>
      <c r="E29" s="34">
        <f t="shared" si="7"/>
        <v>97857064</v>
      </c>
      <c r="F29" s="34">
        <f t="shared" si="7"/>
        <v>97464083</v>
      </c>
      <c r="G29" s="34">
        <f t="shared" si="7"/>
        <v>97071102</v>
      </c>
      <c r="H29" s="34">
        <f t="shared" si="7"/>
        <v>96678121</v>
      </c>
      <c r="I29" s="34">
        <f t="shared" si="7"/>
        <v>96285140</v>
      </c>
      <c r="J29" s="34">
        <f t="shared" si="7"/>
        <v>95892159</v>
      </c>
      <c r="K29" s="34">
        <f t="shared" si="7"/>
        <v>95499178</v>
      </c>
      <c r="L29" s="34">
        <f t="shared" si="7"/>
        <v>95106197</v>
      </c>
      <c r="M29" s="34">
        <f t="shared" si="7"/>
        <v>94713216</v>
      </c>
      <c r="N29" s="34">
        <f t="shared" si="7"/>
        <v>94025235</v>
      </c>
      <c r="O29" s="57">
        <f t="shared" si="7"/>
        <v>112349384</v>
      </c>
    </row>
    <row r="30" spans="1:17" x14ac:dyDescent="0.25">
      <c r="A30" s="49" t="str" vm="131">
        <f>CUBEMEMBER("ThisWorkbookDataModel",{"[fActualAndBudget].[StavkaKategorija].&amp;[1.17. Долгорочни обврски]"})</f>
        <v>1.17. Долгорочни обврски</v>
      </c>
      <c r="B30" s="30" vm="1528">
        <f>BS_predviduvanje!C21</f>
        <v>86079840</v>
      </c>
      <c r="C30" s="30">
        <f>BS_predviduvanje!Q21</f>
        <v>86079840</v>
      </c>
      <c r="D30" s="30">
        <f t="shared" ref="D30:O30" si="8">C30</f>
        <v>86079840</v>
      </c>
      <c r="E30" s="30">
        <f t="shared" si="8"/>
        <v>86079840</v>
      </c>
      <c r="F30" s="30">
        <f t="shared" si="8"/>
        <v>86079840</v>
      </c>
      <c r="G30" s="30">
        <f t="shared" si="8"/>
        <v>86079840</v>
      </c>
      <c r="H30" s="30">
        <f t="shared" si="8"/>
        <v>86079840</v>
      </c>
      <c r="I30" s="30">
        <f t="shared" si="8"/>
        <v>86079840</v>
      </c>
      <c r="J30" s="30">
        <f t="shared" si="8"/>
        <v>86079840</v>
      </c>
      <c r="K30" s="30">
        <f t="shared" si="8"/>
        <v>86079840</v>
      </c>
      <c r="L30" s="30">
        <f t="shared" si="8"/>
        <v>86079840</v>
      </c>
      <c r="M30" s="30">
        <f t="shared" si="8"/>
        <v>86079840</v>
      </c>
      <c r="N30" s="30">
        <f t="shared" si="8"/>
        <v>86079840</v>
      </c>
      <c r="O30" s="53">
        <f t="shared" si="8"/>
        <v>86079840</v>
      </c>
    </row>
    <row r="31" spans="1:17" x14ac:dyDescent="0.25">
      <c r="A31" s="49" t="e">
        <f>CUBEMEMBER("ThisWorkbookDataModel",{"[fActualAndBudget].[StavkaKategorija].&amp;[1.18. Други долгорочни обврски и резервирања за ризици и трошоци]"})</f>
        <v>#N/A</v>
      </c>
      <c r="B31" s="186"/>
      <c r="C31" s="186"/>
      <c r="D31" s="30"/>
      <c r="E31" s="30"/>
      <c r="F31" s="50"/>
      <c r="G31" s="31"/>
      <c r="H31" s="51"/>
      <c r="I31" s="51"/>
      <c r="J31" s="51"/>
      <c r="K31" s="51"/>
      <c r="L31" s="51"/>
      <c r="M31" s="51"/>
      <c r="N31" s="51"/>
      <c r="O31" s="52"/>
    </row>
    <row r="32" spans="1:17" x14ac:dyDescent="0.25">
      <c r="A32" s="56" t="s">
        <v>182</v>
      </c>
      <c r="B32" s="34">
        <f t="shared" ref="B32:O32" si="9">SUM(B30:B31)</f>
        <v>86079840</v>
      </c>
      <c r="C32" s="34">
        <f>SUM(C30:C31)</f>
        <v>86079840</v>
      </c>
      <c r="D32" s="34">
        <f t="shared" si="9"/>
        <v>86079840</v>
      </c>
      <c r="E32" s="34">
        <f t="shared" si="9"/>
        <v>86079840</v>
      </c>
      <c r="F32" s="34">
        <f t="shared" si="9"/>
        <v>86079840</v>
      </c>
      <c r="G32" s="34">
        <f t="shared" si="9"/>
        <v>86079840</v>
      </c>
      <c r="H32" s="34">
        <f t="shared" si="9"/>
        <v>86079840</v>
      </c>
      <c r="I32" s="34">
        <f t="shared" si="9"/>
        <v>86079840</v>
      </c>
      <c r="J32" s="34">
        <f t="shared" si="9"/>
        <v>86079840</v>
      </c>
      <c r="K32" s="34">
        <f t="shared" si="9"/>
        <v>86079840</v>
      </c>
      <c r="L32" s="34">
        <f t="shared" si="9"/>
        <v>86079840</v>
      </c>
      <c r="M32" s="34">
        <f t="shared" si="9"/>
        <v>86079840</v>
      </c>
      <c r="N32" s="34">
        <f t="shared" si="9"/>
        <v>86079840</v>
      </c>
      <c r="O32" s="57">
        <f t="shared" si="9"/>
        <v>86079840</v>
      </c>
    </row>
    <row r="33" spans="1:16" x14ac:dyDescent="0.25">
      <c r="A33" s="56" t="s">
        <v>183</v>
      </c>
      <c r="B33" s="34">
        <f t="shared" ref="B33:O33" si="10">SUM(B32,B29)</f>
        <v>212533744</v>
      </c>
      <c r="C33" s="34">
        <f>SUM(C32,C29)</f>
        <v>184722866</v>
      </c>
      <c r="D33" s="34">
        <f t="shared" si="10"/>
        <v>184329885</v>
      </c>
      <c r="E33" s="34">
        <f t="shared" si="10"/>
        <v>183936904</v>
      </c>
      <c r="F33" s="34">
        <f t="shared" si="10"/>
        <v>183543923</v>
      </c>
      <c r="G33" s="34">
        <f t="shared" si="10"/>
        <v>183150942</v>
      </c>
      <c r="H33" s="34">
        <f t="shared" si="10"/>
        <v>182757961</v>
      </c>
      <c r="I33" s="34">
        <f t="shared" si="10"/>
        <v>182364980</v>
      </c>
      <c r="J33" s="34">
        <f t="shared" si="10"/>
        <v>181971999</v>
      </c>
      <c r="K33" s="34">
        <f t="shared" si="10"/>
        <v>181579018</v>
      </c>
      <c r="L33" s="34">
        <f t="shared" si="10"/>
        <v>181186037</v>
      </c>
      <c r="M33" s="34">
        <f t="shared" si="10"/>
        <v>180793056</v>
      </c>
      <c r="N33" s="34">
        <f t="shared" si="10"/>
        <v>180105075</v>
      </c>
      <c r="O33" s="57">
        <f t="shared" si="10"/>
        <v>198429224</v>
      </c>
    </row>
    <row r="34" spans="1:16" x14ac:dyDescent="0.25">
      <c r="A34" s="49" t="str" vm="127">
        <f>CUBEMEMBER("ThisWorkbookDataModel",{"[fActualAndBudget].[StavkaKategorija].&amp;[1.21. Капитал]"})</f>
        <v>1.21. Капитал</v>
      </c>
      <c r="B34" s="30" vm="1525">
        <f>BS_predviduvanje!C27</f>
        <v>126859046</v>
      </c>
      <c r="C34" s="30">
        <f>BS_predviduvanje!Q27</f>
        <v>126859046</v>
      </c>
      <c r="D34" s="30">
        <f t="shared" ref="D34:O34" si="11">C34</f>
        <v>126859046</v>
      </c>
      <c r="E34" s="30">
        <f t="shared" si="11"/>
        <v>126859046</v>
      </c>
      <c r="F34" s="30">
        <f t="shared" si="11"/>
        <v>126859046</v>
      </c>
      <c r="G34" s="30">
        <f t="shared" si="11"/>
        <v>126859046</v>
      </c>
      <c r="H34" s="30">
        <f t="shared" si="11"/>
        <v>126859046</v>
      </c>
      <c r="I34" s="30">
        <f t="shared" si="11"/>
        <v>126859046</v>
      </c>
      <c r="J34" s="30">
        <f t="shared" si="11"/>
        <v>126859046</v>
      </c>
      <c r="K34" s="30">
        <f t="shared" si="11"/>
        <v>126859046</v>
      </c>
      <c r="L34" s="30">
        <f t="shared" si="11"/>
        <v>126859046</v>
      </c>
      <c r="M34" s="30">
        <f t="shared" si="11"/>
        <v>126859046</v>
      </c>
      <c r="N34" s="30">
        <f t="shared" si="11"/>
        <v>126859046</v>
      </c>
      <c r="O34" s="53">
        <f t="shared" si="11"/>
        <v>126859046</v>
      </c>
    </row>
    <row r="35" spans="1:16" x14ac:dyDescent="0.25">
      <c r="A35" s="49" t="str" vm="126">
        <f>CUBEMEMBER("ThisWorkbookDataModel",{"[fActualAndBudget].[StavkaKategorija].&amp;[1.22. Акумулирана добивка]"})</f>
        <v>1.22. Акумулирана добивка</v>
      </c>
      <c r="B35" s="30">
        <f>BS_predviduvanje!C29-B38</f>
        <v>285727944</v>
      </c>
      <c r="C35" s="30">
        <f>BS_predviduvanje!Q29</f>
        <v>292646501</v>
      </c>
      <c r="D35" s="30">
        <f>C35+C38</f>
        <v>335292042</v>
      </c>
      <c r="E35" s="30">
        <f>D35</f>
        <v>335292042</v>
      </c>
      <c r="F35" s="30">
        <f t="shared" ref="F35:O36" si="12">E35</f>
        <v>335292042</v>
      </c>
      <c r="G35" s="30">
        <f t="shared" si="12"/>
        <v>335292042</v>
      </c>
      <c r="H35" s="30">
        <f t="shared" si="12"/>
        <v>335292042</v>
      </c>
      <c r="I35" s="30">
        <f t="shared" si="12"/>
        <v>335292042</v>
      </c>
      <c r="J35" s="30">
        <f t="shared" si="12"/>
        <v>335292042</v>
      </c>
      <c r="K35" s="30">
        <f t="shared" si="12"/>
        <v>335292042</v>
      </c>
      <c r="L35" s="30">
        <f t="shared" si="12"/>
        <v>335292042</v>
      </c>
      <c r="M35" s="30">
        <f t="shared" si="12"/>
        <v>335292042</v>
      </c>
      <c r="N35" s="30">
        <f t="shared" si="12"/>
        <v>335292042</v>
      </c>
      <c r="O35" s="53">
        <f t="shared" si="12"/>
        <v>335292042</v>
      </c>
    </row>
    <row r="36" spans="1:16" x14ac:dyDescent="0.25">
      <c r="A36" s="49" t="str" vm="133">
        <f>CUBEMEMBER("ThisWorkbookDataModel",{"[fActualAndBudget].[StavkaKategorija].&amp;[1.23. Резерви]"})</f>
        <v>1.23. Резерви</v>
      </c>
      <c r="B36" s="30" vm="1538">
        <f>BS_predviduvanje!C31</f>
        <v>121393152</v>
      </c>
      <c r="C36" s="30">
        <f>BS_predviduvanje!Q31</f>
        <v>121393152</v>
      </c>
      <c r="D36" s="30">
        <f>C36</f>
        <v>121393152</v>
      </c>
      <c r="E36" s="30">
        <f>D36</f>
        <v>121393152</v>
      </c>
      <c r="F36" s="30">
        <f t="shared" si="12"/>
        <v>121393152</v>
      </c>
      <c r="G36" s="30">
        <f t="shared" si="12"/>
        <v>121393152</v>
      </c>
      <c r="H36" s="30">
        <f t="shared" si="12"/>
        <v>121393152</v>
      </c>
      <c r="I36" s="30">
        <f t="shared" si="12"/>
        <v>121393152</v>
      </c>
      <c r="J36" s="30">
        <f t="shared" si="12"/>
        <v>121393152</v>
      </c>
      <c r="K36" s="30">
        <f t="shared" si="12"/>
        <v>121393152</v>
      </c>
      <c r="L36" s="30">
        <f t="shared" si="12"/>
        <v>121393152</v>
      </c>
      <c r="M36" s="30">
        <f t="shared" si="12"/>
        <v>121393152</v>
      </c>
      <c r="N36" s="30">
        <f t="shared" si="12"/>
        <v>121393152</v>
      </c>
      <c r="O36" s="53">
        <f t="shared" si="12"/>
        <v>121393152</v>
      </c>
    </row>
    <row r="37" spans="1:16" x14ac:dyDescent="0.25">
      <c r="A37" s="49" t="e">
        <f>CUBEMEMBER("ThisWorkbookDataModel",{"[fActualAndBudget].[StavkaKategorija].&amp;[1.24. Ревалоризациони резерви]"})</f>
        <v>#N/A</v>
      </c>
      <c r="B37" s="186"/>
      <c r="C37" s="186"/>
      <c r="D37" s="30"/>
      <c r="E37" s="30"/>
      <c r="F37" s="50"/>
      <c r="G37" s="31"/>
      <c r="H37" s="51"/>
      <c r="I37" s="51"/>
      <c r="J37" s="51"/>
      <c r="K37" s="51"/>
      <c r="L37" s="51"/>
      <c r="M37" s="51"/>
      <c r="N37" s="51"/>
      <c r="O37" s="52"/>
    </row>
    <row r="38" spans="1:16" x14ac:dyDescent="0.25">
      <c r="A38" s="49" t="str" vm="135">
        <f>CUBEMEMBER("ThisWorkbookDataModel",{"[fActualAndBudget].[StavkaKategorija].&amp;[1.25. Добивка / Загуба за деловната година]"})</f>
        <v>1.25. Добивка / Загуба за деловната година</v>
      </c>
      <c r="B38" s="310">
        <f>'2. Bilans Na Uspeh'!C113</f>
        <v>6918557</v>
      </c>
      <c r="C38" s="310">
        <f>'2. Bilans Na Uspeh'!D113</f>
        <v>42645541</v>
      </c>
      <c r="D38" s="30">
        <f>SUM('BU_pomosen_meseceн CUBE'!$C$59:C59)</f>
        <v>-6012452</v>
      </c>
      <c r="E38" s="30">
        <f>SUM('BU_pomosen_meseceн CUBE'!$C$59:D59)</f>
        <v>78369924</v>
      </c>
      <c r="F38" s="30">
        <f>SUM('BU_pomosen_meseceн CUBE'!$C$59:E59)</f>
        <v>111061111</v>
      </c>
      <c r="G38" s="30">
        <f>SUM('BU_pomosen_meseceн CUBE'!$C$59:F59)</f>
        <v>100773647</v>
      </c>
      <c r="H38" s="30">
        <f>SUM('BU_pomosen_meseceн CUBE'!$C$59:G59)</f>
        <v>87204378</v>
      </c>
      <c r="I38" s="30">
        <f>SUM('BU_pomosen_meseceн CUBE'!$C$59:H59)</f>
        <v>69044732</v>
      </c>
      <c r="J38" s="30">
        <f>SUM('BU_pomosen_meseceн CUBE'!$C$59:I59)</f>
        <v>58380814</v>
      </c>
      <c r="K38" s="30">
        <f>SUM('BU_pomosen_meseceн CUBE'!$C$59:J59)</f>
        <v>44830584</v>
      </c>
      <c r="L38" s="30">
        <f>SUM('BU_pomosen_meseceн CUBE'!$C$59:K59)</f>
        <v>34862091</v>
      </c>
      <c r="M38" s="30">
        <f>SUM('BU_pomosen_meseceн CUBE'!$C$59:L59)</f>
        <v>22650094</v>
      </c>
      <c r="N38" s="30">
        <f>SUM('BU_pomosen_meseceн CUBE'!$C$59:M59)</f>
        <v>13384869</v>
      </c>
      <c r="O38" s="30">
        <f>SUM('BU_pomosen_meseceн CUBE'!$C$59:N59)</f>
        <v>1555459</v>
      </c>
    </row>
    <row r="39" spans="1:16" x14ac:dyDescent="0.25">
      <c r="A39" s="56" t="s">
        <v>184</v>
      </c>
      <c r="B39" s="34">
        <f>SUM(B34:B38)</f>
        <v>540898699</v>
      </c>
      <c r="C39" s="34">
        <f>SUM(C34:C38)</f>
        <v>583544240</v>
      </c>
      <c r="D39" s="34">
        <f t="shared" ref="D39:O39" si="13">SUM(D34:D38)</f>
        <v>577531788</v>
      </c>
      <c r="E39" s="34">
        <f t="shared" si="13"/>
        <v>661914164</v>
      </c>
      <c r="F39" s="34">
        <f t="shared" si="13"/>
        <v>694605351</v>
      </c>
      <c r="G39" s="34">
        <f t="shared" si="13"/>
        <v>684317887</v>
      </c>
      <c r="H39" s="34">
        <f t="shared" si="13"/>
        <v>670748618</v>
      </c>
      <c r="I39" s="34">
        <f t="shared" si="13"/>
        <v>652588972</v>
      </c>
      <c r="J39" s="34">
        <f t="shared" si="13"/>
        <v>641925054</v>
      </c>
      <c r="K39" s="34">
        <f t="shared" si="13"/>
        <v>628374824</v>
      </c>
      <c r="L39" s="34">
        <f t="shared" si="13"/>
        <v>618406331</v>
      </c>
      <c r="M39" s="34">
        <f t="shared" si="13"/>
        <v>606194334</v>
      </c>
      <c r="N39" s="34">
        <f t="shared" si="13"/>
        <v>596929109</v>
      </c>
      <c r="O39" s="57">
        <f t="shared" si="13"/>
        <v>585099699</v>
      </c>
    </row>
    <row r="40" spans="1:16" x14ac:dyDescent="0.25">
      <c r="A40" s="64" t="s">
        <v>185</v>
      </c>
      <c r="B40" s="37">
        <f>SUM(B33,B39)</f>
        <v>753432443</v>
      </c>
      <c r="C40" s="37">
        <f>SUM(C33,C39)</f>
        <v>768267106</v>
      </c>
      <c r="D40" s="37">
        <f t="shared" ref="D40:O40" si="14">SUM(D33,D39)</f>
        <v>761861673</v>
      </c>
      <c r="E40" s="37">
        <f t="shared" si="14"/>
        <v>845851068</v>
      </c>
      <c r="F40" s="37">
        <f t="shared" si="14"/>
        <v>878149274</v>
      </c>
      <c r="G40" s="37">
        <f t="shared" si="14"/>
        <v>867468829</v>
      </c>
      <c r="H40" s="37">
        <f t="shared" si="14"/>
        <v>853506579</v>
      </c>
      <c r="I40" s="37">
        <f t="shared" si="14"/>
        <v>834953952</v>
      </c>
      <c r="J40" s="37">
        <f t="shared" si="14"/>
        <v>823897053</v>
      </c>
      <c r="K40" s="37">
        <f t="shared" si="14"/>
        <v>809953842</v>
      </c>
      <c r="L40" s="37">
        <f t="shared" si="14"/>
        <v>799592368</v>
      </c>
      <c r="M40" s="37">
        <f t="shared" si="14"/>
        <v>786987390</v>
      </c>
      <c r="N40" s="37">
        <f t="shared" si="14"/>
        <v>777034184</v>
      </c>
      <c r="O40" s="65">
        <f t="shared" si="14"/>
        <v>783528923</v>
      </c>
    </row>
    <row r="41" spans="1:16" x14ac:dyDescent="0.25">
      <c r="A41" s="66" t="str" vm="130">
        <f>CUBEMEMBER("ThisWorkbookDataModel",{"[fActualAndBudget].[StavkaKategorija].&amp;[1.28. Вонбилансна пасива]"})</f>
        <v>1.28. Вонбилансна пасива</v>
      </c>
      <c r="B41" s="30" vm="181">
        <f>BS_predviduvanje!B37</f>
        <v>0</v>
      </c>
      <c r="C41" s="30" vm="1536">
        <f>BS_predviduvanje!C37</f>
        <v>0</v>
      </c>
      <c r="D41" s="67" vm="1536">
        <f>C41</f>
        <v>0</v>
      </c>
      <c r="E41" s="67" vm="1536">
        <f t="shared" ref="E41:O41" si="15">D41</f>
        <v>0</v>
      </c>
      <c r="F41" s="67" vm="1536">
        <f t="shared" si="15"/>
        <v>0</v>
      </c>
      <c r="G41" s="67" vm="1536">
        <f t="shared" si="15"/>
        <v>0</v>
      </c>
      <c r="H41" s="67" vm="1536">
        <f t="shared" si="15"/>
        <v>0</v>
      </c>
      <c r="I41" s="67" vm="1536">
        <f t="shared" si="15"/>
        <v>0</v>
      </c>
      <c r="J41" s="67" vm="1536">
        <f t="shared" si="15"/>
        <v>0</v>
      </c>
      <c r="K41" s="67" vm="1536">
        <f t="shared" si="15"/>
        <v>0</v>
      </c>
      <c r="L41" s="67" vm="1536">
        <f t="shared" si="15"/>
        <v>0</v>
      </c>
      <c r="M41" s="67" vm="1536">
        <f t="shared" si="15"/>
        <v>0</v>
      </c>
      <c r="N41" s="67" vm="1536">
        <f t="shared" si="15"/>
        <v>0</v>
      </c>
      <c r="O41" s="67" vm="1536">
        <f t="shared" si="15"/>
        <v>0</v>
      </c>
    </row>
    <row r="42" spans="1:16" x14ac:dyDescent="0.25">
      <c r="A42"/>
      <c r="B42" s="1">
        <f t="shared" ref="B42:O42" si="16">B40-B23</f>
        <v>0</v>
      </c>
      <c r="C42" s="1">
        <f t="shared" si="16"/>
        <v>0</v>
      </c>
      <c r="D42" s="1">
        <f t="shared" si="16"/>
        <v>0</v>
      </c>
      <c r="E42" s="1">
        <f t="shared" si="16"/>
        <v>0</v>
      </c>
      <c r="F42" s="1">
        <f t="shared" si="16"/>
        <v>0</v>
      </c>
      <c r="G42" s="1">
        <f t="shared" si="16"/>
        <v>0</v>
      </c>
      <c r="H42" s="1">
        <f t="shared" si="16"/>
        <v>0</v>
      </c>
      <c r="I42" s="1">
        <f t="shared" si="16"/>
        <v>0</v>
      </c>
      <c r="J42" s="1">
        <f t="shared" si="16"/>
        <v>0</v>
      </c>
      <c r="K42" s="1">
        <f t="shared" si="16"/>
        <v>0</v>
      </c>
      <c r="L42" s="1">
        <f t="shared" si="16"/>
        <v>0</v>
      </c>
      <c r="M42" s="1">
        <f t="shared" si="16"/>
        <v>0</v>
      </c>
      <c r="N42" s="1">
        <f t="shared" si="16"/>
        <v>0</v>
      </c>
      <c r="O42" s="1">
        <f t="shared" si="16"/>
        <v>0</v>
      </c>
      <c r="P42" t="s">
        <v>1166</v>
      </c>
    </row>
    <row r="43" spans="1:16" x14ac:dyDescent="0.25">
      <c r="A43"/>
      <c r="B43"/>
      <c r="C43" s="1"/>
      <c r="D43" s="1">
        <f>D42-C42</f>
        <v>0</v>
      </c>
      <c r="E43" s="1">
        <f>E42-D42</f>
        <v>0</v>
      </c>
      <c r="F43" s="1">
        <f t="shared" ref="F43:K43" si="17">F42-E42</f>
        <v>0</v>
      </c>
      <c r="G43" s="1">
        <f t="shared" si="17"/>
        <v>0</v>
      </c>
      <c r="H43" s="1">
        <f t="shared" si="17"/>
        <v>0</v>
      </c>
      <c r="I43" s="1">
        <f t="shared" si="17"/>
        <v>0</v>
      </c>
      <c r="J43" s="1">
        <f t="shared" si="17"/>
        <v>0</v>
      </c>
      <c r="K43" s="1">
        <f t="shared" si="17"/>
        <v>0</v>
      </c>
      <c r="L43" s="1">
        <f>L42-K42</f>
        <v>0</v>
      </c>
      <c r="M43" s="1">
        <f>M42-L42</f>
        <v>0</v>
      </c>
      <c r="N43" s="1">
        <f>N42-M42</f>
        <v>0</v>
      </c>
      <c r="O43" s="1">
        <f>O42-N42</f>
        <v>0</v>
      </c>
      <c r="P43" t="s">
        <v>1166</v>
      </c>
    </row>
    <row r="44" spans="1:16" x14ac:dyDescent="0.25">
      <c r="A44" t="s">
        <v>233</v>
      </c>
      <c r="B44"/>
      <c r="M44" s="105"/>
      <c r="N44" s="309">
        <v>295000</v>
      </c>
      <c r="O44" s="309">
        <v>295000</v>
      </c>
      <c r="P44" t="s">
        <v>1167</v>
      </c>
    </row>
    <row r="45" spans="1:16" x14ac:dyDescent="0.25">
      <c r="A45"/>
      <c r="B45"/>
    </row>
    <row r="46" spans="1:16" x14ac:dyDescent="0.25">
      <c r="A46"/>
      <c r="B46"/>
    </row>
    <row r="47" spans="1:16" x14ac:dyDescent="0.25">
      <c r="A47"/>
      <c r="B47" s="1">
        <f>13475669-B38</f>
        <v>6557112</v>
      </c>
    </row>
    <row r="48" spans="1:16" x14ac:dyDescent="0.25">
      <c r="A48"/>
      <c r="B48"/>
    </row>
    <row r="49" spans="1:2" x14ac:dyDescent="0.25">
      <c r="A49"/>
      <c r="B49"/>
    </row>
    <row r="50" spans="1:2" x14ac:dyDescent="0.25">
      <c r="A50"/>
      <c r="B50"/>
    </row>
    <row r="51" spans="1:2" x14ac:dyDescent="0.25">
      <c r="A51"/>
      <c r="B51"/>
    </row>
    <row r="52" spans="1:2" x14ac:dyDescent="0.25">
      <c r="A52"/>
      <c r="B52"/>
    </row>
    <row r="53" spans="1:2" x14ac:dyDescent="0.25">
      <c r="A53"/>
      <c r="B53"/>
    </row>
    <row r="54" spans="1:2" x14ac:dyDescent="0.25">
      <c r="A54"/>
      <c r="B54"/>
    </row>
    <row r="55" spans="1:2" x14ac:dyDescent="0.25">
      <c r="A55"/>
      <c r="B55"/>
    </row>
    <row r="56" spans="1:2" x14ac:dyDescent="0.25">
      <c r="A56"/>
      <c r="B56"/>
    </row>
    <row r="57" spans="1:2" x14ac:dyDescent="0.25">
      <c r="A57"/>
      <c r="B57"/>
    </row>
    <row r="58" spans="1:2" x14ac:dyDescent="0.25">
      <c r="A58"/>
      <c r="B58"/>
    </row>
    <row r="59" spans="1:2" x14ac:dyDescent="0.25">
      <c r="A59"/>
      <c r="B59"/>
    </row>
    <row r="60" spans="1:2" x14ac:dyDescent="0.25">
      <c r="A60"/>
      <c r="B60"/>
    </row>
    <row r="61" spans="1:2" x14ac:dyDescent="0.25">
      <c r="A61"/>
      <c r="B61"/>
    </row>
    <row r="62" spans="1:2" x14ac:dyDescent="0.25">
      <c r="A62"/>
      <c r="B62"/>
    </row>
    <row r="63" spans="1:2" x14ac:dyDescent="0.25">
      <c r="A63"/>
      <c r="B63"/>
    </row>
    <row r="64" spans="1:2" x14ac:dyDescent="0.25">
      <c r="A64"/>
      <c r="B64"/>
    </row>
    <row r="65" spans="1:2" x14ac:dyDescent="0.25">
      <c r="A65"/>
      <c r="B65"/>
    </row>
    <row r="66" spans="1:2" x14ac:dyDescent="0.25">
      <c r="A66"/>
      <c r="B66"/>
    </row>
    <row r="67" spans="1:2" x14ac:dyDescent="0.25">
      <c r="A67"/>
      <c r="B67"/>
    </row>
    <row r="68" spans="1:2" x14ac:dyDescent="0.25">
      <c r="A68"/>
      <c r="B68"/>
    </row>
    <row r="69" spans="1:2" x14ac:dyDescent="0.25">
      <c r="A69"/>
      <c r="B69"/>
    </row>
    <row r="70" spans="1:2" x14ac:dyDescent="0.25">
      <c r="A70"/>
      <c r="B70"/>
    </row>
    <row r="71" spans="1:2" x14ac:dyDescent="0.25">
      <c r="A71"/>
      <c r="B71"/>
    </row>
    <row r="72" spans="1:2" x14ac:dyDescent="0.25">
      <c r="A72"/>
      <c r="B72"/>
    </row>
    <row r="73" spans="1:2" x14ac:dyDescent="0.25">
      <c r="A73"/>
      <c r="B73"/>
    </row>
    <row r="74" spans="1:2" x14ac:dyDescent="0.25">
      <c r="A74"/>
      <c r="B74"/>
    </row>
    <row r="75" spans="1:2" x14ac:dyDescent="0.25">
      <c r="A75"/>
      <c r="B75"/>
    </row>
    <row r="76" spans="1:2" x14ac:dyDescent="0.25">
      <c r="A76"/>
      <c r="B76"/>
    </row>
    <row r="77" spans="1:2" x14ac:dyDescent="0.25">
      <c r="A77"/>
      <c r="B77"/>
    </row>
    <row r="78" spans="1:2" x14ac:dyDescent="0.25">
      <c r="A78"/>
      <c r="B78"/>
    </row>
    <row r="79" spans="1:2" x14ac:dyDescent="0.25">
      <c r="A79"/>
      <c r="B79"/>
    </row>
    <row r="80" spans="1:2" x14ac:dyDescent="0.25">
      <c r="A80"/>
      <c r="B80"/>
    </row>
    <row r="81" spans="1:2" x14ac:dyDescent="0.25">
      <c r="A81"/>
      <c r="B81"/>
    </row>
    <row r="82" spans="1:2" x14ac:dyDescent="0.25">
      <c r="A82"/>
      <c r="B82"/>
    </row>
    <row r="83" spans="1:2" x14ac:dyDescent="0.25">
      <c r="A83"/>
      <c r="B83"/>
    </row>
    <row r="84" spans="1:2" x14ac:dyDescent="0.25">
      <c r="A84"/>
      <c r="B84"/>
    </row>
    <row r="85" spans="1:2" x14ac:dyDescent="0.25">
      <c r="A85"/>
      <c r="B85"/>
    </row>
    <row r="86" spans="1:2" x14ac:dyDescent="0.25">
      <c r="A86"/>
      <c r="B86"/>
    </row>
    <row r="87" spans="1:2" x14ac:dyDescent="0.25">
      <c r="A87"/>
      <c r="B87"/>
    </row>
    <row r="88" spans="1:2" x14ac:dyDescent="0.25">
      <c r="A88"/>
      <c r="B88"/>
    </row>
    <row r="89" spans="1:2" x14ac:dyDescent="0.25">
      <c r="A89"/>
      <c r="B89"/>
    </row>
    <row r="90" spans="1:2" x14ac:dyDescent="0.25">
      <c r="A90"/>
      <c r="B90"/>
    </row>
    <row r="91" spans="1:2" x14ac:dyDescent="0.25">
      <c r="A91"/>
      <c r="B91"/>
    </row>
    <row r="92" spans="1:2" x14ac:dyDescent="0.25">
      <c r="A92"/>
      <c r="B92"/>
    </row>
    <row r="93" spans="1:2" x14ac:dyDescent="0.25">
      <c r="A93"/>
      <c r="B93"/>
    </row>
    <row r="94" spans="1:2" x14ac:dyDescent="0.25">
      <c r="A94"/>
      <c r="B94"/>
    </row>
    <row r="95" spans="1:2" x14ac:dyDescent="0.25">
      <c r="A95"/>
      <c r="B95"/>
    </row>
    <row r="96" spans="1:2" x14ac:dyDescent="0.25">
      <c r="A96"/>
      <c r="B96"/>
    </row>
    <row r="97" spans="1:2" x14ac:dyDescent="0.25">
      <c r="A97"/>
      <c r="B97"/>
    </row>
    <row r="98" spans="1:2" x14ac:dyDescent="0.25">
      <c r="A98"/>
      <c r="B98"/>
    </row>
    <row r="99" spans="1:2" x14ac:dyDescent="0.25">
      <c r="A99"/>
      <c r="B99"/>
    </row>
    <row r="100" spans="1:2" x14ac:dyDescent="0.25">
      <c r="A100"/>
      <c r="B100"/>
    </row>
    <row r="101" spans="1:2" x14ac:dyDescent="0.25">
      <c r="A101"/>
      <c r="B101"/>
    </row>
    <row r="102" spans="1:2" x14ac:dyDescent="0.25">
      <c r="A102"/>
      <c r="B102"/>
    </row>
    <row r="103" spans="1:2" x14ac:dyDescent="0.25">
      <c r="A103"/>
      <c r="B103"/>
    </row>
    <row r="104" spans="1:2" x14ac:dyDescent="0.25">
      <c r="A104"/>
      <c r="B104"/>
    </row>
    <row r="105" spans="1:2" x14ac:dyDescent="0.25">
      <c r="A105"/>
      <c r="B105"/>
    </row>
    <row r="106" spans="1:2" x14ac:dyDescent="0.25">
      <c r="A106"/>
      <c r="B106"/>
    </row>
    <row r="107" spans="1:2" x14ac:dyDescent="0.25">
      <c r="A107"/>
      <c r="B107"/>
    </row>
    <row r="108" spans="1:2" x14ac:dyDescent="0.25">
      <c r="A108"/>
      <c r="B108"/>
    </row>
    <row r="109" spans="1:2" x14ac:dyDescent="0.25">
      <c r="A109"/>
      <c r="B109"/>
    </row>
    <row r="110" spans="1:2" x14ac:dyDescent="0.25">
      <c r="A110"/>
      <c r="B110"/>
    </row>
    <row r="111" spans="1:2" x14ac:dyDescent="0.25">
      <c r="A111"/>
      <c r="B111"/>
    </row>
    <row r="112" spans="1:2" x14ac:dyDescent="0.25">
      <c r="A112"/>
      <c r="B112"/>
    </row>
    <row r="113" spans="1:2" x14ac:dyDescent="0.25">
      <c r="A113"/>
      <c r="B113"/>
    </row>
    <row r="114" spans="1:2" x14ac:dyDescent="0.25">
      <c r="A114"/>
      <c r="B114"/>
    </row>
    <row r="115" spans="1:2" x14ac:dyDescent="0.25">
      <c r="A115"/>
      <c r="B115"/>
    </row>
    <row r="116" spans="1:2" x14ac:dyDescent="0.25">
      <c r="A116"/>
      <c r="B116"/>
    </row>
    <row r="117" spans="1:2" x14ac:dyDescent="0.25">
      <c r="A117"/>
      <c r="B117"/>
    </row>
    <row r="118" spans="1:2" x14ac:dyDescent="0.25">
      <c r="A118"/>
      <c r="B118"/>
    </row>
    <row r="119" spans="1:2" x14ac:dyDescent="0.25">
      <c r="A119"/>
      <c r="B119"/>
    </row>
    <row r="120" spans="1:2" x14ac:dyDescent="0.25">
      <c r="A120"/>
      <c r="B120"/>
    </row>
    <row r="121" spans="1:2" x14ac:dyDescent="0.25">
      <c r="A121"/>
      <c r="B121"/>
    </row>
    <row r="122" spans="1:2" x14ac:dyDescent="0.25">
      <c r="A122"/>
      <c r="B122"/>
    </row>
    <row r="123" spans="1:2" x14ac:dyDescent="0.25">
      <c r="A123"/>
      <c r="B123"/>
    </row>
    <row r="124" spans="1:2" x14ac:dyDescent="0.25">
      <c r="A124"/>
      <c r="B124"/>
    </row>
    <row r="125" spans="1:2" x14ac:dyDescent="0.25">
      <c r="A125"/>
      <c r="B125"/>
    </row>
    <row r="126" spans="1:2" x14ac:dyDescent="0.25">
      <c r="A126"/>
      <c r="B126"/>
    </row>
    <row r="127" spans="1:2" x14ac:dyDescent="0.25">
      <c r="A127"/>
      <c r="B127"/>
    </row>
    <row r="128" spans="1:2"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c r="B205"/>
    </row>
    <row r="206" spans="1:2" x14ac:dyDescent="0.25">
      <c r="A206"/>
      <c r="B206"/>
    </row>
    <row r="207" spans="1:2" x14ac:dyDescent="0.25">
      <c r="A207"/>
      <c r="B207"/>
    </row>
    <row r="208" spans="1:2" x14ac:dyDescent="0.25">
      <c r="A208"/>
      <c r="B208"/>
    </row>
    <row r="209" spans="1:2" x14ac:dyDescent="0.25">
      <c r="A209"/>
      <c r="B209"/>
    </row>
    <row r="210" spans="1:2" x14ac:dyDescent="0.25">
      <c r="A210"/>
      <c r="B210"/>
    </row>
    <row r="211" spans="1:2" x14ac:dyDescent="0.25">
      <c r="A211"/>
      <c r="B211"/>
    </row>
    <row r="212" spans="1:2" x14ac:dyDescent="0.25">
      <c r="A212"/>
      <c r="B212"/>
    </row>
    <row r="213" spans="1:2" x14ac:dyDescent="0.25">
      <c r="A213"/>
      <c r="B213"/>
    </row>
    <row r="214" spans="1:2" x14ac:dyDescent="0.25">
      <c r="A214"/>
      <c r="B214"/>
    </row>
    <row r="215" spans="1:2" x14ac:dyDescent="0.25">
      <c r="A215"/>
      <c r="B215"/>
    </row>
    <row r="216" spans="1:2" x14ac:dyDescent="0.25">
      <c r="A216"/>
      <c r="B216"/>
    </row>
    <row r="217" spans="1:2" x14ac:dyDescent="0.25">
      <c r="A217"/>
      <c r="B217"/>
    </row>
    <row r="218" spans="1:2" x14ac:dyDescent="0.25">
      <c r="A218"/>
      <c r="B218"/>
    </row>
    <row r="219" spans="1:2" x14ac:dyDescent="0.25">
      <c r="A219"/>
      <c r="B219"/>
    </row>
    <row r="220" spans="1:2" x14ac:dyDescent="0.25">
      <c r="A220"/>
      <c r="B220"/>
    </row>
    <row r="221" spans="1:2" x14ac:dyDescent="0.25">
      <c r="A221"/>
      <c r="B221"/>
    </row>
    <row r="222" spans="1:2" x14ac:dyDescent="0.25">
      <c r="A222"/>
      <c r="B222"/>
    </row>
    <row r="223" spans="1:2" x14ac:dyDescent="0.25">
      <c r="A223"/>
      <c r="B223"/>
    </row>
    <row r="224" spans="1:2" x14ac:dyDescent="0.25">
      <c r="A224"/>
      <c r="B224"/>
    </row>
    <row r="225" spans="1:2" x14ac:dyDescent="0.25">
      <c r="A225"/>
      <c r="B225"/>
    </row>
    <row r="226" spans="1:2" x14ac:dyDescent="0.25">
      <c r="A226"/>
      <c r="B226"/>
    </row>
    <row r="227" spans="1:2" x14ac:dyDescent="0.25">
      <c r="A227"/>
      <c r="B227"/>
    </row>
    <row r="228" spans="1:2" x14ac:dyDescent="0.25">
      <c r="A228"/>
      <c r="B228"/>
    </row>
    <row r="229" spans="1:2" x14ac:dyDescent="0.25">
      <c r="A229"/>
      <c r="B229"/>
    </row>
    <row r="230" spans="1:2" x14ac:dyDescent="0.25">
      <c r="A230"/>
      <c r="B230"/>
    </row>
    <row r="231" spans="1:2" x14ac:dyDescent="0.25">
      <c r="A231"/>
      <c r="B231"/>
    </row>
    <row r="232" spans="1:2" x14ac:dyDescent="0.25">
      <c r="A232"/>
      <c r="B232"/>
    </row>
    <row r="233" spans="1:2" x14ac:dyDescent="0.25">
      <c r="A233"/>
      <c r="B233"/>
    </row>
    <row r="234" spans="1:2" x14ac:dyDescent="0.25">
      <c r="A234"/>
      <c r="B234"/>
    </row>
    <row r="235" spans="1:2" x14ac:dyDescent="0.25">
      <c r="A235"/>
      <c r="B235"/>
    </row>
    <row r="236" spans="1:2" x14ac:dyDescent="0.25">
      <c r="A236"/>
      <c r="B236"/>
    </row>
    <row r="237" spans="1:2" x14ac:dyDescent="0.25">
      <c r="A237"/>
      <c r="B237"/>
    </row>
    <row r="238" spans="1:2" x14ac:dyDescent="0.25">
      <c r="A238"/>
      <c r="B238"/>
    </row>
    <row r="239" spans="1:2" x14ac:dyDescent="0.25">
      <c r="A239"/>
      <c r="B239"/>
    </row>
    <row r="240" spans="1:2" x14ac:dyDescent="0.25">
      <c r="A240"/>
      <c r="B240"/>
    </row>
    <row r="241" spans="1:2" x14ac:dyDescent="0.25">
      <c r="A241"/>
      <c r="B241"/>
    </row>
    <row r="242" spans="1:2" x14ac:dyDescent="0.25">
      <c r="A242"/>
      <c r="B242"/>
    </row>
    <row r="243" spans="1:2" x14ac:dyDescent="0.25">
      <c r="A243"/>
      <c r="B243"/>
    </row>
    <row r="244" spans="1:2" x14ac:dyDescent="0.25">
      <c r="A244"/>
      <c r="B244"/>
    </row>
    <row r="245" spans="1:2" x14ac:dyDescent="0.25">
      <c r="A245"/>
      <c r="B245"/>
    </row>
    <row r="246" spans="1:2" x14ac:dyDescent="0.25">
      <c r="A246"/>
      <c r="B246"/>
    </row>
    <row r="247" spans="1:2" x14ac:dyDescent="0.25">
      <c r="A247"/>
      <c r="B247"/>
    </row>
    <row r="248" spans="1:2" x14ac:dyDescent="0.25">
      <c r="A248"/>
      <c r="B248"/>
    </row>
    <row r="249" spans="1:2" x14ac:dyDescent="0.25">
      <c r="A249"/>
      <c r="B249"/>
    </row>
    <row r="250" spans="1:2" x14ac:dyDescent="0.25">
      <c r="A250"/>
      <c r="B250"/>
    </row>
    <row r="251" spans="1:2" x14ac:dyDescent="0.25">
      <c r="A251"/>
      <c r="B251"/>
    </row>
    <row r="252" spans="1:2" x14ac:dyDescent="0.25">
      <c r="A252"/>
      <c r="B252"/>
    </row>
    <row r="253" spans="1:2" x14ac:dyDescent="0.25">
      <c r="A253"/>
      <c r="B253"/>
    </row>
    <row r="254" spans="1:2" x14ac:dyDescent="0.25">
      <c r="A254"/>
      <c r="B254"/>
    </row>
    <row r="255" spans="1:2" x14ac:dyDescent="0.25">
      <c r="A255"/>
      <c r="B255"/>
    </row>
    <row r="256" spans="1:2" x14ac:dyDescent="0.25">
      <c r="A256"/>
      <c r="B256"/>
    </row>
    <row r="257" spans="1:2" x14ac:dyDescent="0.25">
      <c r="A257"/>
      <c r="B257"/>
    </row>
    <row r="258" spans="1:2" x14ac:dyDescent="0.25">
      <c r="A258"/>
      <c r="B258"/>
    </row>
    <row r="259" spans="1:2" x14ac:dyDescent="0.25">
      <c r="A259"/>
      <c r="B259"/>
    </row>
    <row r="260" spans="1:2" x14ac:dyDescent="0.25">
      <c r="A260"/>
      <c r="B260"/>
    </row>
    <row r="261" spans="1:2" x14ac:dyDescent="0.25">
      <c r="A261"/>
      <c r="B261"/>
    </row>
    <row r="262" spans="1:2" x14ac:dyDescent="0.25">
      <c r="A262"/>
      <c r="B262"/>
    </row>
    <row r="263" spans="1:2" x14ac:dyDescent="0.25">
      <c r="A263"/>
      <c r="B263"/>
    </row>
    <row r="264" spans="1:2" x14ac:dyDescent="0.25">
      <c r="A264"/>
      <c r="B264"/>
    </row>
    <row r="265" spans="1:2" x14ac:dyDescent="0.25">
      <c r="A265"/>
      <c r="B265"/>
    </row>
    <row r="266" spans="1:2" x14ac:dyDescent="0.25">
      <c r="A266"/>
      <c r="B266"/>
    </row>
    <row r="267" spans="1:2" x14ac:dyDescent="0.25">
      <c r="A267"/>
      <c r="B267"/>
    </row>
    <row r="268" spans="1:2" x14ac:dyDescent="0.25">
      <c r="A268"/>
      <c r="B268"/>
    </row>
    <row r="269" spans="1:2" x14ac:dyDescent="0.25">
      <c r="A269"/>
      <c r="B269"/>
    </row>
    <row r="270" spans="1:2" x14ac:dyDescent="0.25">
      <c r="A270"/>
      <c r="B270"/>
    </row>
    <row r="271" spans="1:2" x14ac:dyDescent="0.25">
      <c r="A271"/>
      <c r="B271"/>
    </row>
    <row r="272" spans="1:2" x14ac:dyDescent="0.25">
      <c r="A272"/>
      <c r="B272"/>
    </row>
    <row r="273" spans="1:2" x14ac:dyDescent="0.25">
      <c r="A273"/>
      <c r="B273"/>
    </row>
    <row r="274" spans="1:2" x14ac:dyDescent="0.25">
      <c r="A274"/>
      <c r="B274"/>
    </row>
    <row r="275" spans="1:2" x14ac:dyDescent="0.25">
      <c r="A275"/>
      <c r="B275"/>
    </row>
    <row r="276" spans="1:2" x14ac:dyDescent="0.25">
      <c r="A276"/>
      <c r="B276"/>
    </row>
    <row r="277" spans="1:2" x14ac:dyDescent="0.25">
      <c r="A277"/>
      <c r="B277"/>
    </row>
    <row r="278" spans="1:2" x14ac:dyDescent="0.25">
      <c r="A278"/>
      <c r="B278"/>
    </row>
    <row r="279" spans="1:2" x14ac:dyDescent="0.25">
      <c r="A279"/>
      <c r="B279"/>
    </row>
    <row r="280" spans="1:2" x14ac:dyDescent="0.25">
      <c r="A280"/>
      <c r="B280"/>
    </row>
    <row r="281" spans="1:2" x14ac:dyDescent="0.25">
      <c r="A281"/>
      <c r="B281"/>
    </row>
    <row r="282" spans="1:2" x14ac:dyDescent="0.25">
      <c r="A282"/>
      <c r="B282"/>
    </row>
    <row r="283" spans="1:2" x14ac:dyDescent="0.25">
      <c r="A283"/>
      <c r="B283"/>
    </row>
    <row r="284" spans="1:2" x14ac:dyDescent="0.25">
      <c r="A284"/>
      <c r="B284"/>
    </row>
    <row r="285" spans="1:2" x14ac:dyDescent="0.25">
      <c r="A285"/>
      <c r="B285"/>
    </row>
    <row r="286" spans="1:2" x14ac:dyDescent="0.25">
      <c r="A286"/>
      <c r="B286"/>
    </row>
    <row r="287" spans="1:2" x14ac:dyDescent="0.25">
      <c r="A287"/>
      <c r="B287"/>
    </row>
    <row r="288" spans="1:2" x14ac:dyDescent="0.25">
      <c r="A288"/>
      <c r="B288"/>
    </row>
    <row r="289" spans="1:2" x14ac:dyDescent="0.25">
      <c r="A289"/>
      <c r="B289"/>
    </row>
    <row r="290" spans="1:2" x14ac:dyDescent="0.25">
      <c r="A290"/>
      <c r="B290"/>
    </row>
    <row r="291" spans="1:2" x14ac:dyDescent="0.25">
      <c r="A291"/>
      <c r="B291"/>
    </row>
    <row r="292" spans="1:2" x14ac:dyDescent="0.25">
      <c r="A292"/>
      <c r="B292"/>
    </row>
    <row r="293" spans="1:2" x14ac:dyDescent="0.25">
      <c r="A293"/>
      <c r="B293"/>
    </row>
    <row r="294" spans="1:2" x14ac:dyDescent="0.25">
      <c r="A294"/>
      <c r="B294"/>
    </row>
    <row r="295" spans="1:2" x14ac:dyDescent="0.25">
      <c r="A295"/>
      <c r="B295"/>
    </row>
    <row r="296" spans="1:2" x14ac:dyDescent="0.25">
      <c r="A296"/>
      <c r="B296"/>
    </row>
    <row r="297" spans="1:2" x14ac:dyDescent="0.25">
      <c r="A297"/>
      <c r="B297"/>
    </row>
    <row r="298" spans="1:2" x14ac:dyDescent="0.25">
      <c r="A298"/>
      <c r="B298"/>
    </row>
    <row r="299" spans="1:2" x14ac:dyDescent="0.25">
      <c r="A299"/>
      <c r="B299"/>
    </row>
    <row r="300" spans="1:2" x14ac:dyDescent="0.25">
      <c r="A300"/>
      <c r="B300"/>
    </row>
    <row r="301" spans="1:2" x14ac:dyDescent="0.25">
      <c r="A301"/>
      <c r="B301"/>
    </row>
    <row r="302" spans="1:2" x14ac:dyDescent="0.25">
      <c r="A302"/>
      <c r="B302"/>
    </row>
    <row r="303" spans="1:2" x14ac:dyDescent="0.25">
      <c r="A303"/>
      <c r="B303"/>
    </row>
    <row r="304" spans="1:2" x14ac:dyDescent="0.25">
      <c r="A304"/>
      <c r="B304"/>
    </row>
    <row r="305" spans="1:2" x14ac:dyDescent="0.25">
      <c r="A305"/>
      <c r="B305"/>
    </row>
    <row r="306" spans="1:2" x14ac:dyDescent="0.25">
      <c r="A306"/>
      <c r="B306"/>
    </row>
    <row r="307" spans="1:2" x14ac:dyDescent="0.25">
      <c r="A307"/>
      <c r="B307"/>
    </row>
    <row r="308" spans="1:2" x14ac:dyDescent="0.25">
      <c r="A308"/>
      <c r="B308"/>
    </row>
    <row r="309" spans="1:2" x14ac:dyDescent="0.25">
      <c r="A309"/>
      <c r="B309"/>
    </row>
    <row r="310" spans="1:2" x14ac:dyDescent="0.25">
      <c r="A310"/>
      <c r="B310"/>
    </row>
    <row r="311" spans="1:2" x14ac:dyDescent="0.25">
      <c r="A311"/>
      <c r="B311"/>
    </row>
    <row r="312" spans="1:2" x14ac:dyDescent="0.25">
      <c r="A312"/>
      <c r="B312"/>
    </row>
    <row r="313" spans="1:2" x14ac:dyDescent="0.25">
      <c r="A313"/>
      <c r="B313"/>
    </row>
    <row r="314" spans="1:2" x14ac:dyDescent="0.25">
      <c r="A314"/>
      <c r="B314"/>
    </row>
    <row r="315" spans="1:2" x14ac:dyDescent="0.25">
      <c r="A315"/>
      <c r="B315"/>
    </row>
    <row r="316" spans="1:2" x14ac:dyDescent="0.25">
      <c r="A316"/>
      <c r="B316"/>
    </row>
    <row r="317" spans="1:2" x14ac:dyDescent="0.25">
      <c r="A317"/>
      <c r="B317"/>
    </row>
    <row r="318" spans="1:2" x14ac:dyDescent="0.25">
      <c r="A318"/>
      <c r="B318"/>
    </row>
    <row r="319" spans="1:2" x14ac:dyDescent="0.25">
      <c r="A319"/>
      <c r="B319"/>
    </row>
    <row r="320" spans="1:2" x14ac:dyDescent="0.25">
      <c r="A320"/>
      <c r="B320"/>
    </row>
    <row r="321" spans="1:2" x14ac:dyDescent="0.25">
      <c r="A321"/>
      <c r="B321"/>
    </row>
    <row r="322" spans="1:2" x14ac:dyDescent="0.25">
      <c r="A322"/>
      <c r="B322"/>
    </row>
    <row r="323" spans="1:2" x14ac:dyDescent="0.25">
      <c r="A323"/>
      <c r="B323"/>
    </row>
    <row r="324" spans="1:2" x14ac:dyDescent="0.25">
      <c r="A324"/>
      <c r="B324"/>
    </row>
    <row r="325" spans="1:2" x14ac:dyDescent="0.25">
      <c r="A325"/>
      <c r="B325"/>
    </row>
    <row r="326" spans="1:2" x14ac:dyDescent="0.25">
      <c r="A326"/>
      <c r="B326"/>
    </row>
    <row r="327" spans="1:2" x14ac:dyDescent="0.25">
      <c r="A327"/>
      <c r="B327"/>
    </row>
    <row r="328" spans="1:2" x14ac:dyDescent="0.25">
      <c r="A328"/>
      <c r="B328"/>
    </row>
    <row r="329" spans="1:2" x14ac:dyDescent="0.25">
      <c r="A329"/>
      <c r="B329"/>
    </row>
    <row r="330" spans="1:2" x14ac:dyDescent="0.25">
      <c r="A330"/>
      <c r="B330"/>
    </row>
    <row r="331" spans="1:2" x14ac:dyDescent="0.25">
      <c r="A331"/>
      <c r="B331"/>
    </row>
    <row r="332" spans="1:2" x14ac:dyDescent="0.25">
      <c r="A332"/>
      <c r="B332"/>
    </row>
    <row r="333" spans="1:2" x14ac:dyDescent="0.25">
      <c r="A333"/>
      <c r="B333"/>
    </row>
    <row r="334" spans="1:2" x14ac:dyDescent="0.25">
      <c r="A334"/>
      <c r="B334"/>
    </row>
    <row r="335" spans="1:2" x14ac:dyDescent="0.25">
      <c r="A335"/>
      <c r="B335"/>
    </row>
    <row r="336" spans="1:2" x14ac:dyDescent="0.25">
      <c r="A336"/>
      <c r="B336"/>
    </row>
    <row r="337" spans="1:2" x14ac:dyDescent="0.25">
      <c r="A337"/>
      <c r="B337"/>
    </row>
    <row r="338" spans="1:2" x14ac:dyDescent="0.25">
      <c r="A338"/>
      <c r="B338"/>
    </row>
    <row r="339" spans="1:2" x14ac:dyDescent="0.25">
      <c r="A339"/>
      <c r="B339"/>
    </row>
    <row r="340" spans="1:2" x14ac:dyDescent="0.25">
      <c r="A340"/>
      <c r="B340"/>
    </row>
    <row r="341" spans="1:2" x14ac:dyDescent="0.25">
      <c r="A341"/>
      <c r="B341"/>
    </row>
    <row r="342" spans="1:2" x14ac:dyDescent="0.25">
      <c r="A342"/>
      <c r="B342"/>
    </row>
    <row r="343" spans="1:2" x14ac:dyDescent="0.25">
      <c r="A343"/>
      <c r="B343"/>
    </row>
    <row r="344" spans="1:2" x14ac:dyDescent="0.25">
      <c r="A344"/>
      <c r="B344"/>
    </row>
    <row r="345" spans="1:2" x14ac:dyDescent="0.25">
      <c r="A345"/>
      <c r="B345"/>
    </row>
    <row r="346" spans="1:2" x14ac:dyDescent="0.25">
      <c r="A346"/>
      <c r="B346"/>
    </row>
    <row r="347" spans="1:2" x14ac:dyDescent="0.25">
      <c r="A347"/>
      <c r="B347"/>
    </row>
    <row r="348" spans="1:2" x14ac:dyDescent="0.25">
      <c r="A348"/>
      <c r="B348"/>
    </row>
    <row r="349" spans="1:2" x14ac:dyDescent="0.25">
      <c r="A349"/>
      <c r="B349"/>
    </row>
    <row r="350" spans="1:2" x14ac:dyDescent="0.25">
      <c r="A350"/>
      <c r="B350"/>
    </row>
    <row r="351" spans="1:2" x14ac:dyDescent="0.25">
      <c r="A351"/>
      <c r="B351"/>
    </row>
    <row r="352" spans="1:2" x14ac:dyDescent="0.25">
      <c r="A352"/>
      <c r="B352"/>
    </row>
    <row r="353" spans="1:2" x14ac:dyDescent="0.25">
      <c r="A353"/>
      <c r="B353"/>
    </row>
    <row r="354" spans="1:2" x14ac:dyDescent="0.25">
      <c r="A354"/>
      <c r="B354"/>
    </row>
    <row r="355" spans="1:2" x14ac:dyDescent="0.25">
      <c r="A355"/>
      <c r="B355"/>
    </row>
    <row r="356" spans="1:2" x14ac:dyDescent="0.25">
      <c r="A356"/>
      <c r="B356"/>
    </row>
    <row r="357" spans="1:2" x14ac:dyDescent="0.25">
      <c r="A357"/>
      <c r="B357"/>
    </row>
    <row r="358" spans="1:2" x14ac:dyDescent="0.25">
      <c r="A358"/>
      <c r="B358"/>
    </row>
    <row r="359" spans="1:2" x14ac:dyDescent="0.25">
      <c r="A359"/>
      <c r="B359"/>
    </row>
    <row r="360" spans="1:2" x14ac:dyDescent="0.25">
      <c r="A360"/>
      <c r="B360"/>
    </row>
    <row r="361" spans="1:2" x14ac:dyDescent="0.25">
      <c r="A361"/>
      <c r="B361"/>
    </row>
    <row r="362" spans="1:2" x14ac:dyDescent="0.25">
      <c r="A362"/>
      <c r="B362"/>
    </row>
    <row r="363" spans="1:2" x14ac:dyDescent="0.25">
      <c r="A363"/>
      <c r="B363"/>
    </row>
    <row r="364" spans="1:2" x14ac:dyDescent="0.25">
      <c r="A364"/>
      <c r="B364"/>
    </row>
    <row r="365" spans="1:2" x14ac:dyDescent="0.25">
      <c r="A365"/>
      <c r="B365"/>
    </row>
    <row r="366" spans="1:2" x14ac:dyDescent="0.25">
      <c r="A366"/>
      <c r="B366"/>
    </row>
    <row r="367" spans="1:2" x14ac:dyDescent="0.25">
      <c r="A367"/>
      <c r="B367"/>
    </row>
    <row r="368" spans="1:2" x14ac:dyDescent="0.25">
      <c r="A368"/>
      <c r="B368"/>
    </row>
    <row r="369" spans="1:2" x14ac:dyDescent="0.25">
      <c r="A369"/>
      <c r="B369"/>
    </row>
    <row r="370" spans="1:2" x14ac:dyDescent="0.25">
      <c r="A370"/>
      <c r="B370"/>
    </row>
    <row r="371" spans="1:2" x14ac:dyDescent="0.25">
      <c r="A371"/>
      <c r="B371"/>
    </row>
    <row r="372" spans="1:2" x14ac:dyDescent="0.25">
      <c r="A372"/>
      <c r="B372"/>
    </row>
    <row r="373" spans="1:2" x14ac:dyDescent="0.25">
      <c r="A373"/>
      <c r="B373"/>
    </row>
    <row r="374" spans="1:2" x14ac:dyDescent="0.25">
      <c r="A374"/>
      <c r="B374"/>
    </row>
    <row r="375" spans="1:2" x14ac:dyDescent="0.25">
      <c r="A375"/>
      <c r="B375"/>
    </row>
    <row r="376" spans="1:2" x14ac:dyDescent="0.25">
      <c r="A376"/>
      <c r="B376"/>
    </row>
    <row r="377" spans="1:2" x14ac:dyDescent="0.25">
      <c r="A377"/>
      <c r="B377"/>
    </row>
    <row r="378" spans="1:2" x14ac:dyDescent="0.25">
      <c r="A378"/>
      <c r="B378"/>
    </row>
    <row r="379" spans="1:2" x14ac:dyDescent="0.25">
      <c r="A379"/>
      <c r="B379"/>
    </row>
    <row r="380" spans="1:2" x14ac:dyDescent="0.25">
      <c r="A380"/>
      <c r="B380"/>
    </row>
    <row r="381" spans="1:2" x14ac:dyDescent="0.25">
      <c r="A381"/>
      <c r="B381"/>
    </row>
    <row r="382" spans="1:2" x14ac:dyDescent="0.25">
      <c r="A382"/>
      <c r="B382"/>
    </row>
    <row r="383" spans="1:2" x14ac:dyDescent="0.25">
      <c r="A383"/>
      <c r="B383"/>
    </row>
    <row r="384" spans="1:2" x14ac:dyDescent="0.25">
      <c r="A384"/>
      <c r="B384"/>
    </row>
    <row r="385" spans="1:2" x14ac:dyDescent="0.25">
      <c r="A385"/>
      <c r="B385"/>
    </row>
    <row r="386" spans="1:2" x14ac:dyDescent="0.25">
      <c r="A386"/>
      <c r="B386"/>
    </row>
    <row r="387" spans="1:2" x14ac:dyDescent="0.25">
      <c r="A387"/>
      <c r="B387"/>
    </row>
    <row r="388" spans="1:2" x14ac:dyDescent="0.25">
      <c r="A388"/>
      <c r="B388"/>
    </row>
    <row r="389" spans="1:2" x14ac:dyDescent="0.25">
      <c r="A389"/>
      <c r="B389"/>
    </row>
    <row r="390" spans="1:2" x14ac:dyDescent="0.25">
      <c r="A390"/>
      <c r="B390"/>
    </row>
    <row r="391" spans="1:2" x14ac:dyDescent="0.25">
      <c r="A391"/>
      <c r="B391"/>
    </row>
    <row r="392" spans="1:2" x14ac:dyDescent="0.25">
      <c r="A392"/>
      <c r="B392"/>
    </row>
    <row r="393" spans="1:2" x14ac:dyDescent="0.25">
      <c r="A393"/>
      <c r="B393"/>
    </row>
    <row r="394" spans="1:2" x14ac:dyDescent="0.25">
      <c r="A394"/>
      <c r="B394"/>
    </row>
    <row r="395" spans="1:2" x14ac:dyDescent="0.25">
      <c r="A395"/>
      <c r="B395"/>
    </row>
    <row r="396" spans="1:2" x14ac:dyDescent="0.25">
      <c r="A396"/>
      <c r="B396"/>
    </row>
    <row r="397" spans="1:2" x14ac:dyDescent="0.25">
      <c r="A397"/>
      <c r="B397"/>
    </row>
    <row r="398" spans="1:2" x14ac:dyDescent="0.25">
      <c r="A398"/>
      <c r="B398"/>
    </row>
    <row r="399" spans="1:2" x14ac:dyDescent="0.25">
      <c r="A399"/>
      <c r="B399"/>
    </row>
    <row r="400" spans="1:2" x14ac:dyDescent="0.25">
      <c r="A400"/>
      <c r="B400"/>
    </row>
    <row r="401" spans="1:2" x14ac:dyDescent="0.25">
      <c r="A401"/>
      <c r="B401"/>
    </row>
    <row r="402" spans="1:2" x14ac:dyDescent="0.25">
      <c r="A402"/>
      <c r="B402"/>
    </row>
    <row r="403" spans="1:2" x14ac:dyDescent="0.25">
      <c r="A403"/>
      <c r="B403"/>
    </row>
    <row r="404" spans="1:2" x14ac:dyDescent="0.25">
      <c r="A404"/>
      <c r="B404"/>
    </row>
    <row r="405" spans="1:2" x14ac:dyDescent="0.25">
      <c r="A405"/>
      <c r="B405"/>
    </row>
    <row r="406" spans="1:2" x14ac:dyDescent="0.25">
      <c r="A406"/>
      <c r="B406"/>
    </row>
    <row r="407" spans="1:2" x14ac:dyDescent="0.25">
      <c r="A407"/>
      <c r="B407"/>
    </row>
    <row r="408" spans="1:2" x14ac:dyDescent="0.25">
      <c r="A408"/>
      <c r="B408"/>
    </row>
    <row r="409" spans="1:2" x14ac:dyDescent="0.25">
      <c r="A409"/>
      <c r="B409"/>
    </row>
    <row r="410" spans="1:2" x14ac:dyDescent="0.25">
      <c r="A410"/>
      <c r="B410"/>
    </row>
    <row r="411" spans="1:2" x14ac:dyDescent="0.25">
      <c r="A411"/>
      <c r="B411"/>
    </row>
    <row r="412" spans="1:2" x14ac:dyDescent="0.25">
      <c r="A412"/>
      <c r="B412"/>
    </row>
    <row r="413" spans="1:2" x14ac:dyDescent="0.25">
      <c r="A413"/>
      <c r="B413"/>
    </row>
    <row r="414" spans="1:2" x14ac:dyDescent="0.25">
      <c r="A414"/>
      <c r="B414"/>
    </row>
    <row r="415" spans="1:2" x14ac:dyDescent="0.25">
      <c r="A415"/>
      <c r="B415"/>
    </row>
    <row r="416" spans="1:2" x14ac:dyDescent="0.25">
      <c r="A416"/>
      <c r="B416"/>
    </row>
    <row r="417" spans="1:2" x14ac:dyDescent="0.25">
      <c r="A417"/>
      <c r="B417"/>
    </row>
    <row r="418" spans="1:2" x14ac:dyDescent="0.25">
      <c r="A418"/>
      <c r="B418"/>
    </row>
    <row r="419" spans="1:2" x14ac:dyDescent="0.25">
      <c r="A419"/>
      <c r="B419"/>
    </row>
    <row r="420" spans="1:2" x14ac:dyDescent="0.25">
      <c r="A420"/>
      <c r="B420"/>
    </row>
    <row r="421" spans="1:2" x14ac:dyDescent="0.25">
      <c r="A421"/>
      <c r="B421"/>
    </row>
    <row r="422" spans="1:2" x14ac:dyDescent="0.25">
      <c r="A422"/>
      <c r="B422"/>
    </row>
    <row r="423" spans="1:2" x14ac:dyDescent="0.25">
      <c r="A423"/>
      <c r="B423"/>
    </row>
    <row r="424" spans="1:2" x14ac:dyDescent="0.25">
      <c r="A424"/>
      <c r="B424"/>
    </row>
    <row r="425" spans="1:2" x14ac:dyDescent="0.25">
      <c r="A425"/>
      <c r="B425"/>
    </row>
    <row r="426" spans="1:2" x14ac:dyDescent="0.25">
      <c r="A426"/>
      <c r="B426"/>
    </row>
    <row r="427" spans="1:2" x14ac:dyDescent="0.25">
      <c r="A427"/>
      <c r="B427"/>
    </row>
    <row r="428" spans="1:2" x14ac:dyDescent="0.25">
      <c r="A428"/>
      <c r="B428"/>
    </row>
    <row r="429" spans="1:2" x14ac:dyDescent="0.25">
      <c r="A429"/>
      <c r="B429"/>
    </row>
    <row r="430" spans="1:2" x14ac:dyDescent="0.25">
      <c r="A430"/>
      <c r="B430"/>
    </row>
    <row r="431" spans="1:2" x14ac:dyDescent="0.25">
      <c r="A431"/>
      <c r="B431"/>
    </row>
    <row r="432" spans="1:2" x14ac:dyDescent="0.25">
      <c r="A432"/>
      <c r="B432"/>
    </row>
    <row r="433" spans="1:2" x14ac:dyDescent="0.25">
      <c r="A433"/>
      <c r="B433"/>
    </row>
    <row r="434" spans="1:2" x14ac:dyDescent="0.25">
      <c r="A434"/>
      <c r="B434"/>
    </row>
    <row r="435" spans="1:2" x14ac:dyDescent="0.25">
      <c r="A435"/>
      <c r="B435"/>
    </row>
    <row r="436" spans="1:2" x14ac:dyDescent="0.25">
      <c r="A436"/>
      <c r="B436"/>
    </row>
    <row r="437" spans="1:2" x14ac:dyDescent="0.25">
      <c r="A437"/>
      <c r="B437"/>
    </row>
    <row r="438" spans="1:2" x14ac:dyDescent="0.25">
      <c r="A438"/>
      <c r="B438"/>
    </row>
    <row r="439" spans="1:2" x14ac:dyDescent="0.25">
      <c r="A439"/>
      <c r="B439"/>
    </row>
    <row r="440" spans="1:2" x14ac:dyDescent="0.25">
      <c r="A440"/>
      <c r="B440"/>
    </row>
    <row r="441" spans="1:2" x14ac:dyDescent="0.25">
      <c r="A441"/>
      <c r="B441"/>
    </row>
    <row r="442" spans="1:2" x14ac:dyDescent="0.25">
      <c r="A442"/>
      <c r="B442"/>
    </row>
    <row r="443" spans="1:2" x14ac:dyDescent="0.25">
      <c r="A443"/>
      <c r="B443"/>
    </row>
    <row r="444" spans="1:2" x14ac:dyDescent="0.25">
      <c r="A444"/>
      <c r="B444"/>
    </row>
    <row r="445" spans="1:2" x14ac:dyDescent="0.25">
      <c r="A445"/>
      <c r="B445"/>
    </row>
    <row r="446" spans="1:2" x14ac:dyDescent="0.25">
      <c r="A446"/>
      <c r="B446"/>
    </row>
    <row r="447" spans="1:2" x14ac:dyDescent="0.25">
      <c r="A447"/>
      <c r="B447"/>
    </row>
    <row r="448" spans="1:2" x14ac:dyDescent="0.25">
      <c r="A448"/>
      <c r="B448"/>
    </row>
    <row r="449" spans="1:2" x14ac:dyDescent="0.25">
      <c r="A449"/>
      <c r="B449"/>
    </row>
    <row r="450" spans="1:2" x14ac:dyDescent="0.25">
      <c r="A450"/>
      <c r="B450"/>
    </row>
    <row r="451" spans="1:2" x14ac:dyDescent="0.25">
      <c r="A451"/>
      <c r="B451"/>
    </row>
    <row r="452" spans="1:2" x14ac:dyDescent="0.25">
      <c r="A452"/>
      <c r="B452"/>
    </row>
    <row r="453" spans="1:2" x14ac:dyDescent="0.25">
      <c r="A453"/>
      <c r="B453"/>
    </row>
    <row r="454" spans="1:2" x14ac:dyDescent="0.25">
      <c r="A454"/>
      <c r="B454"/>
    </row>
    <row r="455" spans="1:2" x14ac:dyDescent="0.25">
      <c r="A455"/>
      <c r="B455"/>
    </row>
    <row r="456" spans="1:2" x14ac:dyDescent="0.25">
      <c r="A456"/>
      <c r="B456"/>
    </row>
    <row r="457" spans="1:2" x14ac:dyDescent="0.25">
      <c r="A457"/>
      <c r="B457"/>
    </row>
    <row r="458" spans="1:2" x14ac:dyDescent="0.25">
      <c r="A458"/>
      <c r="B458"/>
    </row>
    <row r="459" spans="1:2" x14ac:dyDescent="0.25">
      <c r="A459"/>
      <c r="B459"/>
    </row>
    <row r="460" spans="1:2" x14ac:dyDescent="0.25">
      <c r="A460"/>
      <c r="B460"/>
    </row>
    <row r="461" spans="1:2" x14ac:dyDescent="0.25">
      <c r="A461"/>
      <c r="B461"/>
    </row>
    <row r="462" spans="1:2" x14ac:dyDescent="0.25">
      <c r="A462"/>
      <c r="B462"/>
    </row>
    <row r="463" spans="1:2" x14ac:dyDescent="0.25">
      <c r="A463"/>
      <c r="B463"/>
    </row>
    <row r="464" spans="1:2" x14ac:dyDescent="0.25">
      <c r="A464"/>
      <c r="B464"/>
    </row>
    <row r="465" spans="1:2" x14ac:dyDescent="0.25">
      <c r="A465"/>
      <c r="B465"/>
    </row>
    <row r="466" spans="1:2" x14ac:dyDescent="0.25">
      <c r="A466"/>
      <c r="B466"/>
    </row>
    <row r="467" spans="1:2" x14ac:dyDescent="0.25">
      <c r="A467"/>
      <c r="B467"/>
    </row>
    <row r="468" spans="1:2" x14ac:dyDescent="0.25">
      <c r="A468"/>
      <c r="B468"/>
    </row>
    <row r="469" spans="1:2" x14ac:dyDescent="0.25">
      <c r="A469"/>
      <c r="B469"/>
    </row>
    <row r="470" spans="1:2" x14ac:dyDescent="0.25">
      <c r="A470"/>
      <c r="B470"/>
    </row>
    <row r="471" spans="1:2" x14ac:dyDescent="0.25">
      <c r="A471"/>
      <c r="B471"/>
    </row>
    <row r="472" spans="1:2" x14ac:dyDescent="0.25">
      <c r="A472"/>
      <c r="B472"/>
    </row>
    <row r="473" spans="1:2" x14ac:dyDescent="0.25">
      <c r="A473"/>
      <c r="B473"/>
    </row>
    <row r="474" spans="1:2" x14ac:dyDescent="0.25">
      <c r="A474"/>
      <c r="B474"/>
    </row>
    <row r="475" spans="1:2" x14ac:dyDescent="0.25">
      <c r="A475"/>
      <c r="B475"/>
    </row>
    <row r="476" spans="1:2" x14ac:dyDescent="0.25">
      <c r="A476"/>
      <c r="B476"/>
    </row>
    <row r="477" spans="1:2" x14ac:dyDescent="0.25">
      <c r="A477"/>
      <c r="B477"/>
    </row>
    <row r="478" spans="1:2" x14ac:dyDescent="0.25">
      <c r="A478"/>
      <c r="B478"/>
    </row>
    <row r="479" spans="1:2" x14ac:dyDescent="0.25">
      <c r="A479"/>
      <c r="B479"/>
    </row>
    <row r="480" spans="1:2" x14ac:dyDescent="0.25">
      <c r="A480"/>
      <c r="B480"/>
    </row>
    <row r="481" spans="1:2" x14ac:dyDescent="0.25">
      <c r="A481"/>
      <c r="B481"/>
    </row>
    <row r="482" spans="1:2" x14ac:dyDescent="0.25">
      <c r="A482"/>
      <c r="B482"/>
    </row>
    <row r="483" spans="1:2" x14ac:dyDescent="0.25">
      <c r="A483"/>
      <c r="B483"/>
    </row>
    <row r="484" spans="1:2" x14ac:dyDescent="0.25">
      <c r="A484"/>
      <c r="B484"/>
    </row>
    <row r="485" spans="1:2" x14ac:dyDescent="0.25">
      <c r="A485"/>
      <c r="B485"/>
    </row>
    <row r="486" spans="1:2" x14ac:dyDescent="0.25">
      <c r="A486"/>
      <c r="B486"/>
    </row>
    <row r="487" spans="1:2" x14ac:dyDescent="0.25">
      <c r="A487"/>
      <c r="B487"/>
    </row>
    <row r="488" spans="1:2" x14ac:dyDescent="0.25">
      <c r="A488"/>
      <c r="B488"/>
    </row>
    <row r="489" spans="1:2" x14ac:dyDescent="0.25">
      <c r="A489"/>
      <c r="B489"/>
    </row>
    <row r="490" spans="1:2" x14ac:dyDescent="0.25">
      <c r="A490"/>
      <c r="B490"/>
    </row>
    <row r="491" spans="1:2" x14ac:dyDescent="0.25">
      <c r="A491"/>
      <c r="B491"/>
    </row>
    <row r="492" spans="1:2" x14ac:dyDescent="0.25">
      <c r="A492"/>
      <c r="B492"/>
    </row>
    <row r="493" spans="1:2" x14ac:dyDescent="0.25">
      <c r="A493"/>
      <c r="B493"/>
    </row>
    <row r="494" spans="1:2" x14ac:dyDescent="0.25">
      <c r="A494"/>
      <c r="B494"/>
    </row>
    <row r="495" spans="1:2" x14ac:dyDescent="0.25">
      <c r="A495"/>
      <c r="B495"/>
    </row>
    <row r="496" spans="1:2" x14ac:dyDescent="0.25">
      <c r="A496"/>
      <c r="B496"/>
    </row>
    <row r="497" spans="1:2" x14ac:dyDescent="0.25">
      <c r="A497"/>
      <c r="B497"/>
    </row>
    <row r="498" spans="1:2" x14ac:dyDescent="0.25">
      <c r="A498"/>
      <c r="B498"/>
    </row>
    <row r="499" spans="1:2" x14ac:dyDescent="0.25">
      <c r="A499"/>
      <c r="B499"/>
    </row>
    <row r="500" spans="1:2" x14ac:dyDescent="0.25">
      <c r="A500"/>
      <c r="B500"/>
    </row>
    <row r="501" spans="1:2" x14ac:dyDescent="0.25">
      <c r="A501"/>
      <c r="B501"/>
    </row>
    <row r="502" spans="1:2" x14ac:dyDescent="0.25">
      <c r="A502"/>
      <c r="B502"/>
    </row>
    <row r="503" spans="1:2" x14ac:dyDescent="0.25">
      <c r="A503"/>
      <c r="B503"/>
    </row>
    <row r="504" spans="1:2" x14ac:dyDescent="0.25">
      <c r="A504"/>
      <c r="B504"/>
    </row>
    <row r="505" spans="1:2" x14ac:dyDescent="0.25">
      <c r="A505"/>
      <c r="B505"/>
    </row>
    <row r="506" spans="1:2" x14ac:dyDescent="0.25">
      <c r="A506"/>
      <c r="B506"/>
    </row>
    <row r="507" spans="1:2" x14ac:dyDescent="0.25">
      <c r="A507"/>
      <c r="B507"/>
    </row>
    <row r="508" spans="1:2" x14ac:dyDescent="0.25">
      <c r="A508"/>
      <c r="B508"/>
    </row>
    <row r="509" spans="1:2" x14ac:dyDescent="0.25">
      <c r="A509"/>
      <c r="B509"/>
    </row>
    <row r="510" spans="1:2" x14ac:dyDescent="0.25">
      <c r="A510"/>
      <c r="B510"/>
    </row>
    <row r="511" spans="1:2" x14ac:dyDescent="0.25">
      <c r="A511"/>
      <c r="B511"/>
    </row>
    <row r="512" spans="1:2" x14ac:dyDescent="0.25">
      <c r="A512"/>
      <c r="B512"/>
    </row>
    <row r="513" spans="1:2" x14ac:dyDescent="0.25">
      <c r="A513"/>
      <c r="B513"/>
    </row>
    <row r="514" spans="1:2" x14ac:dyDescent="0.25">
      <c r="A514"/>
      <c r="B514"/>
    </row>
    <row r="515" spans="1:2" x14ac:dyDescent="0.25">
      <c r="A515"/>
      <c r="B515"/>
    </row>
    <row r="516" spans="1:2" x14ac:dyDescent="0.25">
      <c r="A516"/>
      <c r="B516"/>
    </row>
    <row r="517" spans="1:2" x14ac:dyDescent="0.25">
      <c r="A517"/>
      <c r="B517"/>
    </row>
    <row r="518" spans="1:2" x14ac:dyDescent="0.25">
      <c r="A518"/>
      <c r="B518"/>
    </row>
    <row r="519" spans="1:2" x14ac:dyDescent="0.25">
      <c r="A519"/>
      <c r="B519"/>
    </row>
    <row r="520" spans="1:2" x14ac:dyDescent="0.25">
      <c r="A520"/>
      <c r="B520"/>
    </row>
    <row r="521" spans="1:2" x14ac:dyDescent="0.25">
      <c r="A521"/>
      <c r="B521"/>
    </row>
    <row r="522" spans="1:2" x14ac:dyDescent="0.25">
      <c r="A522"/>
      <c r="B522"/>
    </row>
    <row r="523" spans="1:2" x14ac:dyDescent="0.25">
      <c r="A523"/>
      <c r="B523"/>
    </row>
    <row r="524" spans="1:2" x14ac:dyDescent="0.25">
      <c r="A524"/>
      <c r="B524"/>
    </row>
    <row r="525" spans="1:2" x14ac:dyDescent="0.25">
      <c r="A525"/>
      <c r="B525"/>
    </row>
    <row r="526" spans="1:2" x14ac:dyDescent="0.25">
      <c r="A526"/>
      <c r="B526"/>
    </row>
    <row r="527" spans="1:2" x14ac:dyDescent="0.25">
      <c r="A527"/>
      <c r="B527"/>
    </row>
    <row r="528" spans="1:2" x14ac:dyDescent="0.25">
      <c r="A528"/>
      <c r="B528"/>
    </row>
    <row r="529" spans="1:2" x14ac:dyDescent="0.25">
      <c r="A529"/>
      <c r="B529"/>
    </row>
    <row r="530" spans="1:2" x14ac:dyDescent="0.25">
      <c r="A530"/>
      <c r="B530"/>
    </row>
    <row r="531" spans="1:2" x14ac:dyDescent="0.25">
      <c r="A531"/>
      <c r="B531"/>
    </row>
    <row r="532" spans="1:2" x14ac:dyDescent="0.25">
      <c r="A532"/>
      <c r="B532"/>
    </row>
    <row r="533" spans="1:2" x14ac:dyDescent="0.25">
      <c r="A533"/>
      <c r="B533"/>
    </row>
    <row r="534" spans="1:2" x14ac:dyDescent="0.25">
      <c r="A534"/>
      <c r="B534"/>
    </row>
    <row r="535" spans="1:2" x14ac:dyDescent="0.25">
      <c r="A535"/>
      <c r="B535"/>
    </row>
    <row r="536" spans="1:2" x14ac:dyDescent="0.25">
      <c r="A536"/>
      <c r="B536"/>
    </row>
    <row r="537" spans="1:2" x14ac:dyDescent="0.25">
      <c r="A537"/>
      <c r="B537"/>
    </row>
    <row r="538" spans="1:2" x14ac:dyDescent="0.25">
      <c r="A538"/>
      <c r="B538"/>
    </row>
    <row r="539" spans="1:2" x14ac:dyDescent="0.25">
      <c r="A539"/>
      <c r="B539"/>
    </row>
    <row r="540" spans="1:2" x14ac:dyDescent="0.25">
      <c r="A540"/>
      <c r="B540"/>
    </row>
    <row r="541" spans="1:2" x14ac:dyDescent="0.25">
      <c r="A541"/>
      <c r="B541"/>
    </row>
    <row r="542" spans="1:2" x14ac:dyDescent="0.25">
      <c r="A542"/>
      <c r="B542"/>
    </row>
    <row r="543" spans="1:2" x14ac:dyDescent="0.25">
      <c r="A543"/>
      <c r="B543"/>
    </row>
    <row r="544" spans="1:2" x14ac:dyDescent="0.25">
      <c r="A544"/>
      <c r="B544"/>
    </row>
    <row r="545" spans="1:2" x14ac:dyDescent="0.25">
      <c r="A545"/>
      <c r="B545"/>
    </row>
    <row r="546" spans="1:2" x14ac:dyDescent="0.25">
      <c r="A546"/>
      <c r="B546"/>
    </row>
    <row r="547" spans="1:2" x14ac:dyDescent="0.25">
      <c r="A547"/>
      <c r="B547"/>
    </row>
    <row r="548" spans="1:2" x14ac:dyDescent="0.25">
      <c r="A548"/>
      <c r="B548"/>
    </row>
    <row r="549" spans="1:2" x14ac:dyDescent="0.25">
      <c r="A549"/>
      <c r="B549"/>
    </row>
    <row r="550" spans="1:2" x14ac:dyDescent="0.25">
      <c r="A550"/>
      <c r="B550"/>
    </row>
    <row r="551" spans="1:2" x14ac:dyDescent="0.25">
      <c r="A551"/>
      <c r="B551"/>
    </row>
    <row r="552" spans="1:2" x14ac:dyDescent="0.25">
      <c r="A552"/>
      <c r="B552"/>
    </row>
    <row r="553" spans="1:2" x14ac:dyDescent="0.25">
      <c r="A553"/>
      <c r="B553"/>
    </row>
    <row r="554" spans="1:2" x14ac:dyDescent="0.25">
      <c r="A554"/>
      <c r="B554"/>
    </row>
    <row r="555" spans="1:2" x14ac:dyDescent="0.25">
      <c r="A555"/>
      <c r="B555"/>
    </row>
    <row r="556" spans="1:2" x14ac:dyDescent="0.25">
      <c r="A556"/>
      <c r="B556"/>
    </row>
    <row r="557" spans="1:2" x14ac:dyDescent="0.25">
      <c r="A557"/>
      <c r="B557"/>
    </row>
    <row r="558" spans="1:2" x14ac:dyDescent="0.25">
      <c r="A558"/>
      <c r="B558"/>
    </row>
    <row r="559" spans="1:2" x14ac:dyDescent="0.25">
      <c r="A559"/>
      <c r="B559"/>
    </row>
    <row r="560" spans="1:2" x14ac:dyDescent="0.25">
      <c r="A560"/>
      <c r="B560"/>
    </row>
    <row r="561" spans="1:2" x14ac:dyDescent="0.25">
      <c r="A561"/>
      <c r="B561"/>
    </row>
    <row r="562" spans="1:2" x14ac:dyDescent="0.25">
      <c r="A562"/>
      <c r="B562"/>
    </row>
    <row r="563" spans="1:2" x14ac:dyDescent="0.25">
      <c r="A563"/>
      <c r="B563"/>
    </row>
    <row r="564" spans="1:2" x14ac:dyDescent="0.25">
      <c r="A564"/>
      <c r="B564"/>
    </row>
    <row r="565" spans="1:2" x14ac:dyDescent="0.25">
      <c r="A565"/>
      <c r="B565"/>
    </row>
    <row r="566" spans="1:2" x14ac:dyDescent="0.25">
      <c r="A566"/>
      <c r="B566"/>
    </row>
    <row r="567" spans="1:2" x14ac:dyDescent="0.25">
      <c r="A567"/>
      <c r="B567"/>
    </row>
    <row r="568" spans="1:2" x14ac:dyDescent="0.25">
      <c r="A568"/>
      <c r="B568"/>
    </row>
    <row r="569" spans="1:2" x14ac:dyDescent="0.25">
      <c r="A569"/>
      <c r="B569"/>
    </row>
    <row r="570" spans="1:2" x14ac:dyDescent="0.25">
      <c r="A570"/>
      <c r="B570"/>
    </row>
    <row r="571" spans="1:2" x14ac:dyDescent="0.25">
      <c r="A571"/>
      <c r="B571"/>
    </row>
    <row r="572" spans="1:2" x14ac:dyDescent="0.25">
      <c r="A572"/>
      <c r="B572"/>
    </row>
    <row r="573" spans="1:2" x14ac:dyDescent="0.25">
      <c r="A573"/>
      <c r="B573"/>
    </row>
    <row r="574" spans="1:2" x14ac:dyDescent="0.25">
      <c r="A574"/>
      <c r="B574"/>
    </row>
    <row r="575" spans="1:2" x14ac:dyDescent="0.25">
      <c r="A575"/>
      <c r="B575"/>
    </row>
    <row r="576" spans="1:2" x14ac:dyDescent="0.25">
      <c r="A576"/>
      <c r="B576"/>
    </row>
    <row r="577" spans="1:2" x14ac:dyDescent="0.25">
      <c r="A577"/>
      <c r="B577"/>
    </row>
    <row r="578" spans="1:2" x14ac:dyDescent="0.25">
      <c r="A578"/>
      <c r="B578"/>
    </row>
    <row r="579" spans="1:2" x14ac:dyDescent="0.25">
      <c r="A579"/>
      <c r="B579"/>
    </row>
    <row r="580" spans="1:2" x14ac:dyDescent="0.25">
      <c r="A580"/>
      <c r="B580"/>
    </row>
    <row r="581" spans="1:2" x14ac:dyDescent="0.25">
      <c r="A581"/>
      <c r="B581"/>
    </row>
    <row r="582" spans="1:2" x14ac:dyDescent="0.25">
      <c r="A582"/>
      <c r="B582"/>
    </row>
    <row r="583" spans="1:2" x14ac:dyDescent="0.25">
      <c r="A583"/>
      <c r="B583"/>
    </row>
    <row r="584" spans="1:2" x14ac:dyDescent="0.25">
      <c r="A584"/>
      <c r="B584"/>
    </row>
    <row r="585" spans="1:2" x14ac:dyDescent="0.25">
      <c r="A585"/>
      <c r="B585"/>
    </row>
    <row r="586" spans="1:2" x14ac:dyDescent="0.25">
      <c r="A586"/>
      <c r="B586"/>
    </row>
    <row r="587" spans="1:2" x14ac:dyDescent="0.25">
      <c r="A587"/>
      <c r="B587"/>
    </row>
    <row r="588" spans="1:2" x14ac:dyDescent="0.25">
      <c r="A588"/>
      <c r="B588"/>
    </row>
    <row r="589" spans="1:2" x14ac:dyDescent="0.25">
      <c r="A589"/>
      <c r="B589"/>
    </row>
    <row r="590" spans="1:2" x14ac:dyDescent="0.25">
      <c r="A590"/>
      <c r="B590"/>
    </row>
    <row r="591" spans="1:2" x14ac:dyDescent="0.25">
      <c r="A591"/>
      <c r="B591"/>
    </row>
    <row r="592" spans="1:2" x14ac:dyDescent="0.25">
      <c r="A592"/>
      <c r="B592"/>
    </row>
    <row r="593" spans="1:2" x14ac:dyDescent="0.25">
      <c r="A593"/>
      <c r="B593"/>
    </row>
    <row r="594" spans="1:2" x14ac:dyDescent="0.25">
      <c r="A594"/>
      <c r="B594"/>
    </row>
    <row r="595" spans="1:2" x14ac:dyDescent="0.25">
      <c r="A595"/>
      <c r="B595"/>
    </row>
    <row r="596" spans="1:2" x14ac:dyDescent="0.25">
      <c r="A596"/>
      <c r="B596"/>
    </row>
    <row r="597" spans="1:2" x14ac:dyDescent="0.25">
      <c r="A597"/>
      <c r="B597"/>
    </row>
    <row r="598" spans="1:2" x14ac:dyDescent="0.25">
      <c r="A598"/>
      <c r="B598"/>
    </row>
    <row r="599" spans="1:2" x14ac:dyDescent="0.25">
      <c r="A599"/>
      <c r="B599"/>
    </row>
    <row r="600" spans="1:2" x14ac:dyDescent="0.25">
      <c r="A600"/>
      <c r="B600"/>
    </row>
    <row r="601" spans="1:2" x14ac:dyDescent="0.25">
      <c r="A601"/>
      <c r="B601"/>
    </row>
    <row r="602" spans="1:2" x14ac:dyDescent="0.25">
      <c r="A602"/>
      <c r="B602"/>
    </row>
    <row r="603" spans="1:2" x14ac:dyDescent="0.25">
      <c r="A603"/>
      <c r="B603"/>
    </row>
    <row r="604" spans="1:2" x14ac:dyDescent="0.25">
      <c r="A604"/>
      <c r="B604"/>
    </row>
    <row r="605" spans="1:2" x14ac:dyDescent="0.25">
      <c r="A605"/>
      <c r="B605"/>
    </row>
    <row r="606" spans="1:2" x14ac:dyDescent="0.25">
      <c r="A606"/>
      <c r="B606"/>
    </row>
    <row r="607" spans="1:2" x14ac:dyDescent="0.25">
      <c r="A607"/>
      <c r="B607"/>
    </row>
    <row r="608" spans="1:2" x14ac:dyDescent="0.25">
      <c r="A608"/>
      <c r="B608"/>
    </row>
    <row r="609" spans="1:2" x14ac:dyDescent="0.25">
      <c r="A609"/>
      <c r="B609"/>
    </row>
    <row r="610" spans="1:2" x14ac:dyDescent="0.25">
      <c r="A610"/>
      <c r="B610"/>
    </row>
    <row r="611" spans="1:2" x14ac:dyDescent="0.25">
      <c r="A611"/>
      <c r="B611"/>
    </row>
    <row r="612" spans="1:2" x14ac:dyDescent="0.25">
      <c r="A612"/>
      <c r="B612"/>
    </row>
    <row r="613" spans="1:2" x14ac:dyDescent="0.25">
      <c r="A613"/>
      <c r="B613"/>
    </row>
    <row r="614" spans="1:2" x14ac:dyDescent="0.25">
      <c r="A614"/>
      <c r="B614"/>
    </row>
    <row r="615" spans="1:2" x14ac:dyDescent="0.25">
      <c r="A615"/>
      <c r="B615"/>
    </row>
    <row r="616" spans="1:2" x14ac:dyDescent="0.25">
      <c r="A616"/>
      <c r="B616"/>
    </row>
    <row r="617" spans="1:2" x14ac:dyDescent="0.25">
      <c r="A617"/>
      <c r="B617"/>
    </row>
    <row r="618" spans="1:2" x14ac:dyDescent="0.25">
      <c r="A618"/>
      <c r="B618"/>
    </row>
    <row r="619" spans="1:2" x14ac:dyDescent="0.25">
      <c r="A619"/>
      <c r="B619"/>
    </row>
    <row r="620" spans="1:2" x14ac:dyDescent="0.25">
      <c r="A620"/>
      <c r="B620"/>
    </row>
    <row r="621" spans="1:2" x14ac:dyDescent="0.25">
      <c r="A621"/>
      <c r="B621"/>
    </row>
    <row r="622" spans="1:2" x14ac:dyDescent="0.25">
      <c r="A622"/>
      <c r="B622"/>
    </row>
    <row r="623" spans="1:2" x14ac:dyDescent="0.25">
      <c r="A623"/>
      <c r="B623"/>
    </row>
    <row r="624" spans="1:2" x14ac:dyDescent="0.25">
      <c r="A624"/>
      <c r="B624"/>
    </row>
    <row r="625" spans="1:2" x14ac:dyDescent="0.25">
      <c r="A625"/>
      <c r="B625"/>
    </row>
    <row r="626" spans="1:2" x14ac:dyDescent="0.25">
      <c r="A626"/>
      <c r="B626"/>
    </row>
    <row r="627" spans="1:2" x14ac:dyDescent="0.25">
      <c r="A627"/>
      <c r="B627"/>
    </row>
    <row r="628" spans="1:2" x14ac:dyDescent="0.25">
      <c r="A628"/>
      <c r="B628"/>
    </row>
    <row r="629" spans="1:2" x14ac:dyDescent="0.25">
      <c r="A629"/>
      <c r="B629"/>
    </row>
    <row r="630" spans="1:2" x14ac:dyDescent="0.25">
      <c r="A630"/>
      <c r="B630"/>
    </row>
    <row r="631" spans="1:2" x14ac:dyDescent="0.25">
      <c r="A631"/>
      <c r="B631"/>
    </row>
    <row r="632" spans="1:2" x14ac:dyDescent="0.25">
      <c r="A632"/>
      <c r="B632"/>
    </row>
    <row r="633" spans="1:2" x14ac:dyDescent="0.25">
      <c r="A633"/>
      <c r="B633"/>
    </row>
    <row r="634" spans="1:2" x14ac:dyDescent="0.25">
      <c r="A634"/>
      <c r="B634"/>
    </row>
    <row r="635" spans="1:2" x14ac:dyDescent="0.25">
      <c r="A635"/>
      <c r="B635"/>
    </row>
    <row r="636" spans="1:2" x14ac:dyDescent="0.25">
      <c r="A636"/>
      <c r="B636"/>
    </row>
    <row r="637" spans="1:2" x14ac:dyDescent="0.25">
      <c r="A637"/>
      <c r="B637"/>
    </row>
    <row r="638" spans="1:2" x14ac:dyDescent="0.25">
      <c r="A638"/>
      <c r="B638"/>
    </row>
    <row r="639" spans="1:2" x14ac:dyDescent="0.25">
      <c r="A639"/>
      <c r="B639"/>
    </row>
    <row r="640" spans="1:2" x14ac:dyDescent="0.25">
      <c r="A640"/>
      <c r="B640"/>
    </row>
    <row r="641" spans="1:2" x14ac:dyDescent="0.25">
      <c r="A641"/>
      <c r="B641"/>
    </row>
    <row r="642" spans="1:2" x14ac:dyDescent="0.25">
      <c r="A642"/>
      <c r="B642"/>
    </row>
    <row r="643" spans="1:2" x14ac:dyDescent="0.25">
      <c r="A643"/>
      <c r="B643"/>
    </row>
    <row r="644" spans="1:2" x14ac:dyDescent="0.25">
      <c r="A644"/>
      <c r="B644"/>
    </row>
    <row r="645" spans="1:2" x14ac:dyDescent="0.25">
      <c r="A645"/>
      <c r="B645"/>
    </row>
    <row r="646" spans="1:2" x14ac:dyDescent="0.25">
      <c r="A646"/>
      <c r="B646"/>
    </row>
    <row r="647" spans="1:2" x14ac:dyDescent="0.25">
      <c r="A647"/>
      <c r="B647"/>
    </row>
    <row r="648" spans="1:2" x14ac:dyDescent="0.25">
      <c r="A648"/>
      <c r="B648"/>
    </row>
    <row r="649" spans="1:2" x14ac:dyDescent="0.25">
      <c r="A649"/>
      <c r="B649"/>
    </row>
    <row r="650" spans="1:2" x14ac:dyDescent="0.25">
      <c r="A650"/>
      <c r="B650"/>
    </row>
    <row r="651" spans="1:2" x14ac:dyDescent="0.25">
      <c r="A651"/>
      <c r="B651"/>
    </row>
    <row r="652" spans="1:2" x14ac:dyDescent="0.25">
      <c r="A652"/>
      <c r="B652"/>
    </row>
    <row r="653" spans="1:2" x14ac:dyDescent="0.25">
      <c r="A653"/>
      <c r="B653"/>
    </row>
    <row r="654" spans="1:2" x14ac:dyDescent="0.25">
      <c r="A654"/>
      <c r="B654"/>
    </row>
    <row r="655" spans="1:2" x14ac:dyDescent="0.25">
      <c r="A655"/>
      <c r="B655"/>
    </row>
    <row r="656" spans="1:2" x14ac:dyDescent="0.25">
      <c r="A656"/>
      <c r="B656"/>
    </row>
    <row r="657" spans="1:2" x14ac:dyDescent="0.25">
      <c r="A657"/>
      <c r="B657"/>
    </row>
    <row r="658" spans="1:2" x14ac:dyDescent="0.25">
      <c r="A658"/>
      <c r="B658"/>
    </row>
    <row r="659" spans="1:2" x14ac:dyDescent="0.25">
      <c r="A659"/>
      <c r="B659"/>
    </row>
    <row r="660" spans="1:2" x14ac:dyDescent="0.25">
      <c r="A660"/>
      <c r="B660"/>
    </row>
    <row r="661" spans="1:2" x14ac:dyDescent="0.25">
      <c r="A661"/>
      <c r="B661"/>
    </row>
    <row r="662" spans="1:2" x14ac:dyDescent="0.25">
      <c r="A662"/>
      <c r="B662"/>
    </row>
    <row r="663" spans="1:2" x14ac:dyDescent="0.25">
      <c r="A663"/>
      <c r="B663"/>
    </row>
    <row r="664" spans="1:2" x14ac:dyDescent="0.25">
      <c r="A664"/>
      <c r="B664"/>
    </row>
    <row r="665" spans="1:2" x14ac:dyDescent="0.25">
      <c r="A665"/>
      <c r="B665"/>
    </row>
    <row r="666" spans="1:2" x14ac:dyDescent="0.25">
      <c r="A666"/>
      <c r="B666"/>
    </row>
    <row r="667" spans="1:2" x14ac:dyDescent="0.25">
      <c r="A667"/>
      <c r="B667"/>
    </row>
    <row r="668" spans="1:2" x14ac:dyDescent="0.25">
      <c r="A668"/>
      <c r="B668"/>
    </row>
    <row r="669" spans="1:2" x14ac:dyDescent="0.25">
      <c r="A669"/>
      <c r="B669"/>
    </row>
    <row r="670" spans="1:2" x14ac:dyDescent="0.25">
      <c r="A670"/>
      <c r="B670"/>
    </row>
    <row r="671" spans="1:2" x14ac:dyDescent="0.25">
      <c r="A671"/>
      <c r="B671"/>
    </row>
    <row r="672" spans="1:2" x14ac:dyDescent="0.25">
      <c r="A672"/>
      <c r="B672"/>
    </row>
    <row r="673" spans="1:2" x14ac:dyDescent="0.25">
      <c r="A673"/>
      <c r="B673"/>
    </row>
    <row r="674" spans="1:2" x14ac:dyDescent="0.25">
      <c r="A674"/>
      <c r="B674"/>
    </row>
    <row r="675" spans="1:2" x14ac:dyDescent="0.25">
      <c r="A675"/>
      <c r="B675"/>
    </row>
    <row r="676" spans="1:2" x14ac:dyDescent="0.25">
      <c r="A676"/>
      <c r="B676"/>
    </row>
    <row r="677" spans="1:2" x14ac:dyDescent="0.25">
      <c r="A677"/>
      <c r="B677"/>
    </row>
    <row r="678" spans="1:2" x14ac:dyDescent="0.25">
      <c r="A678"/>
      <c r="B678"/>
    </row>
    <row r="679" spans="1:2" x14ac:dyDescent="0.25">
      <c r="A679"/>
      <c r="B679"/>
    </row>
    <row r="680" spans="1:2" x14ac:dyDescent="0.25">
      <c r="A680"/>
      <c r="B680"/>
    </row>
    <row r="681" spans="1:2" x14ac:dyDescent="0.25">
      <c r="A681"/>
      <c r="B681"/>
    </row>
    <row r="682" spans="1:2" x14ac:dyDescent="0.25">
      <c r="A682"/>
      <c r="B682"/>
    </row>
    <row r="683" spans="1:2" x14ac:dyDescent="0.25">
      <c r="A683"/>
      <c r="B683"/>
    </row>
    <row r="684" spans="1:2" x14ac:dyDescent="0.25">
      <c r="A684"/>
      <c r="B684"/>
    </row>
    <row r="685" spans="1:2" x14ac:dyDescent="0.25">
      <c r="A685"/>
      <c r="B685"/>
    </row>
    <row r="686" spans="1:2" x14ac:dyDescent="0.25">
      <c r="A686"/>
      <c r="B686"/>
    </row>
    <row r="687" spans="1:2" x14ac:dyDescent="0.25">
      <c r="A687"/>
      <c r="B687"/>
    </row>
    <row r="688" spans="1:2" x14ac:dyDescent="0.25">
      <c r="A688"/>
      <c r="B688"/>
    </row>
    <row r="689" spans="1:2" x14ac:dyDescent="0.25">
      <c r="A689"/>
      <c r="B689"/>
    </row>
    <row r="690" spans="1:2" x14ac:dyDescent="0.25">
      <c r="A690"/>
      <c r="B690"/>
    </row>
    <row r="691" spans="1:2" x14ac:dyDescent="0.25">
      <c r="A691"/>
      <c r="B691"/>
    </row>
    <row r="692" spans="1:2" x14ac:dyDescent="0.25">
      <c r="A692"/>
      <c r="B692"/>
    </row>
    <row r="693" spans="1:2" x14ac:dyDescent="0.25">
      <c r="A693"/>
      <c r="B693"/>
    </row>
    <row r="694" spans="1:2" x14ac:dyDescent="0.25">
      <c r="A694"/>
      <c r="B694"/>
    </row>
    <row r="695" spans="1:2" x14ac:dyDescent="0.25">
      <c r="A695"/>
      <c r="B695"/>
    </row>
    <row r="696" spans="1:2" x14ac:dyDescent="0.25">
      <c r="A696"/>
      <c r="B696"/>
    </row>
    <row r="697" spans="1:2" x14ac:dyDescent="0.25">
      <c r="A697"/>
      <c r="B697"/>
    </row>
    <row r="698" spans="1:2" x14ac:dyDescent="0.25">
      <c r="A698"/>
      <c r="B698"/>
    </row>
    <row r="699" spans="1:2" x14ac:dyDescent="0.25">
      <c r="A699"/>
      <c r="B699"/>
    </row>
    <row r="700" spans="1:2" x14ac:dyDescent="0.25">
      <c r="A700"/>
      <c r="B700"/>
    </row>
    <row r="701" spans="1:2" x14ac:dyDescent="0.25">
      <c r="A701"/>
      <c r="B701"/>
    </row>
    <row r="702" spans="1:2" x14ac:dyDescent="0.25">
      <c r="A702"/>
      <c r="B702"/>
    </row>
    <row r="703" spans="1:2" x14ac:dyDescent="0.25">
      <c r="A703"/>
      <c r="B703"/>
    </row>
    <row r="704" spans="1:2" x14ac:dyDescent="0.25">
      <c r="A704"/>
      <c r="B704"/>
    </row>
    <row r="705" spans="1:2" x14ac:dyDescent="0.25">
      <c r="A705"/>
      <c r="B705"/>
    </row>
    <row r="706" spans="1:2" x14ac:dyDescent="0.25">
      <c r="A706"/>
      <c r="B706"/>
    </row>
    <row r="707" spans="1:2" x14ac:dyDescent="0.25">
      <c r="A707"/>
      <c r="B707"/>
    </row>
    <row r="708" spans="1:2" x14ac:dyDescent="0.25">
      <c r="A708"/>
      <c r="B708"/>
    </row>
    <row r="709" spans="1:2" x14ac:dyDescent="0.25">
      <c r="A709"/>
      <c r="B709"/>
    </row>
    <row r="710" spans="1:2" x14ac:dyDescent="0.25">
      <c r="A710"/>
      <c r="B710"/>
    </row>
    <row r="711" spans="1:2" x14ac:dyDescent="0.25">
      <c r="A711"/>
      <c r="B711"/>
    </row>
    <row r="712" spans="1:2" x14ac:dyDescent="0.25">
      <c r="A712"/>
      <c r="B712"/>
    </row>
    <row r="713" spans="1:2" x14ac:dyDescent="0.25">
      <c r="A713"/>
      <c r="B713"/>
    </row>
    <row r="714" spans="1:2" x14ac:dyDescent="0.25">
      <c r="A714"/>
      <c r="B714"/>
    </row>
    <row r="715" spans="1:2" x14ac:dyDescent="0.25">
      <c r="A715"/>
      <c r="B715"/>
    </row>
    <row r="716" spans="1:2" x14ac:dyDescent="0.25">
      <c r="A716"/>
      <c r="B716"/>
    </row>
    <row r="717" spans="1:2" x14ac:dyDescent="0.25">
      <c r="A717"/>
      <c r="B717"/>
    </row>
    <row r="718" spans="1:2" x14ac:dyDescent="0.25">
      <c r="A718"/>
      <c r="B718"/>
    </row>
    <row r="719" spans="1:2" x14ac:dyDescent="0.25">
      <c r="A719"/>
      <c r="B719"/>
    </row>
    <row r="720" spans="1:2" x14ac:dyDescent="0.25">
      <c r="A720"/>
      <c r="B720"/>
    </row>
    <row r="721" spans="1:2" x14ac:dyDescent="0.25">
      <c r="A721"/>
      <c r="B721"/>
    </row>
    <row r="722" spans="1:2" x14ac:dyDescent="0.25">
      <c r="A722"/>
      <c r="B722"/>
    </row>
    <row r="723" spans="1:2" x14ac:dyDescent="0.25">
      <c r="A723"/>
      <c r="B723"/>
    </row>
    <row r="724" spans="1:2" x14ac:dyDescent="0.25">
      <c r="A724"/>
      <c r="B724"/>
    </row>
    <row r="725" spans="1:2" x14ac:dyDescent="0.25">
      <c r="A725"/>
      <c r="B725"/>
    </row>
    <row r="726" spans="1:2" x14ac:dyDescent="0.25">
      <c r="A726"/>
      <c r="B726"/>
    </row>
    <row r="727" spans="1:2" x14ac:dyDescent="0.25">
      <c r="A727"/>
      <c r="B727"/>
    </row>
    <row r="728" spans="1:2" x14ac:dyDescent="0.25">
      <c r="A728"/>
      <c r="B728"/>
    </row>
    <row r="729" spans="1:2" x14ac:dyDescent="0.25">
      <c r="A729"/>
      <c r="B729"/>
    </row>
    <row r="730" spans="1:2" x14ac:dyDescent="0.25">
      <c r="A730"/>
      <c r="B730"/>
    </row>
    <row r="731" spans="1:2" x14ac:dyDescent="0.25">
      <c r="A731"/>
      <c r="B731"/>
    </row>
    <row r="732" spans="1:2" x14ac:dyDescent="0.25">
      <c r="A732"/>
      <c r="B732"/>
    </row>
    <row r="733" spans="1:2" x14ac:dyDescent="0.25">
      <c r="A733"/>
      <c r="B733"/>
    </row>
    <row r="734" spans="1:2" x14ac:dyDescent="0.25">
      <c r="A734"/>
      <c r="B734"/>
    </row>
    <row r="735" spans="1:2" x14ac:dyDescent="0.25">
      <c r="A735"/>
      <c r="B735"/>
    </row>
    <row r="736" spans="1:2" x14ac:dyDescent="0.25">
      <c r="A736"/>
      <c r="B736"/>
    </row>
    <row r="737" spans="1:2" x14ac:dyDescent="0.25">
      <c r="A737"/>
      <c r="B737"/>
    </row>
    <row r="738" spans="1:2" x14ac:dyDescent="0.25">
      <c r="A738"/>
      <c r="B738"/>
    </row>
    <row r="739" spans="1:2" x14ac:dyDescent="0.25">
      <c r="A739"/>
      <c r="B739"/>
    </row>
    <row r="740" spans="1:2" x14ac:dyDescent="0.25">
      <c r="A740"/>
      <c r="B740"/>
    </row>
    <row r="741" spans="1:2" x14ac:dyDescent="0.25">
      <c r="A741"/>
      <c r="B741"/>
    </row>
    <row r="742" spans="1:2" x14ac:dyDescent="0.25">
      <c r="A742"/>
      <c r="B742"/>
    </row>
    <row r="743" spans="1:2" x14ac:dyDescent="0.25">
      <c r="A743"/>
      <c r="B743"/>
    </row>
    <row r="744" spans="1:2" x14ac:dyDescent="0.25">
      <c r="A744"/>
      <c r="B744"/>
    </row>
    <row r="745" spans="1:2" x14ac:dyDescent="0.25">
      <c r="A745"/>
      <c r="B745"/>
    </row>
    <row r="746" spans="1:2" x14ac:dyDescent="0.25">
      <c r="A746"/>
      <c r="B746"/>
    </row>
    <row r="747" spans="1:2" x14ac:dyDescent="0.25">
      <c r="A747"/>
      <c r="B747"/>
    </row>
    <row r="748" spans="1:2" x14ac:dyDescent="0.25">
      <c r="A748"/>
      <c r="B748"/>
    </row>
    <row r="749" spans="1:2" x14ac:dyDescent="0.25">
      <c r="A749"/>
      <c r="B749"/>
    </row>
    <row r="750" spans="1:2" x14ac:dyDescent="0.25">
      <c r="A750"/>
      <c r="B750"/>
    </row>
    <row r="751" spans="1:2" x14ac:dyDescent="0.25">
      <c r="A751"/>
      <c r="B751"/>
    </row>
    <row r="752" spans="1:2" x14ac:dyDescent="0.25">
      <c r="A752"/>
      <c r="B752"/>
    </row>
    <row r="753" spans="1:2" x14ac:dyDescent="0.25">
      <c r="A753"/>
      <c r="B753"/>
    </row>
    <row r="754" spans="1:2" x14ac:dyDescent="0.25">
      <c r="A754"/>
      <c r="B754"/>
    </row>
    <row r="755" spans="1:2" x14ac:dyDescent="0.25">
      <c r="A755"/>
      <c r="B755"/>
    </row>
    <row r="756" spans="1:2" x14ac:dyDescent="0.25">
      <c r="A756"/>
      <c r="B756"/>
    </row>
    <row r="757" spans="1:2" x14ac:dyDescent="0.25">
      <c r="A757"/>
      <c r="B757"/>
    </row>
    <row r="758" spans="1:2" x14ac:dyDescent="0.25">
      <c r="A758"/>
      <c r="B758"/>
    </row>
    <row r="759" spans="1:2" x14ac:dyDescent="0.25">
      <c r="A759"/>
      <c r="B759"/>
    </row>
    <row r="760" spans="1:2" x14ac:dyDescent="0.25">
      <c r="A760"/>
      <c r="B760"/>
    </row>
    <row r="761" spans="1:2" x14ac:dyDescent="0.25">
      <c r="A761"/>
      <c r="B761"/>
    </row>
    <row r="762" spans="1:2" x14ac:dyDescent="0.25">
      <c r="A762"/>
      <c r="B762"/>
    </row>
    <row r="763" spans="1:2" x14ac:dyDescent="0.25">
      <c r="A763"/>
      <c r="B763"/>
    </row>
    <row r="764" spans="1:2" x14ac:dyDescent="0.25">
      <c r="A764"/>
      <c r="B764"/>
    </row>
    <row r="765" spans="1:2" x14ac:dyDescent="0.25">
      <c r="A765"/>
      <c r="B765"/>
    </row>
    <row r="766" spans="1:2" x14ac:dyDescent="0.25">
      <c r="A766"/>
      <c r="B766"/>
    </row>
    <row r="767" spans="1:2" x14ac:dyDescent="0.25">
      <c r="A767"/>
      <c r="B767"/>
    </row>
    <row r="768" spans="1:2" x14ac:dyDescent="0.25">
      <c r="A768"/>
      <c r="B768"/>
    </row>
    <row r="769" spans="1:2" x14ac:dyDescent="0.25">
      <c r="A769"/>
      <c r="B769"/>
    </row>
    <row r="770" spans="1:2" x14ac:dyDescent="0.25">
      <c r="A770"/>
      <c r="B770"/>
    </row>
    <row r="771" spans="1:2" x14ac:dyDescent="0.25">
      <c r="A771"/>
      <c r="B771"/>
    </row>
    <row r="772" spans="1:2" x14ac:dyDescent="0.25">
      <c r="A772"/>
      <c r="B772"/>
    </row>
    <row r="773" spans="1:2" x14ac:dyDescent="0.25">
      <c r="A773"/>
      <c r="B773"/>
    </row>
    <row r="774" spans="1:2" x14ac:dyDescent="0.25">
      <c r="A774"/>
      <c r="B774"/>
    </row>
    <row r="775" spans="1:2" x14ac:dyDescent="0.25">
      <c r="A775"/>
      <c r="B775"/>
    </row>
    <row r="776" spans="1:2" x14ac:dyDescent="0.25">
      <c r="A776"/>
      <c r="B776"/>
    </row>
    <row r="777" spans="1:2" x14ac:dyDescent="0.25">
      <c r="A777"/>
      <c r="B777"/>
    </row>
    <row r="778" spans="1:2" x14ac:dyDescent="0.25">
      <c r="A778"/>
      <c r="B778"/>
    </row>
    <row r="779" spans="1:2" x14ac:dyDescent="0.25">
      <c r="A779"/>
      <c r="B779"/>
    </row>
    <row r="780" spans="1:2" x14ac:dyDescent="0.25">
      <c r="A780"/>
      <c r="B780"/>
    </row>
    <row r="781" spans="1:2" x14ac:dyDescent="0.25">
      <c r="A781"/>
      <c r="B781"/>
    </row>
    <row r="782" spans="1:2" x14ac:dyDescent="0.25">
      <c r="A782"/>
      <c r="B782"/>
    </row>
    <row r="783" spans="1:2" x14ac:dyDescent="0.25">
      <c r="A783"/>
      <c r="B783"/>
    </row>
    <row r="784" spans="1:2" x14ac:dyDescent="0.25">
      <c r="A784"/>
      <c r="B784"/>
    </row>
    <row r="785" spans="1:2" x14ac:dyDescent="0.25">
      <c r="A785"/>
      <c r="B785"/>
    </row>
    <row r="786" spans="1:2" x14ac:dyDescent="0.25">
      <c r="A786"/>
      <c r="B786"/>
    </row>
    <row r="787" spans="1:2" x14ac:dyDescent="0.25">
      <c r="A787"/>
      <c r="B787"/>
    </row>
    <row r="788" spans="1:2" x14ac:dyDescent="0.25">
      <c r="A788"/>
      <c r="B788"/>
    </row>
    <row r="789" spans="1:2" x14ac:dyDescent="0.25">
      <c r="A789"/>
      <c r="B789"/>
    </row>
    <row r="790" spans="1:2" x14ac:dyDescent="0.25">
      <c r="A790"/>
      <c r="B790"/>
    </row>
    <row r="791" spans="1:2" x14ac:dyDescent="0.25">
      <c r="A791"/>
      <c r="B791"/>
    </row>
    <row r="792" spans="1:2" x14ac:dyDescent="0.25">
      <c r="A792"/>
      <c r="B792"/>
    </row>
    <row r="793" spans="1:2" x14ac:dyDescent="0.25">
      <c r="A793"/>
      <c r="B793"/>
    </row>
    <row r="794" spans="1:2" x14ac:dyDescent="0.25">
      <c r="A794"/>
      <c r="B794"/>
    </row>
    <row r="795" spans="1:2" x14ac:dyDescent="0.25">
      <c r="A795"/>
      <c r="B795"/>
    </row>
    <row r="796" spans="1:2" x14ac:dyDescent="0.25">
      <c r="A796"/>
      <c r="B796"/>
    </row>
    <row r="797" spans="1:2" x14ac:dyDescent="0.25">
      <c r="A797"/>
      <c r="B797"/>
    </row>
    <row r="798" spans="1:2" x14ac:dyDescent="0.25">
      <c r="A798"/>
      <c r="B798"/>
    </row>
    <row r="799" spans="1:2" x14ac:dyDescent="0.25">
      <c r="A799"/>
      <c r="B799"/>
    </row>
    <row r="800" spans="1:2" x14ac:dyDescent="0.25">
      <c r="A800"/>
      <c r="B800"/>
    </row>
    <row r="801" spans="1:2" x14ac:dyDescent="0.25">
      <c r="A801"/>
      <c r="B801"/>
    </row>
    <row r="802" spans="1:2" x14ac:dyDescent="0.25">
      <c r="A802"/>
      <c r="B802"/>
    </row>
    <row r="803" spans="1:2" x14ac:dyDescent="0.25">
      <c r="A803"/>
      <c r="B803"/>
    </row>
    <row r="804" spans="1:2" x14ac:dyDescent="0.25">
      <c r="A804"/>
      <c r="B804"/>
    </row>
    <row r="805" spans="1:2" x14ac:dyDescent="0.25">
      <c r="A805"/>
      <c r="B805"/>
    </row>
    <row r="806" spans="1:2" x14ac:dyDescent="0.25">
      <c r="A806"/>
      <c r="B806"/>
    </row>
    <row r="807" spans="1:2" x14ac:dyDescent="0.25">
      <c r="A807"/>
      <c r="B807"/>
    </row>
    <row r="808" spans="1:2" x14ac:dyDescent="0.25">
      <c r="A808"/>
      <c r="B808"/>
    </row>
    <row r="809" spans="1:2" x14ac:dyDescent="0.25">
      <c r="A809"/>
      <c r="B809"/>
    </row>
    <row r="810" spans="1:2" x14ac:dyDescent="0.25">
      <c r="A810"/>
      <c r="B810"/>
    </row>
    <row r="811" spans="1:2" x14ac:dyDescent="0.25">
      <c r="A811"/>
      <c r="B811"/>
    </row>
    <row r="812" spans="1:2" x14ac:dyDescent="0.25">
      <c r="A812"/>
      <c r="B812"/>
    </row>
    <row r="813" spans="1:2" x14ac:dyDescent="0.25">
      <c r="A813"/>
      <c r="B813"/>
    </row>
    <row r="814" spans="1:2" x14ac:dyDescent="0.25">
      <c r="A814"/>
      <c r="B814"/>
    </row>
    <row r="815" spans="1:2" x14ac:dyDescent="0.25">
      <c r="A815"/>
      <c r="B815"/>
    </row>
    <row r="816" spans="1:2" x14ac:dyDescent="0.25">
      <c r="A816"/>
      <c r="B816"/>
    </row>
    <row r="817" spans="1:2" x14ac:dyDescent="0.25">
      <c r="A817"/>
      <c r="B817"/>
    </row>
    <row r="818" spans="1:2" x14ac:dyDescent="0.25">
      <c r="A818"/>
      <c r="B818"/>
    </row>
    <row r="819" spans="1:2" x14ac:dyDescent="0.25">
      <c r="A819"/>
      <c r="B819"/>
    </row>
    <row r="820" spans="1:2" x14ac:dyDescent="0.25">
      <c r="A820"/>
      <c r="B820"/>
    </row>
    <row r="821" spans="1:2" x14ac:dyDescent="0.25">
      <c r="A821"/>
      <c r="B821"/>
    </row>
    <row r="822" spans="1:2" x14ac:dyDescent="0.25">
      <c r="A822"/>
      <c r="B822"/>
    </row>
    <row r="823" spans="1:2" x14ac:dyDescent="0.25">
      <c r="A823"/>
      <c r="B823"/>
    </row>
    <row r="824" spans="1:2" x14ac:dyDescent="0.25">
      <c r="A824"/>
      <c r="B824"/>
    </row>
    <row r="825" spans="1:2" x14ac:dyDescent="0.25">
      <c r="A825"/>
      <c r="B825"/>
    </row>
    <row r="826" spans="1:2" x14ac:dyDescent="0.25">
      <c r="A826"/>
      <c r="B826"/>
    </row>
    <row r="827" spans="1:2" x14ac:dyDescent="0.25">
      <c r="A827"/>
      <c r="B827"/>
    </row>
    <row r="828" spans="1:2" x14ac:dyDescent="0.25">
      <c r="A828"/>
      <c r="B828"/>
    </row>
    <row r="829" spans="1:2" x14ac:dyDescent="0.25">
      <c r="A829"/>
      <c r="B829"/>
    </row>
    <row r="830" spans="1:2" x14ac:dyDescent="0.25">
      <c r="A830"/>
      <c r="B830"/>
    </row>
    <row r="831" spans="1:2" x14ac:dyDescent="0.25">
      <c r="A831"/>
      <c r="B831"/>
    </row>
    <row r="832" spans="1:2" x14ac:dyDescent="0.25">
      <c r="A832"/>
      <c r="B832"/>
    </row>
    <row r="833" spans="1:2" x14ac:dyDescent="0.25">
      <c r="A833"/>
      <c r="B833"/>
    </row>
    <row r="834" spans="1:2" x14ac:dyDescent="0.25">
      <c r="A834"/>
      <c r="B834"/>
    </row>
    <row r="835" spans="1:2" x14ac:dyDescent="0.25">
      <c r="A835"/>
      <c r="B835"/>
    </row>
    <row r="836" spans="1:2" x14ac:dyDescent="0.25">
      <c r="A836"/>
      <c r="B836"/>
    </row>
    <row r="837" spans="1:2" x14ac:dyDescent="0.25">
      <c r="A837"/>
      <c r="B837"/>
    </row>
    <row r="838" spans="1:2" x14ac:dyDescent="0.25">
      <c r="A838"/>
      <c r="B838"/>
    </row>
    <row r="839" spans="1:2" x14ac:dyDescent="0.25">
      <c r="A839"/>
      <c r="B839"/>
    </row>
    <row r="840" spans="1:2" x14ac:dyDescent="0.25">
      <c r="A840"/>
      <c r="B840"/>
    </row>
    <row r="841" spans="1:2" x14ac:dyDescent="0.25">
      <c r="A841"/>
      <c r="B841"/>
    </row>
    <row r="842" spans="1:2" x14ac:dyDescent="0.25">
      <c r="A842"/>
      <c r="B842"/>
    </row>
    <row r="843" spans="1:2" x14ac:dyDescent="0.25">
      <c r="A843"/>
      <c r="B843"/>
    </row>
    <row r="844" spans="1:2" x14ac:dyDescent="0.25">
      <c r="A844"/>
      <c r="B844"/>
    </row>
    <row r="845" spans="1:2" x14ac:dyDescent="0.25">
      <c r="A845"/>
      <c r="B845"/>
    </row>
    <row r="846" spans="1:2" x14ac:dyDescent="0.25">
      <c r="A846"/>
      <c r="B846"/>
    </row>
    <row r="847" spans="1:2" x14ac:dyDescent="0.25">
      <c r="A847"/>
      <c r="B847"/>
    </row>
    <row r="848" spans="1:2" x14ac:dyDescent="0.25">
      <c r="A848"/>
      <c r="B848"/>
    </row>
    <row r="849" spans="1:2" x14ac:dyDescent="0.25">
      <c r="A849"/>
      <c r="B849"/>
    </row>
    <row r="850" spans="1:2" x14ac:dyDescent="0.25">
      <c r="A850"/>
      <c r="B850"/>
    </row>
    <row r="851" spans="1:2" x14ac:dyDescent="0.25">
      <c r="A851"/>
      <c r="B851"/>
    </row>
    <row r="852" spans="1:2" x14ac:dyDescent="0.25">
      <c r="A852"/>
      <c r="B852"/>
    </row>
    <row r="853" spans="1:2" x14ac:dyDescent="0.25">
      <c r="A853"/>
      <c r="B853"/>
    </row>
    <row r="854" spans="1:2" x14ac:dyDescent="0.25">
      <c r="A854"/>
      <c r="B854"/>
    </row>
    <row r="855" spans="1:2" x14ac:dyDescent="0.25">
      <c r="A855"/>
      <c r="B855"/>
    </row>
    <row r="856" spans="1:2" x14ac:dyDescent="0.25">
      <c r="A856"/>
      <c r="B856"/>
    </row>
    <row r="857" spans="1:2" x14ac:dyDescent="0.25">
      <c r="A857"/>
      <c r="B857"/>
    </row>
    <row r="858" spans="1:2" x14ac:dyDescent="0.25">
      <c r="A858"/>
      <c r="B858"/>
    </row>
    <row r="859" spans="1:2" x14ac:dyDescent="0.25">
      <c r="A859"/>
      <c r="B859"/>
    </row>
    <row r="860" spans="1:2" x14ac:dyDescent="0.25">
      <c r="A860"/>
      <c r="B860"/>
    </row>
    <row r="861" spans="1:2" x14ac:dyDescent="0.25">
      <c r="A861"/>
      <c r="B861"/>
    </row>
    <row r="862" spans="1:2" x14ac:dyDescent="0.25">
      <c r="A862"/>
      <c r="B862"/>
    </row>
    <row r="863" spans="1:2" x14ac:dyDescent="0.25">
      <c r="A863"/>
      <c r="B863"/>
    </row>
    <row r="864" spans="1:2" x14ac:dyDescent="0.25">
      <c r="A864"/>
      <c r="B864"/>
    </row>
    <row r="865" spans="1:2" x14ac:dyDescent="0.25">
      <c r="A865"/>
      <c r="B865"/>
    </row>
    <row r="866" spans="1:2" x14ac:dyDescent="0.25">
      <c r="A866"/>
      <c r="B866"/>
    </row>
    <row r="867" spans="1:2" x14ac:dyDescent="0.25">
      <c r="A867"/>
      <c r="B867"/>
    </row>
    <row r="868" spans="1:2" x14ac:dyDescent="0.25">
      <c r="A868"/>
      <c r="B868"/>
    </row>
    <row r="869" spans="1:2" x14ac:dyDescent="0.25">
      <c r="A869"/>
      <c r="B869"/>
    </row>
    <row r="870" spans="1:2" x14ac:dyDescent="0.25">
      <c r="A870"/>
      <c r="B870"/>
    </row>
    <row r="871" spans="1:2" x14ac:dyDescent="0.25">
      <c r="A871"/>
      <c r="B871"/>
    </row>
    <row r="872" spans="1:2" x14ac:dyDescent="0.25">
      <c r="A872"/>
      <c r="B872"/>
    </row>
    <row r="873" spans="1:2" x14ac:dyDescent="0.25">
      <c r="A873"/>
      <c r="B873"/>
    </row>
    <row r="874" spans="1:2" x14ac:dyDescent="0.25">
      <c r="A874"/>
      <c r="B874"/>
    </row>
    <row r="875" spans="1:2" x14ac:dyDescent="0.25">
      <c r="A875"/>
      <c r="B875"/>
    </row>
    <row r="876" spans="1:2" x14ac:dyDescent="0.25">
      <c r="A876"/>
      <c r="B876"/>
    </row>
    <row r="877" spans="1:2" x14ac:dyDescent="0.25">
      <c r="A877"/>
      <c r="B877"/>
    </row>
    <row r="878" spans="1:2" x14ac:dyDescent="0.25">
      <c r="A878"/>
      <c r="B878"/>
    </row>
    <row r="879" spans="1:2" x14ac:dyDescent="0.25">
      <c r="A879"/>
      <c r="B879"/>
    </row>
    <row r="880" spans="1:2" x14ac:dyDescent="0.25">
      <c r="A880"/>
      <c r="B880"/>
    </row>
    <row r="881" spans="1:2" x14ac:dyDescent="0.25">
      <c r="A881"/>
      <c r="B881"/>
    </row>
    <row r="882" spans="1:2" x14ac:dyDescent="0.25">
      <c r="A882"/>
      <c r="B882"/>
    </row>
    <row r="883" spans="1:2" x14ac:dyDescent="0.25">
      <c r="A883"/>
      <c r="B883"/>
    </row>
    <row r="884" spans="1:2" x14ac:dyDescent="0.25">
      <c r="A884"/>
      <c r="B884"/>
    </row>
    <row r="885" spans="1:2" x14ac:dyDescent="0.25">
      <c r="A885"/>
      <c r="B885"/>
    </row>
    <row r="886" spans="1:2" x14ac:dyDescent="0.25">
      <c r="A886"/>
      <c r="B886"/>
    </row>
    <row r="887" spans="1:2" x14ac:dyDescent="0.25">
      <c r="A887"/>
      <c r="B887"/>
    </row>
    <row r="888" spans="1:2" x14ac:dyDescent="0.25">
      <c r="A888"/>
      <c r="B888"/>
    </row>
    <row r="889" spans="1:2" x14ac:dyDescent="0.25">
      <c r="A889"/>
      <c r="B889"/>
    </row>
    <row r="890" spans="1:2" x14ac:dyDescent="0.25">
      <c r="A890"/>
      <c r="B890"/>
    </row>
    <row r="891" spans="1:2" x14ac:dyDescent="0.25">
      <c r="A891"/>
      <c r="B891"/>
    </row>
    <row r="892" spans="1:2" x14ac:dyDescent="0.25">
      <c r="A892"/>
      <c r="B892"/>
    </row>
    <row r="893" spans="1:2" x14ac:dyDescent="0.25">
      <c r="A893"/>
      <c r="B893"/>
    </row>
    <row r="894" spans="1:2" x14ac:dyDescent="0.25">
      <c r="A894"/>
      <c r="B894"/>
    </row>
    <row r="895" spans="1:2" x14ac:dyDescent="0.25">
      <c r="A895"/>
      <c r="B895"/>
    </row>
    <row r="896" spans="1:2" x14ac:dyDescent="0.25">
      <c r="A896"/>
      <c r="B896"/>
    </row>
    <row r="897" spans="1:2" x14ac:dyDescent="0.25">
      <c r="A897"/>
      <c r="B897"/>
    </row>
    <row r="898" spans="1:2" x14ac:dyDescent="0.25">
      <c r="A898"/>
      <c r="B898"/>
    </row>
    <row r="899" spans="1:2" x14ac:dyDescent="0.25">
      <c r="A899"/>
      <c r="B899"/>
    </row>
    <row r="900" spans="1:2" x14ac:dyDescent="0.25">
      <c r="A900"/>
      <c r="B900"/>
    </row>
    <row r="901" spans="1:2" x14ac:dyDescent="0.25">
      <c r="A901"/>
      <c r="B901"/>
    </row>
    <row r="902" spans="1:2" x14ac:dyDescent="0.25">
      <c r="A902"/>
      <c r="B902"/>
    </row>
    <row r="903" spans="1:2" x14ac:dyDescent="0.25">
      <c r="A903"/>
      <c r="B903"/>
    </row>
    <row r="904" spans="1:2" x14ac:dyDescent="0.25">
      <c r="A904"/>
      <c r="B904"/>
    </row>
    <row r="905" spans="1:2" x14ac:dyDescent="0.25">
      <c r="A905"/>
      <c r="B905"/>
    </row>
    <row r="906" spans="1:2" x14ac:dyDescent="0.25">
      <c r="A906"/>
      <c r="B906"/>
    </row>
    <row r="907" spans="1:2" x14ac:dyDescent="0.25">
      <c r="A907"/>
      <c r="B907"/>
    </row>
    <row r="908" spans="1:2" x14ac:dyDescent="0.25">
      <c r="A908"/>
      <c r="B908"/>
    </row>
    <row r="909" spans="1:2" x14ac:dyDescent="0.25">
      <c r="A909"/>
      <c r="B909"/>
    </row>
    <row r="910" spans="1:2" x14ac:dyDescent="0.25">
      <c r="A910"/>
      <c r="B910"/>
    </row>
    <row r="911" spans="1:2" x14ac:dyDescent="0.25">
      <c r="A911"/>
      <c r="B911"/>
    </row>
    <row r="912" spans="1:2" x14ac:dyDescent="0.25">
      <c r="A912"/>
      <c r="B912"/>
    </row>
    <row r="913" spans="1:2" x14ac:dyDescent="0.25">
      <c r="A913"/>
      <c r="B913"/>
    </row>
    <row r="914" spans="1:2" x14ac:dyDescent="0.25">
      <c r="A914"/>
      <c r="B914"/>
    </row>
    <row r="915" spans="1:2" x14ac:dyDescent="0.25">
      <c r="A915"/>
      <c r="B915"/>
    </row>
    <row r="916" spans="1:2" x14ac:dyDescent="0.25">
      <c r="A916"/>
      <c r="B916"/>
    </row>
    <row r="917" spans="1:2" x14ac:dyDescent="0.25">
      <c r="A917"/>
      <c r="B917"/>
    </row>
    <row r="918" spans="1:2" x14ac:dyDescent="0.25">
      <c r="A918"/>
      <c r="B918"/>
    </row>
    <row r="919" spans="1:2" x14ac:dyDescent="0.25">
      <c r="A919"/>
      <c r="B919"/>
    </row>
    <row r="920" spans="1:2" x14ac:dyDescent="0.25">
      <c r="A920"/>
      <c r="B920"/>
    </row>
    <row r="921" spans="1:2" x14ac:dyDescent="0.25">
      <c r="A921"/>
      <c r="B921"/>
    </row>
    <row r="922" spans="1:2" x14ac:dyDescent="0.25">
      <c r="A922"/>
      <c r="B922"/>
    </row>
    <row r="923" spans="1:2" x14ac:dyDescent="0.25">
      <c r="A923"/>
      <c r="B923"/>
    </row>
    <row r="924" spans="1:2" x14ac:dyDescent="0.25">
      <c r="A924"/>
      <c r="B924"/>
    </row>
    <row r="925" spans="1:2" x14ac:dyDescent="0.25">
      <c r="A925"/>
      <c r="B925"/>
    </row>
    <row r="926" spans="1:2" x14ac:dyDescent="0.25">
      <c r="A926"/>
      <c r="B926"/>
    </row>
    <row r="927" spans="1:2" x14ac:dyDescent="0.25">
      <c r="A927"/>
      <c r="B927"/>
    </row>
    <row r="928" spans="1:2" x14ac:dyDescent="0.25">
      <c r="A928"/>
      <c r="B928"/>
    </row>
    <row r="929" spans="1:2" x14ac:dyDescent="0.25">
      <c r="A929"/>
      <c r="B929"/>
    </row>
    <row r="930" spans="1:2" x14ac:dyDescent="0.25">
      <c r="A930"/>
      <c r="B930"/>
    </row>
    <row r="931" spans="1:2" x14ac:dyDescent="0.25">
      <c r="A931"/>
      <c r="B931"/>
    </row>
    <row r="932" spans="1:2" x14ac:dyDescent="0.25">
      <c r="A932"/>
      <c r="B932"/>
    </row>
    <row r="933" spans="1:2" x14ac:dyDescent="0.25">
      <c r="A933"/>
      <c r="B933"/>
    </row>
    <row r="934" spans="1:2" x14ac:dyDescent="0.25">
      <c r="A934"/>
      <c r="B934"/>
    </row>
    <row r="935" spans="1:2" x14ac:dyDescent="0.25">
      <c r="A935"/>
      <c r="B935"/>
    </row>
    <row r="936" spans="1:2" x14ac:dyDescent="0.25">
      <c r="A936"/>
      <c r="B936"/>
    </row>
    <row r="937" spans="1:2" x14ac:dyDescent="0.25">
      <c r="A937"/>
      <c r="B937"/>
    </row>
    <row r="938" spans="1:2" x14ac:dyDescent="0.25">
      <c r="A938"/>
      <c r="B938"/>
    </row>
    <row r="939" spans="1:2" x14ac:dyDescent="0.25">
      <c r="A939"/>
      <c r="B939"/>
    </row>
    <row r="940" spans="1:2" x14ac:dyDescent="0.25">
      <c r="A940"/>
      <c r="B940"/>
    </row>
    <row r="941" spans="1:2" x14ac:dyDescent="0.25">
      <c r="A941"/>
      <c r="B941"/>
    </row>
    <row r="942" spans="1:2" x14ac:dyDescent="0.25">
      <c r="A942"/>
      <c r="B942"/>
    </row>
    <row r="943" spans="1:2" x14ac:dyDescent="0.25">
      <c r="A943"/>
      <c r="B943"/>
    </row>
    <row r="944" spans="1:2" x14ac:dyDescent="0.25">
      <c r="A944"/>
      <c r="B944"/>
    </row>
    <row r="945" spans="1:2" x14ac:dyDescent="0.25">
      <c r="A945"/>
      <c r="B945"/>
    </row>
    <row r="946" spans="1:2" x14ac:dyDescent="0.25">
      <c r="A946"/>
      <c r="B946"/>
    </row>
    <row r="947" spans="1:2" x14ac:dyDescent="0.25">
      <c r="A947"/>
      <c r="B947"/>
    </row>
    <row r="948" spans="1:2" x14ac:dyDescent="0.25">
      <c r="A948"/>
      <c r="B948"/>
    </row>
    <row r="949" spans="1:2" x14ac:dyDescent="0.25">
      <c r="A949"/>
      <c r="B949"/>
    </row>
    <row r="950" spans="1:2" x14ac:dyDescent="0.25">
      <c r="A950"/>
      <c r="B950"/>
    </row>
    <row r="951" spans="1:2" x14ac:dyDescent="0.25">
      <c r="A951"/>
      <c r="B951"/>
    </row>
    <row r="952" spans="1:2" x14ac:dyDescent="0.25">
      <c r="A952"/>
      <c r="B952"/>
    </row>
    <row r="953" spans="1:2" x14ac:dyDescent="0.25">
      <c r="A953"/>
      <c r="B953"/>
    </row>
    <row r="954" spans="1:2" x14ac:dyDescent="0.25">
      <c r="A954"/>
      <c r="B954"/>
    </row>
    <row r="955" spans="1:2" x14ac:dyDescent="0.25">
      <c r="A955"/>
      <c r="B955"/>
    </row>
    <row r="956" spans="1:2" x14ac:dyDescent="0.25">
      <c r="A956"/>
      <c r="B956"/>
    </row>
    <row r="957" spans="1:2" x14ac:dyDescent="0.25">
      <c r="A957"/>
      <c r="B957"/>
    </row>
    <row r="958" spans="1:2" x14ac:dyDescent="0.25">
      <c r="A958"/>
      <c r="B958"/>
    </row>
    <row r="959" spans="1:2" x14ac:dyDescent="0.25">
      <c r="A959"/>
      <c r="B959"/>
    </row>
    <row r="960" spans="1:2" x14ac:dyDescent="0.25">
      <c r="A960"/>
      <c r="B960"/>
    </row>
    <row r="961" spans="1:2" x14ac:dyDescent="0.25">
      <c r="A961"/>
      <c r="B961"/>
    </row>
    <row r="962" spans="1:2" x14ac:dyDescent="0.25">
      <c r="A962"/>
      <c r="B962"/>
    </row>
    <row r="963" spans="1:2" x14ac:dyDescent="0.25">
      <c r="A963"/>
      <c r="B963"/>
    </row>
    <row r="964" spans="1:2" x14ac:dyDescent="0.25">
      <c r="A964"/>
      <c r="B964"/>
    </row>
    <row r="965" spans="1:2" x14ac:dyDescent="0.25">
      <c r="A965"/>
      <c r="B965"/>
    </row>
    <row r="966" spans="1:2" x14ac:dyDescent="0.25">
      <c r="A966"/>
      <c r="B966"/>
    </row>
    <row r="967" spans="1:2" x14ac:dyDescent="0.25">
      <c r="A967"/>
      <c r="B967"/>
    </row>
    <row r="968" spans="1:2" x14ac:dyDescent="0.25">
      <c r="A968"/>
      <c r="B968"/>
    </row>
    <row r="969" spans="1:2" x14ac:dyDescent="0.25">
      <c r="A969"/>
      <c r="B969"/>
    </row>
    <row r="970" spans="1:2" x14ac:dyDescent="0.25">
      <c r="A970"/>
      <c r="B970"/>
    </row>
    <row r="971" spans="1:2" x14ac:dyDescent="0.25">
      <c r="A971"/>
      <c r="B971"/>
    </row>
    <row r="972" spans="1:2" x14ac:dyDescent="0.25">
      <c r="A972"/>
      <c r="B972"/>
    </row>
    <row r="973" spans="1:2" x14ac:dyDescent="0.25">
      <c r="A973"/>
      <c r="B973"/>
    </row>
    <row r="974" spans="1:2" x14ac:dyDescent="0.25">
      <c r="A974"/>
      <c r="B974"/>
    </row>
    <row r="975" spans="1:2" x14ac:dyDescent="0.25">
      <c r="A975"/>
      <c r="B975"/>
    </row>
    <row r="976" spans="1:2" x14ac:dyDescent="0.25">
      <c r="A976"/>
      <c r="B976"/>
    </row>
    <row r="977" spans="1:2" x14ac:dyDescent="0.25">
      <c r="A977"/>
      <c r="B977"/>
    </row>
    <row r="978" spans="1:2" x14ac:dyDescent="0.25">
      <c r="A978"/>
      <c r="B978"/>
    </row>
    <row r="979" spans="1:2" x14ac:dyDescent="0.25">
      <c r="A979"/>
      <c r="B979"/>
    </row>
    <row r="980" spans="1:2" x14ac:dyDescent="0.25">
      <c r="A980"/>
      <c r="B980"/>
    </row>
    <row r="981" spans="1:2" x14ac:dyDescent="0.25">
      <c r="A981"/>
      <c r="B981"/>
    </row>
    <row r="982" spans="1:2" x14ac:dyDescent="0.25">
      <c r="A982"/>
      <c r="B982"/>
    </row>
    <row r="983" spans="1:2" x14ac:dyDescent="0.25">
      <c r="A983"/>
      <c r="B983"/>
    </row>
    <row r="984" spans="1:2" x14ac:dyDescent="0.25">
      <c r="A984"/>
      <c r="B984"/>
    </row>
    <row r="985" spans="1:2" x14ac:dyDescent="0.25">
      <c r="A985"/>
      <c r="B985"/>
    </row>
    <row r="986" spans="1:2" x14ac:dyDescent="0.25">
      <c r="A986"/>
      <c r="B986"/>
    </row>
    <row r="987" spans="1:2" x14ac:dyDescent="0.25">
      <c r="A987"/>
      <c r="B987"/>
    </row>
    <row r="988" spans="1:2" x14ac:dyDescent="0.25">
      <c r="A988"/>
      <c r="B988"/>
    </row>
    <row r="989" spans="1:2" x14ac:dyDescent="0.25">
      <c r="A989"/>
      <c r="B989"/>
    </row>
    <row r="990" spans="1:2" x14ac:dyDescent="0.25">
      <c r="A990"/>
      <c r="B990"/>
    </row>
    <row r="991" spans="1:2" x14ac:dyDescent="0.25">
      <c r="A991"/>
      <c r="B991"/>
    </row>
    <row r="992" spans="1:2" x14ac:dyDescent="0.25">
      <c r="A992"/>
      <c r="B992"/>
    </row>
    <row r="993" spans="1:2" x14ac:dyDescent="0.25">
      <c r="A993"/>
      <c r="B993"/>
    </row>
    <row r="994" spans="1:2" x14ac:dyDescent="0.25">
      <c r="A994"/>
      <c r="B994"/>
    </row>
    <row r="995" spans="1:2" x14ac:dyDescent="0.25">
      <c r="A995"/>
      <c r="B995"/>
    </row>
    <row r="996" spans="1:2" x14ac:dyDescent="0.25">
      <c r="A996"/>
      <c r="B996"/>
    </row>
    <row r="997" spans="1:2" x14ac:dyDescent="0.25">
      <c r="A997"/>
      <c r="B997"/>
    </row>
    <row r="998" spans="1:2" x14ac:dyDescent="0.25">
      <c r="A998"/>
      <c r="B998"/>
    </row>
    <row r="999" spans="1:2" x14ac:dyDescent="0.25">
      <c r="A999"/>
      <c r="B999"/>
    </row>
    <row r="1000" spans="1:2" x14ac:dyDescent="0.25">
      <c r="A1000"/>
      <c r="B1000"/>
    </row>
    <row r="1001" spans="1:2" x14ac:dyDescent="0.25">
      <c r="A1001"/>
      <c r="B1001"/>
    </row>
    <row r="1002" spans="1:2" x14ac:dyDescent="0.25">
      <c r="A1002"/>
      <c r="B1002"/>
    </row>
    <row r="1003" spans="1:2" x14ac:dyDescent="0.25">
      <c r="A1003"/>
      <c r="B1003"/>
    </row>
    <row r="1004" spans="1:2" x14ac:dyDescent="0.25">
      <c r="A1004"/>
      <c r="B1004"/>
    </row>
    <row r="1005" spans="1:2" x14ac:dyDescent="0.25">
      <c r="A1005"/>
      <c r="B1005"/>
    </row>
    <row r="1006" spans="1:2" x14ac:dyDescent="0.25">
      <c r="A1006"/>
      <c r="B1006"/>
    </row>
    <row r="1007" spans="1:2" x14ac:dyDescent="0.25">
      <c r="A1007"/>
      <c r="B1007"/>
    </row>
    <row r="1008" spans="1:2" x14ac:dyDescent="0.25">
      <c r="A1008"/>
      <c r="B1008"/>
    </row>
    <row r="1009" spans="1:2" x14ac:dyDescent="0.25">
      <c r="A1009"/>
      <c r="B1009"/>
    </row>
    <row r="1010" spans="1:2" x14ac:dyDescent="0.25">
      <c r="A1010"/>
      <c r="B1010"/>
    </row>
    <row r="1011" spans="1:2" x14ac:dyDescent="0.25">
      <c r="A1011"/>
      <c r="B1011"/>
    </row>
    <row r="1012" spans="1:2" x14ac:dyDescent="0.25">
      <c r="A1012"/>
      <c r="B1012"/>
    </row>
    <row r="1013" spans="1:2" x14ac:dyDescent="0.25">
      <c r="A1013"/>
      <c r="B1013"/>
    </row>
    <row r="1014" spans="1:2" x14ac:dyDescent="0.25">
      <c r="A1014"/>
      <c r="B1014"/>
    </row>
    <row r="1015" spans="1:2" x14ac:dyDescent="0.25">
      <c r="A1015"/>
      <c r="B1015"/>
    </row>
    <row r="1016" spans="1:2" x14ac:dyDescent="0.25">
      <c r="A1016"/>
      <c r="B1016"/>
    </row>
    <row r="1017" spans="1:2" x14ac:dyDescent="0.25">
      <c r="A1017"/>
      <c r="B1017"/>
    </row>
    <row r="1018" spans="1:2" x14ac:dyDescent="0.25">
      <c r="A1018"/>
      <c r="B1018"/>
    </row>
    <row r="1019" spans="1:2" x14ac:dyDescent="0.25">
      <c r="A1019"/>
      <c r="B1019"/>
    </row>
    <row r="1020" spans="1:2" x14ac:dyDescent="0.25">
      <c r="A1020"/>
      <c r="B1020"/>
    </row>
    <row r="1021" spans="1:2" x14ac:dyDescent="0.25">
      <c r="A1021"/>
      <c r="B1021"/>
    </row>
    <row r="1022" spans="1:2" x14ac:dyDescent="0.25">
      <c r="A1022"/>
      <c r="B1022"/>
    </row>
    <row r="1023" spans="1:2" x14ac:dyDescent="0.25">
      <c r="A1023"/>
      <c r="B1023"/>
    </row>
    <row r="1024" spans="1:2" x14ac:dyDescent="0.25">
      <c r="A1024"/>
      <c r="B1024"/>
    </row>
    <row r="1025" spans="1:2" x14ac:dyDescent="0.25">
      <c r="A1025"/>
      <c r="B1025"/>
    </row>
    <row r="1026" spans="1:2" x14ac:dyDescent="0.25">
      <c r="A1026"/>
      <c r="B1026"/>
    </row>
    <row r="1027" spans="1:2" x14ac:dyDescent="0.25">
      <c r="A1027"/>
      <c r="B1027"/>
    </row>
    <row r="1028" spans="1:2" x14ac:dyDescent="0.25">
      <c r="A1028"/>
      <c r="B1028"/>
    </row>
    <row r="1029" spans="1:2" x14ac:dyDescent="0.25">
      <c r="A1029"/>
      <c r="B1029"/>
    </row>
    <row r="1030" spans="1:2" x14ac:dyDescent="0.25">
      <c r="A1030"/>
      <c r="B1030"/>
    </row>
    <row r="1031" spans="1:2" x14ac:dyDescent="0.25">
      <c r="A1031"/>
      <c r="B1031"/>
    </row>
    <row r="1032" spans="1:2" x14ac:dyDescent="0.25">
      <c r="A1032"/>
      <c r="B1032"/>
    </row>
    <row r="1033" spans="1:2" x14ac:dyDescent="0.25">
      <c r="A1033"/>
      <c r="B1033"/>
    </row>
    <row r="1034" spans="1:2" x14ac:dyDescent="0.25">
      <c r="A1034"/>
      <c r="B1034"/>
    </row>
    <row r="1035" spans="1:2" x14ac:dyDescent="0.25">
      <c r="A1035"/>
      <c r="B1035"/>
    </row>
    <row r="1036" spans="1:2" x14ac:dyDescent="0.25">
      <c r="A1036"/>
      <c r="B1036"/>
    </row>
    <row r="1037" spans="1:2" x14ac:dyDescent="0.25">
      <c r="A1037"/>
      <c r="B1037"/>
    </row>
    <row r="1038" spans="1:2" x14ac:dyDescent="0.25">
      <c r="A1038"/>
      <c r="B1038"/>
    </row>
    <row r="1039" spans="1:2" x14ac:dyDescent="0.25">
      <c r="A1039"/>
      <c r="B1039"/>
    </row>
    <row r="1040" spans="1:2" x14ac:dyDescent="0.25">
      <c r="A1040"/>
      <c r="B1040"/>
    </row>
    <row r="1041" spans="1:2" x14ac:dyDescent="0.25">
      <c r="A1041"/>
      <c r="B1041"/>
    </row>
    <row r="1042" spans="1:2" x14ac:dyDescent="0.25">
      <c r="A1042"/>
      <c r="B1042"/>
    </row>
    <row r="1043" spans="1:2" x14ac:dyDescent="0.25">
      <c r="A1043"/>
      <c r="B1043"/>
    </row>
    <row r="1044" spans="1:2" x14ac:dyDescent="0.25">
      <c r="A1044"/>
      <c r="B1044"/>
    </row>
    <row r="1045" spans="1:2" x14ac:dyDescent="0.25">
      <c r="A1045"/>
      <c r="B1045"/>
    </row>
    <row r="1046" spans="1:2" x14ac:dyDescent="0.25">
      <c r="A1046"/>
      <c r="B1046"/>
    </row>
    <row r="1047" spans="1:2" x14ac:dyDescent="0.25">
      <c r="A1047"/>
      <c r="B1047"/>
    </row>
    <row r="1048" spans="1:2" x14ac:dyDescent="0.25">
      <c r="A1048"/>
      <c r="B1048"/>
    </row>
    <row r="1049" spans="1:2" x14ac:dyDescent="0.25">
      <c r="A1049"/>
      <c r="B1049"/>
    </row>
    <row r="1050" spans="1:2" x14ac:dyDescent="0.25">
      <c r="A1050"/>
      <c r="B1050"/>
    </row>
    <row r="1051" spans="1:2" x14ac:dyDescent="0.25">
      <c r="A1051"/>
      <c r="B1051"/>
    </row>
    <row r="1052" spans="1:2" x14ac:dyDescent="0.25">
      <c r="A1052"/>
      <c r="B1052"/>
    </row>
    <row r="1053" spans="1:2" x14ac:dyDescent="0.25">
      <c r="A1053"/>
      <c r="B1053"/>
    </row>
    <row r="1054" spans="1:2" x14ac:dyDescent="0.25">
      <c r="A1054"/>
      <c r="B1054"/>
    </row>
    <row r="1055" spans="1:2" x14ac:dyDescent="0.25">
      <c r="A1055"/>
      <c r="B1055"/>
    </row>
    <row r="1056" spans="1:2" x14ac:dyDescent="0.25">
      <c r="A1056"/>
      <c r="B1056"/>
    </row>
    <row r="1057" spans="1:2" x14ac:dyDescent="0.25">
      <c r="A1057"/>
      <c r="B1057"/>
    </row>
    <row r="1058" spans="1:2" x14ac:dyDescent="0.25">
      <c r="A1058"/>
      <c r="B1058"/>
    </row>
    <row r="1059" spans="1:2" x14ac:dyDescent="0.25">
      <c r="A1059"/>
      <c r="B1059"/>
    </row>
    <row r="1060" spans="1:2" x14ac:dyDescent="0.25">
      <c r="A1060"/>
      <c r="B1060"/>
    </row>
    <row r="1061" spans="1:2" x14ac:dyDescent="0.25">
      <c r="A1061"/>
      <c r="B1061"/>
    </row>
    <row r="1062" spans="1:2" x14ac:dyDescent="0.25">
      <c r="A1062"/>
      <c r="B1062"/>
    </row>
    <row r="1063" spans="1:2" x14ac:dyDescent="0.25">
      <c r="A1063"/>
      <c r="B1063"/>
    </row>
    <row r="1064" spans="1:2" x14ac:dyDescent="0.25">
      <c r="A1064"/>
      <c r="B1064"/>
    </row>
    <row r="1065" spans="1:2" x14ac:dyDescent="0.25">
      <c r="A1065"/>
      <c r="B1065"/>
    </row>
    <row r="1066" spans="1:2" x14ac:dyDescent="0.25">
      <c r="A1066"/>
      <c r="B1066"/>
    </row>
    <row r="1067" spans="1:2" x14ac:dyDescent="0.25">
      <c r="A1067"/>
      <c r="B1067"/>
    </row>
    <row r="1068" spans="1:2" x14ac:dyDescent="0.25">
      <c r="A1068"/>
      <c r="B1068"/>
    </row>
    <row r="1069" spans="1:2" x14ac:dyDescent="0.25">
      <c r="A1069"/>
      <c r="B1069"/>
    </row>
    <row r="1070" spans="1:2" x14ac:dyDescent="0.25">
      <c r="A1070"/>
      <c r="B1070"/>
    </row>
    <row r="1071" spans="1:2" x14ac:dyDescent="0.25">
      <c r="A1071"/>
      <c r="B1071"/>
    </row>
    <row r="1072" spans="1:2" x14ac:dyDescent="0.25">
      <c r="A1072"/>
      <c r="B1072"/>
    </row>
    <row r="1073" spans="1:2" x14ac:dyDescent="0.25">
      <c r="A1073"/>
      <c r="B1073"/>
    </row>
    <row r="1074" spans="1:2" x14ac:dyDescent="0.25">
      <c r="A1074"/>
      <c r="B1074"/>
    </row>
    <row r="1075" spans="1:2" x14ac:dyDescent="0.25">
      <c r="A1075"/>
      <c r="B1075"/>
    </row>
    <row r="1076" spans="1:2" x14ac:dyDescent="0.25">
      <c r="A1076"/>
      <c r="B1076"/>
    </row>
    <row r="1077" spans="1:2" x14ac:dyDescent="0.25">
      <c r="A1077"/>
      <c r="B1077"/>
    </row>
    <row r="1078" spans="1:2" x14ac:dyDescent="0.25">
      <c r="A1078"/>
      <c r="B1078"/>
    </row>
    <row r="1079" spans="1:2" x14ac:dyDescent="0.25">
      <c r="A1079"/>
      <c r="B1079"/>
    </row>
    <row r="1080" spans="1:2" x14ac:dyDescent="0.25">
      <c r="A1080"/>
      <c r="B1080"/>
    </row>
    <row r="1081" spans="1:2" x14ac:dyDescent="0.25">
      <c r="A1081"/>
      <c r="B1081"/>
    </row>
    <row r="1082" spans="1:2" x14ac:dyDescent="0.25">
      <c r="A1082"/>
      <c r="B1082"/>
    </row>
    <row r="1083" spans="1:2" x14ac:dyDescent="0.25">
      <c r="A1083"/>
      <c r="B1083"/>
    </row>
    <row r="1084" spans="1:2" x14ac:dyDescent="0.25">
      <c r="A1084"/>
      <c r="B1084"/>
    </row>
    <row r="1085" spans="1:2" x14ac:dyDescent="0.25">
      <c r="A1085"/>
      <c r="B1085"/>
    </row>
    <row r="1086" spans="1:2" x14ac:dyDescent="0.25">
      <c r="A1086"/>
      <c r="B1086"/>
    </row>
    <row r="1087" spans="1:2" x14ac:dyDescent="0.25">
      <c r="A1087"/>
      <c r="B1087"/>
    </row>
    <row r="1088" spans="1:2" x14ac:dyDescent="0.25">
      <c r="A1088"/>
      <c r="B1088"/>
    </row>
    <row r="1089" spans="1:2" x14ac:dyDescent="0.25">
      <c r="A1089"/>
      <c r="B1089"/>
    </row>
    <row r="1090" spans="1:2" x14ac:dyDescent="0.25">
      <c r="A1090"/>
      <c r="B1090"/>
    </row>
    <row r="1091" spans="1:2" x14ac:dyDescent="0.25">
      <c r="A1091"/>
      <c r="B1091"/>
    </row>
    <row r="1092" spans="1:2" x14ac:dyDescent="0.25">
      <c r="A1092"/>
      <c r="B1092"/>
    </row>
    <row r="1093" spans="1:2" x14ac:dyDescent="0.25">
      <c r="A1093"/>
      <c r="B1093"/>
    </row>
    <row r="1094" spans="1:2" x14ac:dyDescent="0.25">
      <c r="A1094"/>
      <c r="B1094"/>
    </row>
    <row r="1095" spans="1:2" x14ac:dyDescent="0.25">
      <c r="A1095"/>
      <c r="B1095"/>
    </row>
    <row r="1096" spans="1:2" x14ac:dyDescent="0.25">
      <c r="A1096"/>
      <c r="B1096"/>
    </row>
    <row r="1097" spans="1:2" x14ac:dyDescent="0.25">
      <c r="A1097"/>
      <c r="B1097"/>
    </row>
    <row r="1098" spans="1:2" x14ac:dyDescent="0.25">
      <c r="A1098"/>
      <c r="B1098"/>
    </row>
    <row r="1099" spans="1:2" x14ac:dyDescent="0.25">
      <c r="A1099"/>
      <c r="B1099"/>
    </row>
    <row r="1100" spans="1:2" x14ac:dyDescent="0.25">
      <c r="A1100"/>
      <c r="B1100"/>
    </row>
    <row r="1101" spans="1:2" x14ac:dyDescent="0.25">
      <c r="A1101"/>
      <c r="B1101"/>
    </row>
    <row r="1102" spans="1:2" x14ac:dyDescent="0.25">
      <c r="A1102"/>
      <c r="B1102"/>
    </row>
    <row r="1103" spans="1:2" x14ac:dyDescent="0.25">
      <c r="A1103"/>
      <c r="B1103"/>
    </row>
    <row r="1104" spans="1:2" x14ac:dyDescent="0.25">
      <c r="A1104"/>
      <c r="B1104"/>
    </row>
    <row r="1105" spans="1:2" x14ac:dyDescent="0.25">
      <c r="A1105"/>
      <c r="B1105"/>
    </row>
    <row r="1106" spans="1:2" x14ac:dyDescent="0.25">
      <c r="A1106"/>
      <c r="B1106"/>
    </row>
    <row r="1107" spans="1:2" x14ac:dyDescent="0.25">
      <c r="A1107"/>
      <c r="B1107"/>
    </row>
    <row r="1108" spans="1:2" x14ac:dyDescent="0.25">
      <c r="A1108"/>
      <c r="B1108"/>
    </row>
    <row r="1109" spans="1:2" x14ac:dyDescent="0.25">
      <c r="A1109"/>
      <c r="B1109"/>
    </row>
    <row r="1110" spans="1:2" x14ac:dyDescent="0.25">
      <c r="A1110"/>
      <c r="B1110"/>
    </row>
    <row r="1111" spans="1:2" x14ac:dyDescent="0.25">
      <c r="A1111"/>
      <c r="B1111"/>
    </row>
    <row r="1112" spans="1:2" x14ac:dyDescent="0.25">
      <c r="A1112"/>
      <c r="B1112"/>
    </row>
    <row r="1113" spans="1:2" x14ac:dyDescent="0.25">
      <c r="A1113"/>
      <c r="B1113"/>
    </row>
    <row r="1114" spans="1:2" x14ac:dyDescent="0.25">
      <c r="A1114"/>
      <c r="B1114"/>
    </row>
    <row r="1115" spans="1:2" x14ac:dyDescent="0.25">
      <c r="A1115"/>
      <c r="B1115"/>
    </row>
    <row r="1116" spans="1:2" x14ac:dyDescent="0.25">
      <c r="A1116"/>
      <c r="B1116"/>
    </row>
    <row r="1117" spans="1:2" x14ac:dyDescent="0.25">
      <c r="A1117"/>
      <c r="B1117"/>
    </row>
    <row r="1118" spans="1:2" x14ac:dyDescent="0.25">
      <c r="A1118"/>
      <c r="B1118"/>
    </row>
    <row r="1119" spans="1:2" x14ac:dyDescent="0.25">
      <c r="A1119"/>
      <c r="B1119"/>
    </row>
    <row r="1120" spans="1:2" x14ac:dyDescent="0.25">
      <c r="A1120"/>
      <c r="B1120"/>
    </row>
    <row r="1121" spans="1:2" x14ac:dyDescent="0.25">
      <c r="A1121"/>
      <c r="B1121"/>
    </row>
    <row r="1122" spans="1:2" x14ac:dyDescent="0.25">
      <c r="A1122"/>
      <c r="B1122"/>
    </row>
    <row r="1123" spans="1:2" x14ac:dyDescent="0.25">
      <c r="A1123"/>
      <c r="B1123"/>
    </row>
    <row r="1124" spans="1:2" x14ac:dyDescent="0.25">
      <c r="A1124"/>
      <c r="B1124"/>
    </row>
    <row r="1125" spans="1:2" x14ac:dyDescent="0.25">
      <c r="A1125"/>
      <c r="B1125"/>
    </row>
    <row r="1126" spans="1:2" x14ac:dyDescent="0.25">
      <c r="A1126"/>
      <c r="B1126"/>
    </row>
    <row r="1127" spans="1:2" x14ac:dyDescent="0.25">
      <c r="A1127"/>
      <c r="B1127"/>
    </row>
    <row r="1128" spans="1:2" x14ac:dyDescent="0.25">
      <c r="A1128"/>
      <c r="B1128"/>
    </row>
    <row r="1129" spans="1:2" x14ac:dyDescent="0.25">
      <c r="A1129"/>
      <c r="B1129"/>
    </row>
    <row r="1130" spans="1:2" x14ac:dyDescent="0.25">
      <c r="A1130"/>
      <c r="B1130"/>
    </row>
    <row r="1131" spans="1:2" x14ac:dyDescent="0.25">
      <c r="A1131"/>
      <c r="B1131"/>
    </row>
    <row r="1132" spans="1:2" x14ac:dyDescent="0.25">
      <c r="A1132"/>
      <c r="B1132"/>
    </row>
    <row r="1133" spans="1:2" x14ac:dyDescent="0.25">
      <c r="A1133"/>
      <c r="B1133"/>
    </row>
    <row r="1134" spans="1:2" x14ac:dyDescent="0.25">
      <c r="A1134"/>
      <c r="B1134"/>
    </row>
    <row r="1135" spans="1:2" x14ac:dyDescent="0.25">
      <c r="A1135"/>
      <c r="B1135"/>
    </row>
    <row r="1136" spans="1:2" x14ac:dyDescent="0.25">
      <c r="A1136"/>
      <c r="B1136"/>
    </row>
    <row r="1137" spans="1:2" x14ac:dyDescent="0.25">
      <c r="A1137"/>
      <c r="B1137"/>
    </row>
    <row r="1138" spans="1:2" x14ac:dyDescent="0.25">
      <c r="A1138"/>
      <c r="B1138"/>
    </row>
    <row r="1139" spans="1:2" x14ac:dyDescent="0.25">
      <c r="A1139"/>
      <c r="B1139"/>
    </row>
    <row r="1140" spans="1:2" x14ac:dyDescent="0.25">
      <c r="A1140"/>
      <c r="B1140"/>
    </row>
    <row r="1141" spans="1:2" x14ac:dyDescent="0.25">
      <c r="A1141"/>
      <c r="B1141"/>
    </row>
    <row r="1142" spans="1:2" x14ac:dyDescent="0.25">
      <c r="A1142"/>
      <c r="B1142"/>
    </row>
    <row r="1143" spans="1:2" x14ac:dyDescent="0.25">
      <c r="A1143"/>
      <c r="B1143"/>
    </row>
    <row r="1144" spans="1:2" x14ac:dyDescent="0.25">
      <c r="A1144"/>
      <c r="B1144"/>
    </row>
    <row r="1145" spans="1:2" x14ac:dyDescent="0.25">
      <c r="A1145"/>
      <c r="B1145"/>
    </row>
    <row r="1146" spans="1:2" x14ac:dyDescent="0.25">
      <c r="A1146"/>
      <c r="B1146"/>
    </row>
    <row r="1147" spans="1:2" x14ac:dyDescent="0.25">
      <c r="A1147"/>
      <c r="B1147"/>
    </row>
    <row r="1148" spans="1:2" x14ac:dyDescent="0.25">
      <c r="A1148"/>
      <c r="B1148"/>
    </row>
    <row r="1149" spans="1:2" x14ac:dyDescent="0.25">
      <c r="A1149"/>
      <c r="B1149"/>
    </row>
    <row r="1150" spans="1:2" x14ac:dyDescent="0.25">
      <c r="A1150"/>
      <c r="B1150"/>
    </row>
    <row r="1151" spans="1:2" x14ac:dyDescent="0.25">
      <c r="A1151"/>
      <c r="B1151"/>
    </row>
    <row r="1152" spans="1:2" x14ac:dyDescent="0.25">
      <c r="A1152"/>
      <c r="B1152"/>
    </row>
    <row r="1153" spans="1:2" x14ac:dyDescent="0.25">
      <c r="A1153"/>
      <c r="B1153"/>
    </row>
    <row r="1154" spans="1:2" x14ac:dyDescent="0.25">
      <c r="A1154"/>
      <c r="B1154"/>
    </row>
    <row r="1155" spans="1:2" x14ac:dyDescent="0.25">
      <c r="A1155"/>
      <c r="B1155"/>
    </row>
    <row r="1156" spans="1:2" x14ac:dyDescent="0.25">
      <c r="A1156"/>
      <c r="B1156"/>
    </row>
    <row r="1157" spans="1:2" x14ac:dyDescent="0.25">
      <c r="A1157"/>
      <c r="B1157"/>
    </row>
    <row r="1158" spans="1:2" x14ac:dyDescent="0.25">
      <c r="A1158"/>
      <c r="B1158"/>
    </row>
    <row r="1159" spans="1:2" x14ac:dyDescent="0.25">
      <c r="A1159"/>
      <c r="B1159"/>
    </row>
    <row r="1160" spans="1:2" x14ac:dyDescent="0.25">
      <c r="A1160"/>
      <c r="B1160"/>
    </row>
    <row r="1161" spans="1:2" x14ac:dyDescent="0.25">
      <c r="A1161"/>
      <c r="B1161"/>
    </row>
    <row r="1162" spans="1:2" x14ac:dyDescent="0.25">
      <c r="A1162"/>
      <c r="B1162"/>
    </row>
    <row r="1163" spans="1:2" x14ac:dyDescent="0.25">
      <c r="A1163"/>
      <c r="B1163"/>
    </row>
    <row r="1164" spans="1:2" x14ac:dyDescent="0.25">
      <c r="A1164"/>
      <c r="B1164"/>
    </row>
    <row r="1165" spans="1:2" x14ac:dyDescent="0.25">
      <c r="A1165"/>
      <c r="B1165"/>
    </row>
    <row r="1166" spans="1:2" x14ac:dyDescent="0.25">
      <c r="A1166"/>
      <c r="B1166"/>
    </row>
    <row r="1167" spans="1:2" x14ac:dyDescent="0.25">
      <c r="A1167"/>
      <c r="B1167"/>
    </row>
    <row r="1168" spans="1:2" x14ac:dyDescent="0.25">
      <c r="A1168"/>
      <c r="B1168"/>
    </row>
    <row r="1169" spans="1:2" x14ac:dyDescent="0.25">
      <c r="A1169"/>
      <c r="B1169"/>
    </row>
    <row r="1170" spans="1:2" x14ac:dyDescent="0.25">
      <c r="A1170"/>
      <c r="B1170"/>
    </row>
    <row r="1171" spans="1:2" x14ac:dyDescent="0.25">
      <c r="A1171"/>
      <c r="B1171"/>
    </row>
    <row r="1172" spans="1:2" x14ac:dyDescent="0.25">
      <c r="A1172"/>
      <c r="B1172"/>
    </row>
    <row r="1173" spans="1:2" x14ac:dyDescent="0.25">
      <c r="A1173"/>
      <c r="B1173"/>
    </row>
    <row r="1174" spans="1:2" x14ac:dyDescent="0.25">
      <c r="A1174"/>
      <c r="B1174"/>
    </row>
    <row r="1175" spans="1:2" x14ac:dyDescent="0.25">
      <c r="A1175"/>
      <c r="B1175"/>
    </row>
    <row r="1176" spans="1:2" x14ac:dyDescent="0.25">
      <c r="A1176"/>
      <c r="B1176"/>
    </row>
    <row r="1177" spans="1:2" x14ac:dyDescent="0.25">
      <c r="A1177"/>
      <c r="B1177"/>
    </row>
    <row r="1178" spans="1:2" x14ac:dyDescent="0.25">
      <c r="A1178"/>
      <c r="B1178"/>
    </row>
    <row r="1179" spans="1:2" x14ac:dyDescent="0.25">
      <c r="A1179"/>
      <c r="B1179"/>
    </row>
    <row r="1180" spans="1:2" x14ac:dyDescent="0.25">
      <c r="A1180"/>
      <c r="B1180"/>
    </row>
    <row r="1181" spans="1:2" x14ac:dyDescent="0.25">
      <c r="A1181"/>
      <c r="B1181"/>
    </row>
    <row r="1182" spans="1:2" x14ac:dyDescent="0.25">
      <c r="A1182"/>
      <c r="B1182"/>
    </row>
    <row r="1183" spans="1:2" x14ac:dyDescent="0.25">
      <c r="A1183"/>
      <c r="B1183"/>
    </row>
    <row r="1184" spans="1:2" x14ac:dyDescent="0.25">
      <c r="A1184"/>
      <c r="B1184"/>
    </row>
    <row r="1185" spans="1:2" x14ac:dyDescent="0.25">
      <c r="A1185"/>
      <c r="B1185"/>
    </row>
    <row r="1186" spans="1:2" x14ac:dyDescent="0.25">
      <c r="A1186"/>
      <c r="B1186"/>
    </row>
    <row r="1187" spans="1:2" x14ac:dyDescent="0.25">
      <c r="A1187"/>
      <c r="B1187"/>
    </row>
    <row r="1188" spans="1:2" x14ac:dyDescent="0.25">
      <c r="A1188"/>
      <c r="B1188"/>
    </row>
    <row r="1189" spans="1:2" x14ac:dyDescent="0.25">
      <c r="A1189"/>
      <c r="B1189"/>
    </row>
    <row r="1190" spans="1:2" x14ac:dyDescent="0.25">
      <c r="A1190"/>
      <c r="B1190"/>
    </row>
    <row r="1191" spans="1:2" x14ac:dyDescent="0.25">
      <c r="A1191"/>
      <c r="B1191"/>
    </row>
    <row r="1192" spans="1:2" x14ac:dyDescent="0.25">
      <c r="A1192"/>
      <c r="B1192"/>
    </row>
    <row r="1193" spans="1:2" x14ac:dyDescent="0.25">
      <c r="A1193"/>
      <c r="B1193"/>
    </row>
    <row r="1194" spans="1:2" x14ac:dyDescent="0.25">
      <c r="A1194"/>
      <c r="B1194"/>
    </row>
    <row r="1195" spans="1:2" x14ac:dyDescent="0.25">
      <c r="A1195"/>
      <c r="B1195"/>
    </row>
    <row r="1196" spans="1:2" x14ac:dyDescent="0.25">
      <c r="A1196"/>
      <c r="B1196"/>
    </row>
    <row r="1197" spans="1:2" x14ac:dyDescent="0.25">
      <c r="A1197"/>
      <c r="B1197"/>
    </row>
    <row r="1198" spans="1:2" x14ac:dyDescent="0.25">
      <c r="A1198"/>
      <c r="B1198"/>
    </row>
    <row r="1199" spans="1:2" x14ac:dyDescent="0.25">
      <c r="A1199"/>
      <c r="B1199"/>
    </row>
    <row r="1200" spans="1:2" x14ac:dyDescent="0.25">
      <c r="A1200"/>
      <c r="B1200"/>
    </row>
    <row r="1201" spans="1:2" x14ac:dyDescent="0.25">
      <c r="A1201"/>
      <c r="B1201"/>
    </row>
    <row r="1202" spans="1:2" x14ac:dyDescent="0.25">
      <c r="A1202"/>
      <c r="B1202"/>
    </row>
    <row r="1203" spans="1:2" x14ac:dyDescent="0.25">
      <c r="A1203"/>
      <c r="B1203"/>
    </row>
    <row r="1204" spans="1:2" x14ac:dyDescent="0.25">
      <c r="A1204"/>
      <c r="B1204"/>
    </row>
    <row r="1205" spans="1:2" x14ac:dyDescent="0.25">
      <c r="A1205"/>
      <c r="B1205"/>
    </row>
    <row r="1206" spans="1:2" x14ac:dyDescent="0.25">
      <c r="A1206"/>
      <c r="B1206"/>
    </row>
    <row r="1207" spans="1:2" x14ac:dyDescent="0.25">
      <c r="A1207"/>
      <c r="B1207"/>
    </row>
    <row r="1208" spans="1:2" x14ac:dyDescent="0.25">
      <c r="A1208"/>
      <c r="B1208"/>
    </row>
    <row r="1209" spans="1:2" x14ac:dyDescent="0.25">
      <c r="A1209"/>
      <c r="B1209"/>
    </row>
    <row r="1210" spans="1:2" x14ac:dyDescent="0.25">
      <c r="A1210"/>
      <c r="B1210"/>
    </row>
    <row r="1211" spans="1:2" x14ac:dyDescent="0.25">
      <c r="A1211"/>
      <c r="B1211"/>
    </row>
    <row r="1212" spans="1:2" x14ac:dyDescent="0.25">
      <c r="A1212"/>
      <c r="B1212"/>
    </row>
    <row r="1213" spans="1:2" x14ac:dyDescent="0.25">
      <c r="A1213"/>
      <c r="B1213"/>
    </row>
    <row r="1214" spans="1:2" x14ac:dyDescent="0.25">
      <c r="A1214"/>
      <c r="B1214"/>
    </row>
    <row r="1215" spans="1:2" x14ac:dyDescent="0.25">
      <c r="A1215"/>
      <c r="B1215"/>
    </row>
    <row r="1216" spans="1:2" x14ac:dyDescent="0.25">
      <c r="A1216"/>
      <c r="B1216"/>
    </row>
    <row r="1217" spans="1:2" x14ac:dyDescent="0.25">
      <c r="A1217"/>
      <c r="B1217"/>
    </row>
    <row r="1218" spans="1:2" x14ac:dyDescent="0.25">
      <c r="A1218"/>
      <c r="B1218"/>
    </row>
    <row r="1219" spans="1:2" x14ac:dyDescent="0.25">
      <c r="A1219"/>
      <c r="B1219"/>
    </row>
    <row r="1220" spans="1:2" x14ac:dyDescent="0.25">
      <c r="A1220"/>
      <c r="B1220"/>
    </row>
    <row r="1221" spans="1:2" x14ac:dyDescent="0.25">
      <c r="A1221"/>
      <c r="B1221"/>
    </row>
    <row r="1222" spans="1:2" x14ac:dyDescent="0.25">
      <c r="A1222"/>
      <c r="B1222"/>
    </row>
    <row r="1223" spans="1:2" x14ac:dyDescent="0.25">
      <c r="A1223"/>
      <c r="B1223"/>
    </row>
    <row r="1224" spans="1:2" x14ac:dyDescent="0.25">
      <c r="A1224"/>
      <c r="B1224"/>
    </row>
    <row r="1225" spans="1:2" x14ac:dyDescent="0.25">
      <c r="A1225"/>
      <c r="B1225"/>
    </row>
    <row r="1226" spans="1:2" x14ac:dyDescent="0.25">
      <c r="A1226"/>
      <c r="B1226"/>
    </row>
    <row r="1227" spans="1:2" x14ac:dyDescent="0.25">
      <c r="A1227"/>
      <c r="B1227"/>
    </row>
    <row r="1228" spans="1:2" x14ac:dyDescent="0.25">
      <c r="A1228"/>
      <c r="B1228"/>
    </row>
    <row r="1229" spans="1:2" x14ac:dyDescent="0.25">
      <c r="A1229"/>
      <c r="B1229"/>
    </row>
    <row r="1230" spans="1:2" x14ac:dyDescent="0.25">
      <c r="A1230"/>
      <c r="B1230"/>
    </row>
    <row r="1231" spans="1:2" x14ac:dyDescent="0.25">
      <c r="A1231"/>
      <c r="B1231"/>
    </row>
    <row r="1232" spans="1:2" x14ac:dyDescent="0.25">
      <c r="A1232"/>
      <c r="B1232"/>
    </row>
    <row r="1233" spans="1:2" x14ac:dyDescent="0.25">
      <c r="A1233"/>
      <c r="B1233"/>
    </row>
    <row r="1234" spans="1:2" x14ac:dyDescent="0.25">
      <c r="A1234"/>
      <c r="B1234"/>
    </row>
    <row r="1235" spans="1:2" x14ac:dyDescent="0.25">
      <c r="A1235"/>
      <c r="B1235"/>
    </row>
    <row r="1236" spans="1:2" x14ac:dyDescent="0.25">
      <c r="A1236"/>
      <c r="B1236"/>
    </row>
    <row r="1237" spans="1:2" x14ac:dyDescent="0.25">
      <c r="A1237"/>
      <c r="B1237"/>
    </row>
    <row r="1238" spans="1:2" x14ac:dyDescent="0.25">
      <c r="A1238"/>
      <c r="B1238"/>
    </row>
    <row r="1239" spans="1:2" x14ac:dyDescent="0.25">
      <c r="A1239"/>
      <c r="B1239"/>
    </row>
    <row r="1240" spans="1:2" x14ac:dyDescent="0.25">
      <c r="A1240"/>
      <c r="B1240"/>
    </row>
    <row r="1241" spans="1:2" x14ac:dyDescent="0.25">
      <c r="A1241"/>
      <c r="B1241"/>
    </row>
    <row r="1242" spans="1:2" x14ac:dyDescent="0.25">
      <c r="A1242"/>
      <c r="B1242"/>
    </row>
    <row r="1243" spans="1:2" x14ac:dyDescent="0.25">
      <c r="A1243"/>
      <c r="B1243"/>
    </row>
    <row r="1244" spans="1:2" x14ac:dyDescent="0.25">
      <c r="A1244"/>
      <c r="B1244"/>
    </row>
    <row r="1245" spans="1:2" x14ac:dyDescent="0.25">
      <c r="A1245"/>
      <c r="B1245"/>
    </row>
    <row r="1246" spans="1:2" x14ac:dyDescent="0.25">
      <c r="A1246"/>
      <c r="B1246"/>
    </row>
    <row r="1247" spans="1:2" x14ac:dyDescent="0.25">
      <c r="A1247"/>
      <c r="B1247"/>
    </row>
    <row r="1248" spans="1:2" x14ac:dyDescent="0.25">
      <c r="A1248"/>
      <c r="B1248"/>
    </row>
    <row r="1249" spans="1:2" x14ac:dyDescent="0.25">
      <c r="A1249"/>
      <c r="B1249"/>
    </row>
    <row r="1250" spans="1:2" x14ac:dyDescent="0.25">
      <c r="A1250"/>
      <c r="B1250"/>
    </row>
    <row r="1251" spans="1:2" x14ac:dyDescent="0.25">
      <c r="A1251"/>
      <c r="B1251"/>
    </row>
    <row r="1252" spans="1:2" x14ac:dyDescent="0.25">
      <c r="A1252"/>
      <c r="B1252"/>
    </row>
    <row r="1253" spans="1:2" x14ac:dyDescent="0.25">
      <c r="A1253"/>
      <c r="B1253"/>
    </row>
    <row r="1254" spans="1:2" x14ac:dyDescent="0.25">
      <c r="A1254"/>
      <c r="B1254"/>
    </row>
    <row r="1255" spans="1:2" x14ac:dyDescent="0.25">
      <c r="A1255"/>
      <c r="B1255"/>
    </row>
    <row r="1256" spans="1:2" x14ac:dyDescent="0.25">
      <c r="A1256"/>
      <c r="B1256"/>
    </row>
    <row r="1257" spans="1:2" x14ac:dyDescent="0.25">
      <c r="A1257"/>
      <c r="B1257"/>
    </row>
    <row r="1258" spans="1:2" x14ac:dyDescent="0.25">
      <c r="A1258"/>
      <c r="B1258"/>
    </row>
    <row r="1259" spans="1:2" x14ac:dyDescent="0.25">
      <c r="A1259"/>
      <c r="B1259"/>
    </row>
    <row r="1260" spans="1:2" x14ac:dyDescent="0.25">
      <c r="A1260"/>
      <c r="B1260"/>
    </row>
    <row r="1261" spans="1:2" x14ac:dyDescent="0.25">
      <c r="A1261"/>
      <c r="B1261"/>
    </row>
    <row r="1262" spans="1:2" x14ac:dyDescent="0.25">
      <c r="A1262"/>
      <c r="B1262"/>
    </row>
    <row r="1263" spans="1:2" x14ac:dyDescent="0.25">
      <c r="A1263"/>
      <c r="B1263"/>
    </row>
    <row r="1264" spans="1:2" x14ac:dyDescent="0.25">
      <c r="A1264"/>
      <c r="B1264"/>
    </row>
    <row r="1265" spans="1:2" x14ac:dyDescent="0.25">
      <c r="A1265"/>
      <c r="B1265"/>
    </row>
    <row r="1266" spans="1:2" x14ac:dyDescent="0.25">
      <c r="A1266"/>
      <c r="B1266"/>
    </row>
    <row r="1267" spans="1:2" x14ac:dyDescent="0.25">
      <c r="A1267"/>
      <c r="B1267"/>
    </row>
    <row r="1268" spans="1:2" x14ac:dyDescent="0.25">
      <c r="A1268"/>
      <c r="B1268"/>
    </row>
    <row r="1269" spans="1:2" x14ac:dyDescent="0.25">
      <c r="A1269"/>
      <c r="B1269"/>
    </row>
    <row r="1270" spans="1:2" x14ac:dyDescent="0.25">
      <c r="A1270"/>
      <c r="B1270"/>
    </row>
    <row r="1271" spans="1:2" x14ac:dyDescent="0.25">
      <c r="A1271"/>
      <c r="B1271"/>
    </row>
    <row r="1272" spans="1:2" x14ac:dyDescent="0.25">
      <c r="A1272"/>
      <c r="B1272"/>
    </row>
    <row r="1273" spans="1:2" x14ac:dyDescent="0.25">
      <c r="A1273"/>
      <c r="B1273"/>
    </row>
    <row r="1274" spans="1:2" x14ac:dyDescent="0.25">
      <c r="A1274"/>
      <c r="B1274"/>
    </row>
    <row r="1275" spans="1:2" x14ac:dyDescent="0.25">
      <c r="A1275"/>
      <c r="B1275"/>
    </row>
    <row r="1276" spans="1:2" x14ac:dyDescent="0.25">
      <c r="A1276"/>
      <c r="B1276"/>
    </row>
    <row r="1277" spans="1:2" x14ac:dyDescent="0.25">
      <c r="A1277"/>
      <c r="B1277"/>
    </row>
    <row r="1278" spans="1:2" x14ac:dyDescent="0.25">
      <c r="A1278"/>
      <c r="B1278"/>
    </row>
    <row r="1279" spans="1:2" x14ac:dyDescent="0.25">
      <c r="A1279"/>
      <c r="B1279"/>
    </row>
    <row r="1280" spans="1:2" x14ac:dyDescent="0.25">
      <c r="A1280"/>
      <c r="B1280"/>
    </row>
    <row r="1281" spans="1:2" x14ac:dyDescent="0.25">
      <c r="A1281"/>
      <c r="B1281"/>
    </row>
    <row r="1282" spans="1:2" x14ac:dyDescent="0.25">
      <c r="A1282"/>
      <c r="B1282"/>
    </row>
    <row r="1283" spans="1:2" x14ac:dyDescent="0.25">
      <c r="A1283"/>
      <c r="B1283"/>
    </row>
    <row r="1284" spans="1:2" x14ac:dyDescent="0.25">
      <c r="A1284"/>
      <c r="B1284"/>
    </row>
    <row r="1285" spans="1:2" x14ac:dyDescent="0.25">
      <c r="A1285"/>
      <c r="B1285"/>
    </row>
    <row r="1286" spans="1:2" x14ac:dyDescent="0.25">
      <c r="A1286"/>
      <c r="B1286"/>
    </row>
    <row r="1287" spans="1:2" x14ac:dyDescent="0.25">
      <c r="A1287"/>
      <c r="B1287"/>
    </row>
    <row r="1288" spans="1:2" x14ac:dyDescent="0.25">
      <c r="A1288"/>
      <c r="B1288"/>
    </row>
    <row r="1289" spans="1:2" x14ac:dyDescent="0.25">
      <c r="A1289"/>
      <c r="B1289"/>
    </row>
    <row r="1290" spans="1:2" x14ac:dyDescent="0.25">
      <c r="A1290"/>
      <c r="B1290"/>
    </row>
    <row r="1291" spans="1:2" x14ac:dyDescent="0.25">
      <c r="A1291"/>
      <c r="B1291"/>
    </row>
    <row r="1292" spans="1:2" x14ac:dyDescent="0.25">
      <c r="A1292"/>
      <c r="B1292"/>
    </row>
    <row r="1293" spans="1:2" x14ac:dyDescent="0.25">
      <c r="A1293"/>
      <c r="B1293"/>
    </row>
    <row r="1294" spans="1:2" x14ac:dyDescent="0.25">
      <c r="A1294"/>
      <c r="B1294"/>
    </row>
    <row r="1295" spans="1:2" x14ac:dyDescent="0.25">
      <c r="A1295"/>
      <c r="B1295"/>
    </row>
    <row r="1296" spans="1:2" x14ac:dyDescent="0.25">
      <c r="A1296"/>
      <c r="B1296"/>
    </row>
    <row r="1297" spans="1:2" x14ac:dyDescent="0.25">
      <c r="A1297"/>
      <c r="B1297"/>
    </row>
    <row r="1298" spans="1:2" x14ac:dyDescent="0.25">
      <c r="A1298"/>
      <c r="B1298"/>
    </row>
    <row r="1299" spans="1:2" x14ac:dyDescent="0.25">
      <c r="A1299"/>
      <c r="B1299"/>
    </row>
    <row r="1300" spans="1:2" x14ac:dyDescent="0.25">
      <c r="A1300"/>
      <c r="B1300"/>
    </row>
    <row r="1301" spans="1:2" x14ac:dyDescent="0.25">
      <c r="A1301"/>
      <c r="B1301"/>
    </row>
    <row r="1302" spans="1:2" x14ac:dyDescent="0.25">
      <c r="A1302"/>
      <c r="B1302"/>
    </row>
    <row r="1303" spans="1:2" x14ac:dyDescent="0.25">
      <c r="A1303"/>
      <c r="B1303"/>
    </row>
    <row r="1304" spans="1:2" x14ac:dyDescent="0.25">
      <c r="A1304"/>
      <c r="B1304"/>
    </row>
    <row r="1305" spans="1:2" x14ac:dyDescent="0.25">
      <c r="A1305"/>
      <c r="B1305"/>
    </row>
    <row r="1306" spans="1:2" x14ac:dyDescent="0.25">
      <c r="A1306"/>
      <c r="B1306"/>
    </row>
    <row r="1307" spans="1:2" x14ac:dyDescent="0.25">
      <c r="A1307"/>
      <c r="B1307"/>
    </row>
    <row r="1308" spans="1:2" x14ac:dyDescent="0.25">
      <c r="A1308"/>
      <c r="B1308"/>
    </row>
    <row r="1309" spans="1:2" x14ac:dyDescent="0.25">
      <c r="A1309"/>
      <c r="B1309"/>
    </row>
    <row r="1310" spans="1:2" x14ac:dyDescent="0.25">
      <c r="A1310"/>
      <c r="B1310"/>
    </row>
    <row r="1311" spans="1:2" x14ac:dyDescent="0.25">
      <c r="A1311"/>
      <c r="B1311"/>
    </row>
    <row r="1312" spans="1:2" x14ac:dyDescent="0.25">
      <c r="A1312"/>
      <c r="B1312"/>
    </row>
    <row r="1313" spans="1:2" x14ac:dyDescent="0.25">
      <c r="A1313"/>
      <c r="B1313"/>
    </row>
    <row r="1314" spans="1:2" x14ac:dyDescent="0.25">
      <c r="A1314"/>
      <c r="B1314"/>
    </row>
    <row r="1315" spans="1:2" x14ac:dyDescent="0.25">
      <c r="A1315"/>
      <c r="B1315"/>
    </row>
    <row r="1316" spans="1:2" x14ac:dyDescent="0.25">
      <c r="A1316"/>
      <c r="B1316"/>
    </row>
    <row r="1317" spans="1:2" x14ac:dyDescent="0.25">
      <c r="A1317"/>
      <c r="B1317"/>
    </row>
    <row r="1318" spans="1:2" x14ac:dyDescent="0.25">
      <c r="A1318"/>
      <c r="B1318"/>
    </row>
    <row r="1319" spans="1:2" x14ac:dyDescent="0.25">
      <c r="A1319"/>
      <c r="B1319"/>
    </row>
    <row r="1320" spans="1:2" x14ac:dyDescent="0.25">
      <c r="A1320"/>
      <c r="B1320"/>
    </row>
    <row r="1321" spans="1:2" x14ac:dyDescent="0.25">
      <c r="A1321"/>
      <c r="B1321"/>
    </row>
    <row r="1322" spans="1:2" x14ac:dyDescent="0.25">
      <c r="A1322"/>
      <c r="B1322"/>
    </row>
    <row r="1323" spans="1:2" x14ac:dyDescent="0.25">
      <c r="A1323"/>
      <c r="B1323"/>
    </row>
    <row r="1324" spans="1:2" x14ac:dyDescent="0.25">
      <c r="A1324"/>
      <c r="B1324"/>
    </row>
    <row r="1325" spans="1:2" x14ac:dyDescent="0.25">
      <c r="A1325"/>
      <c r="B1325"/>
    </row>
    <row r="1326" spans="1:2" x14ac:dyDescent="0.25">
      <c r="A1326"/>
      <c r="B1326"/>
    </row>
    <row r="1327" spans="1:2" x14ac:dyDescent="0.25">
      <c r="A1327"/>
      <c r="B1327"/>
    </row>
    <row r="1328" spans="1:2" x14ac:dyDescent="0.25">
      <c r="A1328"/>
      <c r="B1328"/>
    </row>
    <row r="1329" spans="1:2" x14ac:dyDescent="0.25">
      <c r="A1329"/>
      <c r="B1329"/>
    </row>
    <row r="1330" spans="1:2" x14ac:dyDescent="0.25">
      <c r="A1330"/>
      <c r="B1330"/>
    </row>
    <row r="1331" spans="1:2" x14ac:dyDescent="0.25">
      <c r="A1331"/>
      <c r="B1331"/>
    </row>
    <row r="1332" spans="1:2" x14ac:dyDescent="0.25">
      <c r="A1332"/>
      <c r="B1332"/>
    </row>
    <row r="1333" spans="1:2" x14ac:dyDescent="0.25">
      <c r="A1333"/>
      <c r="B1333"/>
    </row>
    <row r="1334" spans="1:2" x14ac:dyDescent="0.25">
      <c r="A1334"/>
      <c r="B1334"/>
    </row>
    <row r="1335" spans="1:2" x14ac:dyDescent="0.25">
      <c r="A1335"/>
      <c r="B1335"/>
    </row>
    <row r="1336" spans="1:2" x14ac:dyDescent="0.25">
      <c r="A1336"/>
      <c r="B1336"/>
    </row>
    <row r="1337" spans="1:2" x14ac:dyDescent="0.25">
      <c r="A1337"/>
      <c r="B1337"/>
    </row>
    <row r="1338" spans="1:2" x14ac:dyDescent="0.25">
      <c r="A1338"/>
      <c r="B1338"/>
    </row>
    <row r="1339" spans="1:2" x14ac:dyDescent="0.25">
      <c r="A1339"/>
      <c r="B1339"/>
    </row>
    <row r="1340" spans="1:2" x14ac:dyDescent="0.25">
      <c r="A1340"/>
      <c r="B1340"/>
    </row>
    <row r="1341" spans="1:2" x14ac:dyDescent="0.25">
      <c r="A1341"/>
      <c r="B1341"/>
    </row>
    <row r="1342" spans="1:2" x14ac:dyDescent="0.25">
      <c r="A1342"/>
      <c r="B1342"/>
    </row>
    <row r="1343" spans="1:2" x14ac:dyDescent="0.25">
      <c r="A1343"/>
      <c r="B1343"/>
    </row>
    <row r="1344" spans="1:2" x14ac:dyDescent="0.25">
      <c r="A1344"/>
      <c r="B1344"/>
    </row>
    <row r="1345" spans="1:2" x14ac:dyDescent="0.25">
      <c r="A1345"/>
      <c r="B1345"/>
    </row>
    <row r="1346" spans="1:2" x14ac:dyDescent="0.25">
      <c r="A1346"/>
      <c r="B1346"/>
    </row>
    <row r="1347" spans="1:2" x14ac:dyDescent="0.25">
      <c r="A1347"/>
      <c r="B1347"/>
    </row>
    <row r="1348" spans="1:2" x14ac:dyDescent="0.25">
      <c r="A1348"/>
      <c r="B1348"/>
    </row>
    <row r="1349" spans="1:2" x14ac:dyDescent="0.25">
      <c r="A1349"/>
      <c r="B1349"/>
    </row>
    <row r="1350" spans="1:2" x14ac:dyDescent="0.25">
      <c r="A1350"/>
      <c r="B1350"/>
    </row>
    <row r="1351" spans="1:2" x14ac:dyDescent="0.25">
      <c r="A1351"/>
      <c r="B1351"/>
    </row>
    <row r="1352" spans="1:2" x14ac:dyDescent="0.25">
      <c r="A1352"/>
      <c r="B1352"/>
    </row>
    <row r="1353" spans="1:2" x14ac:dyDescent="0.25">
      <c r="A1353"/>
      <c r="B1353"/>
    </row>
    <row r="1354" spans="1:2" x14ac:dyDescent="0.25">
      <c r="A1354"/>
      <c r="B1354"/>
    </row>
    <row r="1355" spans="1:2" x14ac:dyDescent="0.25">
      <c r="A1355"/>
      <c r="B1355"/>
    </row>
    <row r="1356" spans="1:2" x14ac:dyDescent="0.25">
      <c r="A1356"/>
      <c r="B1356"/>
    </row>
    <row r="1357" spans="1:2" x14ac:dyDescent="0.25">
      <c r="A1357"/>
      <c r="B1357"/>
    </row>
    <row r="1358" spans="1:2" x14ac:dyDescent="0.25">
      <c r="A1358"/>
      <c r="B1358"/>
    </row>
    <row r="1359" spans="1:2" x14ac:dyDescent="0.25">
      <c r="A1359"/>
      <c r="B1359"/>
    </row>
    <row r="1360" spans="1:2" x14ac:dyDescent="0.25">
      <c r="A1360"/>
      <c r="B1360"/>
    </row>
    <row r="1361" spans="1:2" x14ac:dyDescent="0.25">
      <c r="A1361"/>
      <c r="B1361"/>
    </row>
    <row r="1362" spans="1:2" x14ac:dyDescent="0.25">
      <c r="A1362"/>
      <c r="B1362"/>
    </row>
    <row r="1363" spans="1:2" x14ac:dyDescent="0.25">
      <c r="A1363"/>
      <c r="B1363"/>
    </row>
    <row r="1364" spans="1:2" x14ac:dyDescent="0.25">
      <c r="A1364"/>
      <c r="B1364"/>
    </row>
    <row r="1365" spans="1:2" x14ac:dyDescent="0.25">
      <c r="A1365"/>
      <c r="B1365"/>
    </row>
    <row r="1366" spans="1:2" x14ac:dyDescent="0.25">
      <c r="A1366"/>
      <c r="B1366"/>
    </row>
    <row r="1367" spans="1:2" x14ac:dyDescent="0.25">
      <c r="A1367"/>
      <c r="B1367"/>
    </row>
    <row r="1368" spans="1:2" x14ac:dyDescent="0.25">
      <c r="A1368"/>
      <c r="B1368"/>
    </row>
    <row r="1369" spans="1:2" x14ac:dyDescent="0.25">
      <c r="A1369"/>
      <c r="B1369"/>
    </row>
    <row r="1370" spans="1:2" x14ac:dyDescent="0.25">
      <c r="A1370"/>
      <c r="B1370"/>
    </row>
    <row r="1371" spans="1:2" x14ac:dyDescent="0.25">
      <c r="A1371"/>
      <c r="B1371"/>
    </row>
    <row r="1372" spans="1:2" x14ac:dyDescent="0.25">
      <c r="A1372"/>
      <c r="B1372"/>
    </row>
    <row r="1373" spans="1:2" x14ac:dyDescent="0.25">
      <c r="A1373"/>
      <c r="B1373"/>
    </row>
    <row r="1374" spans="1:2" x14ac:dyDescent="0.25">
      <c r="A1374"/>
      <c r="B1374"/>
    </row>
    <row r="1375" spans="1:2" x14ac:dyDescent="0.25">
      <c r="A1375"/>
      <c r="B1375"/>
    </row>
    <row r="1376" spans="1:2" x14ac:dyDescent="0.25">
      <c r="A1376"/>
      <c r="B1376"/>
    </row>
    <row r="1377" spans="1:2" x14ac:dyDescent="0.25">
      <c r="A1377"/>
      <c r="B1377"/>
    </row>
    <row r="1378" spans="1:2" x14ac:dyDescent="0.25">
      <c r="A1378"/>
      <c r="B1378"/>
    </row>
    <row r="1379" spans="1:2" x14ac:dyDescent="0.25">
      <c r="A1379"/>
      <c r="B1379"/>
    </row>
    <row r="1380" spans="1:2" x14ac:dyDescent="0.25">
      <c r="A1380"/>
      <c r="B1380"/>
    </row>
    <row r="1381" spans="1:2" x14ac:dyDescent="0.25">
      <c r="A1381"/>
      <c r="B1381"/>
    </row>
    <row r="1382" spans="1:2" x14ac:dyDescent="0.25">
      <c r="A1382"/>
      <c r="B1382"/>
    </row>
    <row r="1383" spans="1:2" x14ac:dyDescent="0.25">
      <c r="A1383"/>
      <c r="B1383"/>
    </row>
    <row r="1384" spans="1:2" x14ac:dyDescent="0.25">
      <c r="A1384"/>
      <c r="B1384"/>
    </row>
    <row r="1385" spans="1:2" x14ac:dyDescent="0.25">
      <c r="A1385"/>
      <c r="B1385"/>
    </row>
    <row r="1386" spans="1:2" x14ac:dyDescent="0.25">
      <c r="A1386"/>
      <c r="B1386"/>
    </row>
    <row r="1387" spans="1:2" x14ac:dyDescent="0.25">
      <c r="A1387"/>
      <c r="B1387"/>
    </row>
    <row r="1388" spans="1:2" x14ac:dyDescent="0.25">
      <c r="A1388"/>
      <c r="B1388"/>
    </row>
    <row r="1389" spans="1:2" x14ac:dyDescent="0.25">
      <c r="A1389"/>
      <c r="B1389"/>
    </row>
    <row r="1390" spans="1:2" x14ac:dyDescent="0.25">
      <c r="A1390"/>
      <c r="B1390"/>
    </row>
    <row r="1391" spans="1:2" x14ac:dyDescent="0.25">
      <c r="A1391"/>
      <c r="B1391"/>
    </row>
    <row r="1392" spans="1:2" x14ac:dyDescent="0.25">
      <c r="A1392"/>
      <c r="B1392"/>
    </row>
    <row r="1393" spans="1:2" x14ac:dyDescent="0.25">
      <c r="A1393"/>
      <c r="B1393"/>
    </row>
    <row r="1394" spans="1:2" x14ac:dyDescent="0.25">
      <c r="A1394"/>
      <c r="B1394"/>
    </row>
    <row r="1395" spans="1:2" x14ac:dyDescent="0.25">
      <c r="A1395"/>
      <c r="B1395"/>
    </row>
    <row r="1396" spans="1:2" x14ac:dyDescent="0.25">
      <c r="A1396"/>
      <c r="B1396"/>
    </row>
    <row r="1397" spans="1:2" x14ac:dyDescent="0.25">
      <c r="A1397"/>
      <c r="B1397"/>
    </row>
    <row r="1398" spans="1:2" x14ac:dyDescent="0.25">
      <c r="A1398"/>
      <c r="B1398"/>
    </row>
    <row r="1399" spans="1:2" x14ac:dyDescent="0.25">
      <c r="A1399"/>
      <c r="B1399"/>
    </row>
    <row r="1400" spans="1:2" x14ac:dyDescent="0.25">
      <c r="A1400"/>
      <c r="B1400"/>
    </row>
    <row r="1401" spans="1:2" x14ac:dyDescent="0.25">
      <c r="A1401"/>
      <c r="B1401"/>
    </row>
    <row r="1402" spans="1:2" x14ac:dyDescent="0.25">
      <c r="A1402"/>
      <c r="B1402"/>
    </row>
    <row r="1403" spans="1:2" x14ac:dyDescent="0.25">
      <c r="A1403"/>
      <c r="B1403"/>
    </row>
    <row r="1404" spans="1:2" x14ac:dyDescent="0.25">
      <c r="A1404"/>
      <c r="B1404"/>
    </row>
    <row r="1405" spans="1:2" x14ac:dyDescent="0.25">
      <c r="A1405"/>
      <c r="B1405"/>
    </row>
    <row r="1406" spans="1:2" x14ac:dyDescent="0.25">
      <c r="A1406"/>
      <c r="B1406"/>
    </row>
    <row r="1407" spans="1:2" x14ac:dyDescent="0.25">
      <c r="A1407"/>
      <c r="B1407"/>
    </row>
    <row r="1408" spans="1:2" x14ac:dyDescent="0.25">
      <c r="A1408"/>
      <c r="B1408"/>
    </row>
    <row r="1409" spans="1:2" x14ac:dyDescent="0.25">
      <c r="A1409"/>
      <c r="B1409"/>
    </row>
    <row r="1410" spans="1:2" x14ac:dyDescent="0.25">
      <c r="A1410"/>
      <c r="B1410"/>
    </row>
    <row r="1411" spans="1:2" x14ac:dyDescent="0.25">
      <c r="A1411"/>
      <c r="B1411"/>
    </row>
    <row r="1412" spans="1:2" x14ac:dyDescent="0.25">
      <c r="A1412"/>
      <c r="B1412"/>
    </row>
    <row r="1413" spans="1:2" x14ac:dyDescent="0.25">
      <c r="A1413"/>
      <c r="B1413"/>
    </row>
    <row r="1414" spans="1:2" x14ac:dyDescent="0.25">
      <c r="A1414"/>
      <c r="B1414"/>
    </row>
    <row r="1415" spans="1:2" x14ac:dyDescent="0.25">
      <c r="A1415"/>
      <c r="B1415"/>
    </row>
    <row r="1416" spans="1:2" x14ac:dyDescent="0.25">
      <c r="A1416"/>
      <c r="B1416"/>
    </row>
    <row r="1417" spans="1:2" x14ac:dyDescent="0.25">
      <c r="A1417"/>
      <c r="B1417"/>
    </row>
    <row r="1418" spans="1:2" x14ac:dyDescent="0.25">
      <c r="A1418"/>
      <c r="B1418"/>
    </row>
    <row r="1419" spans="1:2" x14ac:dyDescent="0.25">
      <c r="A1419"/>
      <c r="B1419"/>
    </row>
    <row r="1420" spans="1:2" x14ac:dyDescent="0.25">
      <c r="A1420"/>
      <c r="B1420"/>
    </row>
    <row r="1421" spans="1:2" x14ac:dyDescent="0.25">
      <c r="A1421"/>
      <c r="B1421"/>
    </row>
    <row r="1422" spans="1:2" x14ac:dyDescent="0.25">
      <c r="A1422"/>
      <c r="B1422"/>
    </row>
    <row r="1423" spans="1:2" x14ac:dyDescent="0.25">
      <c r="A1423"/>
      <c r="B1423"/>
    </row>
    <row r="1424" spans="1:2" x14ac:dyDescent="0.25">
      <c r="A1424"/>
      <c r="B1424"/>
    </row>
    <row r="1425" spans="1:2" x14ac:dyDescent="0.25">
      <c r="A1425"/>
      <c r="B1425"/>
    </row>
    <row r="1426" spans="1:2" x14ac:dyDescent="0.25">
      <c r="A1426"/>
      <c r="B1426"/>
    </row>
    <row r="1427" spans="1:2" x14ac:dyDescent="0.25">
      <c r="A1427"/>
      <c r="B1427"/>
    </row>
    <row r="1428" spans="1:2" x14ac:dyDescent="0.25">
      <c r="A1428"/>
      <c r="B1428"/>
    </row>
    <row r="1429" spans="1:2" x14ac:dyDescent="0.25">
      <c r="A1429"/>
      <c r="B1429"/>
    </row>
    <row r="1430" spans="1:2" x14ac:dyDescent="0.25">
      <c r="A1430"/>
      <c r="B1430"/>
    </row>
    <row r="1431" spans="1:2" x14ac:dyDescent="0.25">
      <c r="A1431"/>
      <c r="B1431"/>
    </row>
    <row r="1432" spans="1:2" x14ac:dyDescent="0.25">
      <c r="A1432"/>
      <c r="B1432"/>
    </row>
    <row r="1433" spans="1:2" x14ac:dyDescent="0.25">
      <c r="A1433"/>
      <c r="B1433"/>
    </row>
    <row r="1434" spans="1:2" x14ac:dyDescent="0.25">
      <c r="A1434"/>
      <c r="B1434"/>
    </row>
    <row r="1435" spans="1:2" x14ac:dyDescent="0.25">
      <c r="A1435"/>
      <c r="B1435"/>
    </row>
    <row r="1436" spans="1:2" x14ac:dyDescent="0.25">
      <c r="A1436"/>
      <c r="B1436"/>
    </row>
    <row r="1437" spans="1:2" x14ac:dyDescent="0.25">
      <c r="A1437"/>
      <c r="B1437"/>
    </row>
    <row r="1438" spans="1:2" x14ac:dyDescent="0.25">
      <c r="A1438"/>
      <c r="B1438"/>
    </row>
    <row r="1439" spans="1:2" x14ac:dyDescent="0.25">
      <c r="A1439"/>
      <c r="B1439"/>
    </row>
    <row r="1440" spans="1:2" x14ac:dyDescent="0.25">
      <c r="A1440"/>
      <c r="B1440"/>
    </row>
    <row r="1441" spans="1:2" x14ac:dyDescent="0.25">
      <c r="A1441"/>
      <c r="B1441"/>
    </row>
    <row r="1442" spans="1:2" x14ac:dyDescent="0.25">
      <c r="A1442"/>
      <c r="B1442"/>
    </row>
    <row r="1443" spans="1:2" x14ac:dyDescent="0.25">
      <c r="A1443"/>
      <c r="B1443"/>
    </row>
    <row r="1444" spans="1:2" x14ac:dyDescent="0.25">
      <c r="A1444"/>
      <c r="B1444"/>
    </row>
    <row r="1445" spans="1:2" x14ac:dyDescent="0.25">
      <c r="A1445"/>
      <c r="B1445"/>
    </row>
    <row r="1446" spans="1:2" x14ac:dyDescent="0.25">
      <c r="A1446"/>
      <c r="B1446"/>
    </row>
    <row r="1447" spans="1:2" x14ac:dyDescent="0.25">
      <c r="A1447"/>
      <c r="B1447"/>
    </row>
    <row r="1448" spans="1:2" x14ac:dyDescent="0.25">
      <c r="A1448"/>
      <c r="B1448"/>
    </row>
    <row r="1449" spans="1:2" x14ac:dyDescent="0.25">
      <c r="A1449"/>
      <c r="B1449"/>
    </row>
    <row r="1450" spans="1:2" x14ac:dyDescent="0.25">
      <c r="A1450"/>
      <c r="B1450"/>
    </row>
    <row r="1451" spans="1:2" x14ac:dyDescent="0.25">
      <c r="A1451"/>
      <c r="B1451"/>
    </row>
    <row r="1452" spans="1:2" x14ac:dyDescent="0.25">
      <c r="A1452"/>
      <c r="B1452"/>
    </row>
    <row r="1453" spans="1:2" x14ac:dyDescent="0.25">
      <c r="A1453"/>
      <c r="B1453"/>
    </row>
    <row r="1454" spans="1:2" x14ac:dyDescent="0.25">
      <c r="A1454"/>
      <c r="B1454"/>
    </row>
    <row r="1455" spans="1:2" x14ac:dyDescent="0.25">
      <c r="A1455"/>
      <c r="B1455"/>
    </row>
    <row r="1456" spans="1:2" x14ac:dyDescent="0.25">
      <c r="A1456"/>
      <c r="B1456"/>
    </row>
    <row r="1457" spans="1:2" x14ac:dyDescent="0.25">
      <c r="A1457"/>
      <c r="B1457"/>
    </row>
    <row r="1458" spans="1:2" x14ac:dyDescent="0.25">
      <c r="A1458"/>
      <c r="B1458"/>
    </row>
    <row r="1459" spans="1:2" x14ac:dyDescent="0.25">
      <c r="A1459"/>
      <c r="B1459"/>
    </row>
    <row r="1460" spans="1:2" x14ac:dyDescent="0.25">
      <c r="A1460"/>
      <c r="B1460"/>
    </row>
    <row r="1461" spans="1:2" x14ac:dyDescent="0.25">
      <c r="A1461"/>
      <c r="B1461"/>
    </row>
    <row r="1462" spans="1:2" x14ac:dyDescent="0.25">
      <c r="A1462"/>
      <c r="B1462"/>
    </row>
    <row r="1463" spans="1:2" x14ac:dyDescent="0.25">
      <c r="A1463"/>
      <c r="B1463"/>
    </row>
    <row r="1464" spans="1:2" x14ac:dyDescent="0.25">
      <c r="A1464"/>
      <c r="B1464"/>
    </row>
    <row r="1465" spans="1:2" x14ac:dyDescent="0.25">
      <c r="A1465"/>
      <c r="B1465"/>
    </row>
    <row r="1466" spans="1:2" x14ac:dyDescent="0.25">
      <c r="A1466"/>
      <c r="B1466"/>
    </row>
    <row r="1467" spans="1:2" x14ac:dyDescent="0.25">
      <c r="A1467"/>
      <c r="B1467"/>
    </row>
    <row r="1468" spans="1:2" x14ac:dyDescent="0.25">
      <c r="A1468"/>
      <c r="B1468"/>
    </row>
    <row r="1469" spans="1:2" x14ac:dyDescent="0.25">
      <c r="A1469"/>
      <c r="B1469"/>
    </row>
    <row r="1470" spans="1:2" x14ac:dyDescent="0.25">
      <c r="A1470"/>
      <c r="B1470"/>
    </row>
    <row r="1471" spans="1:2" x14ac:dyDescent="0.25">
      <c r="A1471"/>
      <c r="B1471"/>
    </row>
    <row r="1472" spans="1:2" x14ac:dyDescent="0.25">
      <c r="A1472"/>
      <c r="B1472"/>
    </row>
    <row r="1473" spans="1:2" x14ac:dyDescent="0.25">
      <c r="A1473"/>
      <c r="B1473"/>
    </row>
    <row r="1474" spans="1:2" x14ac:dyDescent="0.25">
      <c r="A1474"/>
      <c r="B1474"/>
    </row>
    <row r="1475" spans="1:2" x14ac:dyDescent="0.25">
      <c r="A1475"/>
      <c r="B1475"/>
    </row>
    <row r="1476" spans="1:2" x14ac:dyDescent="0.25">
      <c r="A1476"/>
      <c r="B1476"/>
    </row>
    <row r="1477" spans="1:2" x14ac:dyDescent="0.25">
      <c r="A1477"/>
      <c r="B1477"/>
    </row>
    <row r="1478" spans="1:2" x14ac:dyDescent="0.25">
      <c r="A1478"/>
      <c r="B1478"/>
    </row>
    <row r="1479" spans="1:2" x14ac:dyDescent="0.25">
      <c r="A1479"/>
      <c r="B1479"/>
    </row>
    <row r="1480" spans="1:2" x14ac:dyDescent="0.25">
      <c r="A1480"/>
      <c r="B1480"/>
    </row>
    <row r="1481" spans="1:2" x14ac:dyDescent="0.25">
      <c r="A1481"/>
      <c r="B1481"/>
    </row>
    <row r="1482" spans="1:2" x14ac:dyDescent="0.25">
      <c r="A1482"/>
      <c r="B1482"/>
    </row>
    <row r="1483" spans="1:2" x14ac:dyDescent="0.25">
      <c r="A1483"/>
      <c r="B1483"/>
    </row>
    <row r="1484" spans="1:2" x14ac:dyDescent="0.25">
      <c r="A1484"/>
      <c r="B1484"/>
    </row>
    <row r="1485" spans="1:2" x14ac:dyDescent="0.25">
      <c r="A1485"/>
      <c r="B1485"/>
    </row>
    <row r="1486" spans="1:2" x14ac:dyDescent="0.25">
      <c r="A1486"/>
      <c r="B1486"/>
    </row>
    <row r="1487" spans="1:2" x14ac:dyDescent="0.25">
      <c r="A1487"/>
      <c r="B1487"/>
    </row>
    <row r="1488" spans="1:2" x14ac:dyDescent="0.25">
      <c r="A1488"/>
      <c r="B1488"/>
    </row>
    <row r="1489" spans="1:2" x14ac:dyDescent="0.25">
      <c r="A1489"/>
      <c r="B1489"/>
    </row>
    <row r="1490" spans="1:2" x14ac:dyDescent="0.25">
      <c r="A1490"/>
      <c r="B1490"/>
    </row>
    <row r="1491" spans="1:2" x14ac:dyDescent="0.25">
      <c r="A1491"/>
      <c r="B1491"/>
    </row>
    <row r="1492" spans="1:2" x14ac:dyDescent="0.25">
      <c r="A1492"/>
      <c r="B1492"/>
    </row>
    <row r="1493" spans="1:2" x14ac:dyDescent="0.25">
      <c r="A1493"/>
      <c r="B1493"/>
    </row>
    <row r="1494" spans="1:2" x14ac:dyDescent="0.25">
      <c r="A1494"/>
      <c r="B1494"/>
    </row>
    <row r="1495" spans="1:2" x14ac:dyDescent="0.25">
      <c r="A1495"/>
      <c r="B1495"/>
    </row>
    <row r="1496" spans="1:2" x14ac:dyDescent="0.25">
      <c r="A1496"/>
      <c r="B1496"/>
    </row>
    <row r="1497" spans="1:2" x14ac:dyDescent="0.25">
      <c r="A1497"/>
      <c r="B1497"/>
    </row>
    <row r="1498" spans="1:2" x14ac:dyDescent="0.25">
      <c r="A1498"/>
      <c r="B1498"/>
    </row>
    <row r="1499" spans="1:2" x14ac:dyDescent="0.25">
      <c r="A1499"/>
      <c r="B1499"/>
    </row>
    <row r="1500" spans="1:2" x14ac:dyDescent="0.25">
      <c r="A1500"/>
      <c r="B1500"/>
    </row>
    <row r="1501" spans="1:2" x14ac:dyDescent="0.25">
      <c r="A1501"/>
      <c r="B1501"/>
    </row>
    <row r="1502" spans="1:2" x14ac:dyDescent="0.25">
      <c r="A1502"/>
      <c r="B1502"/>
    </row>
    <row r="1503" spans="1:2" x14ac:dyDescent="0.25">
      <c r="A1503"/>
      <c r="B1503"/>
    </row>
    <row r="1504" spans="1:2" x14ac:dyDescent="0.25">
      <c r="A1504"/>
      <c r="B1504"/>
    </row>
    <row r="1505" spans="1:2" x14ac:dyDescent="0.25">
      <c r="A1505"/>
      <c r="B1505"/>
    </row>
    <row r="1506" spans="1:2" x14ac:dyDescent="0.25">
      <c r="A1506"/>
      <c r="B1506"/>
    </row>
    <row r="1507" spans="1:2" x14ac:dyDescent="0.25">
      <c r="A1507"/>
      <c r="B1507"/>
    </row>
    <row r="1508" spans="1:2" x14ac:dyDescent="0.25">
      <c r="A1508"/>
      <c r="B1508"/>
    </row>
    <row r="1509" spans="1:2" x14ac:dyDescent="0.25">
      <c r="A1509"/>
      <c r="B1509"/>
    </row>
    <row r="1510" spans="1:2" x14ac:dyDescent="0.25">
      <c r="A1510"/>
      <c r="B1510"/>
    </row>
    <row r="1511" spans="1:2" x14ac:dyDescent="0.25">
      <c r="A1511"/>
      <c r="B1511"/>
    </row>
    <row r="1512" spans="1:2" x14ac:dyDescent="0.25">
      <c r="A1512"/>
      <c r="B1512"/>
    </row>
    <row r="1513" spans="1:2" x14ac:dyDescent="0.25">
      <c r="A1513"/>
      <c r="B1513"/>
    </row>
    <row r="1514" spans="1:2" x14ac:dyDescent="0.25">
      <c r="A1514"/>
      <c r="B1514"/>
    </row>
    <row r="1515" spans="1:2" x14ac:dyDescent="0.25">
      <c r="A1515"/>
      <c r="B1515"/>
    </row>
    <row r="1516" spans="1:2" x14ac:dyDescent="0.25">
      <c r="A1516"/>
      <c r="B1516"/>
    </row>
    <row r="1517" spans="1:2" x14ac:dyDescent="0.25">
      <c r="A1517"/>
      <c r="B1517"/>
    </row>
    <row r="1518" spans="1:2" x14ac:dyDescent="0.25">
      <c r="A1518"/>
      <c r="B1518"/>
    </row>
    <row r="1519" spans="1:2" x14ac:dyDescent="0.25">
      <c r="A1519"/>
      <c r="B1519"/>
    </row>
    <row r="1520" spans="1:2" x14ac:dyDescent="0.25">
      <c r="A1520"/>
      <c r="B1520"/>
    </row>
    <row r="1521" spans="1:2" x14ac:dyDescent="0.25">
      <c r="A1521"/>
      <c r="B1521"/>
    </row>
    <row r="1522" spans="1:2" x14ac:dyDescent="0.25">
      <c r="A1522"/>
      <c r="B1522"/>
    </row>
    <row r="1523" spans="1:2" x14ac:dyDescent="0.25">
      <c r="A1523"/>
      <c r="B1523"/>
    </row>
    <row r="1524" spans="1:2" x14ac:dyDescent="0.25">
      <c r="A1524"/>
      <c r="B1524"/>
    </row>
    <row r="1525" spans="1:2" x14ac:dyDescent="0.25">
      <c r="A1525"/>
      <c r="B1525"/>
    </row>
    <row r="1526" spans="1:2" x14ac:dyDescent="0.25">
      <c r="A1526"/>
      <c r="B1526"/>
    </row>
    <row r="1527" spans="1:2" x14ac:dyDescent="0.25">
      <c r="A1527"/>
      <c r="B1527"/>
    </row>
    <row r="1528" spans="1:2" x14ac:dyDescent="0.25">
      <c r="A1528"/>
      <c r="B1528"/>
    </row>
    <row r="1529" spans="1:2" x14ac:dyDescent="0.25">
      <c r="A1529"/>
      <c r="B1529"/>
    </row>
    <row r="1530" spans="1:2" x14ac:dyDescent="0.25">
      <c r="A1530"/>
      <c r="B1530"/>
    </row>
    <row r="1531" spans="1:2" x14ac:dyDescent="0.25">
      <c r="A1531"/>
      <c r="B1531"/>
    </row>
    <row r="1532" spans="1:2" x14ac:dyDescent="0.25">
      <c r="A1532"/>
      <c r="B1532"/>
    </row>
    <row r="1533" spans="1:2" x14ac:dyDescent="0.25">
      <c r="A1533"/>
      <c r="B1533"/>
    </row>
    <row r="1534" spans="1:2" x14ac:dyDescent="0.25">
      <c r="A1534"/>
      <c r="B1534"/>
    </row>
    <row r="1535" spans="1:2" x14ac:dyDescent="0.25">
      <c r="A1535"/>
      <c r="B1535"/>
    </row>
    <row r="1536" spans="1:2" x14ac:dyDescent="0.25">
      <c r="A1536"/>
      <c r="B1536"/>
    </row>
    <row r="1537" spans="1:2" x14ac:dyDescent="0.25">
      <c r="A1537"/>
      <c r="B1537"/>
    </row>
    <row r="1538" spans="1:2" x14ac:dyDescent="0.25">
      <c r="A1538"/>
      <c r="B1538"/>
    </row>
    <row r="1539" spans="1:2" x14ac:dyDescent="0.25">
      <c r="A1539"/>
      <c r="B1539"/>
    </row>
    <row r="1540" spans="1:2" x14ac:dyDescent="0.25">
      <c r="A1540"/>
      <c r="B1540"/>
    </row>
    <row r="1541" spans="1:2" x14ac:dyDescent="0.25">
      <c r="A1541"/>
      <c r="B1541"/>
    </row>
    <row r="1542" spans="1:2" x14ac:dyDescent="0.25">
      <c r="A1542"/>
      <c r="B1542"/>
    </row>
    <row r="1543" spans="1:2" x14ac:dyDescent="0.25">
      <c r="A1543"/>
      <c r="B1543"/>
    </row>
    <row r="1544" spans="1:2" x14ac:dyDescent="0.25">
      <c r="A1544"/>
      <c r="B1544"/>
    </row>
    <row r="1545" spans="1:2" x14ac:dyDescent="0.25">
      <c r="A1545"/>
      <c r="B1545"/>
    </row>
    <row r="1546" spans="1:2" x14ac:dyDescent="0.25">
      <c r="A1546"/>
      <c r="B1546"/>
    </row>
    <row r="1547" spans="1:2" x14ac:dyDescent="0.25">
      <c r="A1547"/>
      <c r="B1547"/>
    </row>
    <row r="1548" spans="1:2" x14ac:dyDescent="0.25">
      <c r="A1548"/>
      <c r="B1548"/>
    </row>
    <row r="1549" spans="1:2" x14ac:dyDescent="0.25">
      <c r="A1549"/>
      <c r="B1549"/>
    </row>
    <row r="1550" spans="1:2" x14ac:dyDescent="0.25">
      <c r="A1550"/>
      <c r="B1550"/>
    </row>
    <row r="1551" spans="1:2" x14ac:dyDescent="0.25">
      <c r="A1551"/>
      <c r="B1551"/>
    </row>
    <row r="1552" spans="1:2" x14ac:dyDescent="0.25">
      <c r="A1552"/>
      <c r="B1552"/>
    </row>
    <row r="1553" spans="1:2" x14ac:dyDescent="0.25">
      <c r="A1553"/>
      <c r="B1553"/>
    </row>
    <row r="1554" spans="1:2" x14ac:dyDescent="0.25">
      <c r="A1554"/>
      <c r="B1554"/>
    </row>
    <row r="1555" spans="1:2" x14ac:dyDescent="0.25">
      <c r="A1555"/>
      <c r="B1555"/>
    </row>
    <row r="1556" spans="1:2" x14ac:dyDescent="0.25">
      <c r="A1556"/>
      <c r="B1556"/>
    </row>
    <row r="1557" spans="1:2" x14ac:dyDescent="0.25">
      <c r="A1557"/>
      <c r="B1557"/>
    </row>
    <row r="1558" spans="1:2" x14ac:dyDescent="0.25">
      <c r="A1558"/>
      <c r="B1558"/>
    </row>
    <row r="1559" spans="1:2" x14ac:dyDescent="0.25">
      <c r="A1559"/>
      <c r="B1559"/>
    </row>
    <row r="1560" spans="1:2" x14ac:dyDescent="0.25">
      <c r="A1560"/>
      <c r="B1560"/>
    </row>
    <row r="1561" spans="1:2" x14ac:dyDescent="0.25">
      <c r="A1561"/>
      <c r="B1561"/>
    </row>
    <row r="1562" spans="1:2" x14ac:dyDescent="0.25">
      <c r="A1562"/>
      <c r="B1562"/>
    </row>
    <row r="1563" spans="1:2" x14ac:dyDescent="0.25">
      <c r="A1563"/>
      <c r="B1563"/>
    </row>
    <row r="1564" spans="1:2" x14ac:dyDescent="0.25">
      <c r="A1564"/>
      <c r="B1564"/>
    </row>
    <row r="1565" spans="1:2" x14ac:dyDescent="0.25">
      <c r="A1565"/>
      <c r="B1565"/>
    </row>
    <row r="1566" spans="1:2" x14ac:dyDescent="0.25">
      <c r="A1566"/>
      <c r="B1566"/>
    </row>
    <row r="1567" spans="1:2" x14ac:dyDescent="0.25">
      <c r="A1567"/>
      <c r="B1567"/>
    </row>
    <row r="1568" spans="1:2" x14ac:dyDescent="0.25">
      <c r="A1568"/>
      <c r="B1568"/>
    </row>
    <row r="1569" spans="1:2" x14ac:dyDescent="0.25">
      <c r="A1569"/>
      <c r="B1569"/>
    </row>
    <row r="1570" spans="1:2" x14ac:dyDescent="0.25">
      <c r="A1570"/>
      <c r="B1570"/>
    </row>
    <row r="1571" spans="1:2" x14ac:dyDescent="0.25">
      <c r="A1571"/>
      <c r="B1571"/>
    </row>
    <row r="1572" spans="1:2" x14ac:dyDescent="0.25">
      <c r="A1572"/>
      <c r="B1572"/>
    </row>
    <row r="1573" spans="1:2" x14ac:dyDescent="0.25">
      <c r="A1573"/>
      <c r="B1573"/>
    </row>
    <row r="1574" spans="1:2" x14ac:dyDescent="0.25">
      <c r="A1574"/>
      <c r="B1574"/>
    </row>
    <row r="1575" spans="1:2" x14ac:dyDescent="0.25">
      <c r="A1575"/>
      <c r="B1575"/>
    </row>
    <row r="1576" spans="1:2" x14ac:dyDescent="0.25">
      <c r="A1576"/>
      <c r="B1576"/>
    </row>
    <row r="1577" spans="1:2" x14ac:dyDescent="0.25">
      <c r="A1577"/>
      <c r="B1577"/>
    </row>
    <row r="1578" spans="1:2" x14ac:dyDescent="0.25">
      <c r="A1578"/>
      <c r="B1578"/>
    </row>
    <row r="1579" spans="1:2" x14ac:dyDescent="0.25">
      <c r="A1579"/>
      <c r="B1579"/>
    </row>
    <row r="1580" spans="1:2" x14ac:dyDescent="0.25">
      <c r="A1580"/>
      <c r="B1580"/>
    </row>
    <row r="1581" spans="1:2" x14ac:dyDescent="0.25">
      <c r="A1581"/>
      <c r="B1581"/>
    </row>
    <row r="1582" spans="1:2" x14ac:dyDescent="0.25">
      <c r="A1582"/>
      <c r="B1582"/>
    </row>
    <row r="1583" spans="1:2" x14ac:dyDescent="0.25">
      <c r="A1583"/>
      <c r="B1583"/>
    </row>
    <row r="1584" spans="1:2" x14ac:dyDescent="0.25">
      <c r="A1584"/>
      <c r="B1584"/>
    </row>
    <row r="1585" spans="1:2" x14ac:dyDescent="0.25">
      <c r="A1585"/>
      <c r="B1585"/>
    </row>
    <row r="1586" spans="1:2" x14ac:dyDescent="0.25">
      <c r="A1586"/>
      <c r="B1586"/>
    </row>
    <row r="1587" spans="1:2" x14ac:dyDescent="0.25">
      <c r="A1587"/>
      <c r="B1587"/>
    </row>
    <row r="1588" spans="1:2" x14ac:dyDescent="0.25">
      <c r="A1588"/>
      <c r="B1588"/>
    </row>
    <row r="1589" spans="1:2" x14ac:dyDescent="0.25">
      <c r="A1589"/>
      <c r="B1589"/>
    </row>
    <row r="1590" spans="1:2" x14ac:dyDescent="0.25">
      <c r="A1590"/>
      <c r="B1590"/>
    </row>
    <row r="1591" spans="1:2" x14ac:dyDescent="0.25">
      <c r="A1591"/>
      <c r="B1591"/>
    </row>
    <row r="1592" spans="1:2" x14ac:dyDescent="0.25">
      <c r="A1592"/>
      <c r="B1592"/>
    </row>
    <row r="1593" spans="1:2" x14ac:dyDescent="0.25">
      <c r="A1593"/>
      <c r="B1593"/>
    </row>
    <row r="1594" spans="1:2" x14ac:dyDescent="0.25">
      <c r="A1594"/>
      <c r="B1594"/>
    </row>
    <row r="1595" spans="1:2" x14ac:dyDescent="0.25">
      <c r="A1595"/>
      <c r="B1595"/>
    </row>
    <row r="1596" spans="1:2" x14ac:dyDescent="0.25">
      <c r="A1596"/>
      <c r="B1596"/>
    </row>
    <row r="1597" spans="1:2" x14ac:dyDescent="0.25">
      <c r="A1597"/>
      <c r="B1597"/>
    </row>
    <row r="1598" spans="1:2" x14ac:dyDescent="0.25">
      <c r="A1598"/>
      <c r="B1598"/>
    </row>
    <row r="1599" spans="1:2" x14ac:dyDescent="0.25">
      <c r="A1599"/>
      <c r="B1599"/>
    </row>
    <row r="1600" spans="1:2" x14ac:dyDescent="0.25">
      <c r="A1600"/>
      <c r="B1600"/>
    </row>
    <row r="1601" spans="1:2" x14ac:dyDescent="0.25">
      <c r="A1601"/>
      <c r="B1601"/>
    </row>
    <row r="1602" spans="1:2" x14ac:dyDescent="0.25">
      <c r="A1602"/>
      <c r="B1602"/>
    </row>
    <row r="1603" spans="1:2" x14ac:dyDescent="0.25">
      <c r="A1603"/>
      <c r="B1603"/>
    </row>
    <row r="1604" spans="1:2" x14ac:dyDescent="0.25">
      <c r="A1604"/>
      <c r="B1604"/>
    </row>
    <row r="1605" spans="1:2" x14ac:dyDescent="0.25">
      <c r="A1605"/>
      <c r="B1605"/>
    </row>
    <row r="1606" spans="1:2" x14ac:dyDescent="0.25">
      <c r="A1606"/>
      <c r="B1606"/>
    </row>
    <row r="1607" spans="1:2" x14ac:dyDescent="0.25">
      <c r="A1607"/>
      <c r="B1607"/>
    </row>
    <row r="1608" spans="1:2" x14ac:dyDescent="0.25">
      <c r="A1608"/>
      <c r="B1608"/>
    </row>
    <row r="1609" spans="1:2" x14ac:dyDescent="0.25">
      <c r="A1609"/>
      <c r="B1609"/>
    </row>
    <row r="1610" spans="1:2" x14ac:dyDescent="0.25">
      <c r="A1610"/>
      <c r="B1610"/>
    </row>
    <row r="1611" spans="1:2" x14ac:dyDescent="0.25">
      <c r="A1611"/>
      <c r="B1611"/>
    </row>
    <row r="1612" spans="1:2" x14ac:dyDescent="0.25">
      <c r="A1612"/>
      <c r="B1612"/>
    </row>
    <row r="1613" spans="1:2" x14ac:dyDescent="0.25">
      <c r="A1613"/>
      <c r="B1613"/>
    </row>
    <row r="1614" spans="1:2" x14ac:dyDescent="0.25">
      <c r="A1614"/>
      <c r="B1614"/>
    </row>
    <row r="1615" spans="1:2" x14ac:dyDescent="0.25">
      <c r="A1615"/>
      <c r="B1615"/>
    </row>
    <row r="1616" spans="1:2" x14ac:dyDescent="0.25">
      <c r="A1616"/>
      <c r="B1616"/>
    </row>
    <row r="1617" spans="1:2" x14ac:dyDescent="0.25">
      <c r="A1617"/>
      <c r="B1617"/>
    </row>
    <row r="1618" spans="1:2" x14ac:dyDescent="0.25">
      <c r="A1618"/>
      <c r="B1618"/>
    </row>
    <row r="1619" spans="1:2" x14ac:dyDescent="0.25">
      <c r="A1619"/>
      <c r="B1619"/>
    </row>
    <row r="1620" spans="1:2" x14ac:dyDescent="0.25">
      <c r="A1620"/>
      <c r="B1620"/>
    </row>
    <row r="1621" spans="1:2" x14ac:dyDescent="0.25">
      <c r="A1621"/>
      <c r="B1621"/>
    </row>
    <row r="1622" spans="1:2" x14ac:dyDescent="0.25">
      <c r="A1622"/>
      <c r="B1622"/>
    </row>
    <row r="1623" spans="1:2" x14ac:dyDescent="0.25">
      <c r="A1623"/>
      <c r="B1623"/>
    </row>
    <row r="1624" spans="1:2" x14ac:dyDescent="0.25">
      <c r="A1624"/>
      <c r="B1624"/>
    </row>
    <row r="1625" spans="1:2" x14ac:dyDescent="0.25">
      <c r="A1625"/>
      <c r="B1625"/>
    </row>
    <row r="1626" spans="1:2" x14ac:dyDescent="0.25">
      <c r="A1626"/>
      <c r="B1626"/>
    </row>
    <row r="1627" spans="1:2" x14ac:dyDescent="0.25">
      <c r="A1627"/>
      <c r="B1627"/>
    </row>
    <row r="1628" spans="1:2" x14ac:dyDescent="0.25">
      <c r="A1628"/>
      <c r="B1628"/>
    </row>
    <row r="1629" spans="1:2" x14ac:dyDescent="0.25">
      <c r="A1629"/>
      <c r="B1629"/>
    </row>
    <row r="1630" spans="1:2" x14ac:dyDescent="0.25">
      <c r="A1630"/>
      <c r="B1630"/>
    </row>
    <row r="1631" spans="1:2" x14ac:dyDescent="0.25">
      <c r="A1631"/>
      <c r="B1631"/>
    </row>
    <row r="1632" spans="1:2" x14ac:dyDescent="0.25">
      <c r="A1632"/>
      <c r="B1632"/>
    </row>
    <row r="1633" spans="1:2" x14ac:dyDescent="0.25">
      <c r="A1633"/>
      <c r="B1633"/>
    </row>
    <row r="1634" spans="1:2" x14ac:dyDescent="0.25">
      <c r="A1634"/>
      <c r="B1634"/>
    </row>
    <row r="1635" spans="1:2" x14ac:dyDescent="0.25">
      <c r="A1635"/>
      <c r="B1635"/>
    </row>
    <row r="1636" spans="1:2" x14ac:dyDescent="0.25">
      <c r="A1636"/>
      <c r="B1636"/>
    </row>
    <row r="1637" spans="1:2" x14ac:dyDescent="0.25">
      <c r="A1637"/>
      <c r="B1637"/>
    </row>
    <row r="1638" spans="1:2" x14ac:dyDescent="0.25">
      <c r="A1638"/>
      <c r="B1638"/>
    </row>
    <row r="1639" spans="1:2" x14ac:dyDescent="0.25">
      <c r="A1639"/>
      <c r="B1639"/>
    </row>
    <row r="1640" spans="1:2" x14ac:dyDescent="0.25">
      <c r="A1640"/>
      <c r="B1640"/>
    </row>
    <row r="1641" spans="1:2" x14ac:dyDescent="0.25">
      <c r="A1641"/>
      <c r="B1641"/>
    </row>
    <row r="1642" spans="1:2" x14ac:dyDescent="0.25">
      <c r="A1642"/>
      <c r="B1642"/>
    </row>
    <row r="1643" spans="1:2" x14ac:dyDescent="0.25">
      <c r="A1643"/>
      <c r="B1643"/>
    </row>
    <row r="1644" spans="1:2" x14ac:dyDescent="0.25">
      <c r="A1644"/>
      <c r="B1644"/>
    </row>
    <row r="1645" spans="1:2" x14ac:dyDescent="0.25">
      <c r="A1645"/>
      <c r="B1645"/>
    </row>
    <row r="1646" spans="1:2" x14ac:dyDescent="0.25">
      <c r="A1646"/>
      <c r="B1646"/>
    </row>
    <row r="1647" spans="1:2" x14ac:dyDescent="0.25">
      <c r="A1647"/>
      <c r="B1647"/>
    </row>
    <row r="1648" spans="1:2" x14ac:dyDescent="0.25">
      <c r="A1648"/>
      <c r="B1648"/>
    </row>
    <row r="1649" spans="1:2" x14ac:dyDescent="0.25">
      <c r="A1649"/>
      <c r="B1649"/>
    </row>
    <row r="1650" spans="1:2" x14ac:dyDescent="0.25">
      <c r="A1650"/>
      <c r="B1650"/>
    </row>
    <row r="1651" spans="1:2" x14ac:dyDescent="0.25">
      <c r="A1651"/>
      <c r="B1651"/>
    </row>
    <row r="1652" spans="1:2" x14ac:dyDescent="0.25">
      <c r="A1652"/>
      <c r="B1652"/>
    </row>
    <row r="1653" spans="1:2" x14ac:dyDescent="0.25">
      <c r="A1653"/>
      <c r="B1653"/>
    </row>
    <row r="1654" spans="1:2" x14ac:dyDescent="0.25">
      <c r="A1654"/>
      <c r="B1654"/>
    </row>
    <row r="1655" spans="1:2" x14ac:dyDescent="0.25">
      <c r="A1655"/>
      <c r="B1655"/>
    </row>
    <row r="1656" spans="1:2" x14ac:dyDescent="0.25">
      <c r="A1656"/>
      <c r="B1656"/>
    </row>
    <row r="1657" spans="1:2" x14ac:dyDescent="0.25">
      <c r="A1657"/>
      <c r="B1657"/>
    </row>
    <row r="1658" spans="1:2" x14ac:dyDescent="0.25">
      <c r="A1658"/>
      <c r="B1658"/>
    </row>
    <row r="1659" spans="1:2" x14ac:dyDescent="0.25">
      <c r="A1659"/>
      <c r="B1659"/>
    </row>
    <row r="1660" spans="1:2" x14ac:dyDescent="0.25">
      <c r="A1660"/>
      <c r="B1660"/>
    </row>
    <row r="1661" spans="1:2" x14ac:dyDescent="0.25">
      <c r="A1661"/>
      <c r="B1661"/>
    </row>
    <row r="1662" spans="1:2" x14ac:dyDescent="0.25">
      <c r="A1662"/>
      <c r="B1662"/>
    </row>
    <row r="1663" spans="1:2" x14ac:dyDescent="0.25">
      <c r="A1663"/>
      <c r="B1663"/>
    </row>
    <row r="1664" spans="1:2" x14ac:dyDescent="0.25">
      <c r="A1664"/>
      <c r="B1664"/>
    </row>
    <row r="1665" spans="1:2" x14ac:dyDescent="0.25">
      <c r="A1665"/>
      <c r="B1665"/>
    </row>
    <row r="1666" spans="1:2" x14ac:dyDescent="0.25">
      <c r="A1666"/>
      <c r="B1666"/>
    </row>
    <row r="1667" spans="1:2" x14ac:dyDescent="0.25">
      <c r="A1667"/>
      <c r="B1667"/>
    </row>
    <row r="1668" spans="1:2" x14ac:dyDescent="0.25">
      <c r="A1668"/>
      <c r="B1668"/>
    </row>
    <row r="1669" spans="1:2" x14ac:dyDescent="0.25">
      <c r="A1669"/>
      <c r="B1669"/>
    </row>
    <row r="1670" spans="1:2" x14ac:dyDescent="0.25">
      <c r="A1670"/>
      <c r="B1670"/>
    </row>
    <row r="1671" spans="1:2" x14ac:dyDescent="0.25">
      <c r="A1671"/>
      <c r="B1671"/>
    </row>
    <row r="1672" spans="1:2" x14ac:dyDescent="0.25">
      <c r="A1672"/>
      <c r="B1672"/>
    </row>
    <row r="1673" spans="1:2" x14ac:dyDescent="0.25">
      <c r="A1673"/>
      <c r="B1673"/>
    </row>
    <row r="1674" spans="1:2" x14ac:dyDescent="0.25">
      <c r="A1674"/>
      <c r="B1674"/>
    </row>
    <row r="1675" spans="1:2" x14ac:dyDescent="0.25">
      <c r="A1675"/>
      <c r="B1675"/>
    </row>
    <row r="1676" spans="1:2" x14ac:dyDescent="0.25">
      <c r="A1676"/>
      <c r="B1676"/>
    </row>
    <row r="1677" spans="1:2" x14ac:dyDescent="0.25">
      <c r="A1677"/>
      <c r="B1677"/>
    </row>
    <row r="1678" spans="1:2" x14ac:dyDescent="0.25">
      <c r="A1678"/>
      <c r="B1678"/>
    </row>
    <row r="1679" spans="1:2" x14ac:dyDescent="0.25">
      <c r="A1679"/>
      <c r="B1679"/>
    </row>
    <row r="1680" spans="1:2" x14ac:dyDescent="0.25">
      <c r="A1680"/>
      <c r="B1680"/>
    </row>
    <row r="1681" spans="1:2" x14ac:dyDescent="0.25">
      <c r="A1681"/>
      <c r="B1681"/>
    </row>
    <row r="1682" spans="1:2" x14ac:dyDescent="0.25">
      <c r="A1682"/>
      <c r="B1682"/>
    </row>
    <row r="1683" spans="1:2" x14ac:dyDescent="0.25">
      <c r="A1683"/>
      <c r="B1683"/>
    </row>
    <row r="1684" spans="1:2" x14ac:dyDescent="0.25">
      <c r="A1684"/>
      <c r="B1684"/>
    </row>
    <row r="1685" spans="1:2" x14ac:dyDescent="0.25">
      <c r="A1685"/>
      <c r="B1685"/>
    </row>
    <row r="1686" spans="1:2" x14ac:dyDescent="0.25">
      <c r="A1686"/>
      <c r="B1686"/>
    </row>
    <row r="1687" spans="1:2" x14ac:dyDescent="0.25">
      <c r="A1687"/>
      <c r="B1687"/>
    </row>
    <row r="1688" spans="1:2" x14ac:dyDescent="0.25">
      <c r="A1688"/>
      <c r="B1688"/>
    </row>
    <row r="1689" spans="1:2" x14ac:dyDescent="0.25">
      <c r="A1689"/>
      <c r="B1689"/>
    </row>
    <row r="1690" spans="1:2" x14ac:dyDescent="0.25">
      <c r="A1690"/>
      <c r="B1690"/>
    </row>
    <row r="1691" spans="1:2" x14ac:dyDescent="0.25">
      <c r="A1691"/>
      <c r="B1691"/>
    </row>
    <row r="1692" spans="1:2" x14ac:dyDescent="0.25">
      <c r="A1692"/>
      <c r="B1692"/>
    </row>
    <row r="1693" spans="1:2" x14ac:dyDescent="0.25">
      <c r="A1693"/>
      <c r="B1693"/>
    </row>
    <row r="1694" spans="1:2" x14ac:dyDescent="0.25">
      <c r="A1694"/>
      <c r="B1694"/>
    </row>
    <row r="1695" spans="1:2" x14ac:dyDescent="0.25">
      <c r="A1695"/>
      <c r="B1695"/>
    </row>
    <row r="1696" spans="1:2" x14ac:dyDescent="0.25">
      <c r="A1696"/>
      <c r="B1696"/>
    </row>
    <row r="1697" spans="1:2" x14ac:dyDescent="0.25">
      <c r="A1697"/>
      <c r="B1697"/>
    </row>
    <row r="1698" spans="1:2" x14ac:dyDescent="0.25">
      <c r="A1698"/>
      <c r="B1698"/>
    </row>
    <row r="1699" spans="1:2" x14ac:dyDescent="0.25">
      <c r="A1699"/>
      <c r="B1699"/>
    </row>
    <row r="1700" spans="1:2" x14ac:dyDescent="0.25">
      <c r="A1700"/>
      <c r="B1700"/>
    </row>
    <row r="1701" spans="1:2" x14ac:dyDescent="0.25">
      <c r="A1701"/>
      <c r="B1701"/>
    </row>
    <row r="1702" spans="1:2" x14ac:dyDescent="0.25">
      <c r="A1702"/>
      <c r="B1702"/>
    </row>
    <row r="1703" spans="1:2" x14ac:dyDescent="0.25">
      <c r="A1703"/>
      <c r="B1703"/>
    </row>
    <row r="1704" spans="1:2" x14ac:dyDescent="0.25">
      <c r="A1704"/>
      <c r="B1704"/>
    </row>
    <row r="1705" spans="1:2" x14ac:dyDescent="0.25">
      <c r="A1705"/>
      <c r="B1705"/>
    </row>
    <row r="1706" spans="1:2" x14ac:dyDescent="0.25">
      <c r="A1706"/>
      <c r="B1706"/>
    </row>
    <row r="1707" spans="1:2" x14ac:dyDescent="0.25">
      <c r="A1707"/>
      <c r="B1707"/>
    </row>
    <row r="1708" spans="1:2" x14ac:dyDescent="0.25">
      <c r="A1708"/>
      <c r="B1708"/>
    </row>
    <row r="1709" spans="1:2" x14ac:dyDescent="0.25">
      <c r="A1709"/>
      <c r="B1709"/>
    </row>
    <row r="1710" spans="1:2" x14ac:dyDescent="0.25">
      <c r="A1710"/>
      <c r="B1710"/>
    </row>
    <row r="1711" spans="1:2" x14ac:dyDescent="0.25">
      <c r="A1711"/>
      <c r="B1711"/>
    </row>
    <row r="1712" spans="1:2" x14ac:dyDescent="0.25">
      <c r="A1712"/>
      <c r="B1712"/>
    </row>
    <row r="1713" spans="1:2" x14ac:dyDescent="0.25">
      <c r="A1713"/>
      <c r="B1713"/>
    </row>
    <row r="1714" spans="1:2" x14ac:dyDescent="0.25">
      <c r="A1714"/>
      <c r="B1714"/>
    </row>
    <row r="1715" spans="1:2" x14ac:dyDescent="0.25">
      <c r="A1715"/>
      <c r="B1715"/>
    </row>
    <row r="1716" spans="1:2" x14ac:dyDescent="0.25">
      <c r="A1716"/>
      <c r="B1716"/>
    </row>
    <row r="1717" spans="1:2" x14ac:dyDescent="0.25">
      <c r="A1717"/>
      <c r="B1717"/>
    </row>
    <row r="1718" spans="1:2" x14ac:dyDescent="0.25">
      <c r="A1718"/>
      <c r="B1718"/>
    </row>
    <row r="1719" spans="1:2" x14ac:dyDescent="0.25">
      <c r="A1719"/>
      <c r="B1719"/>
    </row>
    <row r="1720" spans="1:2" x14ac:dyDescent="0.25">
      <c r="A1720"/>
      <c r="B1720"/>
    </row>
    <row r="1721" spans="1:2" x14ac:dyDescent="0.25">
      <c r="A1721"/>
      <c r="B1721"/>
    </row>
    <row r="1722" spans="1:2" x14ac:dyDescent="0.25">
      <c r="A1722"/>
      <c r="B1722"/>
    </row>
    <row r="1723" spans="1:2" x14ac:dyDescent="0.25">
      <c r="A1723"/>
      <c r="B1723"/>
    </row>
    <row r="1724" spans="1:2" x14ac:dyDescent="0.25">
      <c r="A1724"/>
      <c r="B1724"/>
    </row>
    <row r="1725" spans="1:2" x14ac:dyDescent="0.25">
      <c r="A1725"/>
      <c r="B1725"/>
    </row>
    <row r="1726" spans="1:2" x14ac:dyDescent="0.25">
      <c r="A1726"/>
      <c r="B1726"/>
    </row>
    <row r="1727" spans="1:2" x14ac:dyDescent="0.25">
      <c r="A1727"/>
      <c r="B1727"/>
    </row>
    <row r="1728" spans="1:2" x14ac:dyDescent="0.25">
      <c r="A1728"/>
      <c r="B1728"/>
    </row>
    <row r="1729" spans="1:2" x14ac:dyDescent="0.25">
      <c r="A1729"/>
      <c r="B1729"/>
    </row>
    <row r="1730" spans="1:2" x14ac:dyDescent="0.25">
      <c r="A1730"/>
      <c r="B1730"/>
    </row>
    <row r="1731" spans="1:2" x14ac:dyDescent="0.25">
      <c r="A1731"/>
      <c r="B1731"/>
    </row>
    <row r="1732" spans="1:2" x14ac:dyDescent="0.25">
      <c r="A1732"/>
      <c r="B1732"/>
    </row>
    <row r="1733" spans="1:2" x14ac:dyDescent="0.25">
      <c r="A1733"/>
      <c r="B1733"/>
    </row>
    <row r="1734" spans="1:2" x14ac:dyDescent="0.25">
      <c r="A1734"/>
      <c r="B1734"/>
    </row>
    <row r="1735" spans="1:2" x14ac:dyDescent="0.25">
      <c r="A1735"/>
      <c r="B1735"/>
    </row>
    <row r="1736" spans="1:2" x14ac:dyDescent="0.25">
      <c r="A1736"/>
      <c r="B1736"/>
    </row>
    <row r="1737" spans="1:2" x14ac:dyDescent="0.25">
      <c r="A1737"/>
      <c r="B1737"/>
    </row>
    <row r="1738" spans="1:2" x14ac:dyDescent="0.25">
      <c r="A1738"/>
      <c r="B1738"/>
    </row>
    <row r="1739" spans="1:2" x14ac:dyDescent="0.25">
      <c r="A1739"/>
      <c r="B1739"/>
    </row>
    <row r="1740" spans="1:2" x14ac:dyDescent="0.25">
      <c r="A1740"/>
      <c r="B1740"/>
    </row>
    <row r="1741" spans="1:2" x14ac:dyDescent="0.25">
      <c r="A1741"/>
      <c r="B1741"/>
    </row>
    <row r="1742" spans="1:2" x14ac:dyDescent="0.25">
      <c r="A1742"/>
      <c r="B1742"/>
    </row>
    <row r="1743" spans="1:2" x14ac:dyDescent="0.25">
      <c r="A1743"/>
      <c r="B1743"/>
    </row>
    <row r="1744" spans="1:2" x14ac:dyDescent="0.25">
      <c r="A1744"/>
      <c r="B1744"/>
    </row>
    <row r="1745" spans="1:2" x14ac:dyDescent="0.25">
      <c r="A1745"/>
      <c r="B1745"/>
    </row>
    <row r="1746" spans="1:2" x14ac:dyDescent="0.25">
      <c r="A1746"/>
      <c r="B1746"/>
    </row>
    <row r="1747" spans="1:2" x14ac:dyDescent="0.25">
      <c r="A1747"/>
      <c r="B1747"/>
    </row>
    <row r="1748" spans="1:2" x14ac:dyDescent="0.25">
      <c r="A1748"/>
      <c r="B1748"/>
    </row>
    <row r="1749" spans="1:2" x14ac:dyDescent="0.25">
      <c r="A1749"/>
      <c r="B1749"/>
    </row>
    <row r="1750" spans="1:2" x14ac:dyDescent="0.25">
      <c r="A1750"/>
      <c r="B1750"/>
    </row>
    <row r="1751" spans="1:2" x14ac:dyDescent="0.25">
      <c r="A1751"/>
      <c r="B1751"/>
    </row>
    <row r="1752" spans="1:2" x14ac:dyDescent="0.25">
      <c r="A1752"/>
      <c r="B1752"/>
    </row>
    <row r="1753" spans="1:2" x14ac:dyDescent="0.25">
      <c r="A1753"/>
      <c r="B1753"/>
    </row>
    <row r="1754" spans="1:2" x14ac:dyDescent="0.25">
      <c r="A1754"/>
      <c r="B1754"/>
    </row>
    <row r="1755" spans="1:2" x14ac:dyDescent="0.25">
      <c r="A1755"/>
      <c r="B1755"/>
    </row>
    <row r="1756" spans="1:2" x14ac:dyDescent="0.25">
      <c r="A1756"/>
      <c r="B1756"/>
    </row>
    <row r="1757" spans="1:2" x14ac:dyDescent="0.25">
      <c r="A1757"/>
      <c r="B1757"/>
    </row>
    <row r="1758" spans="1:2" x14ac:dyDescent="0.25">
      <c r="A1758"/>
      <c r="B1758"/>
    </row>
    <row r="1759" spans="1:2" x14ac:dyDescent="0.25">
      <c r="A1759"/>
      <c r="B1759"/>
    </row>
    <row r="1760" spans="1:2" x14ac:dyDescent="0.25">
      <c r="A1760"/>
      <c r="B1760"/>
    </row>
    <row r="1761" spans="1:2" x14ac:dyDescent="0.25">
      <c r="A1761"/>
      <c r="B1761"/>
    </row>
    <row r="1762" spans="1:2" x14ac:dyDescent="0.25">
      <c r="A1762"/>
      <c r="B1762"/>
    </row>
    <row r="1763" spans="1:2" x14ac:dyDescent="0.25">
      <c r="A1763"/>
      <c r="B1763"/>
    </row>
    <row r="1764" spans="1:2" x14ac:dyDescent="0.25">
      <c r="A1764"/>
      <c r="B1764"/>
    </row>
    <row r="1765" spans="1:2" x14ac:dyDescent="0.25">
      <c r="A1765"/>
      <c r="B1765"/>
    </row>
    <row r="1766" spans="1:2" x14ac:dyDescent="0.25">
      <c r="A1766"/>
      <c r="B1766"/>
    </row>
    <row r="1767" spans="1:2" x14ac:dyDescent="0.25">
      <c r="A1767"/>
      <c r="B1767"/>
    </row>
    <row r="1768" spans="1:2" x14ac:dyDescent="0.25">
      <c r="A1768"/>
      <c r="B1768"/>
    </row>
    <row r="1769" spans="1:2" x14ac:dyDescent="0.25">
      <c r="A1769"/>
      <c r="B1769"/>
    </row>
    <row r="1770" spans="1:2" x14ac:dyDescent="0.25">
      <c r="A1770"/>
      <c r="B1770"/>
    </row>
    <row r="1771" spans="1:2" x14ac:dyDescent="0.25">
      <c r="A1771"/>
      <c r="B1771"/>
    </row>
    <row r="1772" spans="1:2" x14ac:dyDescent="0.25">
      <c r="A1772"/>
      <c r="B1772"/>
    </row>
    <row r="1773" spans="1:2" x14ac:dyDescent="0.25">
      <c r="A1773"/>
      <c r="B1773"/>
    </row>
    <row r="1774" spans="1:2" x14ac:dyDescent="0.25">
      <c r="A1774"/>
      <c r="B1774"/>
    </row>
    <row r="1775" spans="1:2" x14ac:dyDescent="0.25">
      <c r="A1775"/>
      <c r="B1775"/>
    </row>
    <row r="1776" spans="1:2" x14ac:dyDescent="0.25">
      <c r="A1776"/>
      <c r="B1776"/>
    </row>
    <row r="1777" spans="1:2" x14ac:dyDescent="0.25">
      <c r="A1777"/>
      <c r="B1777"/>
    </row>
    <row r="1778" spans="1:2" x14ac:dyDescent="0.25">
      <c r="A1778"/>
      <c r="B1778"/>
    </row>
    <row r="1779" spans="1:2" x14ac:dyDescent="0.25">
      <c r="A1779"/>
      <c r="B1779"/>
    </row>
    <row r="1780" spans="1:2" x14ac:dyDescent="0.25">
      <c r="A1780"/>
      <c r="B1780"/>
    </row>
    <row r="1781" spans="1:2" x14ac:dyDescent="0.25">
      <c r="A1781"/>
      <c r="B1781"/>
    </row>
    <row r="1782" spans="1:2" x14ac:dyDescent="0.25">
      <c r="A1782"/>
      <c r="B1782"/>
    </row>
    <row r="1783" spans="1:2" x14ac:dyDescent="0.25">
      <c r="A1783"/>
      <c r="B1783"/>
    </row>
    <row r="1784" spans="1:2" x14ac:dyDescent="0.25">
      <c r="A1784"/>
      <c r="B1784"/>
    </row>
    <row r="1785" spans="1:2" x14ac:dyDescent="0.25">
      <c r="A1785"/>
      <c r="B1785"/>
    </row>
    <row r="1786" spans="1:2" x14ac:dyDescent="0.25">
      <c r="A1786"/>
      <c r="B1786"/>
    </row>
    <row r="1787" spans="1:2" x14ac:dyDescent="0.25">
      <c r="A1787"/>
      <c r="B1787"/>
    </row>
    <row r="1788" spans="1:2" x14ac:dyDescent="0.25">
      <c r="A1788"/>
      <c r="B1788"/>
    </row>
    <row r="1789" spans="1:2" x14ac:dyDescent="0.25">
      <c r="A1789"/>
      <c r="B1789"/>
    </row>
    <row r="1790" spans="1:2" x14ac:dyDescent="0.25">
      <c r="A1790"/>
      <c r="B1790"/>
    </row>
    <row r="1791" spans="1:2" x14ac:dyDescent="0.25">
      <c r="A1791"/>
      <c r="B1791"/>
    </row>
    <row r="1792" spans="1:2" x14ac:dyDescent="0.25">
      <c r="A1792"/>
      <c r="B1792"/>
    </row>
    <row r="1793" spans="1:2" x14ac:dyDescent="0.25">
      <c r="A1793"/>
      <c r="B1793"/>
    </row>
    <row r="1794" spans="1:2" x14ac:dyDescent="0.25">
      <c r="A1794"/>
      <c r="B1794"/>
    </row>
    <row r="1795" spans="1:2" x14ac:dyDescent="0.25">
      <c r="A1795"/>
      <c r="B1795"/>
    </row>
    <row r="1796" spans="1:2" x14ac:dyDescent="0.25">
      <c r="A1796"/>
      <c r="B1796"/>
    </row>
    <row r="1797" spans="1:2" x14ac:dyDescent="0.25">
      <c r="A1797"/>
      <c r="B1797"/>
    </row>
    <row r="1798" spans="1:2" x14ac:dyDescent="0.25">
      <c r="A1798"/>
      <c r="B1798"/>
    </row>
    <row r="1799" spans="1:2" x14ac:dyDescent="0.25">
      <c r="A1799"/>
      <c r="B1799"/>
    </row>
    <row r="1800" spans="1:2" x14ac:dyDescent="0.25">
      <c r="A1800"/>
      <c r="B1800"/>
    </row>
    <row r="1801" spans="1:2" x14ac:dyDescent="0.25">
      <c r="A1801"/>
      <c r="B1801"/>
    </row>
    <row r="1802" spans="1:2" x14ac:dyDescent="0.25">
      <c r="A1802"/>
      <c r="B1802"/>
    </row>
    <row r="1803" spans="1:2" x14ac:dyDescent="0.25">
      <c r="A1803"/>
      <c r="B1803"/>
    </row>
    <row r="1804" spans="1:2" x14ac:dyDescent="0.25">
      <c r="A1804"/>
      <c r="B1804"/>
    </row>
    <row r="1805" spans="1:2" x14ac:dyDescent="0.25">
      <c r="A1805"/>
      <c r="B1805"/>
    </row>
    <row r="1806" spans="1:2" x14ac:dyDescent="0.25">
      <c r="A1806"/>
      <c r="B1806"/>
    </row>
    <row r="1807" spans="1:2" x14ac:dyDescent="0.25">
      <c r="A1807"/>
      <c r="B1807"/>
    </row>
    <row r="1808" spans="1:2" x14ac:dyDescent="0.25">
      <c r="A1808"/>
      <c r="B1808"/>
    </row>
    <row r="1809" spans="1:2" x14ac:dyDescent="0.25">
      <c r="A1809"/>
      <c r="B1809"/>
    </row>
    <row r="1810" spans="1:2" x14ac:dyDescent="0.25">
      <c r="A1810"/>
      <c r="B1810"/>
    </row>
    <row r="1811" spans="1:2" x14ac:dyDescent="0.25">
      <c r="A1811"/>
      <c r="B1811"/>
    </row>
    <row r="1812" spans="1:2" x14ac:dyDescent="0.25">
      <c r="A1812"/>
      <c r="B1812"/>
    </row>
    <row r="1813" spans="1:2" x14ac:dyDescent="0.25">
      <c r="A1813"/>
      <c r="B1813"/>
    </row>
    <row r="1814" spans="1:2" x14ac:dyDescent="0.25">
      <c r="A1814"/>
      <c r="B1814"/>
    </row>
    <row r="1815" spans="1:2" x14ac:dyDescent="0.25">
      <c r="A1815"/>
      <c r="B1815"/>
    </row>
    <row r="1816" spans="1:2" x14ac:dyDescent="0.25">
      <c r="A1816"/>
      <c r="B1816"/>
    </row>
    <row r="1817" spans="1:2" x14ac:dyDescent="0.25">
      <c r="A1817"/>
      <c r="B1817"/>
    </row>
    <row r="1818" spans="1:2" x14ac:dyDescent="0.25">
      <c r="A1818"/>
      <c r="B1818"/>
    </row>
    <row r="1819" spans="1:2" x14ac:dyDescent="0.25">
      <c r="A1819"/>
      <c r="B1819"/>
    </row>
    <row r="1820" spans="1:2" x14ac:dyDescent="0.25">
      <c r="A1820"/>
      <c r="B1820"/>
    </row>
    <row r="1821" spans="1:2" x14ac:dyDescent="0.25">
      <c r="A1821"/>
      <c r="B1821"/>
    </row>
    <row r="1822" spans="1:2" x14ac:dyDescent="0.25">
      <c r="A1822"/>
      <c r="B1822"/>
    </row>
    <row r="1823" spans="1:2" x14ac:dyDescent="0.25">
      <c r="A1823"/>
      <c r="B1823"/>
    </row>
    <row r="1824" spans="1:2" x14ac:dyDescent="0.25">
      <c r="A1824"/>
      <c r="B1824"/>
    </row>
    <row r="1825" spans="1:2" x14ac:dyDescent="0.25">
      <c r="A1825"/>
      <c r="B1825"/>
    </row>
    <row r="1826" spans="1:2" x14ac:dyDescent="0.25">
      <c r="A1826"/>
      <c r="B1826"/>
    </row>
    <row r="1827" spans="1:2" x14ac:dyDescent="0.25">
      <c r="A1827"/>
      <c r="B1827"/>
    </row>
    <row r="1828" spans="1:2" x14ac:dyDescent="0.25">
      <c r="A1828"/>
      <c r="B1828"/>
    </row>
    <row r="1829" spans="1:2" x14ac:dyDescent="0.25">
      <c r="A1829"/>
      <c r="B1829"/>
    </row>
    <row r="1830" spans="1:2" x14ac:dyDescent="0.25">
      <c r="A1830"/>
      <c r="B1830"/>
    </row>
    <row r="1831" spans="1:2" x14ac:dyDescent="0.25">
      <c r="A1831"/>
      <c r="B1831"/>
    </row>
    <row r="1832" spans="1:2" x14ac:dyDescent="0.25">
      <c r="A1832"/>
      <c r="B1832"/>
    </row>
    <row r="1833" spans="1:2" x14ac:dyDescent="0.25">
      <c r="A1833"/>
      <c r="B1833"/>
    </row>
    <row r="1834" spans="1:2" x14ac:dyDescent="0.25">
      <c r="A1834"/>
      <c r="B1834"/>
    </row>
    <row r="1835" spans="1:2" x14ac:dyDescent="0.25">
      <c r="A1835"/>
      <c r="B1835"/>
    </row>
    <row r="1836" spans="1:2" x14ac:dyDescent="0.25">
      <c r="A1836"/>
      <c r="B1836"/>
    </row>
    <row r="1837" spans="1:2" x14ac:dyDescent="0.25">
      <c r="A1837"/>
      <c r="B1837"/>
    </row>
    <row r="1838" spans="1:2" x14ac:dyDescent="0.25">
      <c r="A1838"/>
      <c r="B1838"/>
    </row>
    <row r="1839" spans="1:2" x14ac:dyDescent="0.25">
      <c r="A1839"/>
      <c r="B1839"/>
    </row>
    <row r="1840" spans="1:2" x14ac:dyDescent="0.25">
      <c r="A1840"/>
      <c r="B1840"/>
    </row>
    <row r="1841" spans="1:2" x14ac:dyDescent="0.25">
      <c r="A1841"/>
      <c r="B1841"/>
    </row>
    <row r="1842" spans="1:2" x14ac:dyDescent="0.25">
      <c r="A1842"/>
      <c r="B1842"/>
    </row>
    <row r="1843" spans="1:2" x14ac:dyDescent="0.25">
      <c r="A1843"/>
      <c r="B1843"/>
    </row>
    <row r="1844" spans="1:2" x14ac:dyDescent="0.25">
      <c r="A1844"/>
      <c r="B1844"/>
    </row>
    <row r="1845" spans="1:2" x14ac:dyDescent="0.25">
      <c r="A1845"/>
      <c r="B1845"/>
    </row>
    <row r="1846" spans="1:2" x14ac:dyDescent="0.25">
      <c r="A1846"/>
      <c r="B1846"/>
    </row>
    <row r="1847" spans="1:2" x14ac:dyDescent="0.25">
      <c r="A1847"/>
      <c r="B1847"/>
    </row>
    <row r="1848" spans="1:2" x14ac:dyDescent="0.25">
      <c r="A1848"/>
      <c r="B1848"/>
    </row>
    <row r="1849" spans="1:2" x14ac:dyDescent="0.25">
      <c r="A1849"/>
      <c r="B1849"/>
    </row>
    <row r="1850" spans="1:2" x14ac:dyDescent="0.25">
      <c r="A1850"/>
      <c r="B1850"/>
    </row>
    <row r="1851" spans="1:2" x14ac:dyDescent="0.25">
      <c r="A1851"/>
      <c r="B1851"/>
    </row>
    <row r="1852" spans="1:2" x14ac:dyDescent="0.25">
      <c r="A1852"/>
      <c r="B1852"/>
    </row>
    <row r="1853" spans="1:2" x14ac:dyDescent="0.25">
      <c r="A1853"/>
      <c r="B1853"/>
    </row>
    <row r="1854" spans="1:2" x14ac:dyDescent="0.25">
      <c r="A1854"/>
      <c r="B1854"/>
    </row>
    <row r="1855" spans="1:2" x14ac:dyDescent="0.25">
      <c r="A1855"/>
      <c r="B1855"/>
    </row>
    <row r="1856" spans="1:2" x14ac:dyDescent="0.25">
      <c r="A1856"/>
      <c r="B1856"/>
    </row>
    <row r="1857" spans="1:2" x14ac:dyDescent="0.25">
      <c r="A1857"/>
      <c r="B1857"/>
    </row>
    <row r="1858" spans="1:2" x14ac:dyDescent="0.25">
      <c r="A1858"/>
      <c r="B1858"/>
    </row>
    <row r="1859" spans="1:2" x14ac:dyDescent="0.25">
      <c r="A1859"/>
      <c r="B1859"/>
    </row>
    <row r="1860" spans="1:2" x14ac:dyDescent="0.25">
      <c r="A1860"/>
      <c r="B1860"/>
    </row>
    <row r="1861" spans="1:2" x14ac:dyDescent="0.25">
      <c r="A1861"/>
      <c r="B1861"/>
    </row>
    <row r="1862" spans="1:2" x14ac:dyDescent="0.25">
      <c r="A1862"/>
      <c r="B1862"/>
    </row>
    <row r="1863" spans="1:2" x14ac:dyDescent="0.25">
      <c r="A1863"/>
      <c r="B1863"/>
    </row>
    <row r="1864" spans="1:2" x14ac:dyDescent="0.25">
      <c r="A1864"/>
      <c r="B1864"/>
    </row>
    <row r="1865" spans="1:2" x14ac:dyDescent="0.25">
      <c r="A1865"/>
      <c r="B1865"/>
    </row>
    <row r="1866" spans="1:2" x14ac:dyDescent="0.25">
      <c r="A1866"/>
      <c r="B1866"/>
    </row>
    <row r="1867" spans="1:2" x14ac:dyDescent="0.25">
      <c r="A1867"/>
      <c r="B1867"/>
    </row>
    <row r="1868" spans="1:2" x14ac:dyDescent="0.25">
      <c r="A1868"/>
      <c r="B1868"/>
    </row>
    <row r="1869" spans="1:2" x14ac:dyDescent="0.25">
      <c r="A1869"/>
      <c r="B1869"/>
    </row>
    <row r="1870" spans="1:2" x14ac:dyDescent="0.25">
      <c r="A1870"/>
      <c r="B1870"/>
    </row>
    <row r="1871" spans="1:2" x14ac:dyDescent="0.25">
      <c r="A1871"/>
      <c r="B1871"/>
    </row>
    <row r="1872" spans="1:2" x14ac:dyDescent="0.25">
      <c r="A1872"/>
      <c r="B1872"/>
    </row>
    <row r="1873" spans="1:2" x14ac:dyDescent="0.25">
      <c r="A1873"/>
      <c r="B1873"/>
    </row>
    <row r="1874" spans="1:2" x14ac:dyDescent="0.25">
      <c r="A1874"/>
      <c r="B1874"/>
    </row>
    <row r="1875" spans="1:2" x14ac:dyDescent="0.25">
      <c r="A1875"/>
      <c r="B1875"/>
    </row>
    <row r="1876" spans="1:2" x14ac:dyDescent="0.25">
      <c r="A1876"/>
      <c r="B1876"/>
    </row>
    <row r="1877" spans="1:2" x14ac:dyDescent="0.25">
      <c r="A1877"/>
      <c r="B1877"/>
    </row>
    <row r="1878" spans="1:2" x14ac:dyDescent="0.25">
      <c r="A1878"/>
      <c r="B1878"/>
    </row>
    <row r="1879" spans="1:2" x14ac:dyDescent="0.25">
      <c r="A1879"/>
      <c r="B1879"/>
    </row>
    <row r="1880" spans="1:2" x14ac:dyDescent="0.25">
      <c r="A1880"/>
      <c r="B1880"/>
    </row>
    <row r="1881" spans="1:2" x14ac:dyDescent="0.25">
      <c r="A1881"/>
      <c r="B1881"/>
    </row>
    <row r="1882" spans="1:2" x14ac:dyDescent="0.25">
      <c r="A1882"/>
      <c r="B1882"/>
    </row>
    <row r="1883" spans="1:2" x14ac:dyDescent="0.25">
      <c r="A1883"/>
      <c r="B1883"/>
    </row>
    <row r="1884" spans="1:2" x14ac:dyDescent="0.25">
      <c r="A1884"/>
      <c r="B1884"/>
    </row>
    <row r="1885" spans="1:2" x14ac:dyDescent="0.25">
      <c r="A1885"/>
      <c r="B1885"/>
    </row>
    <row r="1886" spans="1:2" x14ac:dyDescent="0.25">
      <c r="A1886"/>
      <c r="B1886"/>
    </row>
    <row r="1887" spans="1:2" x14ac:dyDescent="0.25">
      <c r="A1887"/>
      <c r="B1887"/>
    </row>
    <row r="1888" spans="1:2" x14ac:dyDescent="0.25">
      <c r="A1888"/>
      <c r="B1888"/>
    </row>
    <row r="1889" spans="1:2" x14ac:dyDescent="0.25">
      <c r="A1889"/>
      <c r="B1889"/>
    </row>
    <row r="1890" spans="1:2" x14ac:dyDescent="0.25">
      <c r="A1890"/>
      <c r="B1890"/>
    </row>
    <row r="1891" spans="1:2" x14ac:dyDescent="0.25">
      <c r="A1891"/>
      <c r="B1891"/>
    </row>
    <row r="1892" spans="1:2" x14ac:dyDescent="0.25">
      <c r="A1892"/>
      <c r="B1892"/>
    </row>
    <row r="1893" spans="1:2" x14ac:dyDescent="0.25">
      <c r="A1893"/>
      <c r="B1893"/>
    </row>
    <row r="1894" spans="1:2" x14ac:dyDescent="0.25">
      <c r="A1894"/>
      <c r="B1894"/>
    </row>
    <row r="1895" spans="1:2" x14ac:dyDescent="0.25">
      <c r="A1895"/>
      <c r="B1895"/>
    </row>
    <row r="1896" spans="1:2" x14ac:dyDescent="0.25">
      <c r="A1896"/>
      <c r="B1896"/>
    </row>
    <row r="1897" spans="1:2" x14ac:dyDescent="0.25">
      <c r="A1897"/>
      <c r="B1897"/>
    </row>
    <row r="1898" spans="1:2" x14ac:dyDescent="0.25">
      <c r="A1898"/>
      <c r="B1898"/>
    </row>
    <row r="1899" spans="1:2" x14ac:dyDescent="0.25">
      <c r="A1899"/>
      <c r="B1899"/>
    </row>
    <row r="1900" spans="1:2" x14ac:dyDescent="0.25">
      <c r="A1900"/>
      <c r="B1900"/>
    </row>
    <row r="1901" spans="1:2" x14ac:dyDescent="0.25">
      <c r="A1901"/>
      <c r="B1901"/>
    </row>
    <row r="1902" spans="1:2" x14ac:dyDescent="0.25">
      <c r="A1902"/>
      <c r="B1902"/>
    </row>
    <row r="1903" spans="1:2" x14ac:dyDescent="0.25">
      <c r="A1903"/>
      <c r="B1903"/>
    </row>
    <row r="1904" spans="1:2" x14ac:dyDescent="0.25">
      <c r="A1904"/>
      <c r="B1904"/>
    </row>
    <row r="1905" spans="1:2" x14ac:dyDescent="0.25">
      <c r="A1905"/>
      <c r="B1905"/>
    </row>
    <row r="1906" spans="1:2" x14ac:dyDescent="0.25">
      <c r="A1906"/>
      <c r="B1906"/>
    </row>
    <row r="1907" spans="1:2" x14ac:dyDescent="0.25">
      <c r="A1907"/>
      <c r="B1907"/>
    </row>
    <row r="1908" spans="1:2" x14ac:dyDescent="0.25">
      <c r="A1908"/>
      <c r="B1908"/>
    </row>
    <row r="1909" spans="1:2" x14ac:dyDescent="0.25">
      <c r="A1909"/>
      <c r="B1909"/>
    </row>
    <row r="1910" spans="1:2" x14ac:dyDescent="0.25">
      <c r="A1910"/>
      <c r="B1910"/>
    </row>
    <row r="1911" spans="1:2" x14ac:dyDescent="0.25">
      <c r="A1911"/>
      <c r="B1911"/>
    </row>
    <row r="1912" spans="1:2" x14ac:dyDescent="0.25">
      <c r="A1912"/>
      <c r="B1912"/>
    </row>
    <row r="1913" spans="1:2" x14ac:dyDescent="0.25">
      <c r="A1913"/>
      <c r="B1913"/>
    </row>
    <row r="1914" spans="1:2" x14ac:dyDescent="0.25">
      <c r="A1914"/>
      <c r="B1914"/>
    </row>
    <row r="1915" spans="1:2" x14ac:dyDescent="0.25">
      <c r="A1915"/>
      <c r="B1915"/>
    </row>
    <row r="1916" spans="1:2" x14ac:dyDescent="0.25">
      <c r="A1916"/>
      <c r="B1916"/>
    </row>
    <row r="1917" spans="1:2" x14ac:dyDescent="0.25">
      <c r="A1917"/>
      <c r="B1917"/>
    </row>
    <row r="1918" spans="1:2" x14ac:dyDescent="0.25">
      <c r="A1918"/>
      <c r="B1918"/>
    </row>
    <row r="1919" spans="1:2" x14ac:dyDescent="0.25">
      <c r="A1919"/>
      <c r="B1919"/>
    </row>
    <row r="1920" spans="1:2" x14ac:dyDescent="0.25">
      <c r="A1920"/>
      <c r="B1920"/>
    </row>
    <row r="1921" spans="1:2" x14ac:dyDescent="0.25">
      <c r="A1921"/>
      <c r="B1921"/>
    </row>
    <row r="1922" spans="1:2" x14ac:dyDescent="0.25">
      <c r="A1922"/>
      <c r="B1922"/>
    </row>
    <row r="1923" spans="1:2" x14ac:dyDescent="0.25">
      <c r="A1923"/>
      <c r="B1923"/>
    </row>
    <row r="1924" spans="1:2" x14ac:dyDescent="0.25">
      <c r="A1924"/>
      <c r="B1924"/>
    </row>
    <row r="1925" spans="1:2" x14ac:dyDescent="0.25">
      <c r="A1925"/>
      <c r="B1925"/>
    </row>
    <row r="1926" spans="1:2" x14ac:dyDescent="0.25">
      <c r="A1926"/>
      <c r="B1926"/>
    </row>
    <row r="1927" spans="1:2" x14ac:dyDescent="0.25">
      <c r="A1927"/>
      <c r="B1927"/>
    </row>
    <row r="1928" spans="1:2" x14ac:dyDescent="0.25">
      <c r="A1928"/>
      <c r="B1928"/>
    </row>
    <row r="1929" spans="1:2" x14ac:dyDescent="0.25">
      <c r="A1929"/>
      <c r="B1929"/>
    </row>
    <row r="1930" spans="1:2" x14ac:dyDescent="0.25">
      <c r="A1930"/>
      <c r="B1930"/>
    </row>
    <row r="1931" spans="1:2" x14ac:dyDescent="0.25">
      <c r="A1931"/>
      <c r="B1931"/>
    </row>
    <row r="1932" spans="1:2" x14ac:dyDescent="0.25">
      <c r="A1932"/>
      <c r="B1932"/>
    </row>
    <row r="1933" spans="1:2" x14ac:dyDescent="0.25">
      <c r="A1933"/>
      <c r="B1933"/>
    </row>
    <row r="1934" spans="1:2" x14ac:dyDescent="0.25">
      <c r="A1934"/>
      <c r="B1934"/>
    </row>
    <row r="1935" spans="1:2" x14ac:dyDescent="0.25">
      <c r="A1935"/>
      <c r="B1935"/>
    </row>
    <row r="1936" spans="1:2" x14ac:dyDescent="0.25">
      <c r="A1936"/>
      <c r="B1936"/>
    </row>
    <row r="1937" spans="1:2" x14ac:dyDescent="0.25">
      <c r="A1937"/>
      <c r="B1937"/>
    </row>
    <row r="1938" spans="1:2" x14ac:dyDescent="0.25">
      <c r="A1938"/>
      <c r="B1938"/>
    </row>
    <row r="1939" spans="1:2" x14ac:dyDescent="0.25">
      <c r="A1939"/>
      <c r="B1939"/>
    </row>
    <row r="1940" spans="1:2" x14ac:dyDescent="0.25">
      <c r="A1940"/>
      <c r="B1940"/>
    </row>
    <row r="1941" spans="1:2" x14ac:dyDescent="0.25">
      <c r="A1941"/>
      <c r="B1941"/>
    </row>
    <row r="1942" spans="1:2" x14ac:dyDescent="0.25">
      <c r="A1942"/>
      <c r="B1942"/>
    </row>
    <row r="1943" spans="1:2" x14ac:dyDescent="0.25">
      <c r="A1943"/>
      <c r="B1943"/>
    </row>
    <row r="1944" spans="1:2" x14ac:dyDescent="0.25">
      <c r="A1944"/>
      <c r="B1944"/>
    </row>
    <row r="1945" spans="1:2" x14ac:dyDescent="0.25">
      <c r="A1945"/>
      <c r="B1945"/>
    </row>
    <row r="1946" spans="1:2" x14ac:dyDescent="0.25">
      <c r="A1946"/>
      <c r="B1946"/>
    </row>
    <row r="1947" spans="1:2" x14ac:dyDescent="0.25">
      <c r="A1947"/>
      <c r="B1947"/>
    </row>
    <row r="1948" spans="1:2" x14ac:dyDescent="0.25">
      <c r="A1948"/>
      <c r="B1948"/>
    </row>
    <row r="1949" spans="1:2" x14ac:dyDescent="0.25">
      <c r="A1949"/>
      <c r="B1949"/>
    </row>
    <row r="1950" spans="1:2" x14ac:dyDescent="0.25">
      <c r="A1950"/>
      <c r="B1950"/>
    </row>
    <row r="1951" spans="1:2" x14ac:dyDescent="0.25">
      <c r="A1951"/>
      <c r="B1951"/>
    </row>
    <row r="1952" spans="1:2" x14ac:dyDescent="0.25">
      <c r="A1952"/>
      <c r="B1952"/>
    </row>
    <row r="1953" spans="1:2" x14ac:dyDescent="0.25">
      <c r="A1953"/>
      <c r="B1953"/>
    </row>
    <row r="1954" spans="1:2" x14ac:dyDescent="0.25">
      <c r="A1954"/>
      <c r="B1954"/>
    </row>
    <row r="1955" spans="1:2" x14ac:dyDescent="0.25">
      <c r="A1955"/>
      <c r="B1955"/>
    </row>
    <row r="1956" spans="1:2" x14ac:dyDescent="0.25">
      <c r="A1956"/>
      <c r="B1956"/>
    </row>
    <row r="1957" spans="1:2" x14ac:dyDescent="0.25">
      <c r="A1957"/>
      <c r="B1957"/>
    </row>
    <row r="1958" spans="1:2" x14ac:dyDescent="0.25">
      <c r="A1958"/>
      <c r="B1958"/>
    </row>
    <row r="1959" spans="1:2" x14ac:dyDescent="0.25">
      <c r="A1959"/>
      <c r="B1959"/>
    </row>
    <row r="1960" spans="1:2" x14ac:dyDescent="0.25">
      <c r="A1960"/>
      <c r="B1960"/>
    </row>
    <row r="1961" spans="1:2" x14ac:dyDescent="0.25">
      <c r="A1961"/>
      <c r="B1961"/>
    </row>
    <row r="1962" spans="1:2" x14ac:dyDescent="0.25">
      <c r="A1962"/>
      <c r="B1962"/>
    </row>
    <row r="1963" spans="1:2" x14ac:dyDescent="0.25">
      <c r="A1963"/>
      <c r="B1963"/>
    </row>
    <row r="1964" spans="1:2" x14ac:dyDescent="0.25">
      <c r="A1964"/>
      <c r="B1964"/>
    </row>
    <row r="1965" spans="1:2" x14ac:dyDescent="0.25">
      <c r="A1965"/>
      <c r="B1965"/>
    </row>
    <row r="1966" spans="1:2" x14ac:dyDescent="0.25">
      <c r="A1966"/>
      <c r="B1966"/>
    </row>
    <row r="1967" spans="1:2" x14ac:dyDescent="0.25">
      <c r="A1967"/>
      <c r="B1967"/>
    </row>
    <row r="1968" spans="1:2" x14ac:dyDescent="0.25">
      <c r="A1968"/>
      <c r="B1968"/>
    </row>
    <row r="1969" spans="1:2" x14ac:dyDescent="0.25">
      <c r="A1969"/>
      <c r="B1969"/>
    </row>
    <row r="1970" spans="1:2" x14ac:dyDescent="0.25">
      <c r="A1970"/>
      <c r="B1970"/>
    </row>
    <row r="1971" spans="1:2" x14ac:dyDescent="0.25">
      <c r="A1971"/>
      <c r="B1971"/>
    </row>
    <row r="1972" spans="1:2" x14ac:dyDescent="0.25">
      <c r="A1972"/>
      <c r="B1972"/>
    </row>
    <row r="1973" spans="1:2" x14ac:dyDescent="0.25">
      <c r="A1973"/>
      <c r="B1973"/>
    </row>
    <row r="1974" spans="1:2" x14ac:dyDescent="0.25">
      <c r="A1974"/>
      <c r="B1974"/>
    </row>
    <row r="1975" spans="1:2" x14ac:dyDescent="0.25">
      <c r="A1975"/>
      <c r="B1975"/>
    </row>
    <row r="1976" spans="1:2" x14ac:dyDescent="0.25">
      <c r="A1976"/>
      <c r="B1976"/>
    </row>
    <row r="1977" spans="1:2" x14ac:dyDescent="0.25">
      <c r="A1977"/>
      <c r="B1977"/>
    </row>
    <row r="1978" spans="1:2" x14ac:dyDescent="0.25">
      <c r="A1978"/>
      <c r="B1978"/>
    </row>
    <row r="1979" spans="1:2" x14ac:dyDescent="0.25">
      <c r="A1979"/>
      <c r="B1979"/>
    </row>
    <row r="1980" spans="1:2" x14ac:dyDescent="0.25">
      <c r="A1980"/>
      <c r="B1980"/>
    </row>
    <row r="1981" spans="1:2" x14ac:dyDescent="0.25">
      <c r="A1981"/>
      <c r="B1981"/>
    </row>
    <row r="1982" spans="1:2" x14ac:dyDescent="0.25">
      <c r="A1982"/>
      <c r="B1982"/>
    </row>
    <row r="1983" spans="1:2" x14ac:dyDescent="0.25">
      <c r="A1983"/>
      <c r="B1983"/>
    </row>
    <row r="1984" spans="1:2" x14ac:dyDescent="0.25">
      <c r="A1984"/>
      <c r="B1984"/>
    </row>
    <row r="1985" spans="1:2" x14ac:dyDescent="0.25">
      <c r="A1985"/>
      <c r="B1985"/>
    </row>
    <row r="1986" spans="1:2" x14ac:dyDescent="0.25">
      <c r="A1986"/>
      <c r="B1986"/>
    </row>
    <row r="1987" spans="1:2" x14ac:dyDescent="0.25">
      <c r="A1987"/>
      <c r="B1987"/>
    </row>
    <row r="1988" spans="1:2" x14ac:dyDescent="0.25">
      <c r="A1988"/>
      <c r="B1988"/>
    </row>
    <row r="1989" spans="1:2" x14ac:dyDescent="0.25">
      <c r="A1989"/>
      <c r="B1989"/>
    </row>
    <row r="1990" spans="1:2" x14ac:dyDescent="0.25">
      <c r="A1990"/>
      <c r="B1990"/>
    </row>
    <row r="1991" spans="1:2" x14ac:dyDescent="0.25">
      <c r="A1991"/>
      <c r="B1991"/>
    </row>
    <row r="1992" spans="1:2" x14ac:dyDescent="0.25">
      <c r="A1992"/>
      <c r="B1992"/>
    </row>
    <row r="1993" spans="1:2" x14ac:dyDescent="0.25">
      <c r="A1993"/>
      <c r="B1993"/>
    </row>
    <row r="1994" spans="1:2" x14ac:dyDescent="0.25">
      <c r="A1994"/>
      <c r="B1994"/>
    </row>
    <row r="1995" spans="1:2" x14ac:dyDescent="0.25">
      <c r="A1995"/>
      <c r="B1995"/>
    </row>
    <row r="1996" spans="1:2" x14ac:dyDescent="0.25">
      <c r="A1996"/>
      <c r="B1996"/>
    </row>
    <row r="1997" spans="1:2" x14ac:dyDescent="0.25">
      <c r="A1997"/>
      <c r="B1997"/>
    </row>
    <row r="1998" spans="1:2" x14ac:dyDescent="0.25">
      <c r="A1998"/>
      <c r="B1998"/>
    </row>
    <row r="1999" spans="1:2" x14ac:dyDescent="0.25">
      <c r="A1999"/>
      <c r="B1999"/>
    </row>
    <row r="2000" spans="1:2" x14ac:dyDescent="0.25">
      <c r="A2000"/>
      <c r="B2000"/>
    </row>
    <row r="2001" spans="1:2" x14ac:dyDescent="0.25">
      <c r="A2001"/>
      <c r="B2001"/>
    </row>
    <row r="2002" spans="1:2" x14ac:dyDescent="0.25">
      <c r="A2002"/>
      <c r="B2002"/>
    </row>
    <row r="2003" spans="1:2" x14ac:dyDescent="0.25">
      <c r="A2003"/>
      <c r="B2003"/>
    </row>
    <row r="2004" spans="1:2" x14ac:dyDescent="0.25">
      <c r="A2004"/>
      <c r="B2004"/>
    </row>
    <row r="2005" spans="1:2" x14ac:dyDescent="0.25">
      <c r="A2005"/>
      <c r="B2005"/>
    </row>
    <row r="2006" spans="1:2" x14ac:dyDescent="0.25">
      <c r="A2006"/>
      <c r="B2006"/>
    </row>
    <row r="2007" spans="1:2" x14ac:dyDescent="0.25">
      <c r="A2007"/>
      <c r="B2007"/>
    </row>
    <row r="2008" spans="1:2" x14ac:dyDescent="0.25">
      <c r="A2008"/>
      <c r="B2008"/>
    </row>
    <row r="2009" spans="1:2" x14ac:dyDescent="0.25">
      <c r="A2009"/>
      <c r="B2009"/>
    </row>
    <row r="2010" spans="1:2" x14ac:dyDescent="0.25">
      <c r="A2010"/>
      <c r="B2010"/>
    </row>
    <row r="2011" spans="1:2" x14ac:dyDescent="0.25">
      <c r="A2011"/>
      <c r="B2011"/>
    </row>
    <row r="2012" spans="1:2" x14ac:dyDescent="0.25">
      <c r="A2012"/>
      <c r="B2012"/>
    </row>
    <row r="2013" spans="1:2" x14ac:dyDescent="0.25">
      <c r="A2013"/>
      <c r="B2013"/>
    </row>
    <row r="2014" spans="1:2" x14ac:dyDescent="0.25">
      <c r="A2014"/>
      <c r="B2014"/>
    </row>
    <row r="2015" spans="1:2" x14ac:dyDescent="0.25">
      <c r="A2015"/>
      <c r="B2015"/>
    </row>
    <row r="2016" spans="1:2" x14ac:dyDescent="0.25">
      <c r="A2016"/>
      <c r="B2016"/>
    </row>
    <row r="2017" spans="1:2" x14ac:dyDescent="0.25">
      <c r="A2017"/>
      <c r="B2017"/>
    </row>
    <row r="2018" spans="1:2" x14ac:dyDescent="0.25">
      <c r="A2018"/>
      <c r="B2018"/>
    </row>
    <row r="2019" spans="1:2" x14ac:dyDescent="0.25">
      <c r="A2019"/>
      <c r="B2019"/>
    </row>
    <row r="2020" spans="1:2" x14ac:dyDescent="0.25">
      <c r="A2020"/>
      <c r="B2020"/>
    </row>
    <row r="2021" spans="1:2" x14ac:dyDescent="0.25">
      <c r="A2021"/>
      <c r="B2021"/>
    </row>
    <row r="2022" spans="1:2" x14ac:dyDescent="0.25">
      <c r="A2022"/>
      <c r="B2022"/>
    </row>
    <row r="2023" spans="1:2" x14ac:dyDescent="0.25">
      <c r="A2023"/>
      <c r="B2023"/>
    </row>
    <row r="2024" spans="1:2" x14ac:dyDescent="0.25">
      <c r="A2024"/>
      <c r="B2024"/>
    </row>
    <row r="2025" spans="1:2" x14ac:dyDescent="0.25">
      <c r="A2025"/>
      <c r="B2025"/>
    </row>
    <row r="2026" spans="1:2" x14ac:dyDescent="0.25">
      <c r="A2026"/>
      <c r="B2026"/>
    </row>
    <row r="2027" spans="1:2" x14ac:dyDescent="0.25">
      <c r="A2027"/>
      <c r="B2027"/>
    </row>
    <row r="2028" spans="1:2" x14ac:dyDescent="0.25">
      <c r="A2028"/>
      <c r="B2028"/>
    </row>
    <row r="2029" spans="1:2" x14ac:dyDescent="0.25">
      <c r="A2029"/>
      <c r="B2029"/>
    </row>
    <row r="2030" spans="1:2" x14ac:dyDescent="0.25">
      <c r="A2030"/>
      <c r="B2030"/>
    </row>
    <row r="2031" spans="1:2" x14ac:dyDescent="0.25">
      <c r="A2031"/>
      <c r="B2031"/>
    </row>
    <row r="2032" spans="1:2" x14ac:dyDescent="0.25">
      <c r="A2032"/>
      <c r="B2032"/>
    </row>
    <row r="2033" spans="1:2" x14ac:dyDescent="0.25">
      <c r="A2033"/>
      <c r="B2033"/>
    </row>
    <row r="2034" spans="1:2" x14ac:dyDescent="0.25">
      <c r="A2034"/>
      <c r="B2034"/>
    </row>
    <row r="2035" spans="1:2" x14ac:dyDescent="0.25">
      <c r="A2035"/>
      <c r="B2035"/>
    </row>
    <row r="2036" spans="1:2" x14ac:dyDescent="0.25">
      <c r="A2036"/>
      <c r="B2036"/>
    </row>
    <row r="2037" spans="1:2" x14ac:dyDescent="0.25">
      <c r="A2037"/>
      <c r="B2037"/>
    </row>
    <row r="2038" spans="1:2" x14ac:dyDescent="0.25">
      <c r="A2038"/>
      <c r="B2038"/>
    </row>
    <row r="2039" spans="1:2" x14ac:dyDescent="0.25">
      <c r="A2039"/>
      <c r="B2039"/>
    </row>
    <row r="2040" spans="1:2" x14ac:dyDescent="0.25">
      <c r="A2040"/>
      <c r="B2040"/>
    </row>
    <row r="2041" spans="1:2" x14ac:dyDescent="0.25">
      <c r="A2041"/>
      <c r="B2041"/>
    </row>
    <row r="2042" spans="1:2" x14ac:dyDescent="0.25">
      <c r="A2042"/>
      <c r="B2042"/>
    </row>
    <row r="2043" spans="1:2" x14ac:dyDescent="0.25">
      <c r="A2043"/>
      <c r="B2043"/>
    </row>
    <row r="2044" spans="1:2" x14ac:dyDescent="0.25">
      <c r="A2044"/>
      <c r="B2044"/>
    </row>
    <row r="2045" spans="1:2" x14ac:dyDescent="0.25">
      <c r="A2045"/>
      <c r="B2045"/>
    </row>
    <row r="2046" spans="1:2" x14ac:dyDescent="0.25">
      <c r="A2046"/>
      <c r="B2046"/>
    </row>
    <row r="2047" spans="1:2" x14ac:dyDescent="0.25">
      <c r="A2047"/>
      <c r="B2047"/>
    </row>
    <row r="2048" spans="1:2" x14ac:dyDescent="0.25">
      <c r="A2048"/>
      <c r="B2048"/>
    </row>
    <row r="2049" spans="1:2" x14ac:dyDescent="0.25">
      <c r="A2049"/>
      <c r="B2049"/>
    </row>
    <row r="2050" spans="1:2" x14ac:dyDescent="0.25">
      <c r="A2050"/>
      <c r="B2050"/>
    </row>
    <row r="2051" spans="1:2" x14ac:dyDescent="0.25">
      <c r="A2051"/>
      <c r="B2051"/>
    </row>
    <row r="2052" spans="1:2" x14ac:dyDescent="0.25">
      <c r="A2052"/>
      <c r="B2052"/>
    </row>
    <row r="2053" spans="1:2" x14ac:dyDescent="0.25">
      <c r="A2053"/>
      <c r="B2053"/>
    </row>
    <row r="2054" spans="1:2" x14ac:dyDescent="0.25">
      <c r="A2054"/>
      <c r="B2054"/>
    </row>
    <row r="2055" spans="1:2" x14ac:dyDescent="0.25">
      <c r="A2055"/>
      <c r="B2055"/>
    </row>
    <row r="2056" spans="1:2" x14ac:dyDescent="0.25">
      <c r="A2056"/>
      <c r="B2056"/>
    </row>
    <row r="2057" spans="1:2" x14ac:dyDescent="0.25">
      <c r="A2057"/>
      <c r="B2057"/>
    </row>
    <row r="2058" spans="1:2" x14ac:dyDescent="0.25">
      <c r="A2058"/>
      <c r="B2058"/>
    </row>
    <row r="2059" spans="1:2" x14ac:dyDescent="0.25">
      <c r="A2059"/>
      <c r="B2059"/>
    </row>
    <row r="2060" spans="1:2" x14ac:dyDescent="0.25">
      <c r="A2060"/>
      <c r="B2060"/>
    </row>
    <row r="2061" spans="1:2" x14ac:dyDescent="0.25">
      <c r="A2061"/>
      <c r="B2061"/>
    </row>
    <row r="2062" spans="1:2" x14ac:dyDescent="0.25">
      <c r="A2062"/>
      <c r="B2062"/>
    </row>
    <row r="2063" spans="1:2" x14ac:dyDescent="0.25">
      <c r="A2063"/>
      <c r="B2063"/>
    </row>
    <row r="2064" spans="1:2" x14ac:dyDescent="0.25">
      <c r="A2064"/>
      <c r="B2064"/>
    </row>
    <row r="2065" spans="1:2" x14ac:dyDescent="0.25">
      <c r="A2065"/>
      <c r="B2065"/>
    </row>
    <row r="2066" spans="1:2" x14ac:dyDescent="0.25">
      <c r="A2066"/>
      <c r="B2066"/>
    </row>
    <row r="2067" spans="1:2" x14ac:dyDescent="0.25">
      <c r="A2067"/>
      <c r="B2067"/>
    </row>
    <row r="2068" spans="1:2" x14ac:dyDescent="0.25">
      <c r="A2068"/>
      <c r="B2068"/>
    </row>
    <row r="2069" spans="1:2" x14ac:dyDescent="0.25">
      <c r="A2069"/>
      <c r="B2069"/>
    </row>
    <row r="2070" spans="1:2" x14ac:dyDescent="0.25">
      <c r="A2070"/>
      <c r="B2070"/>
    </row>
    <row r="2071" spans="1:2" x14ac:dyDescent="0.25">
      <c r="A2071"/>
      <c r="B2071"/>
    </row>
    <row r="2072" spans="1:2" x14ac:dyDescent="0.25">
      <c r="A2072"/>
      <c r="B2072"/>
    </row>
    <row r="2073" spans="1:2" x14ac:dyDescent="0.25">
      <c r="A2073"/>
      <c r="B2073"/>
    </row>
    <row r="2074" spans="1:2" x14ac:dyDescent="0.25">
      <c r="A2074"/>
      <c r="B2074"/>
    </row>
    <row r="2075" spans="1:2" x14ac:dyDescent="0.25">
      <c r="A2075"/>
      <c r="B2075"/>
    </row>
    <row r="2076" spans="1:2" x14ac:dyDescent="0.25">
      <c r="A2076"/>
      <c r="B2076"/>
    </row>
    <row r="2077" spans="1:2" x14ac:dyDescent="0.25">
      <c r="A2077"/>
      <c r="B2077"/>
    </row>
    <row r="2078" spans="1:2" x14ac:dyDescent="0.25">
      <c r="A2078"/>
      <c r="B2078"/>
    </row>
    <row r="2079" spans="1:2" x14ac:dyDescent="0.25">
      <c r="A2079"/>
      <c r="B2079"/>
    </row>
    <row r="2080" spans="1:2" x14ac:dyDescent="0.25">
      <c r="A2080"/>
      <c r="B2080"/>
    </row>
    <row r="2081" spans="1:2" x14ac:dyDescent="0.25">
      <c r="A2081"/>
      <c r="B2081"/>
    </row>
    <row r="2082" spans="1:2" x14ac:dyDescent="0.25">
      <c r="A2082"/>
      <c r="B2082"/>
    </row>
    <row r="2083" spans="1:2" x14ac:dyDescent="0.25">
      <c r="A2083"/>
      <c r="B2083"/>
    </row>
    <row r="2084" spans="1:2" x14ac:dyDescent="0.25">
      <c r="A2084"/>
      <c r="B2084"/>
    </row>
    <row r="2085" spans="1:2" x14ac:dyDescent="0.25">
      <c r="A2085"/>
      <c r="B2085"/>
    </row>
    <row r="2086" spans="1:2" x14ac:dyDescent="0.25">
      <c r="A2086"/>
      <c r="B2086"/>
    </row>
    <row r="2087" spans="1:2" x14ac:dyDescent="0.25">
      <c r="A2087"/>
      <c r="B2087"/>
    </row>
    <row r="2088" spans="1:2" x14ac:dyDescent="0.25">
      <c r="A2088"/>
      <c r="B2088"/>
    </row>
    <row r="2089" spans="1:2" x14ac:dyDescent="0.25">
      <c r="A2089"/>
      <c r="B2089"/>
    </row>
    <row r="2090" spans="1:2" x14ac:dyDescent="0.25">
      <c r="A2090"/>
      <c r="B2090"/>
    </row>
    <row r="2091" spans="1:2" x14ac:dyDescent="0.25">
      <c r="A2091"/>
      <c r="B2091"/>
    </row>
    <row r="2092" spans="1:2" x14ac:dyDescent="0.25">
      <c r="A2092"/>
      <c r="B2092"/>
    </row>
    <row r="2093" spans="1:2" x14ac:dyDescent="0.25">
      <c r="A2093"/>
      <c r="B2093"/>
    </row>
    <row r="2094" spans="1:2" x14ac:dyDescent="0.25">
      <c r="A2094"/>
      <c r="B2094"/>
    </row>
    <row r="2095" spans="1:2" x14ac:dyDescent="0.25">
      <c r="A2095"/>
      <c r="B2095"/>
    </row>
    <row r="2096" spans="1:2" x14ac:dyDescent="0.25">
      <c r="A2096"/>
      <c r="B2096"/>
    </row>
    <row r="2097" spans="1:2" x14ac:dyDescent="0.25">
      <c r="A2097"/>
      <c r="B2097"/>
    </row>
    <row r="2098" spans="1:2" x14ac:dyDescent="0.25">
      <c r="A2098"/>
      <c r="B2098"/>
    </row>
    <row r="2099" spans="1:2" x14ac:dyDescent="0.25">
      <c r="A2099"/>
      <c r="B2099"/>
    </row>
    <row r="2100" spans="1:2" x14ac:dyDescent="0.25">
      <c r="A2100"/>
      <c r="B2100"/>
    </row>
    <row r="2101" spans="1:2" x14ac:dyDescent="0.25">
      <c r="A2101"/>
      <c r="B2101"/>
    </row>
    <row r="2102" spans="1:2" x14ac:dyDescent="0.25">
      <c r="A2102"/>
      <c r="B2102"/>
    </row>
    <row r="2103" spans="1:2" x14ac:dyDescent="0.25">
      <c r="A2103"/>
      <c r="B2103"/>
    </row>
    <row r="2104" spans="1:2" x14ac:dyDescent="0.25">
      <c r="A2104"/>
      <c r="B2104"/>
    </row>
    <row r="2105" spans="1:2" x14ac:dyDescent="0.25">
      <c r="A2105"/>
      <c r="B2105"/>
    </row>
    <row r="2106" spans="1:2" x14ac:dyDescent="0.25">
      <c r="A2106"/>
      <c r="B2106"/>
    </row>
    <row r="2107" spans="1:2" x14ac:dyDescent="0.25">
      <c r="A2107"/>
      <c r="B2107"/>
    </row>
    <row r="2108" spans="1:2" x14ac:dyDescent="0.25">
      <c r="A2108"/>
      <c r="B2108"/>
    </row>
    <row r="2109" spans="1:2" x14ac:dyDescent="0.25">
      <c r="A2109"/>
      <c r="B2109"/>
    </row>
    <row r="2110" spans="1:2" x14ac:dyDescent="0.25">
      <c r="A2110"/>
      <c r="B2110"/>
    </row>
    <row r="2111" spans="1:2" x14ac:dyDescent="0.25">
      <c r="A2111"/>
      <c r="B2111"/>
    </row>
    <row r="2112" spans="1:2" x14ac:dyDescent="0.25">
      <c r="A2112"/>
      <c r="B2112"/>
    </row>
    <row r="2113" spans="1:2" x14ac:dyDescent="0.25">
      <c r="A2113"/>
      <c r="B2113"/>
    </row>
    <row r="2114" spans="1:2" x14ac:dyDescent="0.25">
      <c r="A2114"/>
      <c r="B2114"/>
    </row>
    <row r="2115" spans="1:2" x14ac:dyDescent="0.25">
      <c r="A2115"/>
      <c r="B2115"/>
    </row>
    <row r="2116" spans="1:2" x14ac:dyDescent="0.25">
      <c r="A2116"/>
      <c r="B2116"/>
    </row>
    <row r="2117" spans="1:2" x14ac:dyDescent="0.25">
      <c r="A2117"/>
      <c r="B2117"/>
    </row>
    <row r="2118" spans="1:2" x14ac:dyDescent="0.25">
      <c r="A2118"/>
      <c r="B2118"/>
    </row>
    <row r="2119" spans="1:2" x14ac:dyDescent="0.25">
      <c r="A2119"/>
      <c r="B2119"/>
    </row>
    <row r="2120" spans="1:2" x14ac:dyDescent="0.25">
      <c r="A2120"/>
      <c r="B2120"/>
    </row>
    <row r="2121" spans="1:2" x14ac:dyDescent="0.25">
      <c r="A2121"/>
      <c r="B2121"/>
    </row>
    <row r="2122" spans="1:2" x14ac:dyDescent="0.25">
      <c r="A2122"/>
      <c r="B2122"/>
    </row>
    <row r="2123" spans="1:2" x14ac:dyDescent="0.25">
      <c r="A2123"/>
      <c r="B2123"/>
    </row>
    <row r="2124" spans="1:2" x14ac:dyDescent="0.25">
      <c r="A2124"/>
      <c r="B2124"/>
    </row>
    <row r="2125" spans="1:2" x14ac:dyDescent="0.25">
      <c r="A2125"/>
      <c r="B2125"/>
    </row>
    <row r="2126" spans="1:2" x14ac:dyDescent="0.25">
      <c r="A2126"/>
      <c r="B2126"/>
    </row>
    <row r="2127" spans="1:2" x14ac:dyDescent="0.25">
      <c r="A2127"/>
      <c r="B2127"/>
    </row>
    <row r="2128" spans="1:2" x14ac:dyDescent="0.25">
      <c r="A2128"/>
      <c r="B2128"/>
    </row>
    <row r="2129" spans="1:2" x14ac:dyDescent="0.25">
      <c r="A2129"/>
      <c r="B2129"/>
    </row>
    <row r="2130" spans="1:2" x14ac:dyDescent="0.25">
      <c r="A2130"/>
      <c r="B2130"/>
    </row>
    <row r="2131" spans="1:2" x14ac:dyDescent="0.25">
      <c r="A2131"/>
      <c r="B2131"/>
    </row>
    <row r="2132" spans="1:2" x14ac:dyDescent="0.25">
      <c r="A2132"/>
      <c r="B2132"/>
    </row>
    <row r="2133" spans="1:2" x14ac:dyDescent="0.25">
      <c r="A2133"/>
      <c r="B2133"/>
    </row>
    <row r="2134" spans="1:2" x14ac:dyDescent="0.25">
      <c r="A2134"/>
      <c r="B2134"/>
    </row>
    <row r="2135" spans="1:2" x14ac:dyDescent="0.25">
      <c r="A2135"/>
      <c r="B2135"/>
    </row>
    <row r="2136" spans="1:2" x14ac:dyDescent="0.25">
      <c r="A2136"/>
      <c r="B2136"/>
    </row>
    <row r="2137" spans="1:2" x14ac:dyDescent="0.25">
      <c r="A2137"/>
      <c r="B2137"/>
    </row>
    <row r="2138" spans="1:2" x14ac:dyDescent="0.25">
      <c r="A2138"/>
      <c r="B2138"/>
    </row>
    <row r="2139" spans="1:2" x14ac:dyDescent="0.25">
      <c r="A2139"/>
      <c r="B2139"/>
    </row>
    <row r="2140" spans="1:2" x14ac:dyDescent="0.25">
      <c r="A2140"/>
      <c r="B2140"/>
    </row>
    <row r="2141" spans="1:2" x14ac:dyDescent="0.25">
      <c r="A2141"/>
      <c r="B2141"/>
    </row>
    <row r="2142" spans="1:2" x14ac:dyDescent="0.25">
      <c r="A2142"/>
      <c r="B2142"/>
    </row>
    <row r="2143" spans="1:2" x14ac:dyDescent="0.25">
      <c r="A2143"/>
      <c r="B2143"/>
    </row>
    <row r="2144" spans="1:2" x14ac:dyDescent="0.25">
      <c r="A2144"/>
      <c r="B2144"/>
    </row>
    <row r="2145" spans="1:2" x14ac:dyDescent="0.25">
      <c r="A2145"/>
      <c r="B2145"/>
    </row>
    <row r="2146" spans="1:2" x14ac:dyDescent="0.25">
      <c r="A2146"/>
      <c r="B2146"/>
    </row>
    <row r="2147" spans="1:2" x14ac:dyDescent="0.25">
      <c r="A2147"/>
      <c r="B2147"/>
    </row>
    <row r="2148" spans="1:2" x14ac:dyDescent="0.25">
      <c r="A2148"/>
      <c r="B2148"/>
    </row>
    <row r="2149" spans="1:2" x14ac:dyDescent="0.25">
      <c r="A2149"/>
      <c r="B2149"/>
    </row>
    <row r="2150" spans="1:2" x14ac:dyDescent="0.25">
      <c r="A2150"/>
      <c r="B2150"/>
    </row>
    <row r="2151" spans="1:2" x14ac:dyDescent="0.25">
      <c r="A2151"/>
      <c r="B2151"/>
    </row>
    <row r="2152" spans="1:2" x14ac:dyDescent="0.25">
      <c r="A2152"/>
      <c r="B2152"/>
    </row>
    <row r="2153" spans="1:2" x14ac:dyDescent="0.25">
      <c r="A2153"/>
      <c r="B2153"/>
    </row>
    <row r="2154" spans="1:2" x14ac:dyDescent="0.25">
      <c r="A2154"/>
      <c r="B2154"/>
    </row>
    <row r="2155" spans="1:2" x14ac:dyDescent="0.25">
      <c r="A2155"/>
      <c r="B2155"/>
    </row>
    <row r="2156" spans="1:2" x14ac:dyDescent="0.25">
      <c r="A2156"/>
      <c r="B2156"/>
    </row>
    <row r="2157" spans="1:2" x14ac:dyDescent="0.25">
      <c r="A2157"/>
      <c r="B2157"/>
    </row>
    <row r="2158" spans="1:2" x14ac:dyDescent="0.25">
      <c r="A2158"/>
      <c r="B2158"/>
    </row>
    <row r="2159" spans="1:2" x14ac:dyDescent="0.25">
      <c r="A2159"/>
      <c r="B2159"/>
    </row>
    <row r="2160" spans="1:2" x14ac:dyDescent="0.25">
      <c r="A2160"/>
      <c r="B2160"/>
    </row>
    <row r="2161" spans="1:2" x14ac:dyDescent="0.25">
      <c r="A2161"/>
      <c r="B2161"/>
    </row>
    <row r="2162" spans="1:2" x14ac:dyDescent="0.25">
      <c r="A2162"/>
      <c r="B2162"/>
    </row>
    <row r="2163" spans="1:2" x14ac:dyDescent="0.25">
      <c r="A2163"/>
      <c r="B2163"/>
    </row>
    <row r="2164" spans="1:2" x14ac:dyDescent="0.25">
      <c r="A2164"/>
      <c r="B2164"/>
    </row>
    <row r="2165" spans="1:2" x14ac:dyDescent="0.25">
      <c r="A2165"/>
      <c r="B2165"/>
    </row>
    <row r="2166" spans="1:2" x14ac:dyDescent="0.25">
      <c r="A2166"/>
      <c r="B2166"/>
    </row>
    <row r="2167" spans="1:2" x14ac:dyDescent="0.25">
      <c r="A2167"/>
      <c r="B2167"/>
    </row>
    <row r="2168" spans="1:2" x14ac:dyDescent="0.25">
      <c r="A2168"/>
      <c r="B2168"/>
    </row>
    <row r="2169" spans="1:2" x14ac:dyDescent="0.25">
      <c r="A2169"/>
      <c r="B2169"/>
    </row>
    <row r="2170" spans="1:2" x14ac:dyDescent="0.25">
      <c r="A2170"/>
      <c r="B2170"/>
    </row>
    <row r="2171" spans="1:2" x14ac:dyDescent="0.25">
      <c r="A2171"/>
      <c r="B2171"/>
    </row>
    <row r="2172" spans="1:2" x14ac:dyDescent="0.25">
      <c r="A2172"/>
      <c r="B2172"/>
    </row>
    <row r="2173" spans="1:2" x14ac:dyDescent="0.25">
      <c r="A2173"/>
      <c r="B2173"/>
    </row>
    <row r="2174" spans="1:2" x14ac:dyDescent="0.25">
      <c r="A2174"/>
      <c r="B2174"/>
    </row>
    <row r="2175" spans="1:2" x14ac:dyDescent="0.25">
      <c r="A2175"/>
      <c r="B2175"/>
    </row>
    <row r="2176" spans="1:2" x14ac:dyDescent="0.25">
      <c r="A2176"/>
      <c r="B2176"/>
    </row>
    <row r="2177" spans="1:2" x14ac:dyDescent="0.25">
      <c r="A2177"/>
      <c r="B2177"/>
    </row>
    <row r="2178" spans="1:2" x14ac:dyDescent="0.25">
      <c r="A2178"/>
      <c r="B2178"/>
    </row>
    <row r="2179" spans="1:2" x14ac:dyDescent="0.25">
      <c r="A2179"/>
      <c r="B2179"/>
    </row>
    <row r="2180" spans="1:2" x14ac:dyDescent="0.25">
      <c r="A2180"/>
      <c r="B2180"/>
    </row>
    <row r="2181" spans="1:2" x14ac:dyDescent="0.25">
      <c r="A2181"/>
      <c r="B2181"/>
    </row>
    <row r="2182" spans="1:2" x14ac:dyDescent="0.25">
      <c r="A2182"/>
      <c r="B2182"/>
    </row>
    <row r="2183" spans="1:2" x14ac:dyDescent="0.25">
      <c r="A2183"/>
      <c r="B2183"/>
    </row>
    <row r="2184" spans="1:2" x14ac:dyDescent="0.25">
      <c r="A2184"/>
      <c r="B2184"/>
    </row>
    <row r="2185" spans="1:2" x14ac:dyDescent="0.25">
      <c r="A2185"/>
      <c r="B2185"/>
    </row>
    <row r="2186" spans="1:2" x14ac:dyDescent="0.25">
      <c r="A2186"/>
      <c r="B2186"/>
    </row>
    <row r="2187" spans="1:2" x14ac:dyDescent="0.25">
      <c r="A2187"/>
      <c r="B2187"/>
    </row>
    <row r="2188" spans="1:2" x14ac:dyDescent="0.25">
      <c r="A2188"/>
      <c r="B2188"/>
    </row>
    <row r="2189" spans="1:2" x14ac:dyDescent="0.25">
      <c r="A2189"/>
      <c r="B2189"/>
    </row>
    <row r="2190" spans="1:2" x14ac:dyDescent="0.25">
      <c r="A2190"/>
      <c r="B2190"/>
    </row>
    <row r="2191" spans="1:2" x14ac:dyDescent="0.25">
      <c r="A2191"/>
      <c r="B2191"/>
    </row>
    <row r="2192" spans="1:2" x14ac:dyDescent="0.25">
      <c r="A2192"/>
      <c r="B2192"/>
    </row>
    <row r="2193" spans="1:2" x14ac:dyDescent="0.25">
      <c r="A2193"/>
      <c r="B2193"/>
    </row>
    <row r="2194" spans="1:2" x14ac:dyDescent="0.25">
      <c r="A2194"/>
      <c r="B2194"/>
    </row>
    <row r="2195" spans="1:2" x14ac:dyDescent="0.25">
      <c r="A2195"/>
      <c r="B2195"/>
    </row>
    <row r="2196" spans="1:2" x14ac:dyDescent="0.25">
      <c r="A2196"/>
      <c r="B2196"/>
    </row>
    <row r="2197" spans="1:2" x14ac:dyDescent="0.25">
      <c r="A2197"/>
      <c r="B2197"/>
    </row>
    <row r="2198" spans="1:2" x14ac:dyDescent="0.25">
      <c r="A2198"/>
      <c r="B2198"/>
    </row>
    <row r="2199" spans="1:2" x14ac:dyDescent="0.25">
      <c r="A2199"/>
      <c r="B2199"/>
    </row>
    <row r="2200" spans="1:2" x14ac:dyDescent="0.25">
      <c r="A2200"/>
      <c r="B2200"/>
    </row>
    <row r="2201" spans="1:2" x14ac:dyDescent="0.25">
      <c r="A2201"/>
      <c r="B2201"/>
    </row>
    <row r="2202" spans="1:2" x14ac:dyDescent="0.25">
      <c r="A2202"/>
      <c r="B2202"/>
    </row>
    <row r="2203" spans="1:2" x14ac:dyDescent="0.25">
      <c r="A2203"/>
      <c r="B2203"/>
    </row>
    <row r="2204" spans="1:2" x14ac:dyDescent="0.25">
      <c r="A2204"/>
      <c r="B2204"/>
    </row>
    <row r="2205" spans="1:2" x14ac:dyDescent="0.25">
      <c r="A2205"/>
      <c r="B2205"/>
    </row>
    <row r="2206" spans="1:2" x14ac:dyDescent="0.25">
      <c r="A2206"/>
      <c r="B2206"/>
    </row>
    <row r="2207" spans="1:2" x14ac:dyDescent="0.25">
      <c r="A2207"/>
      <c r="B2207"/>
    </row>
    <row r="2208" spans="1:2" x14ac:dyDescent="0.25">
      <c r="A2208"/>
      <c r="B2208"/>
    </row>
    <row r="2209" spans="1:2" x14ac:dyDescent="0.25">
      <c r="A2209"/>
      <c r="B2209"/>
    </row>
    <row r="2210" spans="1:2" x14ac:dyDescent="0.25">
      <c r="A2210"/>
      <c r="B2210"/>
    </row>
    <row r="2211" spans="1:2" x14ac:dyDescent="0.25">
      <c r="A2211"/>
      <c r="B2211"/>
    </row>
    <row r="2212" spans="1:2" x14ac:dyDescent="0.25">
      <c r="A2212"/>
      <c r="B2212"/>
    </row>
    <row r="2213" spans="1:2" x14ac:dyDescent="0.25">
      <c r="A2213"/>
      <c r="B2213"/>
    </row>
    <row r="2214" spans="1:2" x14ac:dyDescent="0.25">
      <c r="A2214"/>
      <c r="B2214"/>
    </row>
    <row r="2215" spans="1:2" x14ac:dyDescent="0.25">
      <c r="A2215"/>
      <c r="B2215"/>
    </row>
    <row r="2216" spans="1:2" x14ac:dyDescent="0.25">
      <c r="A2216"/>
      <c r="B2216"/>
    </row>
    <row r="2217" spans="1:2" x14ac:dyDescent="0.25">
      <c r="A2217"/>
      <c r="B2217"/>
    </row>
    <row r="2218" spans="1:2" x14ac:dyDescent="0.25">
      <c r="A2218"/>
      <c r="B2218"/>
    </row>
    <row r="2219" spans="1:2" x14ac:dyDescent="0.25">
      <c r="A2219"/>
      <c r="B2219"/>
    </row>
    <row r="2220" spans="1:2" x14ac:dyDescent="0.25">
      <c r="A2220"/>
      <c r="B2220"/>
    </row>
    <row r="2221" spans="1:2" x14ac:dyDescent="0.25">
      <c r="A2221"/>
      <c r="B2221"/>
    </row>
    <row r="2222" spans="1:2" x14ac:dyDescent="0.25">
      <c r="A2222"/>
      <c r="B2222"/>
    </row>
    <row r="2223" spans="1:2" x14ac:dyDescent="0.25">
      <c r="A2223"/>
      <c r="B2223"/>
    </row>
    <row r="2224" spans="1:2" x14ac:dyDescent="0.25">
      <c r="A2224"/>
      <c r="B2224"/>
    </row>
    <row r="2225" spans="1:2" x14ac:dyDescent="0.25">
      <c r="A2225"/>
      <c r="B2225"/>
    </row>
    <row r="2226" spans="1:2" x14ac:dyDescent="0.25">
      <c r="A2226"/>
      <c r="B2226"/>
    </row>
    <row r="2227" spans="1:2" x14ac:dyDescent="0.25">
      <c r="A2227"/>
      <c r="B2227"/>
    </row>
    <row r="2228" spans="1:2" x14ac:dyDescent="0.25">
      <c r="A2228"/>
      <c r="B2228"/>
    </row>
    <row r="2229" spans="1:2" x14ac:dyDescent="0.25">
      <c r="A2229"/>
      <c r="B2229"/>
    </row>
    <row r="2230" spans="1:2" x14ac:dyDescent="0.25">
      <c r="A2230"/>
      <c r="B2230"/>
    </row>
    <row r="2231" spans="1:2" x14ac:dyDescent="0.25">
      <c r="A2231"/>
      <c r="B2231"/>
    </row>
    <row r="2232" spans="1:2" x14ac:dyDescent="0.25">
      <c r="A2232"/>
      <c r="B2232"/>
    </row>
    <row r="2233" spans="1:2" x14ac:dyDescent="0.25">
      <c r="A2233"/>
      <c r="B2233"/>
    </row>
    <row r="2234" spans="1:2" x14ac:dyDescent="0.25">
      <c r="A2234"/>
      <c r="B2234"/>
    </row>
    <row r="2235" spans="1:2" x14ac:dyDescent="0.25">
      <c r="A2235"/>
      <c r="B2235"/>
    </row>
    <row r="2236" spans="1:2" x14ac:dyDescent="0.25">
      <c r="A2236"/>
      <c r="B2236"/>
    </row>
    <row r="2237" spans="1:2" x14ac:dyDescent="0.25">
      <c r="A2237"/>
      <c r="B2237"/>
    </row>
    <row r="2238" spans="1:2" x14ac:dyDescent="0.25">
      <c r="A2238"/>
      <c r="B2238"/>
    </row>
    <row r="2239" spans="1:2" x14ac:dyDescent="0.25">
      <c r="A2239"/>
      <c r="B2239"/>
    </row>
    <row r="2240" spans="1:2" x14ac:dyDescent="0.25">
      <c r="A2240"/>
      <c r="B2240"/>
    </row>
    <row r="2241" spans="1:2" x14ac:dyDescent="0.25">
      <c r="A2241"/>
      <c r="B2241"/>
    </row>
    <row r="2242" spans="1:2" x14ac:dyDescent="0.25">
      <c r="A2242"/>
      <c r="B2242"/>
    </row>
    <row r="2243" spans="1:2" x14ac:dyDescent="0.25">
      <c r="A2243"/>
      <c r="B2243"/>
    </row>
    <row r="2244" spans="1:2" x14ac:dyDescent="0.25">
      <c r="A2244"/>
      <c r="B2244"/>
    </row>
    <row r="2245" spans="1:2" x14ac:dyDescent="0.25">
      <c r="A2245"/>
      <c r="B2245"/>
    </row>
    <row r="2246" spans="1:2" x14ac:dyDescent="0.25">
      <c r="A2246"/>
      <c r="B2246"/>
    </row>
    <row r="2247" spans="1:2" x14ac:dyDescent="0.25">
      <c r="A2247"/>
      <c r="B2247"/>
    </row>
    <row r="2248" spans="1:2" x14ac:dyDescent="0.25">
      <c r="A2248"/>
      <c r="B2248"/>
    </row>
    <row r="2249" spans="1:2" x14ac:dyDescent="0.25">
      <c r="A2249"/>
      <c r="B2249"/>
    </row>
    <row r="2250" spans="1:2" x14ac:dyDescent="0.25">
      <c r="A2250"/>
      <c r="B2250"/>
    </row>
    <row r="2251" spans="1:2" x14ac:dyDescent="0.25">
      <c r="A2251"/>
      <c r="B2251"/>
    </row>
    <row r="2252" spans="1:2" x14ac:dyDescent="0.25">
      <c r="A2252"/>
      <c r="B2252"/>
    </row>
    <row r="2253" spans="1:2" x14ac:dyDescent="0.25">
      <c r="A2253"/>
      <c r="B2253"/>
    </row>
    <row r="2254" spans="1:2" x14ac:dyDescent="0.25">
      <c r="A2254"/>
      <c r="B2254"/>
    </row>
    <row r="2255" spans="1:2" x14ac:dyDescent="0.25">
      <c r="A2255"/>
      <c r="B2255"/>
    </row>
    <row r="2256" spans="1:2" x14ac:dyDescent="0.25">
      <c r="A2256"/>
      <c r="B2256"/>
    </row>
    <row r="2257" spans="1:2" x14ac:dyDescent="0.25">
      <c r="A2257"/>
      <c r="B2257"/>
    </row>
    <row r="2258" spans="1:2" x14ac:dyDescent="0.25">
      <c r="A2258"/>
      <c r="B2258"/>
    </row>
    <row r="2259" spans="1:2" x14ac:dyDescent="0.25">
      <c r="A2259"/>
      <c r="B2259"/>
    </row>
    <row r="2260" spans="1:2" x14ac:dyDescent="0.25">
      <c r="A2260"/>
      <c r="B2260"/>
    </row>
    <row r="2261" spans="1:2" x14ac:dyDescent="0.25">
      <c r="A2261"/>
      <c r="B2261"/>
    </row>
    <row r="2262" spans="1:2" x14ac:dyDescent="0.25">
      <c r="A2262"/>
      <c r="B2262"/>
    </row>
    <row r="2263" spans="1:2" x14ac:dyDescent="0.25">
      <c r="A2263"/>
      <c r="B2263"/>
    </row>
    <row r="2264" spans="1:2" x14ac:dyDescent="0.25">
      <c r="A2264"/>
      <c r="B2264"/>
    </row>
    <row r="2265" spans="1:2" x14ac:dyDescent="0.25">
      <c r="A2265"/>
      <c r="B2265"/>
    </row>
    <row r="2266" spans="1:2" x14ac:dyDescent="0.25">
      <c r="A2266"/>
      <c r="B2266"/>
    </row>
    <row r="2267" spans="1:2" x14ac:dyDescent="0.25">
      <c r="A2267"/>
      <c r="B2267"/>
    </row>
    <row r="2268" spans="1:2" x14ac:dyDescent="0.25">
      <c r="A2268"/>
      <c r="B2268"/>
    </row>
    <row r="2269" spans="1:2" x14ac:dyDescent="0.25">
      <c r="A2269"/>
      <c r="B2269"/>
    </row>
    <row r="2270" spans="1:2" x14ac:dyDescent="0.25">
      <c r="A2270"/>
      <c r="B2270"/>
    </row>
    <row r="2271" spans="1:2" x14ac:dyDescent="0.25">
      <c r="A2271"/>
      <c r="B2271"/>
    </row>
    <row r="2272" spans="1:2" x14ac:dyDescent="0.25">
      <c r="A2272"/>
      <c r="B2272"/>
    </row>
    <row r="2273" spans="1:2" x14ac:dyDescent="0.25">
      <c r="A2273"/>
      <c r="B2273"/>
    </row>
    <row r="2274" spans="1:2" x14ac:dyDescent="0.25">
      <c r="A2274"/>
      <c r="B2274"/>
    </row>
    <row r="2275" spans="1:2" x14ac:dyDescent="0.25">
      <c r="A2275"/>
      <c r="B2275"/>
    </row>
    <row r="2276" spans="1:2" x14ac:dyDescent="0.25">
      <c r="A2276"/>
      <c r="B2276"/>
    </row>
    <row r="2277" spans="1:2" x14ac:dyDescent="0.25">
      <c r="A2277"/>
      <c r="B2277"/>
    </row>
    <row r="2278" spans="1:2" x14ac:dyDescent="0.25">
      <c r="A2278"/>
      <c r="B2278"/>
    </row>
    <row r="2279" spans="1:2" x14ac:dyDescent="0.25">
      <c r="A2279"/>
      <c r="B2279"/>
    </row>
    <row r="2280" spans="1:2" x14ac:dyDescent="0.25">
      <c r="A2280"/>
      <c r="B2280"/>
    </row>
    <row r="2281" spans="1:2" x14ac:dyDescent="0.25">
      <c r="A2281"/>
      <c r="B2281"/>
    </row>
    <row r="2282" spans="1:2" x14ac:dyDescent="0.25">
      <c r="A2282"/>
      <c r="B2282"/>
    </row>
    <row r="2283" spans="1:2" x14ac:dyDescent="0.25">
      <c r="A2283"/>
      <c r="B2283"/>
    </row>
    <row r="2284" spans="1:2" x14ac:dyDescent="0.25">
      <c r="A2284"/>
      <c r="B2284"/>
    </row>
    <row r="2285" spans="1:2" x14ac:dyDescent="0.25">
      <c r="A2285"/>
      <c r="B2285"/>
    </row>
    <row r="2286" spans="1:2" x14ac:dyDescent="0.25">
      <c r="A2286"/>
      <c r="B2286"/>
    </row>
    <row r="2287" spans="1:2" x14ac:dyDescent="0.25">
      <c r="A2287"/>
      <c r="B2287"/>
    </row>
    <row r="2288" spans="1:2" x14ac:dyDescent="0.25">
      <c r="A2288"/>
      <c r="B2288"/>
    </row>
    <row r="2289" spans="1:2" x14ac:dyDescent="0.25">
      <c r="A2289"/>
      <c r="B2289"/>
    </row>
    <row r="2290" spans="1:2" x14ac:dyDescent="0.25">
      <c r="A2290"/>
      <c r="B2290"/>
    </row>
    <row r="2291" spans="1:2" x14ac:dyDescent="0.25">
      <c r="A2291"/>
      <c r="B2291"/>
    </row>
    <row r="2292" spans="1:2" x14ac:dyDescent="0.25">
      <c r="A2292"/>
      <c r="B2292"/>
    </row>
    <row r="2293" spans="1:2" x14ac:dyDescent="0.25">
      <c r="A2293"/>
      <c r="B2293"/>
    </row>
    <row r="2294" spans="1:2" x14ac:dyDescent="0.25">
      <c r="A2294"/>
      <c r="B2294"/>
    </row>
    <row r="2295" spans="1:2" x14ac:dyDescent="0.25">
      <c r="A2295"/>
      <c r="B2295"/>
    </row>
    <row r="2296" spans="1:2" x14ac:dyDescent="0.25">
      <c r="A2296"/>
      <c r="B2296"/>
    </row>
    <row r="2297" spans="1:2" x14ac:dyDescent="0.25">
      <c r="A2297"/>
      <c r="B2297"/>
    </row>
    <row r="2298" spans="1:2" x14ac:dyDescent="0.25">
      <c r="A2298"/>
      <c r="B2298"/>
    </row>
    <row r="2299" spans="1:2" x14ac:dyDescent="0.25">
      <c r="A2299"/>
      <c r="B2299"/>
    </row>
    <row r="2300" spans="1:2" x14ac:dyDescent="0.25">
      <c r="A2300"/>
      <c r="B2300"/>
    </row>
    <row r="2301" spans="1:2" x14ac:dyDescent="0.25">
      <c r="A2301"/>
      <c r="B2301"/>
    </row>
    <row r="2302" spans="1:2" x14ac:dyDescent="0.25">
      <c r="A2302"/>
      <c r="B2302"/>
    </row>
    <row r="2303" spans="1:2" x14ac:dyDescent="0.25">
      <c r="A2303"/>
      <c r="B2303"/>
    </row>
    <row r="2304" spans="1:2" x14ac:dyDescent="0.25">
      <c r="A2304"/>
      <c r="B2304"/>
    </row>
    <row r="2305" spans="1:2" x14ac:dyDescent="0.25">
      <c r="A2305"/>
      <c r="B2305"/>
    </row>
    <row r="2306" spans="1:2" x14ac:dyDescent="0.25">
      <c r="A2306"/>
      <c r="B2306"/>
    </row>
    <row r="2307" spans="1:2" x14ac:dyDescent="0.25">
      <c r="A2307"/>
      <c r="B2307"/>
    </row>
    <row r="2308" spans="1:2" x14ac:dyDescent="0.25">
      <c r="A2308"/>
      <c r="B2308"/>
    </row>
    <row r="2309" spans="1:2" x14ac:dyDescent="0.25">
      <c r="A2309"/>
      <c r="B2309"/>
    </row>
    <row r="2310" spans="1:2" x14ac:dyDescent="0.25">
      <c r="A2310"/>
      <c r="B2310"/>
    </row>
    <row r="2311" spans="1:2" x14ac:dyDescent="0.25">
      <c r="A2311"/>
      <c r="B2311"/>
    </row>
    <row r="2312" spans="1:2" x14ac:dyDescent="0.25">
      <c r="A2312"/>
      <c r="B2312"/>
    </row>
    <row r="2313" spans="1:2" x14ac:dyDescent="0.25">
      <c r="A2313"/>
      <c r="B2313"/>
    </row>
    <row r="2314" spans="1:2" x14ac:dyDescent="0.25">
      <c r="A2314"/>
      <c r="B2314"/>
    </row>
    <row r="2315" spans="1:2" x14ac:dyDescent="0.25">
      <c r="A2315"/>
      <c r="B2315"/>
    </row>
    <row r="2316" spans="1:2" x14ac:dyDescent="0.25">
      <c r="A2316"/>
      <c r="B2316"/>
    </row>
    <row r="2317" spans="1:2" x14ac:dyDescent="0.25">
      <c r="A2317"/>
      <c r="B2317"/>
    </row>
    <row r="2318" spans="1:2" x14ac:dyDescent="0.25">
      <c r="A2318"/>
      <c r="B2318"/>
    </row>
    <row r="2319" spans="1:2" x14ac:dyDescent="0.25">
      <c r="A2319"/>
      <c r="B2319"/>
    </row>
    <row r="2320" spans="1:2" x14ac:dyDescent="0.25">
      <c r="A2320"/>
      <c r="B2320"/>
    </row>
    <row r="2321" spans="1:2" x14ac:dyDescent="0.25">
      <c r="A2321"/>
      <c r="B2321"/>
    </row>
    <row r="2322" spans="1:2" x14ac:dyDescent="0.25">
      <c r="A2322"/>
      <c r="B2322"/>
    </row>
    <row r="2323" spans="1:2" x14ac:dyDescent="0.25">
      <c r="A2323"/>
      <c r="B2323"/>
    </row>
    <row r="2324" spans="1:2" x14ac:dyDescent="0.25">
      <c r="A2324"/>
      <c r="B2324"/>
    </row>
    <row r="2325" spans="1:2" x14ac:dyDescent="0.25">
      <c r="A2325"/>
      <c r="B2325"/>
    </row>
    <row r="2326" spans="1:2" x14ac:dyDescent="0.25">
      <c r="A2326"/>
      <c r="B2326"/>
    </row>
    <row r="2327" spans="1:2" x14ac:dyDescent="0.25">
      <c r="A2327"/>
      <c r="B2327"/>
    </row>
    <row r="2328" spans="1:2" x14ac:dyDescent="0.25">
      <c r="A2328"/>
      <c r="B2328"/>
    </row>
    <row r="2329" spans="1:2" x14ac:dyDescent="0.25">
      <c r="A2329"/>
      <c r="B2329"/>
    </row>
    <row r="2330" spans="1:2" x14ac:dyDescent="0.25">
      <c r="A2330"/>
      <c r="B2330"/>
    </row>
    <row r="2331" spans="1:2" x14ac:dyDescent="0.25">
      <c r="A2331"/>
      <c r="B2331"/>
    </row>
    <row r="2332" spans="1:2" x14ac:dyDescent="0.25">
      <c r="A2332"/>
      <c r="B2332"/>
    </row>
    <row r="2333" spans="1:2" x14ac:dyDescent="0.25">
      <c r="A2333"/>
      <c r="B2333"/>
    </row>
    <row r="2334" spans="1:2" x14ac:dyDescent="0.25">
      <c r="A2334"/>
      <c r="B2334"/>
    </row>
    <row r="2335" spans="1:2" x14ac:dyDescent="0.25">
      <c r="A2335"/>
      <c r="B2335"/>
    </row>
    <row r="2336" spans="1:2" x14ac:dyDescent="0.25">
      <c r="A2336"/>
      <c r="B2336"/>
    </row>
    <row r="2337" spans="1:2" x14ac:dyDescent="0.25">
      <c r="A2337"/>
      <c r="B2337"/>
    </row>
    <row r="2338" spans="1:2" x14ac:dyDescent="0.25">
      <c r="A2338"/>
      <c r="B2338"/>
    </row>
    <row r="2339" spans="1:2" x14ac:dyDescent="0.25">
      <c r="A2339"/>
      <c r="B2339"/>
    </row>
    <row r="2340" spans="1:2" x14ac:dyDescent="0.25">
      <c r="A2340"/>
      <c r="B2340"/>
    </row>
    <row r="2341" spans="1:2" x14ac:dyDescent="0.25">
      <c r="A2341"/>
      <c r="B2341"/>
    </row>
    <row r="2342" spans="1:2" x14ac:dyDescent="0.25">
      <c r="A2342"/>
      <c r="B2342"/>
    </row>
    <row r="2343" spans="1:2" x14ac:dyDescent="0.25">
      <c r="A2343"/>
      <c r="B2343"/>
    </row>
    <row r="2344" spans="1:2" x14ac:dyDescent="0.25">
      <c r="A2344"/>
      <c r="B2344"/>
    </row>
    <row r="2345" spans="1:2" x14ac:dyDescent="0.25">
      <c r="A2345"/>
      <c r="B2345"/>
    </row>
    <row r="2346" spans="1:2" x14ac:dyDescent="0.25">
      <c r="A2346"/>
      <c r="B2346"/>
    </row>
    <row r="2347" spans="1:2" x14ac:dyDescent="0.25">
      <c r="A2347"/>
      <c r="B2347"/>
    </row>
    <row r="2348" spans="1:2" x14ac:dyDescent="0.25">
      <c r="A2348"/>
      <c r="B2348"/>
    </row>
    <row r="2349" spans="1:2" x14ac:dyDescent="0.25">
      <c r="A2349"/>
      <c r="B2349"/>
    </row>
    <row r="2350" spans="1:2" x14ac:dyDescent="0.25">
      <c r="A2350"/>
      <c r="B2350"/>
    </row>
    <row r="2351" spans="1:2" x14ac:dyDescent="0.25">
      <c r="A2351"/>
      <c r="B2351"/>
    </row>
    <row r="2352" spans="1:2" x14ac:dyDescent="0.25">
      <c r="A2352"/>
      <c r="B2352"/>
    </row>
    <row r="2353" spans="1:2" x14ac:dyDescent="0.25">
      <c r="A2353"/>
      <c r="B2353"/>
    </row>
    <row r="2354" spans="1:2" x14ac:dyDescent="0.25">
      <c r="A2354"/>
      <c r="B2354"/>
    </row>
    <row r="2355" spans="1:2" x14ac:dyDescent="0.25">
      <c r="A2355"/>
      <c r="B2355"/>
    </row>
    <row r="2356" spans="1:2" x14ac:dyDescent="0.25">
      <c r="A2356"/>
      <c r="B2356"/>
    </row>
    <row r="2357" spans="1:2" x14ac:dyDescent="0.25">
      <c r="A2357"/>
      <c r="B2357"/>
    </row>
    <row r="2358" spans="1:2" x14ac:dyDescent="0.25">
      <c r="A2358"/>
      <c r="B2358"/>
    </row>
    <row r="2359" spans="1:2" x14ac:dyDescent="0.25">
      <c r="A2359"/>
      <c r="B2359"/>
    </row>
    <row r="2360" spans="1:2" x14ac:dyDescent="0.25">
      <c r="A2360"/>
      <c r="B2360"/>
    </row>
    <row r="2361" spans="1:2" x14ac:dyDescent="0.25">
      <c r="A2361"/>
      <c r="B2361"/>
    </row>
    <row r="2362" spans="1:2" x14ac:dyDescent="0.25">
      <c r="A2362"/>
      <c r="B2362"/>
    </row>
    <row r="2363" spans="1:2" x14ac:dyDescent="0.25">
      <c r="A2363"/>
      <c r="B2363"/>
    </row>
    <row r="2364" spans="1:2" x14ac:dyDescent="0.25">
      <c r="A2364"/>
      <c r="B2364"/>
    </row>
    <row r="2365" spans="1:2" x14ac:dyDescent="0.25">
      <c r="A2365"/>
      <c r="B2365"/>
    </row>
    <row r="2366" spans="1:2" x14ac:dyDescent="0.25">
      <c r="A2366"/>
      <c r="B2366"/>
    </row>
    <row r="2367" spans="1:2" x14ac:dyDescent="0.25">
      <c r="A2367"/>
      <c r="B2367"/>
    </row>
    <row r="2368" spans="1:2" x14ac:dyDescent="0.25">
      <c r="A2368"/>
      <c r="B2368"/>
    </row>
    <row r="2369" spans="1:2" x14ac:dyDescent="0.25">
      <c r="A2369"/>
      <c r="B2369"/>
    </row>
    <row r="2370" spans="1:2" x14ac:dyDescent="0.25">
      <c r="A2370"/>
      <c r="B2370"/>
    </row>
    <row r="2371" spans="1:2" x14ac:dyDescent="0.25">
      <c r="A2371"/>
      <c r="B2371"/>
    </row>
    <row r="2372" spans="1:2" x14ac:dyDescent="0.25">
      <c r="A2372"/>
      <c r="B2372"/>
    </row>
    <row r="2373" spans="1:2" x14ac:dyDescent="0.25">
      <c r="A2373"/>
      <c r="B2373"/>
    </row>
    <row r="2374" spans="1:2" x14ac:dyDescent="0.25">
      <c r="A2374"/>
      <c r="B2374"/>
    </row>
    <row r="2375" spans="1:2" x14ac:dyDescent="0.25">
      <c r="A2375"/>
      <c r="B2375"/>
    </row>
    <row r="2376" spans="1:2" x14ac:dyDescent="0.25">
      <c r="A2376"/>
      <c r="B2376"/>
    </row>
    <row r="2377" spans="1:2" x14ac:dyDescent="0.25">
      <c r="A2377"/>
      <c r="B2377"/>
    </row>
    <row r="2378" spans="1:2" x14ac:dyDescent="0.25">
      <c r="A2378"/>
      <c r="B2378"/>
    </row>
    <row r="2379" spans="1:2" x14ac:dyDescent="0.25">
      <c r="A2379"/>
      <c r="B2379"/>
    </row>
    <row r="2380" spans="1:2" x14ac:dyDescent="0.25">
      <c r="A2380"/>
      <c r="B2380"/>
    </row>
    <row r="2381" spans="1:2" x14ac:dyDescent="0.25">
      <c r="A2381"/>
      <c r="B2381"/>
    </row>
    <row r="2382" spans="1:2" x14ac:dyDescent="0.25">
      <c r="A2382"/>
      <c r="B2382"/>
    </row>
    <row r="2383" spans="1:2" x14ac:dyDescent="0.25">
      <c r="A2383"/>
      <c r="B2383"/>
    </row>
    <row r="2384" spans="1:2" x14ac:dyDescent="0.25">
      <c r="A2384"/>
      <c r="B2384"/>
    </row>
    <row r="2385" spans="1:2" x14ac:dyDescent="0.25">
      <c r="A2385"/>
      <c r="B2385"/>
    </row>
    <row r="2386" spans="1:2" x14ac:dyDescent="0.25">
      <c r="A2386"/>
      <c r="B2386"/>
    </row>
    <row r="2387" spans="1:2" x14ac:dyDescent="0.25">
      <c r="A2387"/>
      <c r="B2387"/>
    </row>
    <row r="2388" spans="1:2" x14ac:dyDescent="0.25">
      <c r="A2388"/>
      <c r="B2388"/>
    </row>
    <row r="2389" spans="1:2" x14ac:dyDescent="0.25">
      <c r="A2389"/>
      <c r="B2389"/>
    </row>
    <row r="2390" spans="1:2" x14ac:dyDescent="0.25">
      <c r="A2390"/>
      <c r="B2390"/>
    </row>
    <row r="2391" spans="1:2" x14ac:dyDescent="0.25">
      <c r="A2391"/>
      <c r="B2391"/>
    </row>
    <row r="2392" spans="1:2" x14ac:dyDescent="0.25">
      <c r="A2392"/>
      <c r="B2392"/>
    </row>
    <row r="2393" spans="1:2" x14ac:dyDescent="0.25">
      <c r="A2393"/>
      <c r="B2393"/>
    </row>
    <row r="2394" spans="1:2" x14ac:dyDescent="0.25">
      <c r="A2394"/>
      <c r="B2394"/>
    </row>
    <row r="2395" spans="1:2" x14ac:dyDescent="0.25">
      <c r="A2395"/>
      <c r="B2395"/>
    </row>
    <row r="2396" spans="1:2" x14ac:dyDescent="0.25">
      <c r="A2396"/>
      <c r="B2396"/>
    </row>
    <row r="2397" spans="1:2" x14ac:dyDescent="0.25">
      <c r="A2397"/>
      <c r="B2397"/>
    </row>
    <row r="2398" spans="1:2" x14ac:dyDescent="0.25">
      <c r="A2398"/>
      <c r="B2398"/>
    </row>
    <row r="2399" spans="1:2" x14ac:dyDescent="0.25">
      <c r="A2399"/>
      <c r="B2399"/>
    </row>
    <row r="2400" spans="1:2" x14ac:dyDescent="0.25">
      <c r="A2400"/>
      <c r="B2400"/>
    </row>
    <row r="2401" spans="1:2" x14ac:dyDescent="0.25">
      <c r="A2401"/>
      <c r="B2401"/>
    </row>
    <row r="2402" spans="1:2" x14ac:dyDescent="0.25">
      <c r="A2402"/>
      <c r="B2402"/>
    </row>
    <row r="2403" spans="1:2" x14ac:dyDescent="0.25">
      <c r="A2403"/>
      <c r="B2403"/>
    </row>
    <row r="2404" spans="1:2" x14ac:dyDescent="0.25">
      <c r="A2404"/>
      <c r="B2404"/>
    </row>
    <row r="2405" spans="1:2" x14ac:dyDescent="0.25">
      <c r="A2405"/>
      <c r="B2405"/>
    </row>
    <row r="2406" spans="1:2" x14ac:dyDescent="0.25">
      <c r="A2406"/>
      <c r="B2406"/>
    </row>
    <row r="2407" spans="1:2" x14ac:dyDescent="0.25">
      <c r="A2407"/>
      <c r="B2407"/>
    </row>
    <row r="2408" spans="1:2" x14ac:dyDescent="0.25">
      <c r="A2408"/>
      <c r="B2408"/>
    </row>
    <row r="2409" spans="1:2" x14ac:dyDescent="0.25">
      <c r="A2409"/>
      <c r="B2409"/>
    </row>
    <row r="2410" spans="1:2" x14ac:dyDescent="0.25">
      <c r="A2410"/>
      <c r="B2410"/>
    </row>
    <row r="2411" spans="1:2" x14ac:dyDescent="0.25">
      <c r="A2411"/>
      <c r="B2411"/>
    </row>
    <row r="2412" spans="1:2" x14ac:dyDescent="0.25">
      <c r="A2412"/>
      <c r="B2412"/>
    </row>
    <row r="2413" spans="1:2" x14ac:dyDescent="0.25">
      <c r="A2413"/>
      <c r="B2413"/>
    </row>
    <row r="2414" spans="1:2" x14ac:dyDescent="0.25">
      <c r="A2414"/>
      <c r="B2414"/>
    </row>
    <row r="2415" spans="1:2" x14ac:dyDescent="0.25">
      <c r="A2415"/>
      <c r="B2415"/>
    </row>
    <row r="2416" spans="1:2" x14ac:dyDescent="0.25">
      <c r="A2416"/>
      <c r="B2416"/>
    </row>
    <row r="2417" spans="1:2" x14ac:dyDescent="0.25">
      <c r="A2417"/>
      <c r="B2417"/>
    </row>
    <row r="2418" spans="1:2" x14ac:dyDescent="0.25">
      <c r="A2418"/>
      <c r="B2418"/>
    </row>
    <row r="2419" spans="1:2" x14ac:dyDescent="0.25">
      <c r="A2419"/>
      <c r="B2419"/>
    </row>
    <row r="2420" spans="1:2" x14ac:dyDescent="0.25">
      <c r="A2420"/>
      <c r="B2420"/>
    </row>
    <row r="2421" spans="1:2" x14ac:dyDescent="0.25">
      <c r="A2421"/>
      <c r="B2421"/>
    </row>
    <row r="2422" spans="1:2" x14ac:dyDescent="0.25">
      <c r="A2422"/>
      <c r="B2422"/>
    </row>
    <row r="2423" spans="1:2" x14ac:dyDescent="0.25">
      <c r="A2423"/>
      <c r="B2423"/>
    </row>
    <row r="2424" spans="1:2" x14ac:dyDescent="0.25">
      <c r="A2424"/>
      <c r="B2424"/>
    </row>
    <row r="2425" spans="1:2" x14ac:dyDescent="0.25">
      <c r="A2425"/>
      <c r="B2425"/>
    </row>
    <row r="2426" spans="1:2" x14ac:dyDescent="0.25">
      <c r="A2426"/>
      <c r="B2426"/>
    </row>
    <row r="2427" spans="1:2" x14ac:dyDescent="0.25">
      <c r="A2427"/>
      <c r="B2427"/>
    </row>
    <row r="2428" spans="1:2" x14ac:dyDescent="0.25">
      <c r="A2428"/>
      <c r="B2428"/>
    </row>
    <row r="2429" spans="1:2" x14ac:dyDescent="0.25">
      <c r="A2429"/>
      <c r="B2429"/>
    </row>
    <row r="2430" spans="1:2" x14ac:dyDescent="0.25">
      <c r="A2430"/>
      <c r="B2430"/>
    </row>
    <row r="2431" spans="1:2" x14ac:dyDescent="0.25">
      <c r="A2431"/>
      <c r="B2431"/>
    </row>
    <row r="2432" spans="1:2" x14ac:dyDescent="0.25">
      <c r="A2432"/>
      <c r="B2432"/>
    </row>
    <row r="2433" spans="1:2" x14ac:dyDescent="0.25">
      <c r="A2433"/>
      <c r="B2433"/>
    </row>
    <row r="2434" spans="1:2" x14ac:dyDescent="0.25">
      <c r="A2434"/>
      <c r="B2434"/>
    </row>
    <row r="2435" spans="1:2" x14ac:dyDescent="0.25">
      <c r="A2435"/>
      <c r="B2435"/>
    </row>
    <row r="2436" spans="1:2" x14ac:dyDescent="0.25">
      <c r="A2436"/>
      <c r="B2436"/>
    </row>
    <row r="2437" spans="1:2" x14ac:dyDescent="0.25">
      <c r="A2437"/>
      <c r="B2437"/>
    </row>
    <row r="2438" spans="1:2" x14ac:dyDescent="0.25">
      <c r="A2438"/>
      <c r="B2438"/>
    </row>
    <row r="2439" spans="1:2" x14ac:dyDescent="0.25">
      <c r="A2439"/>
      <c r="B2439"/>
    </row>
    <row r="2440" spans="1:2" x14ac:dyDescent="0.25">
      <c r="A2440"/>
      <c r="B2440"/>
    </row>
    <row r="2441" spans="1:2" x14ac:dyDescent="0.25">
      <c r="A2441"/>
      <c r="B2441"/>
    </row>
    <row r="2442" spans="1:2" x14ac:dyDescent="0.25">
      <c r="A2442"/>
      <c r="B2442"/>
    </row>
    <row r="2443" spans="1:2" x14ac:dyDescent="0.25">
      <c r="A2443"/>
      <c r="B2443"/>
    </row>
    <row r="2444" spans="1:2" x14ac:dyDescent="0.25">
      <c r="A2444"/>
      <c r="B2444"/>
    </row>
    <row r="2445" spans="1:2" x14ac:dyDescent="0.25">
      <c r="A2445"/>
      <c r="B2445"/>
    </row>
    <row r="2446" spans="1:2" x14ac:dyDescent="0.25">
      <c r="A2446"/>
      <c r="B2446"/>
    </row>
    <row r="2447" spans="1:2" x14ac:dyDescent="0.25">
      <c r="A2447"/>
      <c r="B2447"/>
    </row>
    <row r="2448" spans="1:2" x14ac:dyDescent="0.25">
      <c r="A2448"/>
      <c r="B2448"/>
    </row>
    <row r="2449" spans="1:2" x14ac:dyDescent="0.25">
      <c r="A2449"/>
      <c r="B2449"/>
    </row>
    <row r="2450" spans="1:2" x14ac:dyDescent="0.25">
      <c r="A2450"/>
      <c r="B2450"/>
    </row>
    <row r="2451" spans="1:2" x14ac:dyDescent="0.25">
      <c r="A2451"/>
      <c r="B2451"/>
    </row>
    <row r="2452" spans="1:2" x14ac:dyDescent="0.25">
      <c r="A2452"/>
      <c r="B2452"/>
    </row>
    <row r="2453" spans="1:2" x14ac:dyDescent="0.25">
      <c r="A2453"/>
      <c r="B2453"/>
    </row>
    <row r="2454" spans="1:2" x14ac:dyDescent="0.25">
      <c r="A2454"/>
      <c r="B2454"/>
    </row>
    <row r="2455" spans="1:2" x14ac:dyDescent="0.25">
      <c r="A2455"/>
      <c r="B2455"/>
    </row>
    <row r="2456" spans="1:2" x14ac:dyDescent="0.25">
      <c r="A2456"/>
      <c r="B2456"/>
    </row>
    <row r="2457" spans="1:2" x14ac:dyDescent="0.25">
      <c r="A2457"/>
      <c r="B2457"/>
    </row>
    <row r="2458" spans="1:2" x14ac:dyDescent="0.25">
      <c r="A2458"/>
      <c r="B2458"/>
    </row>
    <row r="2459" spans="1:2" x14ac:dyDescent="0.25">
      <c r="A2459"/>
      <c r="B2459"/>
    </row>
    <row r="2460" spans="1:2" x14ac:dyDescent="0.25">
      <c r="A2460"/>
      <c r="B2460"/>
    </row>
    <row r="2461" spans="1:2" x14ac:dyDescent="0.25">
      <c r="A2461"/>
      <c r="B2461"/>
    </row>
    <row r="2462" spans="1:2" x14ac:dyDescent="0.25">
      <c r="A2462"/>
      <c r="B2462"/>
    </row>
    <row r="2463" spans="1:2" x14ac:dyDescent="0.25">
      <c r="A2463"/>
      <c r="B2463"/>
    </row>
    <row r="2464" spans="1:2" x14ac:dyDescent="0.25">
      <c r="A2464"/>
      <c r="B2464"/>
    </row>
    <row r="2465" spans="1:2" x14ac:dyDescent="0.25">
      <c r="A2465"/>
      <c r="B2465"/>
    </row>
    <row r="2466" spans="1:2" x14ac:dyDescent="0.25">
      <c r="A2466"/>
      <c r="B2466"/>
    </row>
    <row r="2467" spans="1:2" x14ac:dyDescent="0.25">
      <c r="A2467"/>
      <c r="B2467"/>
    </row>
    <row r="2468" spans="1:2" x14ac:dyDescent="0.25">
      <c r="A2468"/>
      <c r="B2468"/>
    </row>
    <row r="2469" spans="1:2" x14ac:dyDescent="0.25">
      <c r="A2469"/>
      <c r="B2469"/>
    </row>
    <row r="2470" spans="1:2" x14ac:dyDescent="0.25">
      <c r="A2470"/>
      <c r="B2470"/>
    </row>
    <row r="2471" spans="1:2" x14ac:dyDescent="0.25">
      <c r="A2471"/>
      <c r="B2471"/>
    </row>
    <row r="2472" spans="1:2" x14ac:dyDescent="0.25">
      <c r="A2472"/>
      <c r="B2472"/>
    </row>
    <row r="2473" spans="1:2" x14ac:dyDescent="0.25">
      <c r="A2473"/>
      <c r="B2473"/>
    </row>
    <row r="2474" spans="1:2" x14ac:dyDescent="0.25">
      <c r="A2474"/>
      <c r="B2474"/>
    </row>
    <row r="2475" spans="1:2" x14ac:dyDescent="0.25">
      <c r="A2475"/>
      <c r="B2475"/>
    </row>
    <row r="2476" spans="1:2" x14ac:dyDescent="0.25">
      <c r="A2476"/>
      <c r="B2476"/>
    </row>
    <row r="2477" spans="1:2" x14ac:dyDescent="0.25">
      <c r="A2477"/>
      <c r="B2477"/>
    </row>
    <row r="2478" spans="1:2" x14ac:dyDescent="0.25">
      <c r="A2478"/>
      <c r="B2478"/>
    </row>
    <row r="2479" spans="1:2" x14ac:dyDescent="0.25">
      <c r="A2479"/>
      <c r="B2479"/>
    </row>
    <row r="2480" spans="1:2" x14ac:dyDescent="0.25">
      <c r="A2480"/>
      <c r="B2480"/>
    </row>
    <row r="2481" spans="1:2" x14ac:dyDescent="0.25">
      <c r="A2481"/>
      <c r="B2481"/>
    </row>
    <row r="2482" spans="1:2" x14ac:dyDescent="0.25">
      <c r="A2482"/>
      <c r="B2482"/>
    </row>
    <row r="2483" spans="1:2" x14ac:dyDescent="0.25">
      <c r="A2483"/>
      <c r="B2483"/>
    </row>
    <row r="2484" spans="1:2" x14ac:dyDescent="0.25">
      <c r="A2484"/>
      <c r="B2484"/>
    </row>
    <row r="2485" spans="1:2" x14ac:dyDescent="0.25">
      <c r="A2485"/>
      <c r="B2485"/>
    </row>
    <row r="2486" spans="1:2" x14ac:dyDescent="0.25">
      <c r="A2486"/>
      <c r="B2486"/>
    </row>
    <row r="2487" spans="1:2" x14ac:dyDescent="0.25">
      <c r="A2487"/>
      <c r="B2487"/>
    </row>
    <row r="2488" spans="1:2" x14ac:dyDescent="0.25">
      <c r="A2488"/>
      <c r="B2488"/>
    </row>
    <row r="2489" spans="1:2" x14ac:dyDescent="0.25">
      <c r="A2489"/>
      <c r="B2489"/>
    </row>
    <row r="2490" spans="1:2" x14ac:dyDescent="0.25">
      <c r="A2490"/>
      <c r="B2490"/>
    </row>
    <row r="2491" spans="1:2" x14ac:dyDescent="0.25">
      <c r="A2491"/>
      <c r="B2491"/>
    </row>
    <row r="2492" spans="1:2" x14ac:dyDescent="0.25">
      <c r="A2492"/>
      <c r="B2492"/>
    </row>
    <row r="2493" spans="1:2" x14ac:dyDescent="0.25">
      <c r="A2493"/>
      <c r="B2493"/>
    </row>
    <row r="2494" spans="1:2" x14ac:dyDescent="0.25">
      <c r="A2494"/>
      <c r="B2494"/>
    </row>
    <row r="2495" spans="1:2" x14ac:dyDescent="0.25">
      <c r="A2495"/>
      <c r="B2495"/>
    </row>
    <row r="2496" spans="1:2" x14ac:dyDescent="0.25">
      <c r="A2496"/>
      <c r="B2496"/>
    </row>
    <row r="2497" spans="1:2" x14ac:dyDescent="0.25">
      <c r="A2497"/>
      <c r="B2497"/>
    </row>
    <row r="2498" spans="1:2" x14ac:dyDescent="0.25">
      <c r="A2498"/>
      <c r="B2498"/>
    </row>
    <row r="2499" spans="1:2" x14ac:dyDescent="0.25">
      <c r="A2499"/>
      <c r="B2499"/>
    </row>
    <row r="2500" spans="1:2" x14ac:dyDescent="0.25">
      <c r="A2500"/>
      <c r="B2500"/>
    </row>
    <row r="2501" spans="1:2" x14ac:dyDescent="0.25">
      <c r="A2501"/>
      <c r="B2501"/>
    </row>
    <row r="2502" spans="1:2" x14ac:dyDescent="0.25">
      <c r="A2502"/>
      <c r="B2502"/>
    </row>
    <row r="2503" spans="1:2" x14ac:dyDescent="0.25">
      <c r="A2503"/>
      <c r="B2503"/>
    </row>
    <row r="2504" spans="1:2" x14ac:dyDescent="0.25">
      <c r="A2504"/>
      <c r="B2504"/>
    </row>
    <row r="2505" spans="1:2" x14ac:dyDescent="0.25">
      <c r="A2505"/>
      <c r="B2505"/>
    </row>
    <row r="2506" spans="1:2" x14ac:dyDescent="0.25">
      <c r="A2506"/>
      <c r="B2506"/>
    </row>
    <row r="2507" spans="1:2" x14ac:dyDescent="0.25">
      <c r="A2507"/>
      <c r="B2507"/>
    </row>
    <row r="2508" spans="1:2" x14ac:dyDescent="0.25">
      <c r="A2508"/>
      <c r="B2508"/>
    </row>
    <row r="2509" spans="1:2" x14ac:dyDescent="0.25">
      <c r="A2509"/>
      <c r="B2509"/>
    </row>
    <row r="2510" spans="1:2" x14ac:dyDescent="0.25">
      <c r="A2510"/>
      <c r="B2510"/>
    </row>
    <row r="2511" spans="1:2" x14ac:dyDescent="0.25">
      <c r="A2511"/>
      <c r="B2511"/>
    </row>
    <row r="2512" spans="1:2" x14ac:dyDescent="0.25">
      <c r="A2512"/>
      <c r="B2512"/>
    </row>
    <row r="2513" spans="1:2" x14ac:dyDescent="0.25">
      <c r="A2513"/>
      <c r="B2513"/>
    </row>
    <row r="2514" spans="1:2" x14ac:dyDescent="0.25">
      <c r="A2514"/>
      <c r="B2514"/>
    </row>
    <row r="2515" spans="1:2" x14ac:dyDescent="0.25">
      <c r="A2515"/>
      <c r="B2515"/>
    </row>
    <row r="2516" spans="1:2" x14ac:dyDescent="0.25">
      <c r="A2516"/>
      <c r="B2516"/>
    </row>
    <row r="2517" spans="1:2" x14ac:dyDescent="0.25">
      <c r="A2517"/>
      <c r="B2517"/>
    </row>
    <row r="2518" spans="1:2" x14ac:dyDescent="0.25">
      <c r="A2518"/>
      <c r="B2518"/>
    </row>
    <row r="2519" spans="1:2" x14ac:dyDescent="0.25">
      <c r="A2519"/>
      <c r="B2519"/>
    </row>
    <row r="2520" spans="1:2" x14ac:dyDescent="0.25">
      <c r="A2520"/>
      <c r="B2520"/>
    </row>
    <row r="2521" spans="1:2" x14ac:dyDescent="0.25">
      <c r="A2521"/>
      <c r="B2521"/>
    </row>
    <row r="2522" spans="1:2" x14ac:dyDescent="0.25">
      <c r="A2522"/>
      <c r="B2522"/>
    </row>
    <row r="2523" spans="1:2" x14ac:dyDescent="0.25">
      <c r="A2523"/>
      <c r="B2523"/>
    </row>
    <row r="2524" spans="1:2" x14ac:dyDescent="0.25">
      <c r="A2524"/>
      <c r="B2524"/>
    </row>
    <row r="2525" spans="1:2" x14ac:dyDescent="0.25">
      <c r="A2525"/>
      <c r="B2525"/>
    </row>
    <row r="2526" spans="1:2" x14ac:dyDescent="0.25">
      <c r="A2526"/>
      <c r="B2526"/>
    </row>
    <row r="2527" spans="1:2" x14ac:dyDescent="0.25">
      <c r="A2527"/>
      <c r="B2527"/>
    </row>
    <row r="2528" spans="1:2" x14ac:dyDescent="0.25">
      <c r="A2528"/>
      <c r="B2528"/>
    </row>
    <row r="2529" spans="1:2" x14ac:dyDescent="0.25">
      <c r="A2529"/>
      <c r="B2529"/>
    </row>
    <row r="2530" spans="1:2" x14ac:dyDescent="0.25">
      <c r="A2530"/>
      <c r="B2530"/>
    </row>
    <row r="2531" spans="1:2" x14ac:dyDescent="0.25">
      <c r="A2531"/>
      <c r="B2531"/>
    </row>
    <row r="2532" spans="1:2" x14ac:dyDescent="0.25">
      <c r="A2532"/>
      <c r="B2532"/>
    </row>
    <row r="2533" spans="1:2" x14ac:dyDescent="0.25">
      <c r="A2533"/>
      <c r="B2533"/>
    </row>
    <row r="2534" spans="1:2" x14ac:dyDescent="0.25">
      <c r="A2534"/>
      <c r="B2534"/>
    </row>
    <row r="2535" spans="1:2" x14ac:dyDescent="0.25">
      <c r="A2535"/>
      <c r="B2535"/>
    </row>
    <row r="2536" spans="1:2" x14ac:dyDescent="0.25">
      <c r="A2536"/>
      <c r="B2536"/>
    </row>
    <row r="2537" spans="1:2" x14ac:dyDescent="0.25">
      <c r="A2537"/>
      <c r="B2537"/>
    </row>
    <row r="2538" spans="1:2" x14ac:dyDescent="0.25">
      <c r="A2538"/>
      <c r="B2538"/>
    </row>
    <row r="2539" spans="1:2" x14ac:dyDescent="0.25">
      <c r="A2539"/>
      <c r="B2539"/>
    </row>
    <row r="2540" spans="1:2" x14ac:dyDescent="0.25">
      <c r="A2540"/>
      <c r="B2540"/>
    </row>
    <row r="2541" spans="1:2" x14ac:dyDescent="0.25">
      <c r="A2541"/>
      <c r="B2541"/>
    </row>
    <row r="2542" spans="1:2" x14ac:dyDescent="0.25">
      <c r="A2542"/>
      <c r="B2542"/>
    </row>
    <row r="2543" spans="1:2" x14ac:dyDescent="0.25">
      <c r="A2543"/>
      <c r="B2543"/>
    </row>
    <row r="2544" spans="1:2" x14ac:dyDescent="0.25">
      <c r="A2544"/>
      <c r="B2544"/>
    </row>
    <row r="2545" spans="1:2" x14ac:dyDescent="0.25">
      <c r="A2545"/>
      <c r="B2545"/>
    </row>
    <row r="2546" spans="1:2" x14ac:dyDescent="0.25">
      <c r="A2546"/>
      <c r="B2546"/>
    </row>
    <row r="2547" spans="1:2" x14ac:dyDescent="0.25">
      <c r="A2547"/>
      <c r="B2547"/>
    </row>
    <row r="2548" spans="1:2" x14ac:dyDescent="0.25">
      <c r="A2548"/>
      <c r="B2548"/>
    </row>
    <row r="2549" spans="1:2" x14ac:dyDescent="0.25">
      <c r="A2549"/>
      <c r="B2549"/>
    </row>
    <row r="2550" spans="1:2" x14ac:dyDescent="0.25">
      <c r="A2550"/>
      <c r="B2550"/>
    </row>
    <row r="2551" spans="1:2" x14ac:dyDescent="0.25">
      <c r="A2551"/>
      <c r="B2551"/>
    </row>
    <row r="2552" spans="1:2" x14ac:dyDescent="0.25">
      <c r="A2552"/>
      <c r="B2552"/>
    </row>
    <row r="2553" spans="1:2" x14ac:dyDescent="0.25">
      <c r="A2553"/>
      <c r="B2553"/>
    </row>
    <row r="2554" spans="1:2" x14ac:dyDescent="0.25">
      <c r="A2554"/>
      <c r="B2554"/>
    </row>
    <row r="2555" spans="1:2" x14ac:dyDescent="0.25">
      <c r="A2555"/>
      <c r="B2555"/>
    </row>
    <row r="2556" spans="1:2" x14ac:dyDescent="0.25">
      <c r="A2556"/>
      <c r="B2556"/>
    </row>
    <row r="2557" spans="1:2" x14ac:dyDescent="0.25">
      <c r="A2557"/>
      <c r="B2557"/>
    </row>
    <row r="2558" spans="1:2" x14ac:dyDescent="0.25">
      <c r="A2558"/>
      <c r="B2558"/>
    </row>
    <row r="2559" spans="1:2" x14ac:dyDescent="0.25">
      <c r="A2559"/>
      <c r="B2559"/>
    </row>
    <row r="2560" spans="1:2" x14ac:dyDescent="0.25">
      <c r="A2560"/>
      <c r="B2560"/>
    </row>
    <row r="2561" spans="1:2" x14ac:dyDescent="0.25">
      <c r="A2561"/>
      <c r="B2561"/>
    </row>
    <row r="2562" spans="1:2" x14ac:dyDescent="0.25">
      <c r="A2562"/>
      <c r="B2562"/>
    </row>
    <row r="2563" spans="1:2" x14ac:dyDescent="0.25">
      <c r="A2563"/>
      <c r="B2563"/>
    </row>
    <row r="2564" spans="1:2" x14ac:dyDescent="0.25">
      <c r="A2564"/>
      <c r="B2564"/>
    </row>
    <row r="2565" spans="1:2" x14ac:dyDescent="0.25">
      <c r="A2565"/>
      <c r="B2565"/>
    </row>
    <row r="2566" spans="1:2" x14ac:dyDescent="0.25">
      <c r="A2566"/>
      <c r="B2566"/>
    </row>
    <row r="2567" spans="1:2" x14ac:dyDescent="0.25">
      <c r="A2567"/>
      <c r="B2567"/>
    </row>
    <row r="2568" spans="1:2" x14ac:dyDescent="0.25">
      <c r="A2568"/>
      <c r="B2568"/>
    </row>
    <row r="2569" spans="1:2" x14ac:dyDescent="0.25">
      <c r="A2569"/>
      <c r="B2569"/>
    </row>
    <row r="2570" spans="1:2" x14ac:dyDescent="0.25">
      <c r="A2570"/>
      <c r="B2570"/>
    </row>
    <row r="2571" spans="1:2" x14ac:dyDescent="0.25">
      <c r="A2571"/>
      <c r="B2571"/>
    </row>
    <row r="2572" spans="1:2" x14ac:dyDescent="0.25">
      <c r="A2572"/>
      <c r="B2572"/>
    </row>
    <row r="2573" spans="1:2" x14ac:dyDescent="0.25">
      <c r="A2573"/>
      <c r="B2573"/>
    </row>
    <row r="2574" spans="1:2" x14ac:dyDescent="0.25">
      <c r="A2574"/>
      <c r="B2574"/>
    </row>
    <row r="2575" spans="1:2" x14ac:dyDescent="0.25">
      <c r="A2575"/>
      <c r="B2575"/>
    </row>
    <row r="2576" spans="1:2" x14ac:dyDescent="0.25">
      <c r="A2576"/>
      <c r="B2576"/>
    </row>
    <row r="2577" spans="1:2" x14ac:dyDescent="0.25">
      <c r="A2577"/>
      <c r="B2577"/>
    </row>
    <row r="2578" spans="1:2" x14ac:dyDescent="0.25">
      <c r="A2578"/>
      <c r="B2578"/>
    </row>
    <row r="2579" spans="1:2" x14ac:dyDescent="0.25">
      <c r="A2579"/>
      <c r="B2579"/>
    </row>
    <row r="2580" spans="1:2" x14ac:dyDescent="0.25">
      <c r="A2580"/>
      <c r="B2580"/>
    </row>
    <row r="2581" spans="1:2" x14ac:dyDescent="0.25">
      <c r="A2581"/>
      <c r="B2581"/>
    </row>
    <row r="2582" spans="1:2" x14ac:dyDescent="0.25">
      <c r="A2582"/>
      <c r="B2582"/>
    </row>
    <row r="2583" spans="1:2" x14ac:dyDescent="0.25">
      <c r="A2583"/>
      <c r="B2583"/>
    </row>
    <row r="2584" spans="1:2" x14ac:dyDescent="0.25">
      <c r="A2584"/>
      <c r="B2584"/>
    </row>
    <row r="2585" spans="1:2" x14ac:dyDescent="0.25">
      <c r="A2585"/>
      <c r="B2585"/>
    </row>
    <row r="2586" spans="1:2" x14ac:dyDescent="0.25">
      <c r="A2586"/>
      <c r="B2586"/>
    </row>
    <row r="2587" spans="1:2" x14ac:dyDescent="0.25">
      <c r="A2587"/>
      <c r="B2587"/>
    </row>
    <row r="2588" spans="1:2" x14ac:dyDescent="0.25">
      <c r="A2588"/>
      <c r="B2588"/>
    </row>
    <row r="2589" spans="1:2" x14ac:dyDescent="0.25">
      <c r="A2589"/>
      <c r="B2589"/>
    </row>
    <row r="2590" spans="1:2" x14ac:dyDescent="0.25">
      <c r="A2590"/>
      <c r="B2590"/>
    </row>
    <row r="2591" spans="1:2" x14ac:dyDescent="0.25">
      <c r="A2591"/>
      <c r="B2591"/>
    </row>
    <row r="2592" spans="1:2" x14ac:dyDescent="0.25">
      <c r="A2592"/>
      <c r="B2592"/>
    </row>
    <row r="2593" spans="1:2" x14ac:dyDescent="0.25">
      <c r="A2593"/>
      <c r="B2593"/>
    </row>
    <row r="2594" spans="1:2" x14ac:dyDescent="0.25">
      <c r="A2594"/>
      <c r="B2594"/>
    </row>
    <row r="2595" spans="1:2" x14ac:dyDescent="0.25">
      <c r="A2595"/>
      <c r="B2595"/>
    </row>
    <row r="2596" spans="1:2" x14ac:dyDescent="0.25">
      <c r="A2596"/>
      <c r="B2596"/>
    </row>
    <row r="2597" spans="1:2" x14ac:dyDescent="0.25">
      <c r="A2597"/>
      <c r="B2597"/>
    </row>
    <row r="2598" spans="1:2" x14ac:dyDescent="0.25">
      <c r="A2598"/>
      <c r="B2598"/>
    </row>
    <row r="2599" spans="1:2" x14ac:dyDescent="0.25">
      <c r="A2599"/>
      <c r="B2599"/>
    </row>
    <row r="2600" spans="1:2" x14ac:dyDescent="0.25">
      <c r="A2600"/>
      <c r="B2600"/>
    </row>
    <row r="2601" spans="1:2" x14ac:dyDescent="0.25">
      <c r="A2601"/>
      <c r="B2601"/>
    </row>
    <row r="2602" spans="1:2" x14ac:dyDescent="0.25">
      <c r="A2602"/>
      <c r="B2602"/>
    </row>
    <row r="2603" spans="1:2" x14ac:dyDescent="0.25">
      <c r="A2603"/>
      <c r="B2603"/>
    </row>
    <row r="2604" spans="1:2" x14ac:dyDescent="0.25">
      <c r="A2604"/>
      <c r="B2604"/>
    </row>
    <row r="2605" spans="1:2" x14ac:dyDescent="0.25">
      <c r="A2605"/>
      <c r="B2605"/>
    </row>
    <row r="2606" spans="1:2" x14ac:dyDescent="0.25">
      <c r="A2606"/>
      <c r="B2606"/>
    </row>
    <row r="2607" spans="1:2" x14ac:dyDescent="0.25">
      <c r="A2607"/>
      <c r="B2607"/>
    </row>
    <row r="2608" spans="1:2" x14ac:dyDescent="0.25">
      <c r="A2608"/>
      <c r="B2608"/>
    </row>
    <row r="2609" spans="1:2" x14ac:dyDescent="0.25">
      <c r="A2609"/>
      <c r="B2609"/>
    </row>
    <row r="2610" spans="1:2" x14ac:dyDescent="0.25">
      <c r="A2610"/>
      <c r="B2610"/>
    </row>
    <row r="2611" spans="1:2" x14ac:dyDescent="0.25">
      <c r="A2611"/>
      <c r="B2611"/>
    </row>
    <row r="2612" spans="1:2" x14ac:dyDescent="0.25">
      <c r="A2612"/>
      <c r="B2612"/>
    </row>
    <row r="2613" spans="1:2" x14ac:dyDescent="0.25">
      <c r="A2613"/>
      <c r="B2613"/>
    </row>
    <row r="2614" spans="1:2" x14ac:dyDescent="0.25">
      <c r="A2614"/>
      <c r="B2614"/>
    </row>
    <row r="2615" spans="1:2" x14ac:dyDescent="0.25">
      <c r="A2615"/>
      <c r="B2615"/>
    </row>
    <row r="2616" spans="1:2" x14ac:dyDescent="0.25">
      <c r="A2616"/>
      <c r="B2616"/>
    </row>
    <row r="2617" spans="1:2" x14ac:dyDescent="0.25">
      <c r="A2617"/>
      <c r="B2617"/>
    </row>
    <row r="2618" spans="1:2" x14ac:dyDescent="0.25">
      <c r="A2618"/>
      <c r="B2618"/>
    </row>
    <row r="2619" spans="1:2" x14ac:dyDescent="0.25">
      <c r="A2619"/>
      <c r="B2619"/>
    </row>
    <row r="2620" spans="1:2" x14ac:dyDescent="0.25">
      <c r="A2620"/>
      <c r="B2620"/>
    </row>
    <row r="2621" spans="1:2" x14ac:dyDescent="0.25">
      <c r="A2621"/>
      <c r="B2621"/>
    </row>
    <row r="2622" spans="1:2" x14ac:dyDescent="0.25">
      <c r="A2622"/>
      <c r="B2622"/>
    </row>
    <row r="2623" spans="1:2" x14ac:dyDescent="0.25">
      <c r="A2623"/>
      <c r="B2623"/>
    </row>
    <row r="2624" spans="1:2" x14ac:dyDescent="0.25">
      <c r="A2624"/>
      <c r="B2624"/>
    </row>
    <row r="2625" spans="1:2" x14ac:dyDescent="0.25">
      <c r="A2625"/>
      <c r="B2625"/>
    </row>
    <row r="2626" spans="1:2" x14ac:dyDescent="0.25">
      <c r="A2626"/>
      <c r="B2626"/>
    </row>
    <row r="2627" spans="1:2" x14ac:dyDescent="0.25">
      <c r="A2627"/>
      <c r="B2627"/>
    </row>
    <row r="2628" spans="1:2" x14ac:dyDescent="0.25">
      <c r="A2628"/>
      <c r="B2628"/>
    </row>
    <row r="2629" spans="1:2" x14ac:dyDescent="0.25">
      <c r="A2629"/>
      <c r="B2629"/>
    </row>
    <row r="2630" spans="1:2" x14ac:dyDescent="0.25">
      <c r="A2630"/>
      <c r="B2630"/>
    </row>
    <row r="2631" spans="1:2" x14ac:dyDescent="0.25">
      <c r="A2631"/>
      <c r="B2631"/>
    </row>
    <row r="2632" spans="1:2" x14ac:dyDescent="0.25">
      <c r="A2632"/>
      <c r="B2632"/>
    </row>
    <row r="2633" spans="1:2" x14ac:dyDescent="0.25">
      <c r="A2633"/>
      <c r="B2633"/>
    </row>
    <row r="2634" spans="1:2" x14ac:dyDescent="0.25">
      <c r="A2634"/>
      <c r="B2634"/>
    </row>
    <row r="2635" spans="1:2" x14ac:dyDescent="0.25">
      <c r="A2635"/>
      <c r="B2635"/>
    </row>
    <row r="2636" spans="1:2" x14ac:dyDescent="0.25">
      <c r="A2636"/>
      <c r="B2636"/>
    </row>
    <row r="2637" spans="1:2" x14ac:dyDescent="0.25">
      <c r="A2637"/>
      <c r="B2637"/>
    </row>
    <row r="2638" spans="1:2" x14ac:dyDescent="0.25">
      <c r="A2638"/>
      <c r="B2638"/>
    </row>
    <row r="2639" spans="1:2" x14ac:dyDescent="0.25">
      <c r="A2639"/>
      <c r="B2639"/>
    </row>
    <row r="2640" spans="1:2" x14ac:dyDescent="0.25">
      <c r="A2640"/>
      <c r="B2640"/>
    </row>
    <row r="2641" spans="1:2" x14ac:dyDescent="0.25">
      <c r="A2641"/>
      <c r="B2641"/>
    </row>
    <row r="2642" spans="1:2" x14ac:dyDescent="0.25">
      <c r="A2642"/>
      <c r="B2642"/>
    </row>
    <row r="2643" spans="1:2" x14ac:dyDescent="0.25">
      <c r="A2643"/>
      <c r="B2643"/>
    </row>
    <row r="2644" spans="1:2" x14ac:dyDescent="0.25">
      <c r="A2644"/>
      <c r="B2644"/>
    </row>
    <row r="2645" spans="1:2" x14ac:dyDescent="0.25">
      <c r="A2645"/>
      <c r="B2645"/>
    </row>
    <row r="2646" spans="1:2" x14ac:dyDescent="0.25">
      <c r="A2646"/>
      <c r="B2646"/>
    </row>
    <row r="2647" spans="1:2" x14ac:dyDescent="0.25">
      <c r="A2647"/>
      <c r="B2647"/>
    </row>
    <row r="2648" spans="1:2" x14ac:dyDescent="0.25">
      <c r="A2648"/>
      <c r="B2648"/>
    </row>
    <row r="2649" spans="1:2" x14ac:dyDescent="0.25">
      <c r="A2649"/>
      <c r="B2649"/>
    </row>
    <row r="2650" spans="1:2" x14ac:dyDescent="0.25">
      <c r="A2650"/>
      <c r="B2650"/>
    </row>
    <row r="2651" spans="1:2" x14ac:dyDescent="0.25">
      <c r="A2651"/>
      <c r="B2651"/>
    </row>
    <row r="2652" spans="1:2" x14ac:dyDescent="0.25">
      <c r="A2652"/>
      <c r="B2652"/>
    </row>
    <row r="2653" spans="1:2" x14ac:dyDescent="0.25">
      <c r="A2653"/>
      <c r="B2653"/>
    </row>
    <row r="2654" spans="1:2" x14ac:dyDescent="0.25">
      <c r="A2654"/>
      <c r="B2654"/>
    </row>
    <row r="2655" spans="1:2" x14ac:dyDescent="0.25">
      <c r="A2655"/>
      <c r="B2655"/>
    </row>
    <row r="2656" spans="1:2" x14ac:dyDescent="0.25">
      <c r="A2656"/>
      <c r="B2656"/>
    </row>
    <row r="2657" spans="1:2" x14ac:dyDescent="0.25">
      <c r="A2657"/>
      <c r="B2657"/>
    </row>
    <row r="2658" spans="1:2" x14ac:dyDescent="0.25">
      <c r="A2658"/>
      <c r="B2658"/>
    </row>
    <row r="2659" spans="1:2" x14ac:dyDescent="0.25">
      <c r="A2659"/>
      <c r="B2659"/>
    </row>
    <row r="2660" spans="1:2" x14ac:dyDescent="0.25">
      <c r="A2660"/>
      <c r="B2660"/>
    </row>
    <row r="2661" spans="1:2" x14ac:dyDescent="0.25">
      <c r="A2661"/>
      <c r="B2661"/>
    </row>
    <row r="2662" spans="1:2" x14ac:dyDescent="0.25">
      <c r="A2662"/>
      <c r="B2662"/>
    </row>
    <row r="2663" spans="1:2" x14ac:dyDescent="0.25">
      <c r="A2663"/>
      <c r="B2663"/>
    </row>
    <row r="2664" spans="1:2" x14ac:dyDescent="0.25">
      <c r="A2664"/>
      <c r="B2664"/>
    </row>
    <row r="2665" spans="1:2" x14ac:dyDescent="0.25">
      <c r="A2665"/>
      <c r="B2665"/>
    </row>
    <row r="2666" spans="1:2" x14ac:dyDescent="0.25">
      <c r="A2666"/>
      <c r="B2666"/>
    </row>
    <row r="2667" spans="1:2" x14ac:dyDescent="0.25">
      <c r="A2667"/>
      <c r="B2667"/>
    </row>
    <row r="2668" spans="1:2" x14ac:dyDescent="0.25">
      <c r="A2668"/>
      <c r="B2668"/>
    </row>
    <row r="2669" spans="1:2" x14ac:dyDescent="0.25">
      <c r="A2669"/>
      <c r="B2669"/>
    </row>
    <row r="2670" spans="1:2" x14ac:dyDescent="0.25">
      <c r="A2670"/>
      <c r="B2670"/>
    </row>
    <row r="2671" spans="1:2" x14ac:dyDescent="0.25">
      <c r="A2671"/>
      <c r="B2671"/>
    </row>
    <row r="2672" spans="1:2" x14ac:dyDescent="0.25">
      <c r="A2672"/>
      <c r="B2672"/>
    </row>
    <row r="2673" spans="1:2" x14ac:dyDescent="0.25">
      <c r="A2673"/>
      <c r="B2673"/>
    </row>
    <row r="2674" spans="1:2" x14ac:dyDescent="0.25">
      <c r="A2674"/>
      <c r="B2674"/>
    </row>
    <row r="2675" spans="1:2" x14ac:dyDescent="0.25">
      <c r="A2675"/>
      <c r="B2675"/>
    </row>
    <row r="2676" spans="1:2" x14ac:dyDescent="0.25">
      <c r="A2676"/>
      <c r="B2676"/>
    </row>
    <row r="2677" spans="1:2" x14ac:dyDescent="0.25">
      <c r="A2677"/>
      <c r="B2677"/>
    </row>
    <row r="2678" spans="1:2" x14ac:dyDescent="0.25">
      <c r="A2678"/>
      <c r="B2678"/>
    </row>
    <row r="2679" spans="1:2" x14ac:dyDescent="0.25">
      <c r="A2679"/>
      <c r="B2679"/>
    </row>
    <row r="2680" spans="1:2" x14ac:dyDescent="0.25">
      <c r="A2680"/>
      <c r="B2680"/>
    </row>
    <row r="2681" spans="1:2" x14ac:dyDescent="0.25">
      <c r="A2681"/>
      <c r="B2681"/>
    </row>
    <row r="2682" spans="1:2" x14ac:dyDescent="0.25">
      <c r="A2682"/>
      <c r="B2682"/>
    </row>
    <row r="2683" spans="1:2" x14ac:dyDescent="0.25">
      <c r="A2683"/>
      <c r="B2683"/>
    </row>
    <row r="2684" spans="1:2" x14ac:dyDescent="0.25">
      <c r="A2684"/>
      <c r="B2684"/>
    </row>
    <row r="2685" spans="1:2" x14ac:dyDescent="0.25">
      <c r="A2685"/>
      <c r="B2685"/>
    </row>
    <row r="2686" spans="1:2" x14ac:dyDescent="0.25">
      <c r="A2686"/>
      <c r="B2686"/>
    </row>
    <row r="2687" spans="1:2" x14ac:dyDescent="0.25">
      <c r="A2687"/>
      <c r="B2687"/>
    </row>
    <row r="2688" spans="1:2" x14ac:dyDescent="0.25">
      <c r="A2688"/>
      <c r="B2688"/>
    </row>
    <row r="2689" spans="1:2" x14ac:dyDescent="0.25">
      <c r="A2689"/>
      <c r="B2689"/>
    </row>
    <row r="2690" spans="1:2" x14ac:dyDescent="0.25">
      <c r="A2690"/>
      <c r="B2690"/>
    </row>
    <row r="2691" spans="1:2" x14ac:dyDescent="0.25">
      <c r="A2691"/>
      <c r="B2691"/>
    </row>
    <row r="2692" spans="1:2" x14ac:dyDescent="0.25">
      <c r="A2692"/>
      <c r="B2692"/>
    </row>
    <row r="2693" spans="1:2" x14ac:dyDescent="0.25">
      <c r="A2693"/>
      <c r="B2693"/>
    </row>
    <row r="2694" spans="1:2" x14ac:dyDescent="0.25">
      <c r="A2694"/>
      <c r="B2694"/>
    </row>
    <row r="2695" spans="1:2" x14ac:dyDescent="0.25">
      <c r="A2695"/>
      <c r="B2695"/>
    </row>
    <row r="2696" spans="1:2" x14ac:dyDescent="0.25">
      <c r="A2696"/>
      <c r="B2696"/>
    </row>
    <row r="2697" spans="1:2" x14ac:dyDescent="0.25">
      <c r="A2697"/>
      <c r="B2697"/>
    </row>
    <row r="2698" spans="1:2" x14ac:dyDescent="0.25">
      <c r="A2698"/>
      <c r="B2698"/>
    </row>
    <row r="2699" spans="1:2" x14ac:dyDescent="0.25">
      <c r="A2699"/>
      <c r="B2699"/>
    </row>
    <row r="2700" spans="1:2" x14ac:dyDescent="0.25">
      <c r="A2700"/>
      <c r="B2700"/>
    </row>
    <row r="2701" spans="1:2" x14ac:dyDescent="0.25">
      <c r="A2701"/>
      <c r="B2701"/>
    </row>
    <row r="2702" spans="1:2" x14ac:dyDescent="0.25">
      <c r="A2702"/>
      <c r="B2702"/>
    </row>
    <row r="2703" spans="1:2" x14ac:dyDescent="0.25">
      <c r="A2703"/>
      <c r="B2703"/>
    </row>
    <row r="2704" spans="1:2" x14ac:dyDescent="0.25">
      <c r="A2704"/>
      <c r="B2704"/>
    </row>
    <row r="2705" spans="1:2" x14ac:dyDescent="0.25">
      <c r="A2705"/>
      <c r="B2705"/>
    </row>
    <row r="2706" spans="1:2" x14ac:dyDescent="0.25">
      <c r="A2706"/>
      <c r="B2706"/>
    </row>
    <row r="2707" spans="1:2" x14ac:dyDescent="0.25">
      <c r="A2707"/>
      <c r="B2707"/>
    </row>
    <row r="2708" spans="1:2" x14ac:dyDescent="0.25">
      <c r="A2708"/>
      <c r="B2708"/>
    </row>
    <row r="2709" spans="1:2" x14ac:dyDescent="0.25">
      <c r="A2709"/>
      <c r="B2709"/>
    </row>
    <row r="2710" spans="1:2" x14ac:dyDescent="0.25">
      <c r="A2710"/>
      <c r="B2710"/>
    </row>
    <row r="2711" spans="1:2" x14ac:dyDescent="0.25">
      <c r="A2711"/>
      <c r="B2711"/>
    </row>
    <row r="2712" spans="1:2" x14ac:dyDescent="0.25">
      <c r="A2712"/>
      <c r="B2712"/>
    </row>
    <row r="2713" spans="1:2" x14ac:dyDescent="0.25">
      <c r="A2713"/>
      <c r="B2713"/>
    </row>
    <row r="2714" spans="1:2" x14ac:dyDescent="0.25">
      <c r="A2714"/>
      <c r="B2714"/>
    </row>
    <row r="2715" spans="1:2" x14ac:dyDescent="0.25">
      <c r="A2715"/>
      <c r="B2715"/>
    </row>
    <row r="2716" spans="1:2" x14ac:dyDescent="0.25">
      <c r="A2716"/>
      <c r="B2716"/>
    </row>
    <row r="2717" spans="1:2" x14ac:dyDescent="0.25">
      <c r="A2717"/>
      <c r="B2717"/>
    </row>
    <row r="2718" spans="1:2" x14ac:dyDescent="0.25">
      <c r="A2718"/>
      <c r="B2718"/>
    </row>
    <row r="2719" spans="1:2" x14ac:dyDescent="0.25">
      <c r="A2719"/>
      <c r="B2719"/>
    </row>
    <row r="2720" spans="1:2" x14ac:dyDescent="0.25">
      <c r="A2720"/>
      <c r="B2720"/>
    </row>
    <row r="2721" spans="1:2" x14ac:dyDescent="0.25">
      <c r="A2721"/>
      <c r="B2721"/>
    </row>
    <row r="2722" spans="1:2" x14ac:dyDescent="0.25">
      <c r="A2722"/>
      <c r="B2722"/>
    </row>
    <row r="2723" spans="1:2" x14ac:dyDescent="0.25">
      <c r="A2723"/>
      <c r="B2723"/>
    </row>
    <row r="2724" spans="1:2" x14ac:dyDescent="0.25">
      <c r="A2724"/>
      <c r="B2724"/>
    </row>
    <row r="2725" spans="1:2" x14ac:dyDescent="0.25">
      <c r="A2725"/>
      <c r="B2725"/>
    </row>
    <row r="2726" spans="1:2" x14ac:dyDescent="0.25">
      <c r="A2726"/>
      <c r="B2726"/>
    </row>
    <row r="2727" spans="1:2" x14ac:dyDescent="0.25">
      <c r="A2727"/>
      <c r="B2727"/>
    </row>
    <row r="2728" spans="1:2" x14ac:dyDescent="0.25">
      <c r="A2728"/>
      <c r="B2728"/>
    </row>
    <row r="2729" spans="1:2" x14ac:dyDescent="0.25">
      <c r="A2729"/>
      <c r="B2729"/>
    </row>
    <row r="2730" spans="1:2" x14ac:dyDescent="0.25">
      <c r="A2730"/>
      <c r="B2730"/>
    </row>
    <row r="2731" spans="1:2" x14ac:dyDescent="0.25">
      <c r="A2731"/>
      <c r="B2731"/>
    </row>
    <row r="2732" spans="1:2" x14ac:dyDescent="0.25">
      <c r="A2732"/>
      <c r="B2732"/>
    </row>
    <row r="2733" spans="1:2" x14ac:dyDescent="0.25">
      <c r="A2733"/>
      <c r="B2733"/>
    </row>
    <row r="2734" spans="1:2" x14ac:dyDescent="0.25">
      <c r="A2734"/>
      <c r="B2734"/>
    </row>
    <row r="2735" spans="1:2" x14ac:dyDescent="0.25">
      <c r="A2735"/>
      <c r="B2735"/>
    </row>
    <row r="2736" spans="1:2" x14ac:dyDescent="0.25">
      <c r="A2736"/>
      <c r="B2736"/>
    </row>
    <row r="2737" spans="1:2" x14ac:dyDescent="0.25">
      <c r="A2737"/>
      <c r="B2737"/>
    </row>
    <row r="2738" spans="1:2" x14ac:dyDescent="0.25">
      <c r="A2738"/>
      <c r="B2738"/>
    </row>
    <row r="2739" spans="1:2" x14ac:dyDescent="0.25">
      <c r="A2739"/>
      <c r="B2739"/>
    </row>
    <row r="2740" spans="1:2" x14ac:dyDescent="0.25">
      <c r="A2740"/>
      <c r="B2740"/>
    </row>
    <row r="2741" spans="1:2" x14ac:dyDescent="0.25">
      <c r="A2741"/>
      <c r="B2741"/>
    </row>
    <row r="2742" spans="1:2" x14ac:dyDescent="0.25">
      <c r="A2742"/>
      <c r="B2742"/>
    </row>
    <row r="2743" spans="1:2" x14ac:dyDescent="0.25">
      <c r="A2743"/>
      <c r="B2743"/>
    </row>
    <row r="2744" spans="1:2" x14ac:dyDescent="0.25">
      <c r="A2744"/>
      <c r="B2744"/>
    </row>
    <row r="2745" spans="1:2" x14ac:dyDescent="0.25">
      <c r="A2745"/>
      <c r="B2745"/>
    </row>
    <row r="2746" spans="1:2" x14ac:dyDescent="0.25">
      <c r="A2746"/>
      <c r="B2746"/>
    </row>
    <row r="2747" spans="1:2" x14ac:dyDescent="0.25">
      <c r="A2747"/>
      <c r="B2747"/>
    </row>
    <row r="2748" spans="1:2" x14ac:dyDescent="0.25">
      <c r="A2748"/>
      <c r="B2748"/>
    </row>
    <row r="2749" spans="1:2" x14ac:dyDescent="0.25">
      <c r="A2749"/>
      <c r="B2749"/>
    </row>
    <row r="2750" spans="1:2" x14ac:dyDescent="0.25">
      <c r="A2750"/>
      <c r="B2750"/>
    </row>
    <row r="2751" spans="1:2" x14ac:dyDescent="0.25">
      <c r="A2751"/>
      <c r="B2751"/>
    </row>
    <row r="2752" spans="1:2" x14ac:dyDescent="0.25">
      <c r="A2752"/>
      <c r="B2752"/>
    </row>
    <row r="2753" spans="1:2" x14ac:dyDescent="0.25">
      <c r="A2753"/>
      <c r="B2753"/>
    </row>
    <row r="2754" spans="1:2" x14ac:dyDescent="0.25">
      <c r="A2754"/>
      <c r="B2754"/>
    </row>
    <row r="2755" spans="1:2" x14ac:dyDescent="0.25">
      <c r="A2755"/>
      <c r="B2755"/>
    </row>
    <row r="2756" spans="1:2" x14ac:dyDescent="0.25">
      <c r="A2756"/>
      <c r="B2756"/>
    </row>
    <row r="2757" spans="1:2" x14ac:dyDescent="0.25">
      <c r="A2757"/>
      <c r="B2757"/>
    </row>
    <row r="2758" spans="1:2" x14ac:dyDescent="0.25">
      <c r="A2758"/>
      <c r="B2758"/>
    </row>
    <row r="2759" spans="1:2" x14ac:dyDescent="0.25">
      <c r="A2759"/>
      <c r="B2759"/>
    </row>
    <row r="2760" spans="1:2" x14ac:dyDescent="0.25">
      <c r="A2760"/>
      <c r="B2760"/>
    </row>
    <row r="2761" spans="1:2" x14ac:dyDescent="0.25">
      <c r="A2761"/>
      <c r="B2761"/>
    </row>
    <row r="2762" spans="1:2" x14ac:dyDescent="0.25">
      <c r="A2762"/>
      <c r="B2762"/>
    </row>
    <row r="2763" spans="1:2" x14ac:dyDescent="0.25">
      <c r="A2763"/>
      <c r="B2763"/>
    </row>
    <row r="2764" spans="1:2" x14ac:dyDescent="0.25">
      <c r="A2764"/>
      <c r="B2764"/>
    </row>
    <row r="2765" spans="1:2" x14ac:dyDescent="0.25">
      <c r="A2765"/>
      <c r="B2765"/>
    </row>
    <row r="2766" spans="1:2" x14ac:dyDescent="0.25">
      <c r="A2766"/>
      <c r="B2766"/>
    </row>
    <row r="2767" spans="1:2" x14ac:dyDescent="0.25">
      <c r="A2767"/>
      <c r="B2767"/>
    </row>
    <row r="2768" spans="1:2" x14ac:dyDescent="0.25">
      <c r="A2768"/>
      <c r="B2768"/>
    </row>
    <row r="2769" spans="1:2" x14ac:dyDescent="0.25">
      <c r="A2769"/>
      <c r="B2769"/>
    </row>
    <row r="2770" spans="1:2" x14ac:dyDescent="0.25">
      <c r="A2770"/>
      <c r="B2770"/>
    </row>
    <row r="2771" spans="1:2" x14ac:dyDescent="0.25">
      <c r="A2771"/>
      <c r="B2771"/>
    </row>
    <row r="2772" spans="1:2" x14ac:dyDescent="0.25">
      <c r="A2772"/>
      <c r="B2772"/>
    </row>
    <row r="2773" spans="1:2" x14ac:dyDescent="0.25">
      <c r="A2773"/>
      <c r="B2773"/>
    </row>
    <row r="2774" spans="1:2" x14ac:dyDescent="0.25">
      <c r="A2774"/>
      <c r="B2774"/>
    </row>
    <row r="2775" spans="1:2" x14ac:dyDescent="0.25">
      <c r="A2775"/>
      <c r="B2775"/>
    </row>
    <row r="2776" spans="1:2" x14ac:dyDescent="0.25">
      <c r="A2776"/>
      <c r="B2776"/>
    </row>
    <row r="2777" spans="1:2" x14ac:dyDescent="0.25">
      <c r="A2777"/>
      <c r="B2777"/>
    </row>
    <row r="2778" spans="1:2" x14ac:dyDescent="0.25">
      <c r="A2778"/>
      <c r="B2778"/>
    </row>
    <row r="2779" spans="1:2" x14ac:dyDescent="0.25">
      <c r="A2779"/>
      <c r="B2779"/>
    </row>
    <row r="2780" spans="1:2" x14ac:dyDescent="0.25">
      <c r="A2780"/>
      <c r="B2780"/>
    </row>
    <row r="2781" spans="1:2" x14ac:dyDescent="0.25">
      <c r="A2781"/>
      <c r="B2781"/>
    </row>
    <row r="2782" spans="1:2" x14ac:dyDescent="0.25">
      <c r="A2782"/>
      <c r="B2782"/>
    </row>
    <row r="2783" spans="1:2" x14ac:dyDescent="0.25">
      <c r="A2783"/>
      <c r="B2783"/>
    </row>
    <row r="2784" spans="1:2" x14ac:dyDescent="0.25">
      <c r="A2784"/>
      <c r="B2784"/>
    </row>
    <row r="2785" spans="1:2" x14ac:dyDescent="0.25">
      <c r="A2785"/>
      <c r="B2785"/>
    </row>
    <row r="2786" spans="1:2" x14ac:dyDescent="0.25">
      <c r="A2786"/>
      <c r="B2786"/>
    </row>
    <row r="2787" spans="1:2" x14ac:dyDescent="0.25">
      <c r="A2787"/>
      <c r="B2787"/>
    </row>
    <row r="2788" spans="1:2" x14ac:dyDescent="0.25">
      <c r="A2788"/>
      <c r="B2788"/>
    </row>
    <row r="2789" spans="1:2" x14ac:dyDescent="0.25">
      <c r="A2789"/>
      <c r="B2789"/>
    </row>
    <row r="2790" spans="1:2" x14ac:dyDescent="0.25">
      <c r="A2790"/>
      <c r="B2790"/>
    </row>
    <row r="2791" spans="1:2" x14ac:dyDescent="0.25">
      <c r="A2791"/>
      <c r="B2791"/>
    </row>
    <row r="2792" spans="1:2" x14ac:dyDescent="0.25">
      <c r="A2792"/>
      <c r="B2792"/>
    </row>
    <row r="2793" spans="1:2" x14ac:dyDescent="0.25">
      <c r="A2793"/>
      <c r="B2793"/>
    </row>
    <row r="2794" spans="1:2" x14ac:dyDescent="0.25">
      <c r="A2794"/>
      <c r="B2794"/>
    </row>
    <row r="2795" spans="1:2" x14ac:dyDescent="0.25">
      <c r="A2795"/>
      <c r="B2795"/>
    </row>
    <row r="2796" spans="1:2" x14ac:dyDescent="0.25">
      <c r="A2796"/>
      <c r="B2796"/>
    </row>
    <row r="2797" spans="1:2" x14ac:dyDescent="0.25">
      <c r="A2797"/>
      <c r="B2797"/>
    </row>
    <row r="2798" spans="1:2" x14ac:dyDescent="0.25">
      <c r="A2798"/>
      <c r="B2798"/>
    </row>
    <row r="2799" spans="1:2" x14ac:dyDescent="0.25">
      <c r="A2799"/>
      <c r="B2799"/>
    </row>
    <row r="2800" spans="1:2" x14ac:dyDescent="0.25">
      <c r="A2800"/>
      <c r="B2800"/>
    </row>
    <row r="2801" spans="1:2" x14ac:dyDescent="0.25">
      <c r="A2801"/>
      <c r="B2801"/>
    </row>
    <row r="2802" spans="1:2" x14ac:dyDescent="0.25">
      <c r="A2802"/>
      <c r="B2802"/>
    </row>
    <row r="2803" spans="1:2" x14ac:dyDescent="0.25">
      <c r="A2803"/>
      <c r="B2803"/>
    </row>
    <row r="2804" spans="1:2" x14ac:dyDescent="0.25">
      <c r="A2804"/>
      <c r="B2804"/>
    </row>
    <row r="2805" spans="1:2" x14ac:dyDescent="0.25">
      <c r="A2805"/>
      <c r="B2805"/>
    </row>
    <row r="2806" spans="1:2" x14ac:dyDescent="0.25">
      <c r="A2806"/>
      <c r="B2806"/>
    </row>
    <row r="2807" spans="1:2" x14ac:dyDescent="0.25">
      <c r="A2807"/>
      <c r="B2807"/>
    </row>
    <row r="2808" spans="1:2" x14ac:dyDescent="0.25">
      <c r="A2808"/>
      <c r="B2808"/>
    </row>
    <row r="2809" spans="1:2" x14ac:dyDescent="0.25">
      <c r="A2809"/>
      <c r="B2809"/>
    </row>
    <row r="2810" spans="1:2" x14ac:dyDescent="0.25">
      <c r="A2810"/>
      <c r="B2810"/>
    </row>
    <row r="2811" spans="1:2" x14ac:dyDescent="0.25">
      <c r="A2811"/>
      <c r="B2811"/>
    </row>
    <row r="2812" spans="1:2" x14ac:dyDescent="0.25">
      <c r="A2812"/>
      <c r="B2812"/>
    </row>
    <row r="2813" spans="1:2" x14ac:dyDescent="0.25">
      <c r="A2813"/>
      <c r="B2813"/>
    </row>
    <row r="2814" spans="1:2" x14ac:dyDescent="0.25">
      <c r="A2814"/>
      <c r="B2814"/>
    </row>
    <row r="2815" spans="1:2" x14ac:dyDescent="0.25">
      <c r="A2815"/>
      <c r="B2815"/>
    </row>
    <row r="2816" spans="1:2" x14ac:dyDescent="0.25">
      <c r="A2816"/>
      <c r="B2816"/>
    </row>
    <row r="2817" spans="1:2" x14ac:dyDescent="0.25">
      <c r="A2817"/>
      <c r="B2817"/>
    </row>
    <row r="2818" spans="1:2" x14ac:dyDescent="0.25">
      <c r="A2818"/>
      <c r="B2818"/>
    </row>
    <row r="2819" spans="1:2" x14ac:dyDescent="0.25">
      <c r="A2819"/>
      <c r="B2819"/>
    </row>
    <row r="2820" spans="1:2" x14ac:dyDescent="0.25">
      <c r="A2820"/>
      <c r="B2820"/>
    </row>
    <row r="2821" spans="1:2" x14ac:dyDescent="0.25">
      <c r="A2821"/>
      <c r="B2821"/>
    </row>
    <row r="2822" spans="1:2" x14ac:dyDescent="0.25">
      <c r="A2822"/>
      <c r="B2822"/>
    </row>
    <row r="2823" spans="1:2" x14ac:dyDescent="0.25">
      <c r="A2823"/>
      <c r="B2823"/>
    </row>
    <row r="2824" spans="1:2" x14ac:dyDescent="0.25">
      <c r="A2824"/>
      <c r="B2824"/>
    </row>
    <row r="2825" spans="1:2" x14ac:dyDescent="0.25">
      <c r="A2825"/>
      <c r="B2825"/>
    </row>
    <row r="2826" spans="1:2" x14ac:dyDescent="0.25">
      <c r="A2826"/>
      <c r="B2826"/>
    </row>
    <row r="2827" spans="1:2" x14ac:dyDescent="0.25">
      <c r="A2827"/>
      <c r="B2827"/>
    </row>
    <row r="2828" spans="1:2" x14ac:dyDescent="0.25">
      <c r="A2828"/>
      <c r="B2828"/>
    </row>
    <row r="2829" spans="1:2" x14ac:dyDescent="0.25">
      <c r="A2829"/>
      <c r="B2829"/>
    </row>
    <row r="2830" spans="1:2" x14ac:dyDescent="0.25">
      <c r="A2830"/>
      <c r="B2830"/>
    </row>
    <row r="2831" spans="1:2" x14ac:dyDescent="0.25">
      <c r="A2831"/>
      <c r="B2831"/>
    </row>
    <row r="2832" spans="1:2" x14ac:dyDescent="0.25">
      <c r="A2832"/>
      <c r="B2832"/>
    </row>
    <row r="2833" spans="1:2" x14ac:dyDescent="0.25">
      <c r="A2833"/>
      <c r="B2833"/>
    </row>
    <row r="2834" spans="1:2" x14ac:dyDescent="0.25">
      <c r="A2834"/>
      <c r="B2834"/>
    </row>
    <row r="2835" spans="1:2" x14ac:dyDescent="0.25">
      <c r="A2835"/>
      <c r="B2835"/>
    </row>
    <row r="2836" spans="1:2" x14ac:dyDescent="0.25">
      <c r="A2836"/>
      <c r="B2836"/>
    </row>
    <row r="2837" spans="1:2" x14ac:dyDescent="0.25">
      <c r="A2837"/>
      <c r="B2837"/>
    </row>
    <row r="2838" spans="1:2" x14ac:dyDescent="0.25">
      <c r="A2838"/>
      <c r="B2838"/>
    </row>
    <row r="2839" spans="1:2" x14ac:dyDescent="0.25">
      <c r="A2839"/>
      <c r="B2839"/>
    </row>
    <row r="2840" spans="1:2" x14ac:dyDescent="0.25">
      <c r="A2840"/>
      <c r="B2840"/>
    </row>
    <row r="2841" spans="1:2" x14ac:dyDescent="0.25">
      <c r="A2841"/>
      <c r="B2841"/>
    </row>
    <row r="2842" spans="1:2" x14ac:dyDescent="0.25">
      <c r="A2842"/>
      <c r="B2842"/>
    </row>
    <row r="2843" spans="1:2" x14ac:dyDescent="0.25">
      <c r="A2843"/>
      <c r="B2843"/>
    </row>
    <row r="2844" spans="1:2" x14ac:dyDescent="0.25">
      <c r="A2844"/>
      <c r="B2844"/>
    </row>
    <row r="2845" spans="1:2" x14ac:dyDescent="0.25">
      <c r="A2845"/>
      <c r="B2845"/>
    </row>
    <row r="2846" spans="1:2" x14ac:dyDescent="0.25">
      <c r="A2846"/>
      <c r="B2846"/>
    </row>
    <row r="2847" spans="1:2" x14ac:dyDescent="0.25">
      <c r="A2847"/>
      <c r="B2847"/>
    </row>
    <row r="2848" spans="1:2" x14ac:dyDescent="0.25">
      <c r="A2848"/>
      <c r="B2848"/>
    </row>
    <row r="2849" spans="1:2" x14ac:dyDescent="0.25">
      <c r="A2849"/>
      <c r="B2849"/>
    </row>
    <row r="2850" spans="1:2" x14ac:dyDescent="0.25">
      <c r="A2850"/>
      <c r="B2850"/>
    </row>
    <row r="2851" spans="1:2" x14ac:dyDescent="0.25">
      <c r="A2851"/>
      <c r="B2851"/>
    </row>
    <row r="2852" spans="1:2" x14ac:dyDescent="0.25">
      <c r="A2852"/>
      <c r="B2852"/>
    </row>
    <row r="2853" spans="1:2" x14ac:dyDescent="0.25">
      <c r="A2853"/>
      <c r="B2853"/>
    </row>
    <row r="2854" spans="1:2" x14ac:dyDescent="0.25">
      <c r="A2854"/>
      <c r="B2854"/>
    </row>
    <row r="2855" spans="1:2" x14ac:dyDescent="0.25">
      <c r="A2855"/>
      <c r="B2855"/>
    </row>
    <row r="2856" spans="1:2" x14ac:dyDescent="0.25">
      <c r="A2856"/>
      <c r="B2856"/>
    </row>
    <row r="2857" spans="1:2" x14ac:dyDescent="0.25">
      <c r="A2857"/>
      <c r="B2857"/>
    </row>
    <row r="2858" spans="1:2" x14ac:dyDescent="0.25">
      <c r="A2858"/>
      <c r="B2858"/>
    </row>
    <row r="2859" spans="1:2" x14ac:dyDescent="0.25">
      <c r="A2859"/>
      <c r="B2859"/>
    </row>
    <row r="2860" spans="1:2" x14ac:dyDescent="0.25">
      <c r="A2860"/>
      <c r="B2860"/>
    </row>
    <row r="2861" spans="1:2" x14ac:dyDescent="0.25">
      <c r="A2861"/>
      <c r="B2861"/>
    </row>
    <row r="2862" spans="1:2" x14ac:dyDescent="0.25">
      <c r="A2862"/>
      <c r="B2862"/>
    </row>
    <row r="2863" spans="1:2" x14ac:dyDescent="0.25">
      <c r="A2863"/>
      <c r="B2863"/>
    </row>
    <row r="2864" spans="1:2" x14ac:dyDescent="0.25">
      <c r="A2864"/>
      <c r="B2864"/>
    </row>
    <row r="2865" spans="1:2" x14ac:dyDescent="0.25">
      <c r="A2865"/>
      <c r="B2865"/>
    </row>
    <row r="2866" spans="1:2" x14ac:dyDescent="0.25">
      <c r="A2866"/>
      <c r="B2866"/>
    </row>
    <row r="2867" spans="1:2" x14ac:dyDescent="0.25">
      <c r="A2867"/>
      <c r="B2867"/>
    </row>
    <row r="2868" spans="1:2" x14ac:dyDescent="0.25">
      <c r="A2868"/>
      <c r="B2868"/>
    </row>
    <row r="2869" spans="1:2" x14ac:dyDescent="0.25">
      <c r="A2869"/>
      <c r="B2869"/>
    </row>
    <row r="2870" spans="1:2" x14ac:dyDescent="0.25">
      <c r="A2870"/>
      <c r="B2870"/>
    </row>
    <row r="2871" spans="1:2" x14ac:dyDescent="0.25">
      <c r="A2871"/>
      <c r="B2871"/>
    </row>
    <row r="2872" spans="1:2" x14ac:dyDescent="0.25">
      <c r="A2872"/>
      <c r="B2872"/>
    </row>
    <row r="2873" spans="1:2" x14ac:dyDescent="0.25">
      <c r="A2873"/>
      <c r="B2873"/>
    </row>
    <row r="2874" spans="1:2" x14ac:dyDescent="0.25">
      <c r="A2874"/>
      <c r="B2874"/>
    </row>
    <row r="2875" spans="1:2" x14ac:dyDescent="0.25">
      <c r="A2875"/>
      <c r="B2875"/>
    </row>
    <row r="2876" spans="1:2" x14ac:dyDescent="0.25">
      <c r="A2876"/>
      <c r="B2876"/>
    </row>
    <row r="2877" spans="1:2" x14ac:dyDescent="0.25">
      <c r="A2877"/>
      <c r="B2877"/>
    </row>
    <row r="2878" spans="1:2" x14ac:dyDescent="0.25">
      <c r="A2878"/>
      <c r="B2878"/>
    </row>
    <row r="2879" spans="1:2" x14ac:dyDescent="0.25">
      <c r="A2879"/>
      <c r="B2879"/>
    </row>
    <row r="2880" spans="1:2" x14ac:dyDescent="0.25">
      <c r="A2880"/>
      <c r="B2880"/>
    </row>
    <row r="2881" spans="1:2" x14ac:dyDescent="0.25">
      <c r="A2881"/>
      <c r="B2881"/>
    </row>
    <row r="2882" spans="1:2" x14ac:dyDescent="0.25">
      <c r="A2882"/>
      <c r="B2882"/>
    </row>
    <row r="2883" spans="1:2" x14ac:dyDescent="0.25">
      <c r="A2883"/>
      <c r="B2883"/>
    </row>
    <row r="2884" spans="1:2" x14ac:dyDescent="0.25">
      <c r="A2884"/>
      <c r="B2884"/>
    </row>
    <row r="2885" spans="1:2" x14ac:dyDescent="0.25">
      <c r="A2885"/>
      <c r="B2885"/>
    </row>
    <row r="2886" spans="1:2" x14ac:dyDescent="0.25">
      <c r="A2886"/>
      <c r="B2886"/>
    </row>
    <row r="2887" spans="1:2" x14ac:dyDescent="0.25">
      <c r="A2887"/>
      <c r="B2887"/>
    </row>
    <row r="2888" spans="1:2" x14ac:dyDescent="0.25">
      <c r="A2888"/>
      <c r="B2888"/>
    </row>
    <row r="2889" spans="1:2" x14ac:dyDescent="0.25">
      <c r="A2889"/>
      <c r="B2889"/>
    </row>
    <row r="2890" spans="1:2" x14ac:dyDescent="0.25">
      <c r="A2890"/>
      <c r="B2890"/>
    </row>
    <row r="2891" spans="1:2" x14ac:dyDescent="0.25">
      <c r="A2891"/>
      <c r="B2891"/>
    </row>
    <row r="2892" spans="1:2" x14ac:dyDescent="0.25">
      <c r="A2892"/>
      <c r="B2892"/>
    </row>
    <row r="2893" spans="1:2" x14ac:dyDescent="0.25">
      <c r="A2893"/>
      <c r="B2893"/>
    </row>
    <row r="2894" spans="1:2" x14ac:dyDescent="0.25">
      <c r="A2894"/>
      <c r="B2894"/>
    </row>
    <row r="2895" spans="1:2" x14ac:dyDescent="0.25">
      <c r="A2895"/>
      <c r="B2895"/>
    </row>
    <row r="2896" spans="1:2" x14ac:dyDescent="0.25">
      <c r="A2896"/>
      <c r="B2896"/>
    </row>
    <row r="2897" spans="1:2" x14ac:dyDescent="0.25">
      <c r="A2897"/>
      <c r="B2897"/>
    </row>
    <row r="2898" spans="1:2" x14ac:dyDescent="0.25">
      <c r="A2898"/>
      <c r="B2898"/>
    </row>
    <row r="2899" spans="1:2" x14ac:dyDescent="0.25">
      <c r="A2899"/>
      <c r="B2899"/>
    </row>
    <row r="2900" spans="1:2" x14ac:dyDescent="0.25">
      <c r="A2900"/>
      <c r="B2900"/>
    </row>
    <row r="2901" spans="1:2" x14ac:dyDescent="0.25">
      <c r="A2901"/>
      <c r="B2901"/>
    </row>
    <row r="2902" spans="1:2" x14ac:dyDescent="0.25">
      <c r="A2902"/>
      <c r="B2902"/>
    </row>
    <row r="2903" spans="1:2" x14ac:dyDescent="0.25">
      <c r="A2903"/>
      <c r="B2903"/>
    </row>
    <row r="2904" spans="1:2" x14ac:dyDescent="0.25">
      <c r="A2904"/>
      <c r="B2904"/>
    </row>
    <row r="2905" spans="1:2" x14ac:dyDescent="0.25">
      <c r="A2905"/>
      <c r="B2905"/>
    </row>
    <row r="2906" spans="1:2" x14ac:dyDescent="0.25">
      <c r="A2906"/>
      <c r="B2906"/>
    </row>
    <row r="2907" spans="1:2" x14ac:dyDescent="0.25">
      <c r="A2907"/>
      <c r="B2907"/>
    </row>
    <row r="2908" spans="1:2" x14ac:dyDescent="0.25">
      <c r="A2908"/>
      <c r="B2908"/>
    </row>
    <row r="2909" spans="1:2" x14ac:dyDescent="0.25">
      <c r="A2909"/>
      <c r="B2909"/>
    </row>
    <row r="2910" spans="1:2" x14ac:dyDescent="0.25">
      <c r="A2910"/>
      <c r="B2910"/>
    </row>
    <row r="2911" spans="1:2" x14ac:dyDescent="0.25">
      <c r="A2911"/>
      <c r="B2911"/>
    </row>
    <row r="2912" spans="1:2" x14ac:dyDescent="0.25">
      <c r="A2912"/>
      <c r="B2912"/>
    </row>
    <row r="2913" spans="1:2" x14ac:dyDescent="0.25">
      <c r="A2913"/>
      <c r="B2913"/>
    </row>
    <row r="2914" spans="1:2" x14ac:dyDescent="0.25">
      <c r="A2914"/>
      <c r="B2914"/>
    </row>
    <row r="2915" spans="1:2" x14ac:dyDescent="0.25">
      <c r="A2915"/>
      <c r="B2915"/>
    </row>
    <row r="2916" spans="1:2" x14ac:dyDescent="0.25">
      <c r="A2916"/>
      <c r="B2916"/>
    </row>
    <row r="2917" spans="1:2" x14ac:dyDescent="0.25">
      <c r="A2917"/>
      <c r="B2917"/>
    </row>
    <row r="2918" spans="1:2" x14ac:dyDescent="0.25">
      <c r="A2918"/>
      <c r="B2918"/>
    </row>
    <row r="2919" spans="1:2" x14ac:dyDescent="0.25">
      <c r="A2919"/>
      <c r="B2919"/>
    </row>
    <row r="2920" spans="1:2" x14ac:dyDescent="0.25">
      <c r="A2920"/>
      <c r="B2920"/>
    </row>
    <row r="2921" spans="1:2" x14ac:dyDescent="0.25">
      <c r="A2921"/>
      <c r="B2921"/>
    </row>
    <row r="2922" spans="1:2" x14ac:dyDescent="0.25">
      <c r="A2922"/>
      <c r="B2922"/>
    </row>
    <row r="2923" spans="1:2" x14ac:dyDescent="0.25">
      <c r="A2923"/>
      <c r="B2923"/>
    </row>
    <row r="2924" spans="1:2" x14ac:dyDescent="0.25">
      <c r="A2924"/>
      <c r="B2924"/>
    </row>
    <row r="2925" spans="1:2" x14ac:dyDescent="0.25">
      <c r="A2925"/>
      <c r="B2925"/>
    </row>
    <row r="2926" spans="1:2" x14ac:dyDescent="0.25">
      <c r="A2926"/>
      <c r="B2926"/>
    </row>
    <row r="2927" spans="1:2" x14ac:dyDescent="0.25">
      <c r="A2927"/>
      <c r="B2927"/>
    </row>
    <row r="2928" spans="1:2" x14ac:dyDescent="0.25">
      <c r="A2928"/>
      <c r="B2928"/>
    </row>
    <row r="2929" spans="1:2" x14ac:dyDescent="0.25">
      <c r="A2929"/>
      <c r="B2929"/>
    </row>
    <row r="2930" spans="1:2" x14ac:dyDescent="0.25">
      <c r="A2930"/>
      <c r="B2930"/>
    </row>
    <row r="2931" spans="1:2" x14ac:dyDescent="0.25">
      <c r="A2931"/>
      <c r="B2931"/>
    </row>
    <row r="2932" spans="1:2" x14ac:dyDescent="0.25">
      <c r="A2932"/>
      <c r="B2932"/>
    </row>
    <row r="2933" spans="1:2" x14ac:dyDescent="0.25">
      <c r="A2933"/>
      <c r="B2933"/>
    </row>
    <row r="2934" spans="1:2" x14ac:dyDescent="0.25">
      <c r="A2934"/>
      <c r="B2934"/>
    </row>
    <row r="2935" spans="1:2" x14ac:dyDescent="0.25">
      <c r="A2935"/>
      <c r="B2935"/>
    </row>
    <row r="2936" spans="1:2" x14ac:dyDescent="0.25">
      <c r="A2936"/>
      <c r="B2936"/>
    </row>
    <row r="2937" spans="1:2" x14ac:dyDescent="0.25">
      <c r="A2937"/>
      <c r="B2937"/>
    </row>
    <row r="2938" spans="1:2" x14ac:dyDescent="0.25">
      <c r="A2938"/>
      <c r="B2938"/>
    </row>
    <row r="2939" spans="1:2" x14ac:dyDescent="0.25">
      <c r="A2939"/>
      <c r="B2939"/>
    </row>
    <row r="2940" spans="1:2" x14ac:dyDescent="0.25">
      <c r="A2940"/>
      <c r="B2940"/>
    </row>
    <row r="2941" spans="1:2" x14ac:dyDescent="0.25">
      <c r="A2941"/>
      <c r="B2941"/>
    </row>
    <row r="2942" spans="1:2" x14ac:dyDescent="0.25">
      <c r="A2942"/>
      <c r="B2942"/>
    </row>
    <row r="2943" spans="1:2" x14ac:dyDescent="0.25">
      <c r="A2943"/>
      <c r="B2943"/>
    </row>
    <row r="2944" spans="1:2" x14ac:dyDescent="0.25">
      <c r="A2944"/>
      <c r="B2944"/>
    </row>
    <row r="2945" spans="1:2" x14ac:dyDescent="0.25">
      <c r="A2945"/>
      <c r="B2945"/>
    </row>
    <row r="2946" spans="1:2" x14ac:dyDescent="0.25">
      <c r="A2946"/>
      <c r="B2946"/>
    </row>
    <row r="2947" spans="1:2" x14ac:dyDescent="0.25">
      <c r="A2947"/>
      <c r="B2947"/>
    </row>
    <row r="2948" spans="1:2" x14ac:dyDescent="0.25">
      <c r="A2948"/>
      <c r="B2948"/>
    </row>
    <row r="2949" spans="1:2" x14ac:dyDescent="0.25">
      <c r="A2949"/>
      <c r="B2949"/>
    </row>
    <row r="2950" spans="1:2" x14ac:dyDescent="0.25">
      <c r="A2950"/>
      <c r="B2950"/>
    </row>
    <row r="2951" spans="1:2" x14ac:dyDescent="0.25">
      <c r="A2951"/>
      <c r="B2951"/>
    </row>
    <row r="2952" spans="1:2" x14ac:dyDescent="0.25">
      <c r="A2952"/>
      <c r="B2952"/>
    </row>
    <row r="2953" spans="1:2" x14ac:dyDescent="0.25">
      <c r="A2953"/>
      <c r="B2953"/>
    </row>
    <row r="2954" spans="1:2" x14ac:dyDescent="0.25">
      <c r="A2954"/>
      <c r="B2954"/>
    </row>
    <row r="2955" spans="1:2" x14ac:dyDescent="0.25">
      <c r="A2955"/>
      <c r="B2955"/>
    </row>
    <row r="2956" spans="1:2" x14ac:dyDescent="0.25">
      <c r="A2956"/>
      <c r="B2956"/>
    </row>
    <row r="2957" spans="1:2" x14ac:dyDescent="0.25">
      <c r="A2957"/>
      <c r="B2957"/>
    </row>
    <row r="2958" spans="1:2" x14ac:dyDescent="0.25">
      <c r="A2958"/>
      <c r="B2958"/>
    </row>
    <row r="2959" spans="1:2" x14ac:dyDescent="0.25">
      <c r="A2959"/>
      <c r="B2959"/>
    </row>
    <row r="2960" spans="1:2" x14ac:dyDescent="0.25">
      <c r="A2960"/>
      <c r="B2960"/>
    </row>
    <row r="2961" spans="1:2" x14ac:dyDescent="0.25">
      <c r="A2961"/>
      <c r="B2961"/>
    </row>
    <row r="2962" spans="1:2" x14ac:dyDescent="0.25">
      <c r="A2962"/>
      <c r="B2962"/>
    </row>
    <row r="2963" spans="1:2" x14ac:dyDescent="0.25">
      <c r="A2963"/>
      <c r="B2963"/>
    </row>
    <row r="2964" spans="1:2" x14ac:dyDescent="0.25">
      <c r="A2964"/>
      <c r="B2964"/>
    </row>
    <row r="2965" spans="1:2" x14ac:dyDescent="0.25">
      <c r="A2965"/>
      <c r="B2965"/>
    </row>
    <row r="2966" spans="1:2" x14ac:dyDescent="0.25">
      <c r="A2966"/>
      <c r="B2966"/>
    </row>
    <row r="2967" spans="1:2" x14ac:dyDescent="0.25">
      <c r="A2967"/>
      <c r="B2967"/>
    </row>
    <row r="2968" spans="1:2" x14ac:dyDescent="0.25">
      <c r="A2968"/>
      <c r="B2968"/>
    </row>
    <row r="2969" spans="1:2" x14ac:dyDescent="0.25">
      <c r="A2969"/>
      <c r="B2969"/>
    </row>
    <row r="2970" spans="1:2" x14ac:dyDescent="0.25">
      <c r="A2970"/>
      <c r="B2970"/>
    </row>
    <row r="2971" spans="1:2" x14ac:dyDescent="0.25">
      <c r="A2971"/>
      <c r="B2971"/>
    </row>
    <row r="2972" spans="1:2" x14ac:dyDescent="0.25">
      <c r="A2972"/>
      <c r="B2972"/>
    </row>
    <row r="2973" spans="1:2" x14ac:dyDescent="0.25">
      <c r="A2973"/>
      <c r="B2973"/>
    </row>
    <row r="2974" spans="1:2" x14ac:dyDescent="0.25">
      <c r="A2974"/>
      <c r="B2974"/>
    </row>
    <row r="2975" spans="1:2" x14ac:dyDescent="0.25">
      <c r="A2975"/>
      <c r="B2975"/>
    </row>
    <row r="2976" spans="1:2" x14ac:dyDescent="0.25">
      <c r="A2976"/>
      <c r="B2976"/>
    </row>
    <row r="2977" spans="1:2" x14ac:dyDescent="0.25">
      <c r="A2977"/>
      <c r="B2977"/>
    </row>
    <row r="2978" spans="1:2" x14ac:dyDescent="0.25">
      <c r="A2978"/>
      <c r="B2978"/>
    </row>
    <row r="2979" spans="1:2" x14ac:dyDescent="0.25">
      <c r="A2979"/>
      <c r="B2979"/>
    </row>
    <row r="2980" spans="1:2" x14ac:dyDescent="0.25">
      <c r="A2980"/>
      <c r="B2980"/>
    </row>
    <row r="2981" spans="1:2" x14ac:dyDescent="0.25">
      <c r="A2981"/>
      <c r="B2981"/>
    </row>
    <row r="2982" spans="1:2" x14ac:dyDescent="0.25">
      <c r="A2982"/>
      <c r="B2982"/>
    </row>
    <row r="2983" spans="1:2" x14ac:dyDescent="0.25">
      <c r="A2983"/>
      <c r="B2983"/>
    </row>
    <row r="2984" spans="1:2" x14ac:dyDescent="0.25">
      <c r="A2984"/>
      <c r="B2984"/>
    </row>
    <row r="2985" spans="1:2" x14ac:dyDescent="0.25">
      <c r="A2985"/>
      <c r="B2985"/>
    </row>
    <row r="2986" spans="1:2" x14ac:dyDescent="0.25">
      <c r="A2986"/>
      <c r="B2986"/>
    </row>
    <row r="2987" spans="1:2" x14ac:dyDescent="0.25">
      <c r="A2987"/>
      <c r="B2987"/>
    </row>
    <row r="2988" spans="1:2" x14ac:dyDescent="0.25">
      <c r="A2988"/>
      <c r="B2988"/>
    </row>
    <row r="2989" spans="1:2" x14ac:dyDescent="0.25">
      <c r="A2989"/>
      <c r="B2989"/>
    </row>
    <row r="2990" spans="1:2" x14ac:dyDescent="0.25">
      <c r="A2990"/>
      <c r="B2990"/>
    </row>
    <row r="2991" spans="1:2" x14ac:dyDescent="0.25">
      <c r="A2991"/>
      <c r="B2991"/>
    </row>
    <row r="2992" spans="1:2" x14ac:dyDescent="0.25">
      <c r="A2992"/>
      <c r="B2992"/>
    </row>
    <row r="2993" spans="1:2" x14ac:dyDescent="0.25">
      <c r="A2993"/>
      <c r="B2993"/>
    </row>
    <row r="2994" spans="1:2" x14ac:dyDescent="0.25">
      <c r="A2994"/>
      <c r="B2994"/>
    </row>
    <row r="2995" spans="1:2" x14ac:dyDescent="0.25">
      <c r="A2995"/>
      <c r="B2995"/>
    </row>
    <row r="2996" spans="1:2" x14ac:dyDescent="0.25">
      <c r="A2996"/>
      <c r="B2996"/>
    </row>
    <row r="2997" spans="1:2" x14ac:dyDescent="0.25">
      <c r="A2997"/>
      <c r="B2997"/>
    </row>
    <row r="2998" spans="1:2" x14ac:dyDescent="0.25">
      <c r="A2998"/>
      <c r="B2998"/>
    </row>
    <row r="2999" spans="1:2" x14ac:dyDescent="0.25">
      <c r="A2999"/>
      <c r="B2999"/>
    </row>
    <row r="3000" spans="1:2" x14ac:dyDescent="0.25">
      <c r="A3000"/>
      <c r="B3000"/>
    </row>
    <row r="3001" spans="1:2" x14ac:dyDescent="0.25">
      <c r="A3001"/>
      <c r="B3001"/>
    </row>
    <row r="3002" spans="1:2" x14ac:dyDescent="0.25">
      <c r="A3002"/>
      <c r="B3002"/>
    </row>
    <row r="3003" spans="1:2" x14ac:dyDescent="0.25">
      <c r="A3003"/>
      <c r="B3003"/>
    </row>
    <row r="3004" spans="1:2" x14ac:dyDescent="0.25">
      <c r="A3004"/>
      <c r="B3004"/>
    </row>
    <row r="3005" spans="1:2" x14ac:dyDescent="0.25">
      <c r="A3005"/>
      <c r="B3005"/>
    </row>
    <row r="3006" spans="1:2" x14ac:dyDescent="0.25">
      <c r="A3006"/>
      <c r="B3006"/>
    </row>
    <row r="3007" spans="1:2" x14ac:dyDescent="0.25">
      <c r="A3007"/>
      <c r="B3007"/>
    </row>
    <row r="3008" spans="1:2" x14ac:dyDescent="0.25">
      <c r="A3008"/>
      <c r="B3008"/>
    </row>
    <row r="3009" spans="1:2" x14ac:dyDescent="0.25">
      <c r="A3009"/>
      <c r="B3009"/>
    </row>
    <row r="3010" spans="1:2" x14ac:dyDescent="0.25">
      <c r="A3010"/>
      <c r="B3010"/>
    </row>
    <row r="3011" spans="1:2" x14ac:dyDescent="0.25">
      <c r="A3011"/>
      <c r="B3011"/>
    </row>
    <row r="3012" spans="1:2" x14ac:dyDescent="0.25">
      <c r="A3012"/>
      <c r="B3012"/>
    </row>
    <row r="3013" spans="1:2" x14ac:dyDescent="0.25">
      <c r="A3013"/>
      <c r="B3013"/>
    </row>
    <row r="3014" spans="1:2" x14ac:dyDescent="0.25">
      <c r="A3014"/>
      <c r="B3014"/>
    </row>
    <row r="3015" spans="1:2" x14ac:dyDescent="0.25">
      <c r="A3015"/>
      <c r="B3015"/>
    </row>
    <row r="3016" spans="1:2" x14ac:dyDescent="0.25">
      <c r="A3016"/>
      <c r="B3016"/>
    </row>
    <row r="3017" spans="1:2" x14ac:dyDescent="0.25">
      <c r="A3017"/>
      <c r="B3017"/>
    </row>
    <row r="3018" spans="1:2" x14ac:dyDescent="0.25">
      <c r="A3018"/>
      <c r="B3018"/>
    </row>
    <row r="3019" spans="1:2" x14ac:dyDescent="0.25">
      <c r="A3019"/>
      <c r="B3019"/>
    </row>
    <row r="3020" spans="1:2" x14ac:dyDescent="0.25">
      <c r="A3020"/>
      <c r="B3020"/>
    </row>
    <row r="3021" spans="1:2" x14ac:dyDescent="0.25">
      <c r="A3021"/>
      <c r="B3021"/>
    </row>
    <row r="3022" spans="1:2" x14ac:dyDescent="0.25">
      <c r="A3022"/>
      <c r="B3022"/>
    </row>
    <row r="3023" spans="1:2" x14ac:dyDescent="0.25">
      <c r="A3023"/>
      <c r="B3023"/>
    </row>
    <row r="3024" spans="1:2" x14ac:dyDescent="0.25">
      <c r="A3024"/>
      <c r="B3024"/>
    </row>
    <row r="3025" spans="1:2" x14ac:dyDescent="0.25">
      <c r="A3025"/>
      <c r="B3025"/>
    </row>
    <row r="3026" spans="1:2" x14ac:dyDescent="0.25">
      <c r="A3026"/>
      <c r="B3026"/>
    </row>
    <row r="3027" spans="1:2" x14ac:dyDescent="0.25">
      <c r="A3027"/>
      <c r="B3027"/>
    </row>
    <row r="3028" spans="1:2" x14ac:dyDescent="0.25">
      <c r="A3028"/>
      <c r="B3028"/>
    </row>
    <row r="3029" spans="1:2" x14ac:dyDescent="0.25">
      <c r="A3029"/>
      <c r="B3029"/>
    </row>
    <row r="3030" spans="1:2" x14ac:dyDescent="0.25">
      <c r="A3030"/>
      <c r="B3030"/>
    </row>
    <row r="3031" spans="1:2" x14ac:dyDescent="0.25">
      <c r="A3031"/>
      <c r="B3031"/>
    </row>
    <row r="3032" spans="1:2" x14ac:dyDescent="0.25">
      <c r="A3032"/>
      <c r="B3032"/>
    </row>
    <row r="3033" spans="1:2" x14ac:dyDescent="0.25">
      <c r="A3033"/>
      <c r="B3033"/>
    </row>
    <row r="3034" spans="1:2" x14ac:dyDescent="0.25">
      <c r="A3034"/>
      <c r="B3034"/>
    </row>
    <row r="3035" spans="1:2" x14ac:dyDescent="0.25">
      <c r="A3035"/>
      <c r="B3035"/>
    </row>
    <row r="3036" spans="1:2" x14ac:dyDescent="0.25">
      <c r="A3036"/>
      <c r="B3036"/>
    </row>
    <row r="3037" spans="1:2" x14ac:dyDescent="0.25">
      <c r="A3037"/>
      <c r="B3037"/>
    </row>
    <row r="3038" spans="1:2" x14ac:dyDescent="0.25">
      <c r="A3038"/>
      <c r="B3038"/>
    </row>
    <row r="3039" spans="1:2" x14ac:dyDescent="0.25">
      <c r="A3039"/>
      <c r="B3039"/>
    </row>
    <row r="3040" spans="1:2" x14ac:dyDescent="0.25">
      <c r="A3040"/>
      <c r="B3040"/>
    </row>
    <row r="3041" spans="1:2" x14ac:dyDescent="0.25">
      <c r="A3041"/>
      <c r="B3041"/>
    </row>
    <row r="3042" spans="1:2" x14ac:dyDescent="0.25">
      <c r="A3042"/>
      <c r="B3042"/>
    </row>
    <row r="3043" spans="1:2" x14ac:dyDescent="0.25">
      <c r="A3043"/>
      <c r="B3043"/>
    </row>
    <row r="3044" spans="1:2" x14ac:dyDescent="0.25">
      <c r="A3044"/>
      <c r="B3044"/>
    </row>
    <row r="3045" spans="1:2" x14ac:dyDescent="0.25">
      <c r="A3045"/>
      <c r="B3045"/>
    </row>
    <row r="3046" spans="1:2" x14ac:dyDescent="0.25">
      <c r="A3046"/>
      <c r="B3046"/>
    </row>
    <row r="3047" spans="1:2" x14ac:dyDescent="0.25">
      <c r="A3047"/>
      <c r="B3047"/>
    </row>
    <row r="3048" spans="1:2" x14ac:dyDescent="0.25">
      <c r="A3048"/>
      <c r="B3048"/>
    </row>
    <row r="3049" spans="1:2" x14ac:dyDescent="0.25">
      <c r="A3049"/>
      <c r="B3049"/>
    </row>
    <row r="3050" spans="1:2" x14ac:dyDescent="0.25">
      <c r="A3050"/>
      <c r="B3050"/>
    </row>
    <row r="3051" spans="1:2" x14ac:dyDescent="0.25">
      <c r="A3051"/>
      <c r="B3051"/>
    </row>
    <row r="3052" spans="1:2" x14ac:dyDescent="0.25">
      <c r="A3052"/>
      <c r="B3052"/>
    </row>
    <row r="3053" spans="1:2" x14ac:dyDescent="0.25">
      <c r="A3053"/>
      <c r="B3053"/>
    </row>
    <row r="3054" spans="1:2" x14ac:dyDescent="0.25">
      <c r="A3054"/>
      <c r="B3054"/>
    </row>
    <row r="3055" spans="1:2" x14ac:dyDescent="0.25">
      <c r="A3055"/>
      <c r="B3055"/>
    </row>
    <row r="3056" spans="1:2" x14ac:dyDescent="0.25">
      <c r="A3056"/>
      <c r="B3056"/>
    </row>
    <row r="3057" spans="1:2" x14ac:dyDescent="0.25">
      <c r="A3057"/>
      <c r="B3057"/>
    </row>
    <row r="3058" spans="1:2" x14ac:dyDescent="0.25">
      <c r="A3058"/>
      <c r="B3058"/>
    </row>
    <row r="3059" spans="1:2" x14ac:dyDescent="0.25">
      <c r="A3059"/>
      <c r="B3059"/>
    </row>
    <row r="3060" spans="1:2" x14ac:dyDescent="0.25">
      <c r="A3060"/>
      <c r="B3060"/>
    </row>
    <row r="3061" spans="1:2" x14ac:dyDescent="0.25">
      <c r="A3061"/>
      <c r="B3061"/>
    </row>
    <row r="3062" spans="1:2" x14ac:dyDescent="0.25">
      <c r="A3062"/>
      <c r="B3062"/>
    </row>
    <row r="3063" spans="1:2" x14ac:dyDescent="0.25">
      <c r="A3063"/>
      <c r="B3063"/>
    </row>
    <row r="3064" spans="1:2" x14ac:dyDescent="0.25">
      <c r="A3064"/>
      <c r="B3064"/>
    </row>
    <row r="3065" spans="1:2" x14ac:dyDescent="0.25">
      <c r="A3065"/>
      <c r="B3065"/>
    </row>
    <row r="3066" spans="1:2" x14ac:dyDescent="0.25">
      <c r="A3066"/>
      <c r="B3066"/>
    </row>
    <row r="3067" spans="1:2" x14ac:dyDescent="0.25">
      <c r="A3067"/>
      <c r="B3067"/>
    </row>
    <row r="3068" spans="1:2" x14ac:dyDescent="0.25">
      <c r="A3068"/>
      <c r="B3068"/>
    </row>
    <row r="3069" spans="1:2" x14ac:dyDescent="0.25">
      <c r="A3069"/>
      <c r="B3069"/>
    </row>
    <row r="3070" spans="1:2" x14ac:dyDescent="0.25">
      <c r="A3070"/>
      <c r="B3070"/>
    </row>
    <row r="3071" spans="1:2" x14ac:dyDescent="0.25">
      <c r="A3071"/>
      <c r="B3071"/>
    </row>
    <row r="3072" spans="1:2" x14ac:dyDescent="0.25">
      <c r="A3072"/>
      <c r="B3072"/>
    </row>
    <row r="3073" spans="1:2" x14ac:dyDescent="0.25">
      <c r="A3073"/>
      <c r="B3073"/>
    </row>
    <row r="3074" spans="1:2" x14ac:dyDescent="0.25">
      <c r="A3074"/>
      <c r="B3074"/>
    </row>
    <row r="3075" spans="1:2" x14ac:dyDescent="0.25">
      <c r="A3075"/>
      <c r="B3075"/>
    </row>
    <row r="3076" spans="1:2" x14ac:dyDescent="0.25">
      <c r="A3076"/>
      <c r="B3076"/>
    </row>
    <row r="3077" spans="1:2" x14ac:dyDescent="0.25">
      <c r="A3077"/>
      <c r="B3077"/>
    </row>
    <row r="3078" spans="1:2" x14ac:dyDescent="0.25">
      <c r="A3078"/>
      <c r="B3078"/>
    </row>
    <row r="3079" spans="1:2" x14ac:dyDescent="0.25">
      <c r="A3079"/>
      <c r="B3079"/>
    </row>
    <row r="3080" spans="1:2" x14ac:dyDescent="0.25">
      <c r="A3080"/>
      <c r="B3080"/>
    </row>
    <row r="3081" spans="1:2" x14ac:dyDescent="0.25">
      <c r="A3081"/>
      <c r="B3081"/>
    </row>
    <row r="3082" spans="1:2" x14ac:dyDescent="0.25">
      <c r="A3082"/>
      <c r="B3082"/>
    </row>
    <row r="3083" spans="1:2" x14ac:dyDescent="0.25">
      <c r="A3083"/>
      <c r="B3083"/>
    </row>
    <row r="3084" spans="1:2" x14ac:dyDescent="0.25">
      <c r="A3084"/>
      <c r="B3084"/>
    </row>
    <row r="3085" spans="1:2" x14ac:dyDescent="0.25">
      <c r="A3085"/>
      <c r="B3085"/>
    </row>
    <row r="3086" spans="1:2" x14ac:dyDescent="0.25">
      <c r="A3086"/>
      <c r="B3086"/>
    </row>
    <row r="3087" spans="1:2" x14ac:dyDescent="0.25">
      <c r="A3087"/>
      <c r="B3087"/>
    </row>
    <row r="3088" spans="1:2" x14ac:dyDescent="0.25">
      <c r="A3088"/>
      <c r="B3088"/>
    </row>
    <row r="3089" spans="1:2" x14ac:dyDescent="0.25">
      <c r="A3089"/>
      <c r="B3089"/>
    </row>
    <row r="3090" spans="1:2" x14ac:dyDescent="0.25">
      <c r="A3090"/>
      <c r="B3090"/>
    </row>
    <row r="3091" spans="1:2" x14ac:dyDescent="0.25">
      <c r="A3091"/>
      <c r="B3091"/>
    </row>
    <row r="3092" spans="1:2" x14ac:dyDescent="0.25">
      <c r="A3092"/>
      <c r="B3092"/>
    </row>
    <row r="3093" spans="1:2" x14ac:dyDescent="0.25">
      <c r="A3093"/>
      <c r="B3093"/>
    </row>
    <row r="3094" spans="1:2" x14ac:dyDescent="0.25">
      <c r="A3094"/>
      <c r="B3094"/>
    </row>
    <row r="3095" spans="1:2" x14ac:dyDescent="0.25">
      <c r="A3095"/>
      <c r="B3095"/>
    </row>
    <row r="3096" spans="1:2" x14ac:dyDescent="0.25">
      <c r="A3096"/>
      <c r="B3096"/>
    </row>
    <row r="3097" spans="1:2" x14ac:dyDescent="0.25">
      <c r="A3097"/>
      <c r="B3097"/>
    </row>
    <row r="3098" spans="1:2" x14ac:dyDescent="0.25">
      <c r="A3098"/>
      <c r="B3098"/>
    </row>
    <row r="3099" spans="1:2" x14ac:dyDescent="0.25">
      <c r="A3099"/>
      <c r="B3099"/>
    </row>
    <row r="3100" spans="1:2" x14ac:dyDescent="0.25">
      <c r="A3100"/>
      <c r="B3100"/>
    </row>
    <row r="3101" spans="1:2" x14ac:dyDescent="0.25">
      <c r="A3101"/>
      <c r="B3101"/>
    </row>
    <row r="3102" spans="1:2" x14ac:dyDescent="0.25">
      <c r="A3102"/>
      <c r="B3102"/>
    </row>
    <row r="3103" spans="1:2" x14ac:dyDescent="0.25">
      <c r="A3103"/>
      <c r="B3103"/>
    </row>
    <row r="3104" spans="1:2" x14ac:dyDescent="0.25">
      <c r="A3104"/>
      <c r="B3104"/>
    </row>
    <row r="3105" spans="1:2" x14ac:dyDescent="0.25">
      <c r="A3105"/>
      <c r="B3105"/>
    </row>
    <row r="3106" spans="1:2" x14ac:dyDescent="0.25">
      <c r="A3106"/>
      <c r="B3106"/>
    </row>
    <row r="3107" spans="1:2" x14ac:dyDescent="0.25">
      <c r="A3107"/>
      <c r="B3107"/>
    </row>
    <row r="3108" spans="1:2" x14ac:dyDescent="0.25">
      <c r="A3108"/>
      <c r="B3108"/>
    </row>
    <row r="3109" spans="1:2" x14ac:dyDescent="0.25">
      <c r="A3109"/>
      <c r="B3109"/>
    </row>
    <row r="3110" spans="1:2" x14ac:dyDescent="0.25">
      <c r="A3110"/>
      <c r="B3110"/>
    </row>
    <row r="3111" spans="1:2" x14ac:dyDescent="0.25">
      <c r="A3111"/>
      <c r="B3111"/>
    </row>
    <row r="3112" spans="1:2" x14ac:dyDescent="0.25">
      <c r="A3112"/>
      <c r="B3112"/>
    </row>
    <row r="3113" spans="1:2" x14ac:dyDescent="0.25">
      <c r="A3113"/>
      <c r="B3113"/>
    </row>
    <row r="3114" spans="1:2" x14ac:dyDescent="0.25">
      <c r="A3114"/>
      <c r="B3114"/>
    </row>
    <row r="3115" spans="1:2" x14ac:dyDescent="0.25">
      <c r="A3115"/>
      <c r="B3115"/>
    </row>
    <row r="3116" spans="1:2" x14ac:dyDescent="0.25">
      <c r="A3116"/>
      <c r="B3116"/>
    </row>
    <row r="3117" spans="1:2" x14ac:dyDescent="0.25">
      <c r="A3117"/>
      <c r="B3117"/>
    </row>
    <row r="3118" spans="1:2" x14ac:dyDescent="0.25">
      <c r="A3118"/>
      <c r="B3118"/>
    </row>
    <row r="3119" spans="1:2" x14ac:dyDescent="0.25">
      <c r="A3119"/>
      <c r="B3119"/>
    </row>
    <row r="3120" spans="1:2" x14ac:dyDescent="0.25">
      <c r="A3120"/>
      <c r="B3120"/>
    </row>
    <row r="3121" spans="1:2" x14ac:dyDescent="0.25">
      <c r="A3121"/>
      <c r="B3121"/>
    </row>
    <row r="3122" spans="1:2" x14ac:dyDescent="0.25">
      <c r="A3122"/>
      <c r="B3122"/>
    </row>
    <row r="3123" spans="1:2" x14ac:dyDescent="0.25">
      <c r="A3123"/>
      <c r="B3123"/>
    </row>
    <row r="3124" spans="1:2" x14ac:dyDescent="0.25">
      <c r="A3124"/>
      <c r="B3124"/>
    </row>
    <row r="3125" spans="1:2" x14ac:dyDescent="0.25">
      <c r="A3125"/>
      <c r="B3125"/>
    </row>
    <row r="3126" spans="1:2" x14ac:dyDescent="0.25">
      <c r="A3126"/>
      <c r="B3126"/>
    </row>
    <row r="3127" spans="1:2" x14ac:dyDescent="0.25">
      <c r="A3127"/>
      <c r="B3127"/>
    </row>
    <row r="3128" spans="1:2" x14ac:dyDescent="0.25">
      <c r="A3128"/>
      <c r="B3128"/>
    </row>
    <row r="3129" spans="1:2" x14ac:dyDescent="0.25">
      <c r="A3129"/>
      <c r="B3129"/>
    </row>
    <row r="3130" spans="1:2" x14ac:dyDescent="0.25">
      <c r="A3130"/>
      <c r="B3130"/>
    </row>
    <row r="3131" spans="1:2" x14ac:dyDescent="0.25">
      <c r="A3131"/>
      <c r="B3131"/>
    </row>
    <row r="3132" spans="1:2" x14ac:dyDescent="0.25">
      <c r="A3132"/>
      <c r="B3132"/>
    </row>
    <row r="3133" spans="1:2" x14ac:dyDescent="0.25">
      <c r="A3133"/>
      <c r="B3133"/>
    </row>
    <row r="3134" spans="1:2" x14ac:dyDescent="0.25">
      <c r="A3134"/>
      <c r="B3134"/>
    </row>
    <row r="3135" spans="1:2" x14ac:dyDescent="0.25">
      <c r="A3135"/>
      <c r="B3135"/>
    </row>
    <row r="3136" spans="1:2" x14ac:dyDescent="0.25">
      <c r="A3136"/>
      <c r="B3136"/>
    </row>
    <row r="3137" spans="1:2" x14ac:dyDescent="0.25">
      <c r="A3137"/>
      <c r="B3137"/>
    </row>
    <row r="3138" spans="1:2" x14ac:dyDescent="0.25">
      <c r="A3138"/>
      <c r="B3138"/>
    </row>
    <row r="3139" spans="1:2" x14ac:dyDescent="0.25">
      <c r="A3139"/>
      <c r="B3139"/>
    </row>
    <row r="3140" spans="1:2" x14ac:dyDescent="0.25">
      <c r="A3140"/>
      <c r="B3140"/>
    </row>
    <row r="3141" spans="1:2" x14ac:dyDescent="0.25">
      <c r="A3141"/>
      <c r="B3141"/>
    </row>
    <row r="3142" spans="1:2" x14ac:dyDescent="0.25">
      <c r="A3142"/>
      <c r="B3142"/>
    </row>
    <row r="3143" spans="1:2" x14ac:dyDescent="0.25">
      <c r="A3143"/>
      <c r="B3143"/>
    </row>
    <row r="3144" spans="1:2" x14ac:dyDescent="0.25">
      <c r="A3144"/>
      <c r="B3144"/>
    </row>
    <row r="3145" spans="1:2" x14ac:dyDescent="0.25">
      <c r="A3145"/>
      <c r="B3145"/>
    </row>
    <row r="3146" spans="1:2" x14ac:dyDescent="0.25">
      <c r="A3146"/>
      <c r="B3146"/>
    </row>
    <row r="3147" spans="1:2" x14ac:dyDescent="0.25">
      <c r="A3147"/>
      <c r="B3147"/>
    </row>
    <row r="3148" spans="1:2" x14ac:dyDescent="0.25">
      <c r="A3148"/>
      <c r="B3148"/>
    </row>
    <row r="3149" spans="1:2" x14ac:dyDescent="0.25">
      <c r="A3149"/>
      <c r="B3149"/>
    </row>
    <row r="3150" spans="1:2" x14ac:dyDescent="0.25">
      <c r="A3150"/>
      <c r="B3150"/>
    </row>
    <row r="3151" spans="1:2" x14ac:dyDescent="0.25">
      <c r="A3151"/>
      <c r="B3151"/>
    </row>
    <row r="3152" spans="1:2" x14ac:dyDescent="0.25">
      <c r="A3152"/>
      <c r="B3152"/>
    </row>
    <row r="3153" spans="1:2" x14ac:dyDescent="0.25">
      <c r="A3153"/>
      <c r="B3153"/>
    </row>
    <row r="3154" spans="1:2" x14ac:dyDescent="0.25">
      <c r="A3154"/>
      <c r="B3154"/>
    </row>
    <row r="3155" spans="1:2" x14ac:dyDescent="0.25">
      <c r="A3155"/>
      <c r="B3155"/>
    </row>
    <row r="3156" spans="1:2" x14ac:dyDescent="0.25">
      <c r="A3156"/>
      <c r="B3156"/>
    </row>
    <row r="3157" spans="1:2" x14ac:dyDescent="0.25">
      <c r="A3157"/>
      <c r="B3157"/>
    </row>
    <row r="3158" spans="1:2" x14ac:dyDescent="0.25">
      <c r="A3158"/>
      <c r="B3158"/>
    </row>
    <row r="3159" spans="1:2" x14ac:dyDescent="0.25">
      <c r="A3159"/>
      <c r="B3159"/>
    </row>
    <row r="3160" spans="1:2" x14ac:dyDescent="0.25">
      <c r="A3160"/>
      <c r="B3160"/>
    </row>
    <row r="3161" spans="1:2" x14ac:dyDescent="0.25">
      <c r="A3161"/>
      <c r="B3161"/>
    </row>
    <row r="3162" spans="1:2" x14ac:dyDescent="0.25">
      <c r="A3162"/>
      <c r="B3162"/>
    </row>
    <row r="3163" spans="1:2" x14ac:dyDescent="0.25">
      <c r="A3163"/>
      <c r="B3163"/>
    </row>
    <row r="3164" spans="1:2" x14ac:dyDescent="0.25">
      <c r="A3164"/>
      <c r="B3164"/>
    </row>
    <row r="3165" spans="1:2" x14ac:dyDescent="0.25">
      <c r="A3165"/>
      <c r="B3165"/>
    </row>
    <row r="3166" spans="1:2" x14ac:dyDescent="0.25">
      <c r="A3166"/>
      <c r="B3166"/>
    </row>
    <row r="3167" spans="1:2" x14ac:dyDescent="0.25">
      <c r="A3167"/>
      <c r="B3167"/>
    </row>
    <row r="3168" spans="1:2" x14ac:dyDescent="0.25">
      <c r="A3168"/>
      <c r="B3168"/>
    </row>
    <row r="3169" spans="1:2" x14ac:dyDescent="0.25">
      <c r="A3169"/>
      <c r="B3169"/>
    </row>
    <row r="3170" spans="1:2" x14ac:dyDescent="0.25">
      <c r="A3170"/>
      <c r="B3170"/>
    </row>
    <row r="3171" spans="1:2" x14ac:dyDescent="0.25">
      <c r="A3171"/>
      <c r="B3171"/>
    </row>
    <row r="3172" spans="1:2" x14ac:dyDescent="0.25">
      <c r="A3172"/>
      <c r="B3172"/>
    </row>
    <row r="3173" spans="1:2" x14ac:dyDescent="0.25">
      <c r="A3173"/>
      <c r="B3173"/>
    </row>
    <row r="3174" spans="1:2" x14ac:dyDescent="0.25">
      <c r="A3174"/>
      <c r="B3174"/>
    </row>
    <row r="3175" spans="1:2" x14ac:dyDescent="0.25">
      <c r="A3175"/>
      <c r="B3175"/>
    </row>
    <row r="3176" spans="1:2" x14ac:dyDescent="0.25">
      <c r="A3176"/>
      <c r="B3176"/>
    </row>
    <row r="3177" spans="1:2" x14ac:dyDescent="0.25">
      <c r="A3177"/>
      <c r="B3177"/>
    </row>
    <row r="3178" spans="1:2" x14ac:dyDescent="0.25">
      <c r="A3178"/>
      <c r="B3178"/>
    </row>
    <row r="3179" spans="1:2" x14ac:dyDescent="0.25">
      <c r="A3179"/>
      <c r="B3179"/>
    </row>
    <row r="3180" spans="1:2" x14ac:dyDescent="0.25">
      <c r="A3180"/>
      <c r="B3180"/>
    </row>
    <row r="3181" spans="1:2" x14ac:dyDescent="0.25">
      <c r="A3181"/>
      <c r="B3181"/>
    </row>
    <row r="3182" spans="1:2" x14ac:dyDescent="0.25">
      <c r="A3182"/>
      <c r="B3182"/>
    </row>
    <row r="3183" spans="1:2" x14ac:dyDescent="0.25">
      <c r="A3183"/>
      <c r="B3183"/>
    </row>
    <row r="3184" spans="1:2" x14ac:dyDescent="0.25">
      <c r="A3184"/>
      <c r="B3184"/>
    </row>
    <row r="3185" spans="1:2" x14ac:dyDescent="0.25">
      <c r="A3185"/>
      <c r="B3185"/>
    </row>
    <row r="3186" spans="1:2" x14ac:dyDescent="0.25">
      <c r="A3186"/>
      <c r="B3186"/>
    </row>
    <row r="3187" spans="1:2" x14ac:dyDescent="0.25">
      <c r="A3187"/>
      <c r="B3187"/>
    </row>
    <row r="3188" spans="1:2" x14ac:dyDescent="0.25">
      <c r="A3188"/>
      <c r="B3188"/>
    </row>
    <row r="3189" spans="1:2" x14ac:dyDescent="0.25">
      <c r="A3189"/>
      <c r="B3189"/>
    </row>
    <row r="3190" spans="1:2" x14ac:dyDescent="0.25">
      <c r="A3190"/>
      <c r="B3190"/>
    </row>
    <row r="3191" spans="1:2" x14ac:dyDescent="0.25">
      <c r="A3191"/>
      <c r="B3191"/>
    </row>
    <row r="3192" spans="1:2" x14ac:dyDescent="0.25">
      <c r="A3192"/>
      <c r="B3192"/>
    </row>
    <row r="3193" spans="1:2" x14ac:dyDescent="0.25">
      <c r="A3193"/>
      <c r="B3193"/>
    </row>
    <row r="3194" spans="1:2" x14ac:dyDescent="0.25">
      <c r="A3194"/>
      <c r="B3194"/>
    </row>
    <row r="3195" spans="1:2" x14ac:dyDescent="0.25">
      <c r="A3195"/>
      <c r="B3195"/>
    </row>
    <row r="3196" spans="1:2" x14ac:dyDescent="0.25">
      <c r="A3196"/>
      <c r="B3196"/>
    </row>
    <row r="3197" spans="1:2" x14ac:dyDescent="0.25">
      <c r="A3197"/>
      <c r="B3197"/>
    </row>
    <row r="3198" spans="1:2" x14ac:dyDescent="0.25">
      <c r="A3198"/>
      <c r="B3198"/>
    </row>
    <row r="3199" spans="1:2" x14ac:dyDescent="0.25">
      <c r="A3199"/>
      <c r="B3199"/>
    </row>
    <row r="3200" spans="1:2" x14ac:dyDescent="0.25">
      <c r="A3200"/>
      <c r="B3200"/>
    </row>
    <row r="3201" spans="1:2" x14ac:dyDescent="0.25">
      <c r="A3201"/>
      <c r="B3201"/>
    </row>
    <row r="3202" spans="1:2" x14ac:dyDescent="0.25">
      <c r="A3202"/>
      <c r="B3202"/>
    </row>
    <row r="3203" spans="1:2" x14ac:dyDescent="0.25">
      <c r="A3203"/>
      <c r="B3203"/>
    </row>
    <row r="3204" spans="1:2" x14ac:dyDescent="0.25">
      <c r="A3204"/>
      <c r="B3204"/>
    </row>
    <row r="3205" spans="1:2" x14ac:dyDescent="0.25">
      <c r="A3205"/>
      <c r="B3205"/>
    </row>
    <row r="3206" spans="1:2" x14ac:dyDescent="0.25">
      <c r="A3206"/>
      <c r="B3206"/>
    </row>
    <row r="3207" spans="1:2" x14ac:dyDescent="0.25">
      <c r="A3207"/>
      <c r="B3207"/>
    </row>
    <row r="3208" spans="1:2" x14ac:dyDescent="0.25">
      <c r="A3208"/>
      <c r="B3208"/>
    </row>
    <row r="3209" spans="1:2" x14ac:dyDescent="0.25">
      <c r="A3209"/>
      <c r="B3209"/>
    </row>
    <row r="3210" spans="1:2" x14ac:dyDescent="0.25">
      <c r="A3210"/>
      <c r="B3210"/>
    </row>
    <row r="3211" spans="1:2" x14ac:dyDescent="0.25">
      <c r="A3211"/>
      <c r="B3211"/>
    </row>
    <row r="3212" spans="1:2" x14ac:dyDescent="0.25">
      <c r="A3212"/>
      <c r="B3212"/>
    </row>
    <row r="3213" spans="1:2" x14ac:dyDescent="0.25">
      <c r="A3213"/>
      <c r="B3213"/>
    </row>
    <row r="3214" spans="1:2" x14ac:dyDescent="0.25">
      <c r="A3214"/>
      <c r="B3214"/>
    </row>
    <row r="3215" spans="1:2" x14ac:dyDescent="0.25">
      <c r="A3215"/>
      <c r="B3215"/>
    </row>
    <row r="3216" spans="1:2" x14ac:dyDescent="0.25">
      <c r="A3216"/>
      <c r="B3216"/>
    </row>
    <row r="3217" spans="1:2" x14ac:dyDescent="0.25">
      <c r="A3217"/>
      <c r="B3217"/>
    </row>
    <row r="3218" spans="1:2" x14ac:dyDescent="0.25">
      <c r="A3218"/>
      <c r="B3218"/>
    </row>
    <row r="3219" spans="1:2" x14ac:dyDescent="0.25">
      <c r="A3219"/>
      <c r="B3219"/>
    </row>
    <row r="3220" spans="1:2" x14ac:dyDescent="0.25">
      <c r="A3220"/>
      <c r="B3220"/>
    </row>
    <row r="3221" spans="1:2" x14ac:dyDescent="0.25">
      <c r="A3221"/>
      <c r="B3221"/>
    </row>
    <row r="3222" spans="1:2" x14ac:dyDescent="0.25">
      <c r="A3222"/>
      <c r="B3222"/>
    </row>
    <row r="3223" spans="1:2" x14ac:dyDescent="0.25">
      <c r="A3223"/>
      <c r="B3223"/>
    </row>
    <row r="3224" spans="1:2" x14ac:dyDescent="0.25">
      <c r="A3224"/>
      <c r="B3224"/>
    </row>
    <row r="3225" spans="1:2" x14ac:dyDescent="0.25">
      <c r="A3225"/>
      <c r="B3225"/>
    </row>
    <row r="3226" spans="1:2" x14ac:dyDescent="0.25">
      <c r="A3226"/>
      <c r="B3226"/>
    </row>
    <row r="3227" spans="1:2" x14ac:dyDescent="0.25">
      <c r="A3227"/>
      <c r="B3227"/>
    </row>
    <row r="3228" spans="1:2" x14ac:dyDescent="0.25">
      <c r="A3228"/>
      <c r="B3228"/>
    </row>
    <row r="3229" spans="1:2" x14ac:dyDescent="0.25">
      <c r="A3229"/>
      <c r="B3229"/>
    </row>
    <row r="3230" spans="1:2" x14ac:dyDescent="0.25">
      <c r="A3230"/>
      <c r="B3230"/>
    </row>
    <row r="3231" spans="1:2" x14ac:dyDescent="0.25">
      <c r="A3231"/>
      <c r="B3231"/>
    </row>
    <row r="3232" spans="1:2" x14ac:dyDescent="0.25">
      <c r="A3232"/>
      <c r="B3232"/>
    </row>
    <row r="3233" spans="1:2" x14ac:dyDescent="0.25">
      <c r="A3233"/>
      <c r="B3233"/>
    </row>
    <row r="3234" spans="1:2" x14ac:dyDescent="0.25">
      <c r="A3234"/>
      <c r="B3234"/>
    </row>
    <row r="3235" spans="1:2" x14ac:dyDescent="0.25">
      <c r="A3235"/>
      <c r="B3235"/>
    </row>
    <row r="3236" spans="1:2" x14ac:dyDescent="0.25">
      <c r="A3236"/>
      <c r="B3236"/>
    </row>
    <row r="3237" spans="1:2" x14ac:dyDescent="0.25">
      <c r="A3237"/>
      <c r="B3237"/>
    </row>
    <row r="3238" spans="1:2" x14ac:dyDescent="0.25">
      <c r="A3238"/>
      <c r="B3238"/>
    </row>
    <row r="3239" spans="1:2" x14ac:dyDescent="0.25">
      <c r="A3239"/>
      <c r="B3239"/>
    </row>
    <row r="3240" spans="1:2" x14ac:dyDescent="0.25">
      <c r="A3240"/>
      <c r="B3240"/>
    </row>
    <row r="3241" spans="1:2" x14ac:dyDescent="0.25">
      <c r="A3241"/>
      <c r="B3241"/>
    </row>
    <row r="3242" spans="1:2" x14ac:dyDescent="0.25">
      <c r="A3242"/>
      <c r="B3242"/>
    </row>
    <row r="3243" spans="1:2" x14ac:dyDescent="0.25">
      <c r="A3243"/>
      <c r="B3243"/>
    </row>
    <row r="3244" spans="1:2" x14ac:dyDescent="0.25">
      <c r="A3244"/>
      <c r="B3244"/>
    </row>
    <row r="3245" spans="1:2" x14ac:dyDescent="0.25">
      <c r="A3245"/>
      <c r="B3245"/>
    </row>
    <row r="3246" spans="1:2" x14ac:dyDescent="0.25">
      <c r="A3246"/>
      <c r="B3246"/>
    </row>
    <row r="3247" spans="1:2" x14ac:dyDescent="0.25">
      <c r="A3247"/>
      <c r="B3247"/>
    </row>
    <row r="3248" spans="1:2" x14ac:dyDescent="0.25">
      <c r="A3248"/>
      <c r="B3248"/>
    </row>
    <row r="3249" spans="1:2" x14ac:dyDescent="0.25">
      <c r="A3249"/>
      <c r="B3249"/>
    </row>
    <row r="3250" spans="1:2" x14ac:dyDescent="0.25">
      <c r="A3250"/>
      <c r="B3250"/>
    </row>
    <row r="3251" spans="1:2" x14ac:dyDescent="0.25">
      <c r="A3251"/>
      <c r="B3251"/>
    </row>
    <row r="3252" spans="1:2" x14ac:dyDescent="0.25">
      <c r="A3252"/>
      <c r="B3252"/>
    </row>
    <row r="3253" spans="1:2" x14ac:dyDescent="0.25">
      <c r="A3253"/>
      <c r="B3253"/>
    </row>
    <row r="3254" spans="1:2" x14ac:dyDescent="0.25">
      <c r="A3254"/>
      <c r="B3254"/>
    </row>
    <row r="3255" spans="1:2" x14ac:dyDescent="0.25">
      <c r="A3255"/>
      <c r="B3255"/>
    </row>
    <row r="3256" spans="1:2" x14ac:dyDescent="0.25">
      <c r="A3256"/>
      <c r="B3256"/>
    </row>
    <row r="3257" spans="1:2" x14ac:dyDescent="0.25">
      <c r="A3257"/>
      <c r="B3257"/>
    </row>
    <row r="3258" spans="1:2" x14ac:dyDescent="0.25">
      <c r="A3258"/>
      <c r="B3258"/>
    </row>
    <row r="3259" spans="1:2" x14ac:dyDescent="0.25">
      <c r="A3259"/>
      <c r="B3259"/>
    </row>
    <row r="3260" spans="1:2" x14ac:dyDescent="0.25">
      <c r="A3260"/>
      <c r="B3260"/>
    </row>
    <row r="3261" spans="1:2" x14ac:dyDescent="0.25">
      <c r="A3261"/>
      <c r="B3261"/>
    </row>
    <row r="3262" spans="1:2" x14ac:dyDescent="0.25">
      <c r="A3262"/>
      <c r="B3262"/>
    </row>
    <row r="3263" spans="1:2" x14ac:dyDescent="0.25">
      <c r="A3263"/>
      <c r="B3263"/>
    </row>
    <row r="3264" spans="1:2" x14ac:dyDescent="0.25">
      <c r="A3264"/>
      <c r="B3264"/>
    </row>
    <row r="3265" spans="1:2" x14ac:dyDescent="0.25">
      <c r="A3265"/>
      <c r="B3265"/>
    </row>
    <row r="3266" spans="1:2" x14ac:dyDescent="0.25">
      <c r="A3266"/>
      <c r="B3266"/>
    </row>
    <row r="3267" spans="1:2" x14ac:dyDescent="0.25">
      <c r="A3267"/>
      <c r="B3267"/>
    </row>
    <row r="3268" spans="1:2" x14ac:dyDescent="0.25">
      <c r="A3268"/>
      <c r="B3268"/>
    </row>
    <row r="3269" spans="1:2" x14ac:dyDescent="0.25">
      <c r="A3269"/>
      <c r="B3269"/>
    </row>
    <row r="3270" spans="1:2" x14ac:dyDescent="0.25">
      <c r="A3270"/>
      <c r="B3270"/>
    </row>
    <row r="3271" spans="1:2" x14ac:dyDescent="0.25">
      <c r="A3271"/>
      <c r="B3271"/>
    </row>
    <row r="3272" spans="1:2" x14ac:dyDescent="0.25">
      <c r="A3272"/>
      <c r="B3272"/>
    </row>
    <row r="3273" spans="1:2" x14ac:dyDescent="0.25">
      <c r="A3273"/>
      <c r="B3273"/>
    </row>
    <row r="3274" spans="1:2" x14ac:dyDescent="0.25">
      <c r="A3274"/>
      <c r="B3274"/>
    </row>
    <row r="3275" spans="1:2" x14ac:dyDescent="0.25">
      <c r="A3275"/>
      <c r="B3275"/>
    </row>
    <row r="3276" spans="1:2" x14ac:dyDescent="0.25">
      <c r="A3276"/>
      <c r="B3276"/>
    </row>
    <row r="3277" spans="1:2" x14ac:dyDescent="0.25">
      <c r="A3277"/>
      <c r="B3277"/>
    </row>
    <row r="3278" spans="1:2" x14ac:dyDescent="0.25">
      <c r="A3278"/>
      <c r="B3278"/>
    </row>
    <row r="3279" spans="1:2" x14ac:dyDescent="0.25">
      <c r="A3279"/>
      <c r="B3279"/>
    </row>
    <row r="3280" spans="1:2" x14ac:dyDescent="0.25">
      <c r="A3280"/>
      <c r="B3280"/>
    </row>
    <row r="3281" spans="1:2" x14ac:dyDescent="0.25">
      <c r="A3281"/>
      <c r="B3281"/>
    </row>
    <row r="3282" spans="1:2" x14ac:dyDescent="0.25">
      <c r="A3282"/>
      <c r="B3282"/>
    </row>
    <row r="3283" spans="1:2" x14ac:dyDescent="0.25">
      <c r="A3283"/>
      <c r="B3283"/>
    </row>
    <row r="3284" spans="1:2" x14ac:dyDescent="0.25">
      <c r="A3284"/>
      <c r="B3284"/>
    </row>
    <row r="3285" spans="1:2" x14ac:dyDescent="0.25">
      <c r="A3285"/>
      <c r="B3285"/>
    </row>
    <row r="3286" spans="1:2" x14ac:dyDescent="0.25">
      <c r="A3286"/>
      <c r="B3286"/>
    </row>
    <row r="3287" spans="1:2" x14ac:dyDescent="0.25">
      <c r="A3287"/>
      <c r="B3287"/>
    </row>
    <row r="3288" spans="1:2" x14ac:dyDescent="0.25">
      <c r="A3288"/>
      <c r="B3288"/>
    </row>
    <row r="3289" spans="1:2" x14ac:dyDescent="0.25">
      <c r="A3289"/>
      <c r="B3289"/>
    </row>
    <row r="3290" spans="1:2" x14ac:dyDescent="0.25">
      <c r="A3290"/>
      <c r="B3290"/>
    </row>
    <row r="3291" spans="1:2" x14ac:dyDescent="0.25">
      <c r="A3291"/>
      <c r="B3291"/>
    </row>
    <row r="3292" spans="1:2" x14ac:dyDescent="0.25">
      <c r="A3292"/>
      <c r="B3292"/>
    </row>
    <row r="3293" spans="1:2" x14ac:dyDescent="0.25">
      <c r="A3293"/>
      <c r="B3293"/>
    </row>
    <row r="3294" spans="1:2" x14ac:dyDescent="0.25">
      <c r="A3294"/>
      <c r="B3294"/>
    </row>
    <row r="3295" spans="1:2" x14ac:dyDescent="0.25">
      <c r="A3295"/>
      <c r="B3295"/>
    </row>
    <row r="3296" spans="1:2" x14ac:dyDescent="0.25">
      <c r="A3296"/>
      <c r="B3296"/>
    </row>
    <row r="3297" spans="1:2" x14ac:dyDescent="0.25">
      <c r="A3297"/>
      <c r="B3297"/>
    </row>
    <row r="3298" spans="1:2" x14ac:dyDescent="0.25">
      <c r="A3298"/>
      <c r="B3298"/>
    </row>
    <row r="3299" spans="1:2" x14ac:dyDescent="0.25">
      <c r="A3299"/>
      <c r="B3299"/>
    </row>
    <row r="3300" spans="1:2" x14ac:dyDescent="0.25">
      <c r="A3300"/>
      <c r="B3300"/>
    </row>
    <row r="3301" spans="1:2" x14ac:dyDescent="0.25">
      <c r="A3301"/>
      <c r="B3301"/>
    </row>
    <row r="3302" spans="1:2" x14ac:dyDescent="0.25">
      <c r="A3302"/>
      <c r="B3302"/>
    </row>
    <row r="3303" spans="1:2" x14ac:dyDescent="0.25">
      <c r="A3303"/>
      <c r="B3303"/>
    </row>
    <row r="3304" spans="1:2" x14ac:dyDescent="0.25">
      <c r="A3304"/>
      <c r="B3304"/>
    </row>
    <row r="3305" spans="1:2" x14ac:dyDescent="0.25">
      <c r="A3305"/>
      <c r="B3305"/>
    </row>
    <row r="3306" spans="1:2" x14ac:dyDescent="0.25">
      <c r="A3306"/>
      <c r="B3306"/>
    </row>
    <row r="3307" spans="1:2" x14ac:dyDescent="0.25">
      <c r="A3307"/>
      <c r="B3307"/>
    </row>
    <row r="3308" spans="1:2" x14ac:dyDescent="0.25">
      <c r="A3308"/>
      <c r="B3308"/>
    </row>
    <row r="3309" spans="1:2" x14ac:dyDescent="0.25">
      <c r="A3309"/>
      <c r="B3309"/>
    </row>
    <row r="3310" spans="1:2" x14ac:dyDescent="0.25">
      <c r="A3310"/>
      <c r="B3310"/>
    </row>
    <row r="3311" spans="1:2" x14ac:dyDescent="0.25">
      <c r="A3311"/>
      <c r="B3311"/>
    </row>
    <row r="3312" spans="1:2" x14ac:dyDescent="0.25">
      <c r="A3312"/>
      <c r="B3312"/>
    </row>
    <row r="3313" spans="1:2" x14ac:dyDescent="0.25">
      <c r="A3313"/>
      <c r="B3313"/>
    </row>
    <row r="3314" spans="1:2" x14ac:dyDescent="0.25">
      <c r="A3314"/>
      <c r="B3314"/>
    </row>
    <row r="3315" spans="1:2" x14ac:dyDescent="0.25">
      <c r="A3315"/>
      <c r="B3315"/>
    </row>
    <row r="3316" spans="1:2" x14ac:dyDescent="0.25">
      <c r="A3316"/>
      <c r="B3316"/>
    </row>
    <row r="3317" spans="1:2" x14ac:dyDescent="0.25">
      <c r="A3317"/>
      <c r="B3317"/>
    </row>
    <row r="3318" spans="1:2" x14ac:dyDescent="0.25">
      <c r="A3318"/>
      <c r="B3318"/>
    </row>
    <row r="3319" spans="1:2" x14ac:dyDescent="0.25">
      <c r="A3319"/>
      <c r="B3319"/>
    </row>
    <row r="3320" spans="1:2" x14ac:dyDescent="0.25">
      <c r="A3320"/>
      <c r="B3320"/>
    </row>
    <row r="3321" spans="1:2" x14ac:dyDescent="0.25">
      <c r="A3321"/>
      <c r="B3321"/>
    </row>
    <row r="3322" spans="1:2" x14ac:dyDescent="0.25">
      <c r="A3322"/>
      <c r="B3322"/>
    </row>
    <row r="3323" spans="1:2" x14ac:dyDescent="0.25">
      <c r="A3323"/>
      <c r="B3323"/>
    </row>
    <row r="3324" spans="1:2" x14ac:dyDescent="0.25">
      <c r="A3324"/>
      <c r="B3324"/>
    </row>
    <row r="3325" spans="1:2" x14ac:dyDescent="0.25">
      <c r="A3325"/>
      <c r="B3325"/>
    </row>
    <row r="3326" spans="1:2" x14ac:dyDescent="0.25">
      <c r="A3326"/>
      <c r="B3326"/>
    </row>
    <row r="3327" spans="1:2" x14ac:dyDescent="0.25">
      <c r="A3327"/>
      <c r="B3327"/>
    </row>
    <row r="3328" spans="1:2" x14ac:dyDescent="0.25">
      <c r="A3328"/>
      <c r="B3328"/>
    </row>
    <row r="3329" spans="1:2" x14ac:dyDescent="0.25">
      <c r="A3329"/>
      <c r="B3329"/>
    </row>
    <row r="3330" spans="1:2" x14ac:dyDescent="0.25">
      <c r="A3330"/>
      <c r="B3330"/>
    </row>
    <row r="3331" spans="1:2" x14ac:dyDescent="0.25">
      <c r="A3331"/>
      <c r="B3331"/>
    </row>
    <row r="3332" spans="1:2" x14ac:dyDescent="0.25">
      <c r="A3332"/>
      <c r="B3332"/>
    </row>
    <row r="3333" spans="1:2" x14ac:dyDescent="0.25">
      <c r="A3333"/>
      <c r="B3333"/>
    </row>
    <row r="3334" spans="1:2" x14ac:dyDescent="0.25">
      <c r="A3334"/>
      <c r="B3334"/>
    </row>
    <row r="3335" spans="1:2" x14ac:dyDescent="0.25">
      <c r="A3335"/>
      <c r="B3335"/>
    </row>
    <row r="3336" spans="1:2" x14ac:dyDescent="0.25">
      <c r="A3336"/>
      <c r="B3336"/>
    </row>
    <row r="3337" spans="1:2" x14ac:dyDescent="0.25">
      <c r="A3337"/>
      <c r="B3337"/>
    </row>
    <row r="3338" spans="1:2" x14ac:dyDescent="0.25">
      <c r="A3338"/>
      <c r="B3338"/>
    </row>
    <row r="3339" spans="1:2" x14ac:dyDescent="0.25">
      <c r="A3339"/>
      <c r="B3339"/>
    </row>
    <row r="3340" spans="1:2" x14ac:dyDescent="0.25">
      <c r="A3340"/>
      <c r="B3340"/>
    </row>
    <row r="3341" spans="1:2" x14ac:dyDescent="0.25">
      <c r="A3341"/>
      <c r="B3341"/>
    </row>
    <row r="3342" spans="1:2" x14ac:dyDescent="0.25">
      <c r="A3342"/>
      <c r="B3342"/>
    </row>
    <row r="3343" spans="1:2" x14ac:dyDescent="0.25">
      <c r="A3343"/>
      <c r="B3343"/>
    </row>
    <row r="3344" spans="1:2" x14ac:dyDescent="0.25">
      <c r="A3344"/>
      <c r="B3344"/>
    </row>
    <row r="3345" spans="1:2" x14ac:dyDescent="0.25">
      <c r="A3345"/>
      <c r="B3345"/>
    </row>
    <row r="3346" spans="1:2" x14ac:dyDescent="0.25">
      <c r="A3346"/>
      <c r="B3346"/>
    </row>
    <row r="3347" spans="1:2" x14ac:dyDescent="0.25">
      <c r="A3347"/>
      <c r="B3347"/>
    </row>
    <row r="3348" spans="1:2" x14ac:dyDescent="0.25">
      <c r="A3348"/>
      <c r="B3348"/>
    </row>
    <row r="3349" spans="1:2" x14ac:dyDescent="0.25">
      <c r="A3349"/>
      <c r="B3349"/>
    </row>
    <row r="3350" spans="1:2" x14ac:dyDescent="0.25">
      <c r="A3350"/>
      <c r="B3350"/>
    </row>
    <row r="3351" spans="1:2" x14ac:dyDescent="0.25">
      <c r="A3351"/>
      <c r="B3351"/>
    </row>
    <row r="3352" spans="1:2" x14ac:dyDescent="0.25">
      <c r="A3352"/>
      <c r="B3352"/>
    </row>
    <row r="3353" spans="1:2" x14ac:dyDescent="0.25">
      <c r="A3353"/>
      <c r="B3353"/>
    </row>
    <row r="3354" spans="1:2" x14ac:dyDescent="0.25">
      <c r="A3354"/>
      <c r="B3354"/>
    </row>
    <row r="3355" spans="1:2" x14ac:dyDescent="0.25">
      <c r="A3355"/>
      <c r="B3355"/>
    </row>
    <row r="3356" spans="1:2" x14ac:dyDescent="0.25">
      <c r="A3356"/>
      <c r="B3356"/>
    </row>
    <row r="3357" spans="1:2" x14ac:dyDescent="0.25">
      <c r="A3357"/>
      <c r="B3357"/>
    </row>
    <row r="3358" spans="1:2" x14ac:dyDescent="0.25">
      <c r="A3358"/>
      <c r="B3358"/>
    </row>
    <row r="3359" spans="1:2" x14ac:dyDescent="0.25">
      <c r="A3359"/>
      <c r="B3359"/>
    </row>
    <row r="3360" spans="1:2" x14ac:dyDescent="0.25">
      <c r="A3360"/>
      <c r="B3360"/>
    </row>
    <row r="3361" spans="1:2" x14ac:dyDescent="0.25">
      <c r="A3361"/>
      <c r="B3361"/>
    </row>
    <row r="3362" spans="1:2" x14ac:dyDescent="0.25">
      <c r="A3362"/>
      <c r="B3362"/>
    </row>
    <row r="3363" spans="1:2" x14ac:dyDescent="0.25">
      <c r="A3363"/>
      <c r="B3363"/>
    </row>
    <row r="3364" spans="1:2" x14ac:dyDescent="0.25">
      <c r="A3364"/>
      <c r="B3364"/>
    </row>
    <row r="3365" spans="1:2" x14ac:dyDescent="0.25">
      <c r="A3365"/>
      <c r="B3365"/>
    </row>
    <row r="3366" spans="1:2" x14ac:dyDescent="0.25">
      <c r="A3366"/>
      <c r="B3366"/>
    </row>
    <row r="3367" spans="1:2" x14ac:dyDescent="0.25">
      <c r="A3367"/>
      <c r="B3367"/>
    </row>
    <row r="3368" spans="1:2" x14ac:dyDescent="0.25">
      <c r="A3368"/>
      <c r="B3368"/>
    </row>
    <row r="3369" spans="1:2" x14ac:dyDescent="0.25">
      <c r="A3369"/>
      <c r="B3369"/>
    </row>
    <row r="3370" spans="1:2" x14ac:dyDescent="0.25">
      <c r="A3370"/>
      <c r="B3370"/>
    </row>
    <row r="3371" spans="1:2" x14ac:dyDescent="0.25">
      <c r="A3371"/>
      <c r="B3371"/>
    </row>
    <row r="3372" spans="1:2" x14ac:dyDescent="0.25">
      <c r="A3372"/>
      <c r="B3372"/>
    </row>
    <row r="3373" spans="1:2" x14ac:dyDescent="0.25">
      <c r="A3373"/>
      <c r="B3373"/>
    </row>
    <row r="3374" spans="1:2" x14ac:dyDescent="0.25">
      <c r="A3374"/>
      <c r="B3374"/>
    </row>
    <row r="3375" spans="1:2" x14ac:dyDescent="0.25">
      <c r="A3375"/>
      <c r="B3375"/>
    </row>
    <row r="3376" spans="1:2" x14ac:dyDescent="0.25">
      <c r="A3376"/>
      <c r="B3376"/>
    </row>
    <row r="3377" spans="1:2" x14ac:dyDescent="0.25">
      <c r="A3377"/>
      <c r="B3377"/>
    </row>
    <row r="3378" spans="1:2" x14ac:dyDescent="0.25">
      <c r="A3378"/>
      <c r="B3378"/>
    </row>
    <row r="3379" spans="1:2" x14ac:dyDescent="0.25">
      <c r="A3379"/>
      <c r="B3379"/>
    </row>
    <row r="3380" spans="1:2" x14ac:dyDescent="0.25">
      <c r="A3380"/>
      <c r="B3380"/>
    </row>
    <row r="3381" spans="1:2" x14ac:dyDescent="0.25">
      <c r="A3381"/>
      <c r="B3381"/>
    </row>
    <row r="3382" spans="1:2" x14ac:dyDescent="0.25">
      <c r="A3382"/>
      <c r="B3382"/>
    </row>
    <row r="3383" spans="1:2" x14ac:dyDescent="0.25">
      <c r="A3383"/>
      <c r="B3383"/>
    </row>
    <row r="3384" spans="1:2" x14ac:dyDescent="0.25">
      <c r="A3384"/>
      <c r="B3384"/>
    </row>
    <row r="3385" spans="1:2" x14ac:dyDescent="0.25">
      <c r="A3385"/>
      <c r="B3385"/>
    </row>
    <row r="3386" spans="1:2" x14ac:dyDescent="0.25">
      <c r="A3386"/>
      <c r="B3386"/>
    </row>
    <row r="3387" spans="1:2" x14ac:dyDescent="0.25">
      <c r="A3387"/>
      <c r="B3387"/>
    </row>
    <row r="3388" spans="1:2" x14ac:dyDescent="0.25">
      <c r="A3388"/>
      <c r="B3388"/>
    </row>
    <row r="3389" spans="1:2" x14ac:dyDescent="0.25">
      <c r="A3389"/>
      <c r="B3389"/>
    </row>
    <row r="3390" spans="1:2" x14ac:dyDescent="0.25">
      <c r="A3390"/>
      <c r="B3390"/>
    </row>
    <row r="3391" spans="1:2" x14ac:dyDescent="0.25">
      <c r="A3391"/>
      <c r="B3391"/>
    </row>
    <row r="3392" spans="1:2" x14ac:dyDescent="0.25">
      <c r="A3392"/>
      <c r="B3392"/>
    </row>
    <row r="3393" spans="1:2" x14ac:dyDescent="0.25">
      <c r="A3393"/>
      <c r="B3393"/>
    </row>
    <row r="3394" spans="1:2" x14ac:dyDescent="0.25">
      <c r="A3394"/>
      <c r="B3394"/>
    </row>
    <row r="3395" spans="1:2" x14ac:dyDescent="0.25">
      <c r="A3395"/>
      <c r="B3395"/>
    </row>
    <row r="3396" spans="1:2" x14ac:dyDescent="0.25">
      <c r="A3396"/>
      <c r="B3396"/>
    </row>
    <row r="3397" spans="1:2" x14ac:dyDescent="0.25">
      <c r="A3397"/>
      <c r="B3397"/>
    </row>
    <row r="3398" spans="1:2" x14ac:dyDescent="0.25">
      <c r="A3398"/>
      <c r="B3398"/>
    </row>
    <row r="3399" spans="1:2" x14ac:dyDescent="0.25">
      <c r="A3399"/>
      <c r="B3399"/>
    </row>
    <row r="3400" spans="1:2" x14ac:dyDescent="0.25">
      <c r="A3400"/>
      <c r="B3400"/>
    </row>
    <row r="3401" spans="1:2" x14ac:dyDescent="0.25">
      <c r="A3401"/>
      <c r="B3401"/>
    </row>
    <row r="3402" spans="1:2" x14ac:dyDescent="0.25">
      <c r="A3402"/>
      <c r="B3402"/>
    </row>
    <row r="3403" spans="1:2" x14ac:dyDescent="0.25">
      <c r="A3403"/>
      <c r="B3403"/>
    </row>
    <row r="3404" spans="1:2" x14ac:dyDescent="0.25">
      <c r="A3404"/>
      <c r="B3404"/>
    </row>
    <row r="3405" spans="1:2" x14ac:dyDescent="0.25">
      <c r="A3405"/>
      <c r="B3405"/>
    </row>
    <row r="3406" spans="1:2" x14ac:dyDescent="0.25">
      <c r="A3406"/>
      <c r="B3406"/>
    </row>
    <row r="3407" spans="1:2" x14ac:dyDescent="0.25">
      <c r="A3407"/>
      <c r="B3407"/>
    </row>
    <row r="3408" spans="1:2" x14ac:dyDescent="0.25">
      <c r="A3408"/>
      <c r="B3408"/>
    </row>
    <row r="3409" spans="1:2" x14ac:dyDescent="0.25">
      <c r="A3409"/>
      <c r="B3409"/>
    </row>
    <row r="3410" spans="1:2" x14ac:dyDescent="0.25">
      <c r="A3410"/>
      <c r="B3410"/>
    </row>
    <row r="3411" spans="1:2" x14ac:dyDescent="0.25">
      <c r="A3411"/>
      <c r="B3411"/>
    </row>
    <row r="3412" spans="1:2" x14ac:dyDescent="0.25">
      <c r="A3412"/>
      <c r="B3412"/>
    </row>
    <row r="3413" spans="1:2" x14ac:dyDescent="0.25">
      <c r="A3413"/>
      <c r="B3413"/>
    </row>
    <row r="3414" spans="1:2" x14ac:dyDescent="0.25">
      <c r="A3414"/>
      <c r="B3414"/>
    </row>
    <row r="3415" spans="1:2" x14ac:dyDescent="0.25">
      <c r="A3415"/>
      <c r="B3415"/>
    </row>
    <row r="3416" spans="1:2" x14ac:dyDescent="0.25">
      <c r="A3416"/>
      <c r="B3416"/>
    </row>
    <row r="3417" spans="1:2" x14ac:dyDescent="0.25">
      <c r="A3417"/>
      <c r="B3417"/>
    </row>
    <row r="3418" spans="1:2" x14ac:dyDescent="0.25">
      <c r="A3418"/>
      <c r="B3418"/>
    </row>
    <row r="3419" spans="1:2" x14ac:dyDescent="0.25">
      <c r="A3419"/>
      <c r="B3419"/>
    </row>
    <row r="3420" spans="1:2" x14ac:dyDescent="0.25">
      <c r="A3420"/>
      <c r="B3420"/>
    </row>
    <row r="3421" spans="1:2" x14ac:dyDescent="0.25">
      <c r="A3421"/>
      <c r="B3421"/>
    </row>
    <row r="3422" spans="1:2" x14ac:dyDescent="0.25">
      <c r="A3422"/>
      <c r="B3422"/>
    </row>
    <row r="3423" spans="1:2" x14ac:dyDescent="0.25">
      <c r="A3423"/>
      <c r="B3423"/>
    </row>
    <row r="3424" spans="1:2" x14ac:dyDescent="0.25">
      <c r="A3424"/>
      <c r="B3424"/>
    </row>
    <row r="3425" spans="1:2" x14ac:dyDescent="0.25">
      <c r="A3425"/>
      <c r="B3425"/>
    </row>
    <row r="3426" spans="1:2" x14ac:dyDescent="0.25">
      <c r="A3426"/>
      <c r="B3426"/>
    </row>
    <row r="3427" spans="1:2" x14ac:dyDescent="0.25">
      <c r="A3427"/>
      <c r="B3427"/>
    </row>
    <row r="3428" spans="1:2" x14ac:dyDescent="0.25">
      <c r="A3428"/>
      <c r="B3428"/>
    </row>
    <row r="3429" spans="1:2" x14ac:dyDescent="0.25">
      <c r="A3429"/>
      <c r="B3429"/>
    </row>
    <row r="3430" spans="1:2" x14ac:dyDescent="0.25">
      <c r="A3430"/>
      <c r="B3430"/>
    </row>
    <row r="3431" spans="1:2" x14ac:dyDescent="0.25">
      <c r="A3431"/>
      <c r="B3431"/>
    </row>
    <row r="3432" spans="1:2" x14ac:dyDescent="0.25">
      <c r="A3432"/>
      <c r="B3432"/>
    </row>
    <row r="3433" spans="1:2" x14ac:dyDescent="0.25">
      <c r="A3433"/>
      <c r="B3433"/>
    </row>
    <row r="3434" spans="1:2" x14ac:dyDescent="0.25">
      <c r="A3434"/>
      <c r="B3434"/>
    </row>
    <row r="3435" spans="1:2" x14ac:dyDescent="0.25">
      <c r="A3435"/>
      <c r="B3435"/>
    </row>
    <row r="3436" spans="1:2" x14ac:dyDescent="0.25">
      <c r="A3436"/>
      <c r="B3436"/>
    </row>
    <row r="3437" spans="1:2" x14ac:dyDescent="0.25">
      <c r="A3437"/>
      <c r="B3437"/>
    </row>
    <row r="3438" spans="1:2" x14ac:dyDescent="0.25">
      <c r="A3438"/>
      <c r="B3438"/>
    </row>
    <row r="3439" spans="1:2" x14ac:dyDescent="0.25">
      <c r="A3439"/>
      <c r="B3439"/>
    </row>
    <row r="3440" spans="1:2" x14ac:dyDescent="0.25">
      <c r="A3440"/>
      <c r="B3440"/>
    </row>
    <row r="3441" spans="1:2" x14ac:dyDescent="0.25">
      <c r="A3441"/>
      <c r="B3441"/>
    </row>
    <row r="3442" spans="1:2" x14ac:dyDescent="0.25">
      <c r="A3442"/>
      <c r="B3442"/>
    </row>
    <row r="3443" spans="1:2" x14ac:dyDescent="0.25">
      <c r="A3443"/>
      <c r="B3443"/>
    </row>
    <row r="3444" spans="1:2" x14ac:dyDescent="0.25">
      <c r="A3444"/>
      <c r="B3444"/>
    </row>
    <row r="3445" spans="1:2" x14ac:dyDescent="0.25">
      <c r="A3445"/>
      <c r="B3445"/>
    </row>
    <row r="3446" spans="1:2" x14ac:dyDescent="0.25">
      <c r="A3446"/>
      <c r="B3446"/>
    </row>
    <row r="3447" spans="1:2" x14ac:dyDescent="0.25">
      <c r="A3447"/>
      <c r="B3447"/>
    </row>
    <row r="3448" spans="1:2" x14ac:dyDescent="0.25">
      <c r="A3448"/>
      <c r="B3448"/>
    </row>
    <row r="3449" spans="1:2" x14ac:dyDescent="0.25">
      <c r="A3449"/>
      <c r="B3449"/>
    </row>
    <row r="3450" spans="1:2" x14ac:dyDescent="0.25">
      <c r="A3450"/>
      <c r="B3450"/>
    </row>
    <row r="3451" spans="1:2" x14ac:dyDescent="0.25">
      <c r="A3451"/>
      <c r="B3451"/>
    </row>
    <row r="3452" spans="1:2" x14ac:dyDescent="0.25">
      <c r="A3452"/>
      <c r="B3452"/>
    </row>
    <row r="3453" spans="1:2" x14ac:dyDescent="0.25">
      <c r="A3453"/>
      <c r="B3453"/>
    </row>
    <row r="3454" spans="1:2" x14ac:dyDescent="0.25">
      <c r="A3454"/>
      <c r="B3454"/>
    </row>
    <row r="3455" spans="1:2" x14ac:dyDescent="0.25">
      <c r="A3455"/>
      <c r="B3455"/>
    </row>
    <row r="3456" spans="1:2" x14ac:dyDescent="0.25">
      <c r="A3456"/>
      <c r="B3456"/>
    </row>
    <row r="3457" spans="1:2" x14ac:dyDescent="0.25">
      <c r="A3457"/>
      <c r="B3457"/>
    </row>
    <row r="3458" spans="1:2" x14ac:dyDescent="0.25">
      <c r="A3458"/>
      <c r="B3458"/>
    </row>
    <row r="3459" spans="1:2" x14ac:dyDescent="0.25">
      <c r="A3459"/>
      <c r="B3459"/>
    </row>
    <row r="3460" spans="1:2" x14ac:dyDescent="0.25">
      <c r="A3460"/>
      <c r="B3460"/>
    </row>
    <row r="3461" spans="1:2" x14ac:dyDescent="0.25">
      <c r="A3461"/>
      <c r="B3461"/>
    </row>
    <row r="3462" spans="1:2" x14ac:dyDescent="0.25">
      <c r="A3462"/>
      <c r="B3462"/>
    </row>
    <row r="3463" spans="1:2" x14ac:dyDescent="0.25">
      <c r="A3463"/>
      <c r="B3463"/>
    </row>
    <row r="3464" spans="1:2" x14ac:dyDescent="0.25">
      <c r="A3464"/>
      <c r="B3464"/>
    </row>
    <row r="3465" spans="1:2" x14ac:dyDescent="0.25">
      <c r="A3465"/>
      <c r="B3465"/>
    </row>
    <row r="3466" spans="1:2" x14ac:dyDescent="0.25">
      <c r="A3466"/>
      <c r="B3466"/>
    </row>
    <row r="3467" spans="1:2" x14ac:dyDescent="0.25">
      <c r="A3467"/>
      <c r="B3467"/>
    </row>
    <row r="3468" spans="1:2" x14ac:dyDescent="0.25">
      <c r="A3468"/>
      <c r="B3468"/>
    </row>
    <row r="3469" spans="1:2" x14ac:dyDescent="0.25">
      <c r="A3469"/>
      <c r="B3469"/>
    </row>
    <row r="3470" spans="1:2" x14ac:dyDescent="0.25">
      <c r="A3470"/>
      <c r="B3470"/>
    </row>
    <row r="3471" spans="1:2" x14ac:dyDescent="0.25">
      <c r="A3471"/>
      <c r="B3471"/>
    </row>
    <row r="3472" spans="1:2" x14ac:dyDescent="0.25">
      <c r="A3472"/>
      <c r="B3472"/>
    </row>
    <row r="3473" spans="1:2" x14ac:dyDescent="0.25">
      <c r="A3473"/>
      <c r="B3473"/>
    </row>
    <row r="3474" spans="1:2" x14ac:dyDescent="0.25">
      <c r="A3474"/>
      <c r="B3474"/>
    </row>
    <row r="3475" spans="1:2" x14ac:dyDescent="0.25">
      <c r="A3475"/>
      <c r="B3475"/>
    </row>
    <row r="3476" spans="1:2" x14ac:dyDescent="0.25">
      <c r="A3476"/>
      <c r="B3476"/>
    </row>
    <row r="3477" spans="1:2" x14ac:dyDescent="0.25">
      <c r="A3477"/>
      <c r="B3477"/>
    </row>
    <row r="3478" spans="1:2" x14ac:dyDescent="0.25">
      <c r="A3478"/>
      <c r="B3478"/>
    </row>
    <row r="3479" spans="1:2" x14ac:dyDescent="0.25">
      <c r="A3479"/>
      <c r="B3479"/>
    </row>
    <row r="3480" spans="1:2" x14ac:dyDescent="0.25">
      <c r="A3480"/>
      <c r="B3480"/>
    </row>
    <row r="3481" spans="1:2" x14ac:dyDescent="0.25">
      <c r="A3481"/>
      <c r="B3481"/>
    </row>
    <row r="3482" spans="1:2" x14ac:dyDescent="0.25">
      <c r="A3482"/>
      <c r="B3482"/>
    </row>
    <row r="3483" spans="1:2" x14ac:dyDescent="0.25">
      <c r="A3483"/>
      <c r="B3483"/>
    </row>
    <row r="3484" spans="1:2" x14ac:dyDescent="0.25">
      <c r="A3484"/>
      <c r="B3484"/>
    </row>
    <row r="3485" spans="1:2" x14ac:dyDescent="0.25">
      <c r="A3485"/>
      <c r="B3485"/>
    </row>
    <row r="3486" spans="1:2" x14ac:dyDescent="0.25">
      <c r="A3486"/>
      <c r="B3486"/>
    </row>
    <row r="3487" spans="1:2" x14ac:dyDescent="0.25">
      <c r="A3487"/>
      <c r="B3487"/>
    </row>
    <row r="3488" spans="1:2" x14ac:dyDescent="0.25">
      <c r="A3488"/>
      <c r="B3488"/>
    </row>
    <row r="3489" spans="1:2" x14ac:dyDescent="0.25">
      <c r="A3489"/>
      <c r="B3489"/>
    </row>
    <row r="3490" spans="1:2" x14ac:dyDescent="0.25">
      <c r="A3490"/>
      <c r="B3490"/>
    </row>
    <row r="3491" spans="1:2" x14ac:dyDescent="0.25">
      <c r="A3491"/>
      <c r="B3491"/>
    </row>
    <row r="3492" spans="1:2" x14ac:dyDescent="0.25">
      <c r="A3492"/>
      <c r="B3492"/>
    </row>
    <row r="3493" spans="1:2" x14ac:dyDescent="0.25">
      <c r="A3493"/>
      <c r="B3493"/>
    </row>
    <row r="3494" spans="1:2" x14ac:dyDescent="0.25">
      <c r="A3494"/>
      <c r="B3494"/>
    </row>
    <row r="3495" spans="1:2" x14ac:dyDescent="0.25">
      <c r="A3495"/>
      <c r="B3495"/>
    </row>
    <row r="3496" spans="1:2" x14ac:dyDescent="0.25">
      <c r="A3496"/>
      <c r="B3496"/>
    </row>
    <row r="3497" spans="1:2" x14ac:dyDescent="0.25">
      <c r="A3497"/>
      <c r="B3497"/>
    </row>
    <row r="3498" spans="1:2" x14ac:dyDescent="0.25">
      <c r="A3498"/>
      <c r="B3498"/>
    </row>
    <row r="3499" spans="1:2" x14ac:dyDescent="0.25">
      <c r="A3499"/>
      <c r="B3499"/>
    </row>
    <row r="3500" spans="1:2" x14ac:dyDescent="0.25">
      <c r="A3500"/>
      <c r="B3500"/>
    </row>
    <row r="3501" spans="1:2" x14ac:dyDescent="0.25">
      <c r="A3501"/>
      <c r="B3501"/>
    </row>
    <row r="3502" spans="1:2" x14ac:dyDescent="0.25">
      <c r="A3502"/>
      <c r="B3502"/>
    </row>
    <row r="3503" spans="1:2" x14ac:dyDescent="0.25">
      <c r="A3503"/>
      <c r="B3503"/>
    </row>
    <row r="3504" spans="1:2" x14ac:dyDescent="0.25">
      <c r="A3504"/>
      <c r="B3504"/>
    </row>
    <row r="3505" spans="1:2" x14ac:dyDescent="0.25">
      <c r="A3505"/>
      <c r="B3505"/>
    </row>
    <row r="3506" spans="1:2" x14ac:dyDescent="0.25">
      <c r="A3506"/>
      <c r="B3506"/>
    </row>
    <row r="3507" spans="1:2" x14ac:dyDescent="0.25">
      <c r="A3507"/>
      <c r="B3507"/>
    </row>
    <row r="3508" spans="1:2" x14ac:dyDescent="0.25">
      <c r="A3508"/>
      <c r="B3508"/>
    </row>
    <row r="3509" spans="1:2" x14ac:dyDescent="0.25">
      <c r="A3509"/>
      <c r="B3509"/>
    </row>
    <row r="3510" spans="1:2" x14ac:dyDescent="0.25">
      <c r="A3510"/>
      <c r="B3510"/>
    </row>
    <row r="3511" spans="1:2" x14ac:dyDescent="0.25">
      <c r="A3511"/>
      <c r="B3511"/>
    </row>
    <row r="3512" spans="1:2" x14ac:dyDescent="0.25">
      <c r="A3512"/>
      <c r="B3512"/>
    </row>
    <row r="3513" spans="1:2" x14ac:dyDescent="0.25">
      <c r="A3513"/>
      <c r="B3513"/>
    </row>
    <row r="3514" spans="1:2" x14ac:dyDescent="0.25">
      <c r="A3514"/>
      <c r="B3514"/>
    </row>
    <row r="3515" spans="1:2" x14ac:dyDescent="0.25">
      <c r="A3515"/>
      <c r="B3515"/>
    </row>
    <row r="3516" spans="1:2" x14ac:dyDescent="0.25">
      <c r="A3516"/>
      <c r="B3516"/>
    </row>
    <row r="3517" spans="1:2" x14ac:dyDescent="0.25">
      <c r="A3517"/>
      <c r="B3517"/>
    </row>
    <row r="3518" spans="1:2" x14ac:dyDescent="0.25">
      <c r="A3518"/>
      <c r="B3518"/>
    </row>
    <row r="3519" spans="1:2" x14ac:dyDescent="0.25">
      <c r="A3519"/>
      <c r="B3519"/>
    </row>
    <row r="3520" spans="1:2" x14ac:dyDescent="0.25">
      <c r="A3520"/>
      <c r="B3520"/>
    </row>
    <row r="3521" spans="1:2" x14ac:dyDescent="0.25">
      <c r="A3521"/>
      <c r="B3521"/>
    </row>
    <row r="3522" spans="1:2" x14ac:dyDescent="0.25">
      <c r="A3522"/>
      <c r="B3522"/>
    </row>
    <row r="3523" spans="1:2" x14ac:dyDescent="0.25">
      <c r="A3523"/>
      <c r="B3523"/>
    </row>
    <row r="3524" spans="1:2" x14ac:dyDescent="0.25">
      <c r="A3524"/>
      <c r="B3524"/>
    </row>
    <row r="3525" spans="1:2" x14ac:dyDescent="0.25">
      <c r="A3525"/>
      <c r="B3525"/>
    </row>
    <row r="3526" spans="1:2" x14ac:dyDescent="0.25">
      <c r="A3526"/>
      <c r="B3526"/>
    </row>
    <row r="3527" spans="1:2" x14ac:dyDescent="0.25">
      <c r="A3527"/>
      <c r="B3527"/>
    </row>
    <row r="3528" spans="1:2" x14ac:dyDescent="0.25">
      <c r="A3528"/>
      <c r="B3528"/>
    </row>
    <row r="3529" spans="1:2" x14ac:dyDescent="0.25">
      <c r="A3529"/>
      <c r="B3529"/>
    </row>
    <row r="3530" spans="1:2" x14ac:dyDescent="0.25">
      <c r="A3530"/>
      <c r="B3530"/>
    </row>
    <row r="3531" spans="1:2" x14ac:dyDescent="0.25">
      <c r="A3531"/>
      <c r="B3531"/>
    </row>
    <row r="3532" spans="1:2" x14ac:dyDescent="0.25">
      <c r="A3532"/>
      <c r="B3532"/>
    </row>
    <row r="3533" spans="1:2" x14ac:dyDescent="0.25">
      <c r="A3533"/>
      <c r="B3533"/>
    </row>
    <row r="3534" spans="1:2" x14ac:dyDescent="0.25">
      <c r="A3534"/>
      <c r="B3534"/>
    </row>
    <row r="3535" spans="1:2" x14ac:dyDescent="0.25">
      <c r="A3535"/>
      <c r="B3535"/>
    </row>
    <row r="3536" spans="1:2" x14ac:dyDescent="0.25">
      <c r="A3536"/>
      <c r="B3536"/>
    </row>
    <row r="3537" spans="1:2" x14ac:dyDescent="0.25">
      <c r="A3537"/>
      <c r="B3537"/>
    </row>
    <row r="3538" spans="1:2" x14ac:dyDescent="0.25">
      <c r="A3538"/>
      <c r="B3538"/>
    </row>
    <row r="3539" spans="1:2" x14ac:dyDescent="0.25">
      <c r="A3539"/>
      <c r="B3539"/>
    </row>
    <row r="3540" spans="1:2" x14ac:dyDescent="0.25">
      <c r="A3540"/>
      <c r="B3540"/>
    </row>
    <row r="3541" spans="1:2" x14ac:dyDescent="0.25">
      <c r="A3541"/>
      <c r="B3541"/>
    </row>
    <row r="3542" spans="1:2" x14ac:dyDescent="0.25">
      <c r="A3542"/>
      <c r="B3542"/>
    </row>
    <row r="3543" spans="1:2" x14ac:dyDescent="0.25">
      <c r="A3543"/>
      <c r="B3543"/>
    </row>
    <row r="3544" spans="1:2" x14ac:dyDescent="0.25">
      <c r="A3544"/>
      <c r="B3544"/>
    </row>
    <row r="3545" spans="1:2" x14ac:dyDescent="0.25">
      <c r="A3545"/>
      <c r="B3545"/>
    </row>
    <row r="3546" spans="1:2" x14ac:dyDescent="0.25">
      <c r="A3546"/>
      <c r="B3546"/>
    </row>
    <row r="3547" spans="1:2" x14ac:dyDescent="0.25">
      <c r="A3547"/>
      <c r="B3547"/>
    </row>
    <row r="3548" spans="1:2" x14ac:dyDescent="0.25">
      <c r="A3548"/>
      <c r="B3548"/>
    </row>
    <row r="3549" spans="1:2" x14ac:dyDescent="0.25">
      <c r="A3549"/>
      <c r="B3549"/>
    </row>
    <row r="3550" spans="1:2" x14ac:dyDescent="0.25">
      <c r="A3550"/>
      <c r="B3550"/>
    </row>
    <row r="3551" spans="1:2" x14ac:dyDescent="0.25">
      <c r="A3551"/>
      <c r="B3551"/>
    </row>
    <row r="3552" spans="1:2" x14ac:dyDescent="0.25">
      <c r="A3552"/>
      <c r="B3552"/>
    </row>
    <row r="3553" spans="1:2" x14ac:dyDescent="0.25">
      <c r="A3553"/>
      <c r="B3553"/>
    </row>
    <row r="3554" spans="1:2" x14ac:dyDescent="0.25">
      <c r="A3554"/>
      <c r="B3554"/>
    </row>
    <row r="3555" spans="1:2" x14ac:dyDescent="0.25">
      <c r="A3555"/>
      <c r="B3555"/>
    </row>
    <row r="3556" spans="1:2" x14ac:dyDescent="0.25">
      <c r="A3556"/>
      <c r="B3556"/>
    </row>
    <row r="3557" spans="1:2" x14ac:dyDescent="0.25">
      <c r="A3557"/>
      <c r="B3557"/>
    </row>
    <row r="3558" spans="1:2" x14ac:dyDescent="0.25">
      <c r="A3558"/>
      <c r="B3558"/>
    </row>
    <row r="3559" spans="1:2" x14ac:dyDescent="0.25">
      <c r="A3559"/>
      <c r="B3559"/>
    </row>
    <row r="3560" spans="1:2" x14ac:dyDescent="0.25">
      <c r="A3560"/>
      <c r="B3560"/>
    </row>
    <row r="3561" spans="1:2" x14ac:dyDescent="0.25">
      <c r="A3561"/>
      <c r="B3561"/>
    </row>
    <row r="3562" spans="1:2" x14ac:dyDescent="0.25">
      <c r="A3562"/>
      <c r="B3562"/>
    </row>
    <row r="3563" spans="1:2" x14ac:dyDescent="0.25">
      <c r="A3563"/>
      <c r="B3563"/>
    </row>
    <row r="3564" spans="1:2" x14ac:dyDescent="0.25">
      <c r="A3564"/>
      <c r="B3564"/>
    </row>
    <row r="3565" spans="1:2" x14ac:dyDescent="0.25">
      <c r="A3565"/>
      <c r="B3565"/>
    </row>
    <row r="3566" spans="1:2" x14ac:dyDescent="0.25">
      <c r="A3566"/>
      <c r="B3566"/>
    </row>
    <row r="3567" spans="1:2" x14ac:dyDescent="0.25">
      <c r="A3567"/>
      <c r="B3567"/>
    </row>
    <row r="3568" spans="1:2" x14ac:dyDescent="0.25">
      <c r="A3568"/>
      <c r="B3568"/>
    </row>
    <row r="3569" spans="1:2" x14ac:dyDescent="0.25">
      <c r="A3569"/>
      <c r="B3569"/>
    </row>
    <row r="3570" spans="1:2" x14ac:dyDescent="0.25">
      <c r="A3570"/>
      <c r="B3570"/>
    </row>
    <row r="3571" spans="1:2" x14ac:dyDescent="0.25">
      <c r="A3571"/>
      <c r="B3571"/>
    </row>
    <row r="3572" spans="1:2" x14ac:dyDescent="0.25">
      <c r="A3572"/>
      <c r="B3572"/>
    </row>
    <row r="3573" spans="1:2" x14ac:dyDescent="0.25">
      <c r="A3573"/>
      <c r="B3573"/>
    </row>
    <row r="3574" spans="1:2" x14ac:dyDescent="0.25">
      <c r="A3574"/>
      <c r="B3574"/>
    </row>
    <row r="3575" spans="1:2" x14ac:dyDescent="0.25">
      <c r="A3575"/>
      <c r="B3575"/>
    </row>
    <row r="3576" spans="1:2" x14ac:dyDescent="0.25">
      <c r="A3576"/>
      <c r="B3576"/>
    </row>
    <row r="3577" spans="1:2" x14ac:dyDescent="0.25">
      <c r="A3577"/>
      <c r="B3577"/>
    </row>
    <row r="3578" spans="1:2" x14ac:dyDescent="0.25">
      <c r="A3578"/>
      <c r="B3578"/>
    </row>
    <row r="3579" spans="1:2" x14ac:dyDescent="0.25">
      <c r="A3579"/>
      <c r="B3579"/>
    </row>
    <row r="3580" spans="1:2" x14ac:dyDescent="0.25">
      <c r="A3580"/>
      <c r="B3580"/>
    </row>
    <row r="3581" spans="1:2" x14ac:dyDescent="0.25">
      <c r="A3581"/>
      <c r="B3581"/>
    </row>
    <row r="3582" spans="1:2" x14ac:dyDescent="0.25">
      <c r="A3582"/>
      <c r="B3582"/>
    </row>
    <row r="3583" spans="1:2" x14ac:dyDescent="0.25">
      <c r="A3583"/>
      <c r="B3583"/>
    </row>
    <row r="3584" spans="1:2" x14ac:dyDescent="0.25">
      <c r="A3584"/>
      <c r="B3584"/>
    </row>
    <row r="3585" spans="1:2" x14ac:dyDescent="0.25">
      <c r="A3585"/>
      <c r="B3585"/>
    </row>
    <row r="3586" spans="1:2" x14ac:dyDescent="0.25">
      <c r="A3586"/>
      <c r="B3586"/>
    </row>
    <row r="3587" spans="1:2" x14ac:dyDescent="0.25">
      <c r="A3587"/>
      <c r="B3587"/>
    </row>
    <row r="3588" spans="1:2" x14ac:dyDescent="0.25">
      <c r="A3588"/>
      <c r="B3588"/>
    </row>
    <row r="3589" spans="1:2" x14ac:dyDescent="0.25">
      <c r="A3589"/>
      <c r="B3589"/>
    </row>
    <row r="3590" spans="1:2" x14ac:dyDescent="0.25">
      <c r="A3590"/>
      <c r="B3590"/>
    </row>
    <row r="3591" spans="1:2" x14ac:dyDescent="0.25">
      <c r="A3591"/>
      <c r="B3591"/>
    </row>
    <row r="3592" spans="1:2" x14ac:dyDescent="0.25">
      <c r="A3592"/>
      <c r="B3592"/>
    </row>
    <row r="3593" spans="1:2" x14ac:dyDescent="0.25">
      <c r="A3593"/>
      <c r="B3593"/>
    </row>
    <row r="3594" spans="1:2" x14ac:dyDescent="0.25">
      <c r="A3594"/>
      <c r="B3594"/>
    </row>
    <row r="3595" spans="1:2" x14ac:dyDescent="0.25">
      <c r="A3595"/>
      <c r="B3595"/>
    </row>
    <row r="3596" spans="1:2" x14ac:dyDescent="0.25">
      <c r="A3596"/>
      <c r="B3596"/>
    </row>
    <row r="3597" spans="1:2" x14ac:dyDescent="0.25">
      <c r="A3597"/>
      <c r="B3597"/>
    </row>
    <row r="3598" spans="1:2" x14ac:dyDescent="0.25">
      <c r="A3598"/>
      <c r="B3598"/>
    </row>
    <row r="3599" spans="1:2" x14ac:dyDescent="0.25">
      <c r="A3599"/>
      <c r="B3599"/>
    </row>
    <row r="3600" spans="1:2" x14ac:dyDescent="0.25">
      <c r="A3600"/>
      <c r="B3600"/>
    </row>
    <row r="3601" spans="1:2" x14ac:dyDescent="0.25">
      <c r="A3601"/>
      <c r="B3601"/>
    </row>
    <row r="3602" spans="1:2" x14ac:dyDescent="0.25">
      <c r="A3602"/>
      <c r="B3602"/>
    </row>
    <row r="3603" spans="1:2" x14ac:dyDescent="0.25">
      <c r="A3603"/>
      <c r="B3603"/>
    </row>
    <row r="3604" spans="1:2" x14ac:dyDescent="0.25">
      <c r="A3604"/>
      <c r="B3604"/>
    </row>
    <row r="3605" spans="1:2" x14ac:dyDescent="0.25">
      <c r="A3605"/>
      <c r="B3605"/>
    </row>
    <row r="3606" spans="1:2" x14ac:dyDescent="0.25">
      <c r="A3606"/>
      <c r="B3606"/>
    </row>
    <row r="3607" spans="1:2" x14ac:dyDescent="0.25">
      <c r="A3607"/>
      <c r="B3607"/>
    </row>
    <row r="3608" spans="1:2" x14ac:dyDescent="0.25">
      <c r="A3608"/>
      <c r="B3608"/>
    </row>
    <row r="3609" spans="1:2" x14ac:dyDescent="0.25">
      <c r="A3609"/>
      <c r="B3609"/>
    </row>
    <row r="3610" spans="1:2" x14ac:dyDescent="0.25">
      <c r="A3610"/>
      <c r="B3610"/>
    </row>
    <row r="3611" spans="1:2" x14ac:dyDescent="0.25">
      <c r="A3611"/>
      <c r="B3611"/>
    </row>
    <row r="3612" spans="1:2" x14ac:dyDescent="0.25">
      <c r="A3612"/>
      <c r="B3612"/>
    </row>
    <row r="3613" spans="1:2" x14ac:dyDescent="0.25">
      <c r="A3613"/>
      <c r="B3613"/>
    </row>
    <row r="3614" spans="1:2" x14ac:dyDescent="0.25">
      <c r="A3614"/>
      <c r="B3614"/>
    </row>
    <row r="3615" spans="1:2" x14ac:dyDescent="0.25">
      <c r="A3615"/>
      <c r="B3615"/>
    </row>
    <row r="3616" spans="1:2" x14ac:dyDescent="0.25">
      <c r="A3616"/>
      <c r="B3616"/>
    </row>
    <row r="3617" spans="1:2" x14ac:dyDescent="0.25">
      <c r="A3617"/>
      <c r="B3617"/>
    </row>
    <row r="3618" spans="1:2" x14ac:dyDescent="0.25">
      <c r="A3618"/>
      <c r="B3618"/>
    </row>
    <row r="3619" spans="1:2" x14ac:dyDescent="0.25">
      <c r="A3619"/>
      <c r="B3619"/>
    </row>
    <row r="3620" spans="1:2" x14ac:dyDescent="0.25">
      <c r="A3620"/>
      <c r="B3620"/>
    </row>
    <row r="3621" spans="1:2" x14ac:dyDescent="0.25">
      <c r="A3621"/>
      <c r="B3621"/>
    </row>
    <row r="3622" spans="1:2" x14ac:dyDescent="0.25">
      <c r="A3622"/>
      <c r="B3622"/>
    </row>
    <row r="3623" spans="1:2" x14ac:dyDescent="0.25">
      <c r="A3623"/>
      <c r="B3623"/>
    </row>
    <row r="3624" spans="1:2" x14ac:dyDescent="0.25">
      <c r="A3624"/>
      <c r="B3624"/>
    </row>
    <row r="3625" spans="1:2" x14ac:dyDescent="0.25">
      <c r="A3625"/>
      <c r="B3625"/>
    </row>
    <row r="3626" spans="1:2" x14ac:dyDescent="0.25">
      <c r="A3626"/>
      <c r="B3626"/>
    </row>
    <row r="3627" spans="1:2" x14ac:dyDescent="0.25">
      <c r="A3627"/>
      <c r="B3627"/>
    </row>
    <row r="3628" spans="1:2" x14ac:dyDescent="0.25">
      <c r="A3628"/>
      <c r="B3628"/>
    </row>
    <row r="3629" spans="1:2" x14ac:dyDescent="0.25">
      <c r="A3629"/>
      <c r="B3629"/>
    </row>
    <row r="3630" spans="1:2" x14ac:dyDescent="0.25">
      <c r="A3630"/>
      <c r="B3630"/>
    </row>
    <row r="3631" spans="1:2" x14ac:dyDescent="0.25">
      <c r="A3631"/>
      <c r="B3631"/>
    </row>
    <row r="3632" spans="1:2" x14ac:dyDescent="0.25">
      <c r="A3632"/>
      <c r="B3632"/>
    </row>
    <row r="3633" spans="1:2" x14ac:dyDescent="0.25">
      <c r="A3633"/>
      <c r="B3633"/>
    </row>
    <row r="3634" spans="1:2" x14ac:dyDescent="0.25">
      <c r="A3634"/>
      <c r="B3634"/>
    </row>
    <row r="3635" spans="1:2" x14ac:dyDescent="0.25">
      <c r="A3635"/>
      <c r="B3635"/>
    </row>
    <row r="3636" spans="1:2" x14ac:dyDescent="0.25">
      <c r="A3636"/>
      <c r="B3636"/>
    </row>
    <row r="3637" spans="1:2" x14ac:dyDescent="0.25">
      <c r="A3637"/>
      <c r="B3637"/>
    </row>
    <row r="3638" spans="1:2" x14ac:dyDescent="0.25">
      <c r="A3638"/>
      <c r="B3638"/>
    </row>
    <row r="3639" spans="1:2" x14ac:dyDescent="0.25">
      <c r="A3639"/>
      <c r="B3639"/>
    </row>
    <row r="3640" spans="1:2" x14ac:dyDescent="0.25">
      <c r="A3640"/>
      <c r="B3640"/>
    </row>
    <row r="3641" spans="1:2" x14ac:dyDescent="0.25">
      <c r="A3641"/>
      <c r="B3641"/>
    </row>
    <row r="3642" spans="1:2" x14ac:dyDescent="0.25">
      <c r="A3642"/>
      <c r="B3642"/>
    </row>
    <row r="3643" spans="1:2" x14ac:dyDescent="0.25">
      <c r="A3643"/>
      <c r="B3643"/>
    </row>
    <row r="3644" spans="1:2" x14ac:dyDescent="0.25">
      <c r="A3644"/>
      <c r="B3644"/>
    </row>
    <row r="3645" spans="1:2" x14ac:dyDescent="0.25">
      <c r="A3645"/>
      <c r="B3645"/>
    </row>
    <row r="3646" spans="1:2" x14ac:dyDescent="0.25">
      <c r="A3646"/>
      <c r="B3646"/>
    </row>
    <row r="3647" spans="1:2" x14ac:dyDescent="0.25">
      <c r="A3647"/>
      <c r="B3647"/>
    </row>
    <row r="3648" spans="1:2" x14ac:dyDescent="0.25">
      <c r="A3648"/>
      <c r="B3648"/>
    </row>
    <row r="3649" spans="1:2" x14ac:dyDescent="0.25">
      <c r="A3649"/>
      <c r="B3649"/>
    </row>
    <row r="3650" spans="1:2" x14ac:dyDescent="0.25">
      <c r="A3650"/>
      <c r="B3650"/>
    </row>
    <row r="3651" spans="1:2" x14ac:dyDescent="0.25">
      <c r="A3651"/>
      <c r="B3651"/>
    </row>
    <row r="3652" spans="1:2" x14ac:dyDescent="0.25">
      <c r="A3652"/>
      <c r="B3652"/>
    </row>
    <row r="3653" spans="1:2" x14ac:dyDescent="0.25">
      <c r="A3653"/>
      <c r="B3653"/>
    </row>
    <row r="3654" spans="1:2" x14ac:dyDescent="0.25">
      <c r="A3654"/>
      <c r="B3654"/>
    </row>
    <row r="3655" spans="1:2" x14ac:dyDescent="0.25">
      <c r="A3655"/>
      <c r="B3655"/>
    </row>
    <row r="3656" spans="1:2" x14ac:dyDescent="0.25">
      <c r="A3656"/>
      <c r="B3656"/>
    </row>
    <row r="3657" spans="1:2" x14ac:dyDescent="0.25">
      <c r="A3657"/>
      <c r="B3657"/>
    </row>
    <row r="3658" spans="1:2" x14ac:dyDescent="0.25">
      <c r="A3658"/>
      <c r="B3658"/>
    </row>
    <row r="3659" spans="1:2" x14ac:dyDescent="0.25">
      <c r="A3659"/>
      <c r="B3659"/>
    </row>
    <row r="3660" spans="1:2" x14ac:dyDescent="0.25">
      <c r="A3660"/>
      <c r="B3660"/>
    </row>
    <row r="3661" spans="1:2" x14ac:dyDescent="0.25">
      <c r="A3661"/>
      <c r="B3661"/>
    </row>
    <row r="3662" spans="1:2" x14ac:dyDescent="0.25">
      <c r="A3662"/>
      <c r="B3662"/>
    </row>
    <row r="3663" spans="1:2" x14ac:dyDescent="0.25">
      <c r="A3663"/>
      <c r="B3663"/>
    </row>
    <row r="3664" spans="1:2" x14ac:dyDescent="0.25">
      <c r="A3664"/>
      <c r="B3664"/>
    </row>
    <row r="3665" spans="1:2" x14ac:dyDescent="0.25">
      <c r="A3665"/>
      <c r="B3665"/>
    </row>
    <row r="3666" spans="1:2" x14ac:dyDescent="0.25">
      <c r="A3666"/>
      <c r="B3666"/>
    </row>
    <row r="3667" spans="1:2" x14ac:dyDescent="0.25">
      <c r="A3667"/>
      <c r="B3667"/>
    </row>
    <row r="3668" spans="1:2" x14ac:dyDescent="0.25">
      <c r="A3668"/>
      <c r="B3668"/>
    </row>
    <row r="3669" spans="1:2" x14ac:dyDescent="0.25">
      <c r="A3669"/>
      <c r="B3669"/>
    </row>
    <row r="3670" spans="1:2" x14ac:dyDescent="0.25">
      <c r="A3670"/>
      <c r="B3670"/>
    </row>
    <row r="3671" spans="1:2" x14ac:dyDescent="0.25">
      <c r="A3671"/>
      <c r="B3671"/>
    </row>
    <row r="3672" spans="1:2" x14ac:dyDescent="0.25">
      <c r="A3672"/>
      <c r="B3672"/>
    </row>
    <row r="3673" spans="1:2" x14ac:dyDescent="0.25">
      <c r="A3673"/>
      <c r="B3673"/>
    </row>
    <row r="3674" spans="1:2" x14ac:dyDescent="0.25">
      <c r="A3674"/>
      <c r="B3674"/>
    </row>
    <row r="3675" spans="1:2" x14ac:dyDescent="0.25">
      <c r="A3675"/>
      <c r="B3675"/>
    </row>
    <row r="3676" spans="1:2" x14ac:dyDescent="0.25">
      <c r="A3676"/>
      <c r="B3676"/>
    </row>
    <row r="3677" spans="1:2" x14ac:dyDescent="0.25">
      <c r="A3677"/>
      <c r="B3677"/>
    </row>
    <row r="3678" spans="1:2" x14ac:dyDescent="0.25">
      <c r="A3678"/>
      <c r="B3678"/>
    </row>
    <row r="3679" spans="1:2" x14ac:dyDescent="0.25">
      <c r="A3679"/>
      <c r="B3679"/>
    </row>
    <row r="3680" spans="1:2" x14ac:dyDescent="0.25">
      <c r="A3680"/>
      <c r="B3680"/>
    </row>
    <row r="3681" spans="1:2" x14ac:dyDescent="0.25">
      <c r="A3681"/>
      <c r="B3681"/>
    </row>
    <row r="3682" spans="1:2" x14ac:dyDescent="0.25">
      <c r="A3682"/>
      <c r="B3682"/>
    </row>
    <row r="3683" spans="1:2" x14ac:dyDescent="0.25">
      <c r="A3683"/>
      <c r="B3683"/>
    </row>
    <row r="3684" spans="1:2" x14ac:dyDescent="0.25">
      <c r="A3684"/>
      <c r="B3684"/>
    </row>
    <row r="3685" spans="1:2" x14ac:dyDescent="0.25">
      <c r="A3685"/>
      <c r="B3685"/>
    </row>
    <row r="3686" spans="1:2" x14ac:dyDescent="0.25">
      <c r="A3686"/>
      <c r="B3686"/>
    </row>
    <row r="3687" spans="1:2" x14ac:dyDescent="0.25">
      <c r="A3687"/>
      <c r="B3687"/>
    </row>
    <row r="3688" spans="1:2" x14ac:dyDescent="0.25">
      <c r="A3688"/>
      <c r="B3688"/>
    </row>
    <row r="3689" spans="1:2" x14ac:dyDescent="0.25">
      <c r="A3689"/>
      <c r="B3689"/>
    </row>
    <row r="3690" spans="1:2" x14ac:dyDescent="0.25">
      <c r="A3690"/>
      <c r="B3690"/>
    </row>
    <row r="3691" spans="1:2" x14ac:dyDescent="0.25">
      <c r="A3691"/>
      <c r="B3691"/>
    </row>
    <row r="3692" spans="1:2" x14ac:dyDescent="0.25">
      <c r="A3692"/>
      <c r="B3692"/>
    </row>
    <row r="3693" spans="1:2" x14ac:dyDescent="0.25">
      <c r="A3693"/>
      <c r="B3693"/>
    </row>
    <row r="3694" spans="1:2" x14ac:dyDescent="0.25">
      <c r="A3694"/>
      <c r="B3694"/>
    </row>
    <row r="3695" spans="1:2" x14ac:dyDescent="0.25">
      <c r="A3695"/>
      <c r="B3695"/>
    </row>
    <row r="3696" spans="1:2" x14ac:dyDescent="0.25">
      <c r="A3696"/>
      <c r="B3696"/>
    </row>
    <row r="3697" spans="1:2" x14ac:dyDescent="0.25">
      <c r="A3697"/>
      <c r="B3697"/>
    </row>
    <row r="3698" spans="1:2" x14ac:dyDescent="0.25">
      <c r="A3698"/>
      <c r="B3698"/>
    </row>
    <row r="3699" spans="1:2" x14ac:dyDescent="0.25">
      <c r="A3699"/>
      <c r="B3699"/>
    </row>
    <row r="3700" spans="1:2" x14ac:dyDescent="0.25">
      <c r="A3700"/>
      <c r="B3700"/>
    </row>
    <row r="3701" spans="1:2" x14ac:dyDescent="0.25">
      <c r="A3701"/>
      <c r="B3701"/>
    </row>
    <row r="3702" spans="1:2" x14ac:dyDescent="0.25">
      <c r="A3702"/>
      <c r="B3702"/>
    </row>
    <row r="3703" spans="1:2" x14ac:dyDescent="0.25">
      <c r="A3703"/>
      <c r="B3703"/>
    </row>
    <row r="3704" spans="1:2" x14ac:dyDescent="0.25">
      <c r="A3704"/>
      <c r="B3704"/>
    </row>
    <row r="3705" spans="1:2" x14ac:dyDescent="0.25">
      <c r="A3705"/>
      <c r="B3705"/>
    </row>
    <row r="3706" spans="1:2" x14ac:dyDescent="0.25">
      <c r="A3706"/>
      <c r="B3706"/>
    </row>
    <row r="3707" spans="1:2" x14ac:dyDescent="0.25">
      <c r="A3707"/>
      <c r="B3707"/>
    </row>
    <row r="3708" spans="1:2" x14ac:dyDescent="0.25">
      <c r="A3708"/>
      <c r="B3708"/>
    </row>
    <row r="3709" spans="1:2" x14ac:dyDescent="0.25">
      <c r="A3709"/>
      <c r="B3709"/>
    </row>
    <row r="3710" spans="1:2" x14ac:dyDescent="0.25">
      <c r="A3710"/>
      <c r="B3710"/>
    </row>
    <row r="3711" spans="1:2" x14ac:dyDescent="0.25">
      <c r="A3711"/>
      <c r="B3711"/>
    </row>
    <row r="3712" spans="1:2" x14ac:dyDescent="0.25">
      <c r="A3712"/>
      <c r="B3712"/>
    </row>
    <row r="3713" spans="1:2" x14ac:dyDescent="0.25">
      <c r="A3713"/>
      <c r="B3713"/>
    </row>
    <row r="3714" spans="1:2" x14ac:dyDescent="0.25">
      <c r="A3714"/>
      <c r="B3714"/>
    </row>
    <row r="3715" spans="1:2" x14ac:dyDescent="0.25">
      <c r="A3715"/>
      <c r="B3715"/>
    </row>
    <row r="3716" spans="1:2" x14ac:dyDescent="0.25">
      <c r="A3716"/>
      <c r="B3716"/>
    </row>
    <row r="3717" spans="1:2" x14ac:dyDescent="0.25">
      <c r="A3717"/>
      <c r="B3717"/>
    </row>
    <row r="3718" spans="1:2" x14ac:dyDescent="0.25">
      <c r="A3718"/>
      <c r="B3718"/>
    </row>
    <row r="3719" spans="1:2" x14ac:dyDescent="0.25">
      <c r="A3719"/>
      <c r="B3719"/>
    </row>
    <row r="3720" spans="1:2" x14ac:dyDescent="0.25">
      <c r="A3720"/>
      <c r="B3720"/>
    </row>
    <row r="3721" spans="1:2" x14ac:dyDescent="0.25">
      <c r="A3721"/>
      <c r="B3721"/>
    </row>
    <row r="3722" spans="1:2" x14ac:dyDescent="0.25">
      <c r="A3722"/>
      <c r="B3722"/>
    </row>
    <row r="3723" spans="1:2" x14ac:dyDescent="0.25">
      <c r="A3723"/>
      <c r="B3723"/>
    </row>
    <row r="3724" spans="1:2" x14ac:dyDescent="0.25">
      <c r="A3724"/>
      <c r="B3724"/>
    </row>
    <row r="3725" spans="1:2" x14ac:dyDescent="0.25">
      <c r="A3725"/>
      <c r="B3725"/>
    </row>
    <row r="3726" spans="1:2" x14ac:dyDescent="0.25">
      <c r="A3726"/>
      <c r="B3726"/>
    </row>
    <row r="3727" spans="1:2" x14ac:dyDescent="0.25">
      <c r="A3727"/>
      <c r="B3727"/>
    </row>
    <row r="3728" spans="1:2" x14ac:dyDescent="0.25">
      <c r="A3728"/>
      <c r="B3728"/>
    </row>
    <row r="3729" spans="1:2" x14ac:dyDescent="0.25">
      <c r="A3729"/>
      <c r="B3729"/>
    </row>
    <row r="3730" spans="1:2" x14ac:dyDescent="0.25">
      <c r="A3730"/>
      <c r="B3730"/>
    </row>
    <row r="3731" spans="1:2" x14ac:dyDescent="0.25">
      <c r="A3731"/>
      <c r="B3731"/>
    </row>
    <row r="3732" spans="1:2" x14ac:dyDescent="0.25">
      <c r="A3732"/>
      <c r="B3732"/>
    </row>
    <row r="3733" spans="1:2" x14ac:dyDescent="0.25">
      <c r="A3733"/>
      <c r="B3733"/>
    </row>
    <row r="3734" spans="1:2" x14ac:dyDescent="0.25">
      <c r="A3734"/>
      <c r="B3734"/>
    </row>
    <row r="3735" spans="1:2" x14ac:dyDescent="0.25">
      <c r="A3735"/>
      <c r="B3735"/>
    </row>
    <row r="3736" spans="1:2" x14ac:dyDescent="0.25">
      <c r="A3736"/>
      <c r="B3736"/>
    </row>
    <row r="3737" spans="1:2" x14ac:dyDescent="0.25">
      <c r="A3737"/>
      <c r="B3737"/>
    </row>
    <row r="3738" spans="1:2" x14ac:dyDescent="0.25">
      <c r="A3738"/>
      <c r="B3738"/>
    </row>
    <row r="3739" spans="1:2" x14ac:dyDescent="0.25">
      <c r="A3739"/>
      <c r="B3739"/>
    </row>
    <row r="3740" spans="1:2" x14ac:dyDescent="0.25">
      <c r="A3740"/>
      <c r="B3740"/>
    </row>
    <row r="3741" spans="1:2" x14ac:dyDescent="0.25">
      <c r="A3741"/>
      <c r="B3741"/>
    </row>
    <row r="3742" spans="1:2" x14ac:dyDescent="0.25">
      <c r="A3742"/>
      <c r="B3742"/>
    </row>
    <row r="3743" spans="1:2" x14ac:dyDescent="0.25">
      <c r="A3743"/>
      <c r="B3743"/>
    </row>
    <row r="3744" spans="1:2" x14ac:dyDescent="0.25">
      <c r="A3744"/>
      <c r="B3744"/>
    </row>
    <row r="3745" spans="1:2" x14ac:dyDescent="0.25">
      <c r="A3745"/>
      <c r="B3745"/>
    </row>
    <row r="3746" spans="1:2" x14ac:dyDescent="0.25">
      <c r="A3746"/>
      <c r="B3746"/>
    </row>
    <row r="3747" spans="1:2" x14ac:dyDescent="0.25">
      <c r="A3747"/>
      <c r="B3747"/>
    </row>
    <row r="3748" spans="1:2" x14ac:dyDescent="0.25">
      <c r="A3748"/>
      <c r="B3748"/>
    </row>
    <row r="3749" spans="1:2" x14ac:dyDescent="0.25">
      <c r="A3749"/>
      <c r="B3749"/>
    </row>
    <row r="3750" spans="1:2" x14ac:dyDescent="0.25">
      <c r="A3750"/>
      <c r="B3750"/>
    </row>
    <row r="3751" spans="1:2" x14ac:dyDescent="0.25">
      <c r="A3751"/>
      <c r="B3751"/>
    </row>
    <row r="3752" spans="1:2" x14ac:dyDescent="0.25">
      <c r="A3752"/>
      <c r="B3752"/>
    </row>
    <row r="3753" spans="1:2" x14ac:dyDescent="0.25">
      <c r="A3753"/>
      <c r="B3753"/>
    </row>
    <row r="3754" spans="1:2" x14ac:dyDescent="0.25">
      <c r="A3754"/>
      <c r="B3754"/>
    </row>
    <row r="3755" spans="1:2" x14ac:dyDescent="0.25">
      <c r="A3755"/>
      <c r="B3755"/>
    </row>
    <row r="3756" spans="1:2" x14ac:dyDescent="0.25">
      <c r="A3756"/>
      <c r="B3756"/>
    </row>
    <row r="3757" spans="1:2" x14ac:dyDescent="0.25">
      <c r="A3757"/>
      <c r="B3757"/>
    </row>
    <row r="3758" spans="1:2" x14ac:dyDescent="0.25">
      <c r="A3758"/>
      <c r="B3758"/>
    </row>
    <row r="3759" spans="1:2" x14ac:dyDescent="0.25">
      <c r="A3759"/>
      <c r="B3759"/>
    </row>
    <row r="3760" spans="1:2" x14ac:dyDescent="0.25">
      <c r="A3760"/>
      <c r="B3760"/>
    </row>
    <row r="3761" spans="1:2" x14ac:dyDescent="0.25">
      <c r="A3761"/>
      <c r="B3761"/>
    </row>
    <row r="3762" spans="1:2" x14ac:dyDescent="0.25">
      <c r="A3762"/>
      <c r="B3762"/>
    </row>
    <row r="3763" spans="1:2" x14ac:dyDescent="0.25">
      <c r="A3763"/>
      <c r="B3763"/>
    </row>
    <row r="3764" spans="1:2" x14ac:dyDescent="0.25">
      <c r="A3764"/>
      <c r="B3764"/>
    </row>
    <row r="3765" spans="1:2" x14ac:dyDescent="0.25">
      <c r="A3765"/>
      <c r="B3765"/>
    </row>
    <row r="3766" spans="1:2" x14ac:dyDescent="0.25">
      <c r="A3766"/>
      <c r="B3766"/>
    </row>
    <row r="3767" spans="1:2" x14ac:dyDescent="0.25">
      <c r="A3767"/>
      <c r="B3767"/>
    </row>
    <row r="3768" spans="1:2" x14ac:dyDescent="0.25">
      <c r="A3768"/>
      <c r="B3768"/>
    </row>
    <row r="3769" spans="1:2" x14ac:dyDescent="0.25">
      <c r="A3769"/>
      <c r="B3769"/>
    </row>
    <row r="3770" spans="1:2" x14ac:dyDescent="0.25">
      <c r="A3770"/>
      <c r="B3770"/>
    </row>
    <row r="3771" spans="1:2" x14ac:dyDescent="0.25">
      <c r="A3771"/>
      <c r="B3771"/>
    </row>
    <row r="3772" spans="1:2" x14ac:dyDescent="0.25">
      <c r="A3772"/>
      <c r="B3772"/>
    </row>
    <row r="3773" spans="1:2" x14ac:dyDescent="0.25">
      <c r="A3773"/>
      <c r="B3773"/>
    </row>
    <row r="3774" spans="1:2" x14ac:dyDescent="0.25">
      <c r="A3774"/>
      <c r="B3774"/>
    </row>
    <row r="3775" spans="1:2" x14ac:dyDescent="0.25">
      <c r="A3775"/>
      <c r="B3775"/>
    </row>
    <row r="3776" spans="1:2" x14ac:dyDescent="0.25">
      <c r="A3776"/>
      <c r="B3776"/>
    </row>
    <row r="3777" spans="1:2" x14ac:dyDescent="0.25">
      <c r="A3777"/>
      <c r="B3777"/>
    </row>
    <row r="3778" spans="1:2" x14ac:dyDescent="0.25">
      <c r="A3778"/>
      <c r="B3778"/>
    </row>
    <row r="3779" spans="1:2" x14ac:dyDescent="0.25">
      <c r="A3779"/>
      <c r="B3779"/>
    </row>
    <row r="3780" spans="1:2" x14ac:dyDescent="0.25">
      <c r="A3780"/>
      <c r="B3780"/>
    </row>
    <row r="3781" spans="1:2" x14ac:dyDescent="0.25">
      <c r="A3781"/>
      <c r="B3781"/>
    </row>
    <row r="3782" spans="1:2" x14ac:dyDescent="0.25">
      <c r="A3782"/>
      <c r="B3782"/>
    </row>
    <row r="3783" spans="1:2" x14ac:dyDescent="0.25">
      <c r="A3783"/>
      <c r="B3783"/>
    </row>
    <row r="3784" spans="1:2" x14ac:dyDescent="0.25">
      <c r="A3784"/>
      <c r="B3784"/>
    </row>
    <row r="3785" spans="1:2" x14ac:dyDescent="0.25">
      <c r="A3785"/>
      <c r="B3785"/>
    </row>
    <row r="3786" spans="1:2" x14ac:dyDescent="0.25">
      <c r="A3786"/>
      <c r="B3786"/>
    </row>
    <row r="3787" spans="1:2" x14ac:dyDescent="0.25">
      <c r="A3787"/>
      <c r="B3787"/>
    </row>
    <row r="3788" spans="1:2" x14ac:dyDescent="0.25">
      <c r="A3788"/>
      <c r="B3788"/>
    </row>
    <row r="3789" spans="1:2" x14ac:dyDescent="0.25">
      <c r="A3789"/>
      <c r="B3789"/>
    </row>
    <row r="3790" spans="1:2" x14ac:dyDescent="0.25">
      <c r="A3790"/>
      <c r="B3790"/>
    </row>
    <row r="3791" spans="1:2" x14ac:dyDescent="0.25">
      <c r="A3791"/>
      <c r="B3791"/>
    </row>
    <row r="3792" spans="1:2" x14ac:dyDescent="0.25">
      <c r="A3792"/>
      <c r="B3792"/>
    </row>
    <row r="3793" spans="1:2" x14ac:dyDescent="0.25">
      <c r="A3793"/>
      <c r="B3793"/>
    </row>
    <row r="3794" spans="1:2" x14ac:dyDescent="0.25">
      <c r="A3794"/>
      <c r="B3794"/>
    </row>
    <row r="3795" spans="1:2" x14ac:dyDescent="0.25">
      <c r="A3795"/>
      <c r="B3795"/>
    </row>
    <row r="3796" spans="1:2" x14ac:dyDescent="0.25">
      <c r="A3796"/>
      <c r="B3796"/>
    </row>
    <row r="3797" spans="1:2" x14ac:dyDescent="0.25">
      <c r="A3797"/>
      <c r="B3797"/>
    </row>
    <row r="3798" spans="1:2" x14ac:dyDescent="0.25">
      <c r="A3798"/>
      <c r="B3798"/>
    </row>
    <row r="3799" spans="1:2" x14ac:dyDescent="0.25">
      <c r="A3799"/>
      <c r="B3799"/>
    </row>
    <row r="3800" spans="1:2" x14ac:dyDescent="0.25">
      <c r="A3800"/>
      <c r="B3800"/>
    </row>
    <row r="3801" spans="1:2" x14ac:dyDescent="0.25">
      <c r="A3801"/>
      <c r="B3801"/>
    </row>
    <row r="3802" spans="1:2" x14ac:dyDescent="0.25">
      <c r="A3802"/>
      <c r="B3802"/>
    </row>
    <row r="3803" spans="1:2" x14ac:dyDescent="0.25">
      <c r="A3803"/>
      <c r="B3803"/>
    </row>
    <row r="3804" spans="1:2" x14ac:dyDescent="0.25">
      <c r="A3804"/>
      <c r="B3804"/>
    </row>
    <row r="3805" spans="1:2" x14ac:dyDescent="0.25">
      <c r="A3805"/>
      <c r="B3805"/>
    </row>
    <row r="3806" spans="1:2" x14ac:dyDescent="0.25">
      <c r="A3806"/>
      <c r="B3806"/>
    </row>
    <row r="3807" spans="1:2" x14ac:dyDescent="0.25">
      <c r="A3807"/>
      <c r="B3807"/>
    </row>
    <row r="3808" spans="1:2" x14ac:dyDescent="0.25">
      <c r="A3808"/>
      <c r="B3808"/>
    </row>
    <row r="3809" spans="1:2" x14ac:dyDescent="0.25">
      <c r="A3809"/>
      <c r="B3809"/>
    </row>
    <row r="3810" spans="1:2" x14ac:dyDescent="0.25">
      <c r="A3810"/>
      <c r="B3810"/>
    </row>
    <row r="3811" spans="1:2" x14ac:dyDescent="0.25">
      <c r="A3811"/>
      <c r="B3811"/>
    </row>
    <row r="3812" spans="1:2" x14ac:dyDescent="0.25">
      <c r="A3812"/>
      <c r="B3812"/>
    </row>
    <row r="3813" spans="1:2" x14ac:dyDescent="0.25">
      <c r="A3813"/>
      <c r="B3813"/>
    </row>
    <row r="3814" spans="1:2" x14ac:dyDescent="0.25">
      <c r="A3814"/>
      <c r="B3814"/>
    </row>
    <row r="3815" spans="1:2" x14ac:dyDescent="0.25">
      <c r="A3815"/>
      <c r="B3815"/>
    </row>
    <row r="3816" spans="1:2" x14ac:dyDescent="0.25">
      <c r="A3816"/>
      <c r="B3816"/>
    </row>
    <row r="3817" spans="1:2" x14ac:dyDescent="0.25">
      <c r="A3817"/>
      <c r="B3817"/>
    </row>
    <row r="3818" spans="1:2" x14ac:dyDescent="0.25">
      <c r="A3818"/>
      <c r="B3818"/>
    </row>
    <row r="3819" spans="1:2" x14ac:dyDescent="0.25">
      <c r="A3819"/>
      <c r="B3819"/>
    </row>
    <row r="3820" spans="1:2" x14ac:dyDescent="0.25">
      <c r="A3820"/>
      <c r="B3820"/>
    </row>
    <row r="3821" spans="1:2" x14ac:dyDescent="0.25">
      <c r="A3821"/>
      <c r="B3821"/>
    </row>
    <row r="3822" spans="1:2" x14ac:dyDescent="0.25">
      <c r="A3822"/>
      <c r="B3822"/>
    </row>
    <row r="3823" spans="1:2" x14ac:dyDescent="0.25">
      <c r="A3823"/>
      <c r="B3823"/>
    </row>
    <row r="3824" spans="1:2" x14ac:dyDescent="0.25">
      <c r="A3824"/>
      <c r="B3824"/>
    </row>
    <row r="3825" spans="1:2" x14ac:dyDescent="0.25">
      <c r="A3825"/>
      <c r="B3825"/>
    </row>
    <row r="3826" spans="1:2" x14ac:dyDescent="0.25">
      <c r="A3826"/>
      <c r="B3826"/>
    </row>
    <row r="3827" spans="1:2" x14ac:dyDescent="0.25">
      <c r="A3827"/>
      <c r="B3827"/>
    </row>
    <row r="3828" spans="1:2" x14ac:dyDescent="0.25">
      <c r="A3828"/>
      <c r="B3828"/>
    </row>
    <row r="3829" spans="1:2" x14ac:dyDescent="0.25">
      <c r="A3829"/>
      <c r="B3829"/>
    </row>
    <row r="3830" spans="1:2" x14ac:dyDescent="0.25">
      <c r="A3830"/>
      <c r="B3830"/>
    </row>
    <row r="3831" spans="1:2" x14ac:dyDescent="0.25">
      <c r="A3831"/>
      <c r="B3831"/>
    </row>
    <row r="3832" spans="1:2" x14ac:dyDescent="0.25">
      <c r="A3832"/>
      <c r="B3832"/>
    </row>
    <row r="3833" spans="1:2" x14ac:dyDescent="0.25">
      <c r="A3833"/>
      <c r="B3833"/>
    </row>
    <row r="3834" spans="1:2" x14ac:dyDescent="0.25">
      <c r="A3834"/>
      <c r="B3834"/>
    </row>
    <row r="3835" spans="1:2" x14ac:dyDescent="0.25">
      <c r="A3835"/>
      <c r="B3835"/>
    </row>
    <row r="3836" spans="1:2" x14ac:dyDescent="0.25">
      <c r="A3836"/>
      <c r="B3836"/>
    </row>
    <row r="3837" spans="1:2" x14ac:dyDescent="0.25">
      <c r="A3837"/>
      <c r="B3837"/>
    </row>
    <row r="3838" spans="1:2" x14ac:dyDescent="0.25">
      <c r="A3838"/>
      <c r="B3838"/>
    </row>
    <row r="3839" spans="1:2" x14ac:dyDescent="0.25">
      <c r="A3839"/>
      <c r="B3839"/>
    </row>
    <row r="3840" spans="1:2" x14ac:dyDescent="0.25">
      <c r="A3840"/>
      <c r="B3840"/>
    </row>
    <row r="3841" spans="1:2" x14ac:dyDescent="0.25">
      <c r="A3841"/>
      <c r="B3841"/>
    </row>
    <row r="3842" spans="1:2" x14ac:dyDescent="0.25">
      <c r="A3842"/>
      <c r="B3842"/>
    </row>
    <row r="3843" spans="1:2" x14ac:dyDescent="0.25">
      <c r="A3843"/>
      <c r="B3843"/>
    </row>
    <row r="3844" spans="1:2" x14ac:dyDescent="0.25">
      <c r="A3844"/>
      <c r="B3844"/>
    </row>
    <row r="3845" spans="1:2" x14ac:dyDescent="0.25">
      <c r="A3845"/>
      <c r="B3845"/>
    </row>
    <row r="3846" spans="1:2" x14ac:dyDescent="0.25">
      <c r="A3846"/>
      <c r="B3846"/>
    </row>
    <row r="3847" spans="1:2" x14ac:dyDescent="0.25">
      <c r="A3847"/>
      <c r="B3847"/>
    </row>
    <row r="3848" spans="1:2" x14ac:dyDescent="0.25">
      <c r="A3848"/>
      <c r="B3848"/>
    </row>
    <row r="3849" spans="1:2" x14ac:dyDescent="0.25">
      <c r="A3849"/>
      <c r="B3849"/>
    </row>
    <row r="3850" spans="1:2" x14ac:dyDescent="0.25">
      <c r="A3850"/>
      <c r="B3850"/>
    </row>
    <row r="3851" spans="1:2" x14ac:dyDescent="0.25">
      <c r="A3851"/>
      <c r="B3851"/>
    </row>
    <row r="3852" spans="1:2" x14ac:dyDescent="0.25">
      <c r="A3852"/>
      <c r="B3852"/>
    </row>
    <row r="3853" spans="1:2" x14ac:dyDescent="0.25">
      <c r="A3853"/>
      <c r="B3853"/>
    </row>
    <row r="3854" spans="1:2" x14ac:dyDescent="0.25">
      <c r="A3854"/>
      <c r="B3854"/>
    </row>
    <row r="3855" spans="1:2" x14ac:dyDescent="0.25">
      <c r="A3855"/>
      <c r="B3855"/>
    </row>
    <row r="3856" spans="1:2" x14ac:dyDescent="0.25">
      <c r="A3856"/>
      <c r="B3856"/>
    </row>
    <row r="3857" spans="1:2" x14ac:dyDescent="0.25">
      <c r="A3857"/>
      <c r="B3857"/>
    </row>
    <row r="3858" spans="1:2" x14ac:dyDescent="0.25">
      <c r="A3858"/>
      <c r="B3858"/>
    </row>
    <row r="3859" spans="1:2" x14ac:dyDescent="0.25">
      <c r="A3859"/>
      <c r="B3859"/>
    </row>
    <row r="3860" spans="1:2" x14ac:dyDescent="0.25">
      <c r="A3860"/>
      <c r="B3860"/>
    </row>
    <row r="3861" spans="1:2" x14ac:dyDescent="0.25">
      <c r="A3861"/>
      <c r="B3861"/>
    </row>
    <row r="3862" spans="1:2" x14ac:dyDescent="0.25">
      <c r="A3862"/>
      <c r="B3862"/>
    </row>
    <row r="3863" spans="1:2" x14ac:dyDescent="0.25">
      <c r="A3863"/>
      <c r="B3863"/>
    </row>
    <row r="3864" spans="1:2" x14ac:dyDescent="0.25">
      <c r="A3864"/>
      <c r="B3864"/>
    </row>
    <row r="3865" spans="1:2" x14ac:dyDescent="0.25">
      <c r="A3865"/>
      <c r="B3865"/>
    </row>
    <row r="3866" spans="1:2" x14ac:dyDescent="0.25">
      <c r="A3866"/>
      <c r="B3866"/>
    </row>
    <row r="3867" spans="1:2" x14ac:dyDescent="0.25">
      <c r="A3867"/>
      <c r="B3867"/>
    </row>
    <row r="3868" spans="1:2" x14ac:dyDescent="0.25">
      <c r="A3868"/>
      <c r="B3868"/>
    </row>
    <row r="3869" spans="1:2" x14ac:dyDescent="0.25">
      <c r="A3869"/>
      <c r="B3869"/>
    </row>
    <row r="3870" spans="1:2" x14ac:dyDescent="0.25">
      <c r="A3870"/>
      <c r="B3870"/>
    </row>
    <row r="3871" spans="1:2" x14ac:dyDescent="0.25">
      <c r="A3871"/>
      <c r="B3871"/>
    </row>
    <row r="3872" spans="1:2" x14ac:dyDescent="0.25">
      <c r="A3872"/>
      <c r="B3872"/>
    </row>
    <row r="3873" spans="1:2" x14ac:dyDescent="0.25">
      <c r="A3873"/>
      <c r="B3873"/>
    </row>
    <row r="3874" spans="1:2" x14ac:dyDescent="0.25">
      <c r="A3874"/>
      <c r="B3874"/>
    </row>
    <row r="3875" spans="1:2" x14ac:dyDescent="0.25">
      <c r="A3875"/>
      <c r="B3875"/>
    </row>
    <row r="3876" spans="1:2" x14ac:dyDescent="0.25">
      <c r="A3876"/>
      <c r="B3876"/>
    </row>
    <row r="3877" spans="1:2" x14ac:dyDescent="0.25">
      <c r="A3877"/>
      <c r="B3877"/>
    </row>
    <row r="3878" spans="1:2" x14ac:dyDescent="0.25">
      <c r="A3878"/>
      <c r="B3878"/>
    </row>
    <row r="3879" spans="1:2" x14ac:dyDescent="0.25">
      <c r="A3879"/>
      <c r="B3879"/>
    </row>
    <row r="3880" spans="1:2" x14ac:dyDescent="0.25">
      <c r="A3880"/>
      <c r="B3880"/>
    </row>
    <row r="3881" spans="1:2" x14ac:dyDescent="0.25">
      <c r="A3881"/>
      <c r="B3881"/>
    </row>
    <row r="3882" spans="1:2" x14ac:dyDescent="0.25">
      <c r="A3882"/>
      <c r="B3882"/>
    </row>
    <row r="3883" spans="1:2" x14ac:dyDescent="0.25">
      <c r="A3883"/>
      <c r="B3883"/>
    </row>
    <row r="3884" spans="1:2" x14ac:dyDescent="0.25">
      <c r="A3884"/>
      <c r="B3884"/>
    </row>
    <row r="3885" spans="1:2" x14ac:dyDescent="0.25">
      <c r="A3885"/>
      <c r="B3885"/>
    </row>
    <row r="3886" spans="1:2" x14ac:dyDescent="0.25">
      <c r="A3886"/>
      <c r="B3886"/>
    </row>
    <row r="3887" spans="1:2" x14ac:dyDescent="0.25">
      <c r="A3887"/>
      <c r="B3887"/>
    </row>
    <row r="3888" spans="1:2" x14ac:dyDescent="0.25">
      <c r="A3888"/>
      <c r="B3888"/>
    </row>
    <row r="3889" spans="1:2" x14ac:dyDescent="0.25">
      <c r="A3889"/>
      <c r="B3889"/>
    </row>
    <row r="3890" spans="1:2" x14ac:dyDescent="0.25">
      <c r="A3890"/>
      <c r="B3890"/>
    </row>
    <row r="3891" spans="1:2" x14ac:dyDescent="0.25">
      <c r="A3891"/>
      <c r="B3891"/>
    </row>
    <row r="3892" spans="1:2" x14ac:dyDescent="0.25">
      <c r="A3892"/>
      <c r="B3892"/>
    </row>
    <row r="3893" spans="1:2" x14ac:dyDescent="0.25">
      <c r="A3893"/>
      <c r="B3893"/>
    </row>
    <row r="3894" spans="1:2" x14ac:dyDescent="0.25">
      <c r="A3894"/>
      <c r="B3894"/>
    </row>
    <row r="3895" spans="1:2" x14ac:dyDescent="0.25">
      <c r="A3895"/>
      <c r="B3895"/>
    </row>
    <row r="3896" spans="1:2" x14ac:dyDescent="0.25">
      <c r="A3896"/>
      <c r="B3896"/>
    </row>
    <row r="3897" spans="1:2" x14ac:dyDescent="0.25">
      <c r="A3897"/>
      <c r="B3897"/>
    </row>
    <row r="3898" spans="1:2" x14ac:dyDescent="0.25">
      <c r="A3898"/>
      <c r="B3898"/>
    </row>
    <row r="3899" spans="1:2" x14ac:dyDescent="0.25">
      <c r="A3899"/>
      <c r="B3899"/>
    </row>
    <row r="3900" spans="1:2" x14ac:dyDescent="0.25">
      <c r="A3900"/>
      <c r="B3900"/>
    </row>
    <row r="3901" spans="1:2" x14ac:dyDescent="0.25">
      <c r="A3901"/>
      <c r="B3901"/>
    </row>
    <row r="3902" spans="1:2" x14ac:dyDescent="0.25">
      <c r="A3902"/>
      <c r="B3902"/>
    </row>
    <row r="3903" spans="1:2" x14ac:dyDescent="0.25">
      <c r="A3903"/>
      <c r="B3903"/>
    </row>
    <row r="3904" spans="1:2" x14ac:dyDescent="0.25">
      <c r="A3904"/>
      <c r="B3904"/>
    </row>
    <row r="3905" spans="1:2" x14ac:dyDescent="0.25">
      <c r="A3905"/>
      <c r="B3905"/>
    </row>
    <row r="3906" spans="1:2" x14ac:dyDescent="0.25">
      <c r="A3906"/>
      <c r="B3906"/>
    </row>
    <row r="3907" spans="1:2" x14ac:dyDescent="0.25">
      <c r="A3907"/>
      <c r="B3907"/>
    </row>
    <row r="3908" spans="1:2" x14ac:dyDescent="0.25">
      <c r="A3908"/>
      <c r="B3908"/>
    </row>
    <row r="3909" spans="1:2" x14ac:dyDescent="0.25">
      <c r="A3909"/>
      <c r="B3909"/>
    </row>
    <row r="3910" spans="1:2" x14ac:dyDescent="0.25">
      <c r="A3910"/>
      <c r="B3910"/>
    </row>
    <row r="3911" spans="1:2" x14ac:dyDescent="0.25">
      <c r="A3911"/>
      <c r="B3911"/>
    </row>
    <row r="3912" spans="1:2" x14ac:dyDescent="0.25">
      <c r="A3912"/>
      <c r="B3912"/>
    </row>
    <row r="3913" spans="1:2" x14ac:dyDescent="0.25">
      <c r="A3913"/>
      <c r="B3913"/>
    </row>
    <row r="3914" spans="1:2" x14ac:dyDescent="0.25">
      <c r="A3914"/>
      <c r="B3914"/>
    </row>
    <row r="3915" spans="1:2" x14ac:dyDescent="0.25">
      <c r="A3915"/>
      <c r="B3915"/>
    </row>
    <row r="3916" spans="1:2" x14ac:dyDescent="0.25">
      <c r="A3916"/>
      <c r="B3916"/>
    </row>
    <row r="3917" spans="1:2" x14ac:dyDescent="0.25">
      <c r="A3917"/>
      <c r="B3917"/>
    </row>
    <row r="3918" spans="1:2" x14ac:dyDescent="0.25">
      <c r="A3918"/>
      <c r="B3918"/>
    </row>
    <row r="3919" spans="1:2" x14ac:dyDescent="0.25">
      <c r="A3919"/>
      <c r="B3919"/>
    </row>
    <row r="3920" spans="1:2" x14ac:dyDescent="0.25">
      <c r="A3920"/>
      <c r="B3920"/>
    </row>
    <row r="3921" spans="1:2" x14ac:dyDescent="0.25">
      <c r="A3921"/>
      <c r="B3921"/>
    </row>
    <row r="3922" spans="1:2" x14ac:dyDescent="0.25">
      <c r="A3922"/>
      <c r="B3922"/>
    </row>
    <row r="3923" spans="1:2" x14ac:dyDescent="0.25">
      <c r="A3923"/>
      <c r="B3923"/>
    </row>
    <row r="3924" spans="1:2" x14ac:dyDescent="0.25">
      <c r="A3924"/>
      <c r="B3924"/>
    </row>
    <row r="3925" spans="1:2" x14ac:dyDescent="0.25">
      <c r="A3925"/>
      <c r="B3925"/>
    </row>
    <row r="3926" spans="1:2" x14ac:dyDescent="0.25">
      <c r="A3926"/>
      <c r="B3926"/>
    </row>
    <row r="3927" spans="1:2" x14ac:dyDescent="0.25">
      <c r="A3927"/>
      <c r="B3927"/>
    </row>
    <row r="3928" spans="1:2" x14ac:dyDescent="0.25">
      <c r="A3928"/>
      <c r="B3928"/>
    </row>
    <row r="3929" spans="1:2" x14ac:dyDescent="0.25">
      <c r="A3929"/>
      <c r="B3929"/>
    </row>
    <row r="3930" spans="1:2" x14ac:dyDescent="0.25">
      <c r="A3930"/>
      <c r="B3930"/>
    </row>
    <row r="3931" spans="1:2" x14ac:dyDescent="0.25">
      <c r="A3931"/>
      <c r="B3931"/>
    </row>
    <row r="3932" spans="1:2" x14ac:dyDescent="0.25">
      <c r="A3932"/>
      <c r="B3932"/>
    </row>
    <row r="3933" spans="1:2" x14ac:dyDescent="0.25">
      <c r="A3933"/>
      <c r="B3933"/>
    </row>
    <row r="3934" spans="1:2" x14ac:dyDescent="0.25">
      <c r="A3934"/>
      <c r="B3934"/>
    </row>
    <row r="3935" spans="1:2" x14ac:dyDescent="0.25">
      <c r="A3935"/>
      <c r="B3935"/>
    </row>
    <row r="3936" spans="1:2" x14ac:dyDescent="0.25">
      <c r="A3936"/>
      <c r="B3936"/>
    </row>
    <row r="3937" spans="1:2" x14ac:dyDescent="0.25">
      <c r="A3937"/>
      <c r="B3937"/>
    </row>
    <row r="3938" spans="1:2" x14ac:dyDescent="0.25">
      <c r="A3938"/>
      <c r="B3938"/>
    </row>
    <row r="3939" spans="1:2" x14ac:dyDescent="0.25">
      <c r="A3939"/>
      <c r="B3939"/>
    </row>
    <row r="3940" spans="1:2" x14ac:dyDescent="0.25">
      <c r="A3940"/>
      <c r="B3940"/>
    </row>
    <row r="3941" spans="1:2" x14ac:dyDescent="0.25">
      <c r="A3941"/>
      <c r="B3941"/>
    </row>
    <row r="3942" spans="1:2" x14ac:dyDescent="0.25">
      <c r="A3942"/>
      <c r="B3942"/>
    </row>
    <row r="3943" spans="1:2" x14ac:dyDescent="0.25">
      <c r="A3943"/>
      <c r="B3943"/>
    </row>
    <row r="3944" spans="1:2" x14ac:dyDescent="0.25">
      <c r="A3944"/>
      <c r="B3944"/>
    </row>
    <row r="3945" spans="1:2" x14ac:dyDescent="0.25">
      <c r="A3945"/>
      <c r="B3945"/>
    </row>
    <row r="3946" spans="1:2" x14ac:dyDescent="0.25">
      <c r="A3946"/>
      <c r="B3946"/>
    </row>
    <row r="3947" spans="1:2" x14ac:dyDescent="0.25">
      <c r="A3947"/>
      <c r="B3947"/>
    </row>
    <row r="3948" spans="1:2" x14ac:dyDescent="0.25">
      <c r="A3948"/>
      <c r="B3948"/>
    </row>
    <row r="3949" spans="1:2" x14ac:dyDescent="0.25">
      <c r="A3949"/>
      <c r="B3949"/>
    </row>
    <row r="3950" spans="1:2" x14ac:dyDescent="0.25">
      <c r="A3950"/>
      <c r="B3950"/>
    </row>
    <row r="3951" spans="1:2" x14ac:dyDescent="0.25">
      <c r="A3951"/>
      <c r="B3951"/>
    </row>
    <row r="3952" spans="1:2" x14ac:dyDescent="0.25">
      <c r="A3952"/>
      <c r="B3952"/>
    </row>
    <row r="3953" spans="1:2" x14ac:dyDescent="0.25">
      <c r="A3953"/>
      <c r="B3953"/>
    </row>
    <row r="3954" spans="1:2" x14ac:dyDescent="0.25">
      <c r="A3954"/>
      <c r="B3954"/>
    </row>
    <row r="3955" spans="1:2" x14ac:dyDescent="0.25">
      <c r="A3955"/>
      <c r="B3955"/>
    </row>
    <row r="3956" spans="1:2" x14ac:dyDescent="0.25">
      <c r="A3956"/>
      <c r="B3956"/>
    </row>
    <row r="3957" spans="1:2" x14ac:dyDescent="0.25">
      <c r="A3957"/>
      <c r="B3957"/>
    </row>
    <row r="3958" spans="1:2" x14ac:dyDescent="0.25">
      <c r="A3958"/>
      <c r="B3958"/>
    </row>
    <row r="3959" spans="1:2" x14ac:dyDescent="0.25">
      <c r="A3959"/>
      <c r="B3959"/>
    </row>
    <row r="3960" spans="1:2" x14ac:dyDescent="0.25">
      <c r="A3960"/>
      <c r="B3960"/>
    </row>
    <row r="3961" spans="1:2" x14ac:dyDescent="0.25">
      <c r="A3961"/>
      <c r="B3961"/>
    </row>
    <row r="3962" spans="1:2" x14ac:dyDescent="0.25">
      <c r="A3962"/>
      <c r="B3962"/>
    </row>
    <row r="3963" spans="1:2" x14ac:dyDescent="0.25">
      <c r="A3963"/>
      <c r="B3963"/>
    </row>
    <row r="3964" spans="1:2" x14ac:dyDescent="0.25">
      <c r="A3964"/>
      <c r="B3964"/>
    </row>
    <row r="3965" spans="1:2" x14ac:dyDescent="0.25">
      <c r="A3965"/>
      <c r="B3965"/>
    </row>
    <row r="3966" spans="1:2" x14ac:dyDescent="0.25">
      <c r="A3966"/>
      <c r="B3966"/>
    </row>
    <row r="3967" spans="1:2" x14ac:dyDescent="0.25">
      <c r="A3967"/>
      <c r="B3967"/>
    </row>
    <row r="3968" spans="1:2" x14ac:dyDescent="0.25">
      <c r="A3968"/>
      <c r="B3968"/>
    </row>
    <row r="3969" spans="1:2" x14ac:dyDescent="0.25">
      <c r="A3969"/>
      <c r="B3969"/>
    </row>
    <row r="3970" spans="1:2" x14ac:dyDescent="0.25">
      <c r="A3970"/>
      <c r="B3970"/>
    </row>
    <row r="3971" spans="1:2" x14ac:dyDescent="0.25">
      <c r="A3971"/>
      <c r="B3971"/>
    </row>
    <row r="3972" spans="1:2" x14ac:dyDescent="0.25">
      <c r="A3972"/>
      <c r="B3972"/>
    </row>
    <row r="3973" spans="1:2" x14ac:dyDescent="0.25">
      <c r="A3973"/>
      <c r="B3973"/>
    </row>
    <row r="3974" spans="1:2" x14ac:dyDescent="0.25">
      <c r="A3974"/>
      <c r="B3974"/>
    </row>
    <row r="3975" spans="1:2" x14ac:dyDescent="0.25">
      <c r="A3975"/>
      <c r="B3975"/>
    </row>
    <row r="3976" spans="1:2" x14ac:dyDescent="0.25">
      <c r="A3976"/>
      <c r="B3976"/>
    </row>
    <row r="3977" spans="1:2" x14ac:dyDescent="0.25">
      <c r="A3977"/>
      <c r="B3977"/>
    </row>
    <row r="3978" spans="1:2" x14ac:dyDescent="0.25">
      <c r="A3978"/>
      <c r="B3978"/>
    </row>
    <row r="3979" spans="1:2" x14ac:dyDescent="0.25">
      <c r="A3979"/>
      <c r="B3979"/>
    </row>
    <row r="3980" spans="1:2" x14ac:dyDescent="0.25">
      <c r="A3980"/>
      <c r="B3980"/>
    </row>
    <row r="3981" spans="1:2" x14ac:dyDescent="0.25">
      <c r="A3981"/>
      <c r="B3981"/>
    </row>
    <row r="3982" spans="1:2" x14ac:dyDescent="0.25">
      <c r="A3982"/>
      <c r="B3982"/>
    </row>
    <row r="3983" spans="1:2" x14ac:dyDescent="0.25">
      <c r="A3983"/>
      <c r="B3983"/>
    </row>
    <row r="3984" spans="1:2" x14ac:dyDescent="0.25">
      <c r="A3984"/>
      <c r="B3984"/>
    </row>
    <row r="3985" spans="1:2" x14ac:dyDescent="0.25">
      <c r="A3985"/>
      <c r="B3985"/>
    </row>
    <row r="3986" spans="1:2" x14ac:dyDescent="0.25">
      <c r="A3986"/>
      <c r="B3986"/>
    </row>
    <row r="3987" spans="1:2" x14ac:dyDescent="0.25">
      <c r="A3987"/>
      <c r="B3987"/>
    </row>
    <row r="3988" spans="1:2" x14ac:dyDescent="0.25">
      <c r="A3988"/>
      <c r="B3988"/>
    </row>
    <row r="3989" spans="1:2" x14ac:dyDescent="0.25">
      <c r="A3989"/>
      <c r="B3989"/>
    </row>
    <row r="3990" spans="1:2" x14ac:dyDescent="0.25">
      <c r="A3990"/>
      <c r="B3990"/>
    </row>
    <row r="3991" spans="1:2" x14ac:dyDescent="0.25">
      <c r="A3991"/>
      <c r="B3991"/>
    </row>
    <row r="3992" spans="1:2" x14ac:dyDescent="0.25">
      <c r="A3992"/>
      <c r="B3992"/>
    </row>
    <row r="3993" spans="1:2" x14ac:dyDescent="0.25">
      <c r="A3993"/>
      <c r="B3993"/>
    </row>
    <row r="3994" spans="1:2" x14ac:dyDescent="0.25">
      <c r="A3994"/>
      <c r="B3994"/>
    </row>
    <row r="3995" spans="1:2" x14ac:dyDescent="0.25">
      <c r="A3995"/>
      <c r="B3995"/>
    </row>
    <row r="3996" spans="1:2" x14ac:dyDescent="0.25">
      <c r="A3996"/>
      <c r="B3996"/>
    </row>
    <row r="3997" spans="1:2" x14ac:dyDescent="0.25">
      <c r="A3997"/>
      <c r="B3997"/>
    </row>
    <row r="3998" spans="1:2" x14ac:dyDescent="0.25">
      <c r="A3998"/>
      <c r="B3998"/>
    </row>
    <row r="3999" spans="1:2" x14ac:dyDescent="0.25">
      <c r="A3999"/>
      <c r="B3999"/>
    </row>
    <row r="4000" spans="1:2" x14ac:dyDescent="0.25">
      <c r="A4000"/>
      <c r="B4000"/>
    </row>
    <row r="4001" spans="1:2" x14ac:dyDescent="0.25">
      <c r="A4001"/>
      <c r="B4001"/>
    </row>
    <row r="4002" spans="1:2" x14ac:dyDescent="0.25">
      <c r="A4002"/>
      <c r="B4002"/>
    </row>
    <row r="4003" spans="1:2" x14ac:dyDescent="0.25">
      <c r="A4003"/>
      <c r="B4003"/>
    </row>
    <row r="4004" spans="1:2" x14ac:dyDescent="0.25">
      <c r="A4004"/>
      <c r="B4004"/>
    </row>
    <row r="4005" spans="1:2" x14ac:dyDescent="0.25">
      <c r="A4005"/>
      <c r="B4005"/>
    </row>
    <row r="4006" spans="1:2" x14ac:dyDescent="0.25">
      <c r="A4006"/>
      <c r="B4006"/>
    </row>
    <row r="4007" spans="1:2" x14ac:dyDescent="0.25">
      <c r="A4007"/>
      <c r="B4007"/>
    </row>
    <row r="4008" spans="1:2" x14ac:dyDescent="0.25">
      <c r="A4008"/>
      <c r="B4008"/>
    </row>
    <row r="4009" spans="1:2" x14ac:dyDescent="0.25">
      <c r="A4009"/>
      <c r="B4009"/>
    </row>
    <row r="4010" spans="1:2" x14ac:dyDescent="0.25">
      <c r="A4010"/>
      <c r="B4010"/>
    </row>
    <row r="4011" spans="1:2" x14ac:dyDescent="0.25">
      <c r="A4011"/>
      <c r="B4011"/>
    </row>
    <row r="4012" spans="1:2" x14ac:dyDescent="0.25">
      <c r="A4012"/>
      <c r="B4012"/>
    </row>
    <row r="4013" spans="1:2" x14ac:dyDescent="0.25">
      <c r="A4013"/>
      <c r="B4013"/>
    </row>
    <row r="4014" spans="1:2" x14ac:dyDescent="0.25">
      <c r="A4014"/>
      <c r="B4014"/>
    </row>
    <row r="4015" spans="1:2" x14ac:dyDescent="0.25">
      <c r="A4015"/>
      <c r="B4015"/>
    </row>
    <row r="4016" spans="1:2" x14ac:dyDescent="0.25">
      <c r="A4016"/>
      <c r="B4016"/>
    </row>
    <row r="4017" spans="1:2" x14ac:dyDescent="0.25">
      <c r="A4017"/>
      <c r="B4017"/>
    </row>
    <row r="4018" spans="1:2" x14ac:dyDescent="0.25">
      <c r="A4018"/>
      <c r="B4018"/>
    </row>
    <row r="4019" spans="1:2" x14ac:dyDescent="0.25">
      <c r="A4019"/>
      <c r="B4019"/>
    </row>
    <row r="4020" spans="1:2" x14ac:dyDescent="0.25">
      <c r="A4020"/>
      <c r="B4020"/>
    </row>
    <row r="4021" spans="1:2" x14ac:dyDescent="0.25">
      <c r="A4021"/>
      <c r="B4021"/>
    </row>
    <row r="4022" spans="1:2" x14ac:dyDescent="0.25">
      <c r="A4022"/>
      <c r="B4022"/>
    </row>
    <row r="4023" spans="1:2" x14ac:dyDescent="0.25">
      <c r="A4023"/>
      <c r="B4023"/>
    </row>
    <row r="4024" spans="1:2" x14ac:dyDescent="0.25">
      <c r="A4024"/>
      <c r="B4024"/>
    </row>
    <row r="4025" spans="1:2" x14ac:dyDescent="0.25">
      <c r="A4025"/>
      <c r="B4025"/>
    </row>
    <row r="4026" spans="1:2" x14ac:dyDescent="0.25">
      <c r="A4026"/>
      <c r="B4026"/>
    </row>
    <row r="4027" spans="1:2" x14ac:dyDescent="0.25">
      <c r="A4027"/>
      <c r="B4027"/>
    </row>
    <row r="4028" spans="1:2" x14ac:dyDescent="0.25">
      <c r="A4028"/>
      <c r="B4028"/>
    </row>
    <row r="4029" spans="1:2" x14ac:dyDescent="0.25">
      <c r="A4029"/>
      <c r="B4029"/>
    </row>
    <row r="4030" spans="1:2" x14ac:dyDescent="0.25">
      <c r="A4030"/>
      <c r="B4030"/>
    </row>
    <row r="4031" spans="1:2" x14ac:dyDescent="0.25">
      <c r="A4031"/>
      <c r="B4031"/>
    </row>
    <row r="4032" spans="1:2" x14ac:dyDescent="0.25">
      <c r="A4032"/>
      <c r="B4032"/>
    </row>
    <row r="4033" spans="1:2" x14ac:dyDescent="0.25">
      <c r="A4033"/>
      <c r="B4033"/>
    </row>
    <row r="4034" spans="1:2" x14ac:dyDescent="0.25">
      <c r="A4034"/>
      <c r="B4034"/>
    </row>
    <row r="4035" spans="1:2" x14ac:dyDescent="0.25">
      <c r="A4035"/>
      <c r="B4035"/>
    </row>
    <row r="4036" spans="1:2" x14ac:dyDescent="0.25">
      <c r="A4036"/>
      <c r="B4036"/>
    </row>
    <row r="4037" spans="1:2" x14ac:dyDescent="0.25">
      <c r="A4037"/>
      <c r="B4037"/>
    </row>
    <row r="4038" spans="1:2" x14ac:dyDescent="0.25">
      <c r="A4038"/>
      <c r="B4038"/>
    </row>
    <row r="4039" spans="1:2" x14ac:dyDescent="0.25">
      <c r="A4039"/>
      <c r="B4039"/>
    </row>
    <row r="4040" spans="1:2" x14ac:dyDescent="0.25">
      <c r="A4040"/>
      <c r="B4040"/>
    </row>
    <row r="4041" spans="1:2" x14ac:dyDescent="0.25">
      <c r="A4041"/>
      <c r="B4041"/>
    </row>
    <row r="4042" spans="1:2" x14ac:dyDescent="0.25">
      <c r="A4042"/>
      <c r="B4042"/>
    </row>
    <row r="4043" spans="1:2" x14ac:dyDescent="0.25">
      <c r="A4043"/>
      <c r="B4043"/>
    </row>
    <row r="4044" spans="1:2" x14ac:dyDescent="0.25">
      <c r="A4044"/>
      <c r="B4044"/>
    </row>
    <row r="4045" spans="1:2" x14ac:dyDescent="0.25">
      <c r="A4045"/>
      <c r="B4045"/>
    </row>
    <row r="4046" spans="1:2" x14ac:dyDescent="0.25">
      <c r="A4046"/>
      <c r="B4046"/>
    </row>
    <row r="4047" spans="1:2" x14ac:dyDescent="0.25">
      <c r="A4047"/>
      <c r="B4047"/>
    </row>
    <row r="4048" spans="1:2" x14ac:dyDescent="0.25">
      <c r="A4048"/>
      <c r="B4048"/>
    </row>
    <row r="4049" spans="1:2" x14ac:dyDescent="0.25">
      <c r="A4049"/>
      <c r="B4049"/>
    </row>
    <row r="4050" spans="1:2" x14ac:dyDescent="0.25">
      <c r="A4050"/>
      <c r="B4050"/>
    </row>
    <row r="4051" spans="1:2" x14ac:dyDescent="0.25">
      <c r="A4051"/>
      <c r="B4051"/>
    </row>
    <row r="4052" spans="1:2" x14ac:dyDescent="0.25">
      <c r="A4052"/>
      <c r="B4052"/>
    </row>
    <row r="4053" spans="1:2" x14ac:dyDescent="0.25">
      <c r="A4053"/>
      <c r="B4053"/>
    </row>
    <row r="4054" spans="1:2" x14ac:dyDescent="0.25">
      <c r="A4054"/>
      <c r="B4054"/>
    </row>
    <row r="4055" spans="1:2" x14ac:dyDescent="0.25">
      <c r="A4055"/>
      <c r="B4055"/>
    </row>
    <row r="4056" spans="1:2" x14ac:dyDescent="0.25">
      <c r="A4056"/>
      <c r="B4056"/>
    </row>
    <row r="4057" spans="1:2" x14ac:dyDescent="0.25">
      <c r="A4057"/>
      <c r="B4057"/>
    </row>
    <row r="4058" spans="1:2" x14ac:dyDescent="0.25">
      <c r="A4058"/>
      <c r="B4058"/>
    </row>
    <row r="4059" spans="1:2" x14ac:dyDescent="0.25">
      <c r="A4059"/>
      <c r="B4059"/>
    </row>
    <row r="4060" spans="1:2" x14ac:dyDescent="0.25">
      <c r="A4060"/>
      <c r="B4060"/>
    </row>
    <row r="4061" spans="1:2" x14ac:dyDescent="0.25">
      <c r="A4061"/>
      <c r="B4061"/>
    </row>
    <row r="4062" spans="1:2" x14ac:dyDescent="0.25">
      <c r="A4062"/>
      <c r="B4062"/>
    </row>
    <row r="4063" spans="1:2" x14ac:dyDescent="0.25">
      <c r="A4063"/>
      <c r="B4063"/>
    </row>
    <row r="4064" spans="1:2" x14ac:dyDescent="0.25">
      <c r="A4064"/>
      <c r="B4064"/>
    </row>
    <row r="4065" spans="1:2" x14ac:dyDescent="0.25">
      <c r="A4065"/>
      <c r="B4065"/>
    </row>
    <row r="4066" spans="1:2" x14ac:dyDescent="0.25">
      <c r="A4066"/>
      <c r="B4066"/>
    </row>
    <row r="4067" spans="1:2" x14ac:dyDescent="0.25">
      <c r="A4067"/>
      <c r="B4067"/>
    </row>
    <row r="4068" spans="1:2" x14ac:dyDescent="0.25">
      <c r="A4068"/>
      <c r="B4068"/>
    </row>
    <row r="4069" spans="1:2" x14ac:dyDescent="0.25">
      <c r="A4069"/>
      <c r="B4069"/>
    </row>
    <row r="4070" spans="1:2" x14ac:dyDescent="0.25">
      <c r="A4070"/>
      <c r="B4070"/>
    </row>
    <row r="4071" spans="1:2" x14ac:dyDescent="0.25">
      <c r="A4071"/>
      <c r="B4071"/>
    </row>
    <row r="4072" spans="1:2" x14ac:dyDescent="0.25">
      <c r="A4072"/>
      <c r="B4072"/>
    </row>
    <row r="4073" spans="1:2" x14ac:dyDescent="0.25">
      <c r="A4073"/>
      <c r="B4073"/>
    </row>
    <row r="4074" spans="1:2" x14ac:dyDescent="0.25">
      <c r="A4074"/>
      <c r="B4074"/>
    </row>
    <row r="4075" spans="1:2" x14ac:dyDescent="0.25">
      <c r="A4075"/>
      <c r="B4075"/>
    </row>
    <row r="4076" spans="1:2" x14ac:dyDescent="0.25">
      <c r="A4076"/>
      <c r="B4076"/>
    </row>
    <row r="4077" spans="1:2" x14ac:dyDescent="0.25">
      <c r="A4077"/>
      <c r="B4077"/>
    </row>
    <row r="4078" spans="1:2" x14ac:dyDescent="0.25">
      <c r="A4078"/>
      <c r="B4078"/>
    </row>
    <row r="4079" spans="1:2" x14ac:dyDescent="0.25">
      <c r="A4079"/>
      <c r="B4079"/>
    </row>
    <row r="4080" spans="1:2" x14ac:dyDescent="0.25">
      <c r="A4080"/>
      <c r="B4080"/>
    </row>
    <row r="4081" spans="1:2" x14ac:dyDescent="0.25">
      <c r="A4081"/>
      <c r="B4081"/>
    </row>
    <row r="4082" spans="1:2" x14ac:dyDescent="0.25">
      <c r="A4082"/>
      <c r="B4082"/>
    </row>
    <row r="4083" spans="1:2" x14ac:dyDescent="0.25">
      <c r="A4083"/>
      <c r="B4083"/>
    </row>
    <row r="4084" spans="1:2" x14ac:dyDescent="0.25">
      <c r="A4084"/>
      <c r="B4084"/>
    </row>
    <row r="4085" spans="1:2" x14ac:dyDescent="0.25">
      <c r="A4085"/>
      <c r="B4085"/>
    </row>
    <row r="4086" spans="1:2" x14ac:dyDescent="0.25">
      <c r="A4086"/>
      <c r="B4086"/>
    </row>
    <row r="4087" spans="1:2" x14ac:dyDescent="0.25">
      <c r="A4087"/>
      <c r="B4087"/>
    </row>
    <row r="4088" spans="1:2" x14ac:dyDescent="0.25">
      <c r="A4088"/>
      <c r="B4088"/>
    </row>
    <row r="4089" spans="1:2" x14ac:dyDescent="0.25">
      <c r="A4089"/>
      <c r="B4089"/>
    </row>
    <row r="4090" spans="1:2" x14ac:dyDescent="0.25">
      <c r="A4090"/>
      <c r="B4090"/>
    </row>
    <row r="4091" spans="1:2" x14ac:dyDescent="0.25">
      <c r="A4091"/>
      <c r="B4091"/>
    </row>
    <row r="4092" spans="1:2" x14ac:dyDescent="0.25">
      <c r="A4092"/>
      <c r="B4092"/>
    </row>
    <row r="4093" spans="1:2" x14ac:dyDescent="0.25">
      <c r="A4093"/>
      <c r="B4093"/>
    </row>
    <row r="4094" spans="1:2" x14ac:dyDescent="0.25">
      <c r="A4094"/>
      <c r="B4094"/>
    </row>
    <row r="4095" spans="1:2" x14ac:dyDescent="0.25">
      <c r="A4095"/>
      <c r="B4095"/>
    </row>
    <row r="4096" spans="1:2" x14ac:dyDescent="0.25">
      <c r="A4096"/>
      <c r="B4096"/>
    </row>
    <row r="4097" spans="1:2" x14ac:dyDescent="0.25">
      <c r="A4097"/>
      <c r="B4097"/>
    </row>
    <row r="4098" spans="1:2" x14ac:dyDescent="0.25">
      <c r="A4098"/>
      <c r="B4098"/>
    </row>
    <row r="4099" spans="1:2" x14ac:dyDescent="0.25">
      <c r="A4099"/>
      <c r="B4099"/>
    </row>
    <row r="4100" spans="1:2" x14ac:dyDescent="0.25">
      <c r="A4100"/>
      <c r="B4100"/>
    </row>
    <row r="4101" spans="1:2" x14ac:dyDescent="0.25">
      <c r="A4101"/>
      <c r="B4101"/>
    </row>
    <row r="4102" spans="1:2" x14ac:dyDescent="0.25">
      <c r="A4102"/>
      <c r="B4102"/>
    </row>
    <row r="4103" spans="1:2" x14ac:dyDescent="0.25">
      <c r="A4103"/>
      <c r="B4103"/>
    </row>
    <row r="4104" spans="1:2" x14ac:dyDescent="0.25">
      <c r="A4104"/>
      <c r="B4104"/>
    </row>
    <row r="4105" spans="1:2" x14ac:dyDescent="0.25">
      <c r="A4105"/>
      <c r="B4105"/>
    </row>
    <row r="4106" spans="1:2" x14ac:dyDescent="0.25">
      <c r="A4106"/>
      <c r="B4106"/>
    </row>
    <row r="4107" spans="1:2" x14ac:dyDescent="0.25">
      <c r="A4107"/>
      <c r="B4107"/>
    </row>
    <row r="4108" spans="1:2" x14ac:dyDescent="0.25">
      <c r="A4108"/>
      <c r="B4108"/>
    </row>
    <row r="4109" spans="1:2" x14ac:dyDescent="0.25">
      <c r="A4109"/>
      <c r="B4109"/>
    </row>
    <row r="4110" spans="1:2" x14ac:dyDescent="0.25">
      <c r="A4110"/>
      <c r="B4110"/>
    </row>
    <row r="4111" spans="1:2" x14ac:dyDescent="0.25">
      <c r="A4111"/>
      <c r="B4111"/>
    </row>
    <row r="4112" spans="1:2" x14ac:dyDescent="0.25">
      <c r="A4112"/>
      <c r="B4112"/>
    </row>
    <row r="4113" spans="1:2" x14ac:dyDescent="0.25">
      <c r="A4113"/>
      <c r="B4113"/>
    </row>
    <row r="4114" spans="1:2" x14ac:dyDescent="0.25">
      <c r="A4114"/>
      <c r="B4114"/>
    </row>
    <row r="4115" spans="1:2" x14ac:dyDescent="0.25">
      <c r="A4115"/>
      <c r="B4115"/>
    </row>
    <row r="4116" spans="1:2" x14ac:dyDescent="0.25">
      <c r="A4116"/>
      <c r="B4116"/>
    </row>
    <row r="4117" spans="1:2" x14ac:dyDescent="0.25">
      <c r="A4117"/>
      <c r="B4117"/>
    </row>
    <row r="4118" spans="1:2" x14ac:dyDescent="0.25">
      <c r="A4118"/>
      <c r="B4118"/>
    </row>
    <row r="4119" spans="1:2" x14ac:dyDescent="0.25">
      <c r="A4119"/>
      <c r="B4119"/>
    </row>
    <row r="4120" spans="1:2" x14ac:dyDescent="0.25">
      <c r="A4120"/>
      <c r="B4120"/>
    </row>
    <row r="4121" spans="1:2" x14ac:dyDescent="0.25">
      <c r="A4121"/>
      <c r="B4121"/>
    </row>
    <row r="4122" spans="1:2" x14ac:dyDescent="0.25">
      <c r="A4122"/>
      <c r="B4122"/>
    </row>
    <row r="4123" spans="1:2" x14ac:dyDescent="0.25">
      <c r="A4123"/>
      <c r="B4123"/>
    </row>
    <row r="4124" spans="1:2" x14ac:dyDescent="0.25">
      <c r="A4124"/>
      <c r="B4124"/>
    </row>
    <row r="4125" spans="1:2" x14ac:dyDescent="0.25">
      <c r="A4125"/>
      <c r="B4125"/>
    </row>
    <row r="4126" spans="1:2" x14ac:dyDescent="0.25">
      <c r="A4126"/>
      <c r="B4126"/>
    </row>
    <row r="4127" spans="1:2" x14ac:dyDescent="0.25">
      <c r="A4127"/>
      <c r="B4127"/>
    </row>
    <row r="4128" spans="1:2" x14ac:dyDescent="0.25">
      <c r="A4128"/>
      <c r="B4128"/>
    </row>
    <row r="4129" spans="1:2" x14ac:dyDescent="0.25">
      <c r="A4129"/>
      <c r="B4129"/>
    </row>
    <row r="4130" spans="1:2" x14ac:dyDescent="0.25">
      <c r="A4130"/>
      <c r="B4130"/>
    </row>
    <row r="4131" spans="1:2" x14ac:dyDescent="0.25">
      <c r="A4131"/>
      <c r="B4131"/>
    </row>
    <row r="4132" spans="1:2" x14ac:dyDescent="0.25">
      <c r="A4132"/>
      <c r="B4132"/>
    </row>
    <row r="4133" spans="1:2" x14ac:dyDescent="0.25">
      <c r="A4133"/>
      <c r="B4133"/>
    </row>
    <row r="4134" spans="1:2" x14ac:dyDescent="0.25">
      <c r="A4134"/>
      <c r="B4134"/>
    </row>
    <row r="4135" spans="1:2" x14ac:dyDescent="0.25">
      <c r="A4135"/>
      <c r="B4135"/>
    </row>
    <row r="4136" spans="1:2" x14ac:dyDescent="0.25">
      <c r="A4136"/>
      <c r="B4136"/>
    </row>
    <row r="4137" spans="1:2" x14ac:dyDescent="0.25">
      <c r="A4137"/>
      <c r="B4137"/>
    </row>
    <row r="4138" spans="1:2" x14ac:dyDescent="0.25">
      <c r="A4138"/>
      <c r="B4138"/>
    </row>
    <row r="4139" spans="1:2" x14ac:dyDescent="0.25">
      <c r="A4139"/>
      <c r="B4139"/>
    </row>
    <row r="4140" spans="1:2" x14ac:dyDescent="0.25">
      <c r="A4140"/>
      <c r="B4140"/>
    </row>
    <row r="4141" spans="1:2" x14ac:dyDescent="0.25">
      <c r="A4141"/>
      <c r="B4141"/>
    </row>
    <row r="4142" spans="1:2" x14ac:dyDescent="0.25">
      <c r="A4142"/>
      <c r="B4142"/>
    </row>
    <row r="4143" spans="1:2" x14ac:dyDescent="0.25">
      <c r="A4143"/>
      <c r="B4143"/>
    </row>
    <row r="4144" spans="1:2" x14ac:dyDescent="0.25">
      <c r="A4144"/>
      <c r="B4144"/>
    </row>
    <row r="4145" spans="1:2" x14ac:dyDescent="0.25">
      <c r="A4145"/>
      <c r="B4145"/>
    </row>
    <row r="4146" spans="1:2" x14ac:dyDescent="0.25">
      <c r="A4146"/>
      <c r="B4146"/>
    </row>
    <row r="4147" spans="1:2" x14ac:dyDescent="0.25">
      <c r="A4147"/>
      <c r="B4147"/>
    </row>
    <row r="4148" spans="1:2" x14ac:dyDescent="0.25">
      <c r="A4148"/>
      <c r="B4148"/>
    </row>
    <row r="4149" spans="1:2" x14ac:dyDescent="0.25">
      <c r="A4149"/>
      <c r="B4149"/>
    </row>
    <row r="4150" spans="1:2" x14ac:dyDescent="0.25">
      <c r="A4150"/>
      <c r="B4150"/>
    </row>
    <row r="4151" spans="1:2" x14ac:dyDescent="0.25">
      <c r="A4151"/>
      <c r="B4151"/>
    </row>
    <row r="4152" spans="1:2" x14ac:dyDescent="0.25">
      <c r="A4152"/>
      <c r="B4152"/>
    </row>
    <row r="4153" spans="1:2" x14ac:dyDescent="0.25">
      <c r="A4153"/>
      <c r="B4153"/>
    </row>
    <row r="4154" spans="1:2" x14ac:dyDescent="0.25">
      <c r="A4154"/>
      <c r="B4154"/>
    </row>
    <row r="4155" spans="1:2" x14ac:dyDescent="0.25">
      <c r="A4155"/>
      <c r="B4155"/>
    </row>
    <row r="4156" spans="1:2" x14ac:dyDescent="0.25">
      <c r="A4156"/>
      <c r="B4156"/>
    </row>
    <row r="4157" spans="1:2" x14ac:dyDescent="0.25">
      <c r="A4157"/>
      <c r="B4157"/>
    </row>
    <row r="4158" spans="1:2" x14ac:dyDescent="0.25">
      <c r="A4158"/>
      <c r="B4158"/>
    </row>
    <row r="4159" spans="1:2" x14ac:dyDescent="0.25">
      <c r="A4159"/>
      <c r="B4159"/>
    </row>
    <row r="4160" spans="1:2" x14ac:dyDescent="0.25">
      <c r="A4160"/>
      <c r="B4160"/>
    </row>
    <row r="4161" spans="1:2" x14ac:dyDescent="0.25">
      <c r="A4161"/>
      <c r="B4161"/>
    </row>
    <row r="4162" spans="1:2" x14ac:dyDescent="0.25">
      <c r="A4162"/>
      <c r="B4162"/>
    </row>
    <row r="4163" spans="1:2" x14ac:dyDescent="0.25">
      <c r="A4163"/>
      <c r="B4163"/>
    </row>
    <row r="4164" spans="1:2" x14ac:dyDescent="0.25">
      <c r="A4164"/>
      <c r="B4164"/>
    </row>
    <row r="4165" spans="1:2" x14ac:dyDescent="0.25">
      <c r="A4165"/>
      <c r="B4165"/>
    </row>
    <row r="4166" spans="1:2" x14ac:dyDescent="0.25">
      <c r="A4166"/>
      <c r="B4166"/>
    </row>
    <row r="4167" spans="1:2" x14ac:dyDescent="0.25">
      <c r="A4167"/>
      <c r="B4167"/>
    </row>
    <row r="4168" spans="1:2" x14ac:dyDescent="0.25">
      <c r="A4168"/>
      <c r="B4168"/>
    </row>
    <row r="4169" spans="1:2" x14ac:dyDescent="0.25">
      <c r="A4169"/>
      <c r="B4169"/>
    </row>
    <row r="4170" spans="1:2" x14ac:dyDescent="0.25">
      <c r="A4170"/>
      <c r="B4170"/>
    </row>
    <row r="4171" spans="1:2" x14ac:dyDescent="0.25">
      <c r="A4171"/>
      <c r="B4171"/>
    </row>
    <row r="4172" spans="1:2" x14ac:dyDescent="0.25">
      <c r="A4172"/>
      <c r="B4172"/>
    </row>
    <row r="4173" spans="1:2" x14ac:dyDescent="0.25">
      <c r="A4173"/>
      <c r="B4173"/>
    </row>
    <row r="4174" spans="1:2" x14ac:dyDescent="0.25">
      <c r="A4174"/>
      <c r="B4174"/>
    </row>
    <row r="4175" spans="1:2" x14ac:dyDescent="0.25">
      <c r="A4175"/>
      <c r="B4175"/>
    </row>
    <row r="4176" spans="1:2" x14ac:dyDescent="0.25">
      <c r="A4176"/>
      <c r="B4176"/>
    </row>
    <row r="4177" spans="1:2" x14ac:dyDescent="0.25">
      <c r="A4177"/>
      <c r="B4177"/>
    </row>
    <row r="4178" spans="1:2" x14ac:dyDescent="0.25">
      <c r="A4178"/>
      <c r="B4178"/>
    </row>
    <row r="4179" spans="1:2" x14ac:dyDescent="0.25">
      <c r="A4179"/>
      <c r="B4179"/>
    </row>
    <row r="4180" spans="1:2" x14ac:dyDescent="0.25">
      <c r="A4180"/>
      <c r="B4180"/>
    </row>
    <row r="4181" spans="1:2" x14ac:dyDescent="0.25">
      <c r="A4181"/>
      <c r="B4181"/>
    </row>
    <row r="4182" spans="1:2" x14ac:dyDescent="0.25">
      <c r="A4182"/>
      <c r="B4182"/>
    </row>
    <row r="4183" spans="1:2" x14ac:dyDescent="0.25">
      <c r="A4183"/>
      <c r="B4183"/>
    </row>
    <row r="4184" spans="1:2" x14ac:dyDescent="0.25">
      <c r="A4184"/>
      <c r="B4184"/>
    </row>
    <row r="4185" spans="1:2" x14ac:dyDescent="0.25">
      <c r="A4185"/>
      <c r="B4185"/>
    </row>
    <row r="4186" spans="1:2" x14ac:dyDescent="0.25">
      <c r="A4186"/>
      <c r="B4186"/>
    </row>
    <row r="4187" spans="1:2" x14ac:dyDescent="0.25">
      <c r="A4187"/>
      <c r="B4187"/>
    </row>
    <row r="4188" spans="1:2" x14ac:dyDescent="0.25">
      <c r="A4188"/>
      <c r="B4188"/>
    </row>
    <row r="4189" spans="1:2" x14ac:dyDescent="0.25">
      <c r="A4189"/>
      <c r="B4189"/>
    </row>
    <row r="4190" spans="1:2" x14ac:dyDescent="0.25">
      <c r="A4190"/>
      <c r="B4190"/>
    </row>
    <row r="4191" spans="1:2" x14ac:dyDescent="0.25">
      <c r="A4191"/>
      <c r="B4191"/>
    </row>
    <row r="4192" spans="1:2" x14ac:dyDescent="0.25">
      <c r="A4192"/>
      <c r="B4192"/>
    </row>
    <row r="4193" spans="1:2" x14ac:dyDescent="0.25">
      <c r="A4193"/>
      <c r="B4193"/>
    </row>
    <row r="4194" spans="1:2" x14ac:dyDescent="0.25">
      <c r="A4194"/>
      <c r="B4194"/>
    </row>
    <row r="4195" spans="1:2" x14ac:dyDescent="0.25">
      <c r="A4195"/>
      <c r="B4195"/>
    </row>
    <row r="4196" spans="1:2" x14ac:dyDescent="0.25">
      <c r="A4196"/>
      <c r="B4196"/>
    </row>
    <row r="4197" spans="1:2" x14ac:dyDescent="0.25">
      <c r="A4197"/>
      <c r="B4197"/>
    </row>
    <row r="4198" spans="1:2" x14ac:dyDescent="0.25">
      <c r="A4198"/>
      <c r="B4198"/>
    </row>
    <row r="4199" spans="1:2" x14ac:dyDescent="0.25">
      <c r="A4199"/>
      <c r="B4199"/>
    </row>
    <row r="4200" spans="1:2" x14ac:dyDescent="0.25">
      <c r="A4200"/>
      <c r="B4200"/>
    </row>
    <row r="4201" spans="1:2" x14ac:dyDescent="0.25">
      <c r="A4201"/>
      <c r="B4201"/>
    </row>
    <row r="4202" spans="1:2" x14ac:dyDescent="0.25">
      <c r="A4202"/>
      <c r="B4202"/>
    </row>
    <row r="4203" spans="1:2" x14ac:dyDescent="0.25">
      <c r="A4203"/>
      <c r="B4203"/>
    </row>
    <row r="4204" spans="1:2" x14ac:dyDescent="0.25">
      <c r="A4204"/>
      <c r="B4204"/>
    </row>
    <row r="4205" spans="1:2" x14ac:dyDescent="0.25">
      <c r="A4205"/>
      <c r="B4205"/>
    </row>
    <row r="4206" spans="1:2" x14ac:dyDescent="0.25">
      <c r="A4206"/>
      <c r="B4206"/>
    </row>
    <row r="4207" spans="1:2" x14ac:dyDescent="0.25">
      <c r="A4207"/>
      <c r="B4207"/>
    </row>
    <row r="4208" spans="1:2" x14ac:dyDescent="0.25">
      <c r="A4208"/>
      <c r="B4208"/>
    </row>
    <row r="4209" spans="1:2" x14ac:dyDescent="0.25">
      <c r="A4209"/>
      <c r="B4209"/>
    </row>
    <row r="4210" spans="1:2" x14ac:dyDescent="0.25">
      <c r="A4210"/>
      <c r="B4210"/>
    </row>
    <row r="4211" spans="1:2" x14ac:dyDescent="0.25">
      <c r="A4211"/>
      <c r="B4211"/>
    </row>
    <row r="4212" spans="1:2" x14ac:dyDescent="0.25">
      <c r="A4212"/>
      <c r="B4212"/>
    </row>
    <row r="4213" spans="1:2" x14ac:dyDescent="0.25">
      <c r="A4213"/>
      <c r="B4213"/>
    </row>
    <row r="4214" spans="1:2" x14ac:dyDescent="0.25">
      <c r="A4214"/>
      <c r="B4214"/>
    </row>
    <row r="4215" spans="1:2" x14ac:dyDescent="0.25">
      <c r="A4215"/>
      <c r="B4215"/>
    </row>
    <row r="4216" spans="1:2" x14ac:dyDescent="0.25">
      <c r="A4216"/>
      <c r="B4216"/>
    </row>
    <row r="4217" spans="1:2" x14ac:dyDescent="0.25">
      <c r="A4217"/>
      <c r="B4217"/>
    </row>
    <row r="4218" spans="1:2" x14ac:dyDescent="0.25">
      <c r="A4218"/>
      <c r="B4218"/>
    </row>
    <row r="4219" spans="1:2" x14ac:dyDescent="0.25">
      <c r="A4219"/>
      <c r="B4219"/>
    </row>
    <row r="4220" spans="1:2" x14ac:dyDescent="0.25">
      <c r="A4220"/>
      <c r="B4220"/>
    </row>
    <row r="4221" spans="1:2" x14ac:dyDescent="0.25">
      <c r="A4221"/>
      <c r="B4221"/>
    </row>
    <row r="4222" spans="1:2" x14ac:dyDescent="0.25">
      <c r="A4222"/>
      <c r="B4222"/>
    </row>
    <row r="4223" spans="1:2" x14ac:dyDescent="0.25">
      <c r="A4223"/>
      <c r="B4223"/>
    </row>
    <row r="4224" spans="1:2" x14ac:dyDescent="0.25">
      <c r="A4224"/>
      <c r="B4224"/>
    </row>
    <row r="4225" spans="1:2" x14ac:dyDescent="0.25">
      <c r="A4225"/>
      <c r="B4225"/>
    </row>
    <row r="4226" spans="1:2" x14ac:dyDescent="0.25">
      <c r="A4226"/>
      <c r="B4226"/>
    </row>
    <row r="4227" spans="1:2" x14ac:dyDescent="0.25">
      <c r="A4227"/>
      <c r="B4227"/>
    </row>
    <row r="4228" spans="1:2" x14ac:dyDescent="0.25">
      <c r="A4228"/>
      <c r="B4228"/>
    </row>
    <row r="4229" spans="1:2" x14ac:dyDescent="0.25">
      <c r="A4229"/>
      <c r="B4229"/>
    </row>
    <row r="4230" spans="1:2" x14ac:dyDescent="0.25">
      <c r="A4230"/>
      <c r="B4230"/>
    </row>
    <row r="4231" spans="1:2" x14ac:dyDescent="0.25">
      <c r="A4231"/>
      <c r="B4231"/>
    </row>
    <row r="4232" spans="1:2" x14ac:dyDescent="0.25">
      <c r="A4232"/>
      <c r="B4232"/>
    </row>
    <row r="4233" spans="1:2" x14ac:dyDescent="0.25">
      <c r="A4233"/>
      <c r="B4233"/>
    </row>
    <row r="4234" spans="1:2" x14ac:dyDescent="0.25">
      <c r="A4234"/>
      <c r="B4234"/>
    </row>
    <row r="4235" spans="1:2" x14ac:dyDescent="0.25">
      <c r="A4235"/>
      <c r="B4235"/>
    </row>
    <row r="4236" spans="1:2" x14ac:dyDescent="0.25">
      <c r="A4236"/>
      <c r="B4236"/>
    </row>
    <row r="4237" spans="1:2" x14ac:dyDescent="0.25">
      <c r="A4237"/>
      <c r="B4237"/>
    </row>
    <row r="4238" spans="1:2" x14ac:dyDescent="0.25">
      <c r="A4238"/>
      <c r="B4238"/>
    </row>
    <row r="4239" spans="1:2" x14ac:dyDescent="0.25">
      <c r="A4239"/>
      <c r="B4239"/>
    </row>
    <row r="4240" spans="1:2" x14ac:dyDescent="0.25">
      <c r="A4240"/>
      <c r="B4240"/>
    </row>
    <row r="4241" spans="1:2" x14ac:dyDescent="0.25">
      <c r="A4241"/>
      <c r="B4241"/>
    </row>
    <row r="4242" spans="1:2" x14ac:dyDescent="0.25">
      <c r="A4242"/>
      <c r="B4242"/>
    </row>
    <row r="4243" spans="1:2" x14ac:dyDescent="0.25">
      <c r="A4243"/>
      <c r="B4243"/>
    </row>
    <row r="4244" spans="1:2" x14ac:dyDescent="0.25">
      <c r="A4244"/>
      <c r="B4244"/>
    </row>
    <row r="4245" spans="1:2" x14ac:dyDescent="0.25">
      <c r="A4245"/>
      <c r="B4245"/>
    </row>
    <row r="4246" spans="1:2" x14ac:dyDescent="0.25">
      <c r="A4246"/>
      <c r="B4246"/>
    </row>
    <row r="4247" spans="1:2" x14ac:dyDescent="0.25">
      <c r="A4247"/>
      <c r="B4247"/>
    </row>
    <row r="4248" spans="1:2" x14ac:dyDescent="0.25">
      <c r="A4248"/>
      <c r="B4248"/>
    </row>
    <row r="4249" spans="1:2" x14ac:dyDescent="0.25">
      <c r="A4249"/>
      <c r="B4249"/>
    </row>
    <row r="4250" spans="1:2" x14ac:dyDescent="0.25">
      <c r="A4250"/>
      <c r="B4250"/>
    </row>
    <row r="4251" spans="1:2" x14ac:dyDescent="0.25">
      <c r="A4251"/>
      <c r="B4251"/>
    </row>
    <row r="4252" spans="1:2" x14ac:dyDescent="0.25">
      <c r="A4252"/>
      <c r="B4252"/>
    </row>
    <row r="4253" spans="1:2" x14ac:dyDescent="0.25">
      <c r="A4253"/>
      <c r="B4253"/>
    </row>
    <row r="4254" spans="1:2" x14ac:dyDescent="0.25">
      <c r="A4254"/>
      <c r="B4254"/>
    </row>
    <row r="4255" spans="1:2" x14ac:dyDescent="0.25">
      <c r="A4255"/>
      <c r="B4255"/>
    </row>
    <row r="4256" spans="1:2" x14ac:dyDescent="0.25">
      <c r="A4256"/>
      <c r="B4256"/>
    </row>
    <row r="4257" spans="1:2" x14ac:dyDescent="0.25">
      <c r="A4257"/>
      <c r="B4257"/>
    </row>
    <row r="4258" spans="1:2" x14ac:dyDescent="0.25">
      <c r="A4258"/>
      <c r="B4258"/>
    </row>
    <row r="4259" spans="1:2" x14ac:dyDescent="0.25">
      <c r="A4259"/>
      <c r="B4259"/>
    </row>
    <row r="4260" spans="1:2" x14ac:dyDescent="0.25">
      <c r="A4260"/>
      <c r="B4260"/>
    </row>
    <row r="4261" spans="1:2" x14ac:dyDescent="0.25">
      <c r="A4261"/>
      <c r="B4261"/>
    </row>
    <row r="4262" spans="1:2" x14ac:dyDescent="0.25">
      <c r="A4262"/>
      <c r="B4262"/>
    </row>
    <row r="4263" spans="1:2" x14ac:dyDescent="0.25">
      <c r="A4263"/>
      <c r="B4263"/>
    </row>
    <row r="4264" spans="1:2" x14ac:dyDescent="0.25">
      <c r="A4264"/>
      <c r="B4264"/>
    </row>
    <row r="4265" spans="1:2" x14ac:dyDescent="0.25">
      <c r="A4265"/>
      <c r="B4265"/>
    </row>
    <row r="4266" spans="1:2" x14ac:dyDescent="0.25">
      <c r="A4266"/>
      <c r="B4266"/>
    </row>
    <row r="4267" spans="1:2" x14ac:dyDescent="0.25">
      <c r="A4267"/>
      <c r="B4267"/>
    </row>
    <row r="4268" spans="1:2" x14ac:dyDescent="0.25">
      <c r="A4268"/>
      <c r="B4268"/>
    </row>
    <row r="4269" spans="1:2" x14ac:dyDescent="0.25">
      <c r="A4269"/>
      <c r="B4269"/>
    </row>
    <row r="4270" spans="1:2" x14ac:dyDescent="0.25">
      <c r="A4270"/>
      <c r="B4270"/>
    </row>
    <row r="4271" spans="1:2" x14ac:dyDescent="0.25">
      <c r="A4271"/>
      <c r="B4271"/>
    </row>
    <row r="4272" spans="1:2" x14ac:dyDescent="0.25">
      <c r="A4272"/>
      <c r="B4272"/>
    </row>
    <row r="4273" spans="1:2" x14ac:dyDescent="0.25">
      <c r="A4273"/>
      <c r="B4273"/>
    </row>
    <row r="4274" spans="1:2" x14ac:dyDescent="0.25">
      <c r="A4274"/>
      <c r="B4274"/>
    </row>
    <row r="4275" spans="1:2" x14ac:dyDescent="0.25">
      <c r="A4275"/>
      <c r="B4275"/>
    </row>
    <row r="4276" spans="1:2" x14ac:dyDescent="0.25">
      <c r="A4276"/>
      <c r="B4276"/>
    </row>
    <row r="4277" spans="1:2" x14ac:dyDescent="0.25">
      <c r="A4277"/>
      <c r="B4277"/>
    </row>
    <row r="4278" spans="1:2" x14ac:dyDescent="0.25">
      <c r="A4278"/>
      <c r="B4278"/>
    </row>
    <row r="4279" spans="1:2" x14ac:dyDescent="0.25">
      <c r="A4279"/>
      <c r="B4279"/>
    </row>
    <row r="4280" spans="1:2" x14ac:dyDescent="0.25">
      <c r="A4280"/>
      <c r="B4280"/>
    </row>
    <row r="4281" spans="1:2" x14ac:dyDescent="0.25">
      <c r="A4281"/>
      <c r="B4281"/>
    </row>
    <row r="4282" spans="1:2" x14ac:dyDescent="0.25">
      <c r="A4282"/>
      <c r="B4282"/>
    </row>
    <row r="4283" spans="1:2" x14ac:dyDescent="0.25">
      <c r="A4283"/>
      <c r="B4283"/>
    </row>
    <row r="4284" spans="1:2" x14ac:dyDescent="0.25">
      <c r="A4284"/>
      <c r="B4284"/>
    </row>
    <row r="4285" spans="1:2" x14ac:dyDescent="0.25">
      <c r="A4285"/>
      <c r="B4285"/>
    </row>
    <row r="4286" spans="1:2" x14ac:dyDescent="0.25">
      <c r="A4286"/>
      <c r="B4286"/>
    </row>
    <row r="4287" spans="1:2" x14ac:dyDescent="0.25">
      <c r="A4287"/>
      <c r="B4287"/>
    </row>
    <row r="4288" spans="1:2" x14ac:dyDescent="0.25">
      <c r="A4288"/>
      <c r="B4288"/>
    </row>
    <row r="4289" spans="1:2" x14ac:dyDescent="0.25">
      <c r="A4289"/>
      <c r="B4289"/>
    </row>
    <row r="4290" spans="1:2" x14ac:dyDescent="0.25">
      <c r="A4290"/>
      <c r="B4290"/>
    </row>
    <row r="4291" spans="1:2" x14ac:dyDescent="0.25">
      <c r="A4291"/>
      <c r="B4291"/>
    </row>
    <row r="4292" spans="1:2" x14ac:dyDescent="0.25">
      <c r="A4292"/>
      <c r="B4292"/>
    </row>
    <row r="4293" spans="1:2" x14ac:dyDescent="0.25">
      <c r="A4293"/>
      <c r="B4293"/>
    </row>
    <row r="4294" spans="1:2" x14ac:dyDescent="0.25">
      <c r="A4294"/>
      <c r="B4294"/>
    </row>
    <row r="4295" spans="1:2" x14ac:dyDescent="0.25">
      <c r="A4295"/>
      <c r="B4295"/>
    </row>
    <row r="4296" spans="1:2" x14ac:dyDescent="0.25">
      <c r="A4296"/>
      <c r="B4296"/>
    </row>
    <row r="4297" spans="1:2" x14ac:dyDescent="0.25">
      <c r="A4297"/>
      <c r="B4297"/>
    </row>
    <row r="4298" spans="1:2" x14ac:dyDescent="0.25">
      <c r="A4298"/>
      <c r="B4298"/>
    </row>
    <row r="4299" spans="1:2" x14ac:dyDescent="0.25">
      <c r="A4299"/>
      <c r="B4299"/>
    </row>
    <row r="4300" spans="1:2" x14ac:dyDescent="0.25">
      <c r="A4300"/>
      <c r="B4300"/>
    </row>
    <row r="4301" spans="1:2" x14ac:dyDescent="0.25">
      <c r="A4301"/>
      <c r="B4301"/>
    </row>
    <row r="4302" spans="1:2" x14ac:dyDescent="0.25">
      <c r="A4302"/>
      <c r="B4302"/>
    </row>
    <row r="4303" spans="1:2" x14ac:dyDescent="0.25">
      <c r="A4303"/>
      <c r="B4303"/>
    </row>
    <row r="4304" spans="1:2" x14ac:dyDescent="0.25">
      <c r="A4304"/>
      <c r="B4304"/>
    </row>
    <row r="4305" spans="1:2" x14ac:dyDescent="0.25">
      <c r="A4305"/>
      <c r="B4305"/>
    </row>
    <row r="4306" spans="1:2" x14ac:dyDescent="0.25">
      <c r="A4306"/>
      <c r="B4306"/>
    </row>
    <row r="4307" spans="1:2" x14ac:dyDescent="0.25">
      <c r="A4307"/>
      <c r="B4307"/>
    </row>
    <row r="4308" spans="1:2" x14ac:dyDescent="0.25">
      <c r="A4308"/>
      <c r="B4308"/>
    </row>
    <row r="4309" spans="1:2" x14ac:dyDescent="0.25">
      <c r="A4309"/>
      <c r="B4309"/>
    </row>
    <row r="4310" spans="1:2" x14ac:dyDescent="0.25">
      <c r="A4310"/>
      <c r="B4310"/>
    </row>
    <row r="4311" spans="1:2" x14ac:dyDescent="0.25">
      <c r="A4311"/>
      <c r="B4311"/>
    </row>
    <row r="4312" spans="1:2" x14ac:dyDescent="0.25">
      <c r="A4312"/>
      <c r="B4312"/>
    </row>
    <row r="4313" spans="1:2" x14ac:dyDescent="0.25">
      <c r="A4313"/>
      <c r="B4313"/>
    </row>
    <row r="4314" spans="1:2" x14ac:dyDescent="0.25">
      <c r="A4314"/>
      <c r="B4314"/>
    </row>
    <row r="4315" spans="1:2" x14ac:dyDescent="0.25">
      <c r="A4315"/>
      <c r="B4315"/>
    </row>
    <row r="4316" spans="1:2" x14ac:dyDescent="0.25">
      <c r="A4316"/>
      <c r="B4316"/>
    </row>
    <row r="4317" spans="1:2" x14ac:dyDescent="0.25">
      <c r="A4317"/>
      <c r="B4317"/>
    </row>
    <row r="4318" spans="1:2" x14ac:dyDescent="0.25">
      <c r="A4318"/>
      <c r="B4318"/>
    </row>
    <row r="4319" spans="1:2" x14ac:dyDescent="0.25">
      <c r="A4319"/>
      <c r="B4319"/>
    </row>
    <row r="4320" spans="1:2" x14ac:dyDescent="0.25">
      <c r="A4320"/>
      <c r="B4320"/>
    </row>
    <row r="4321" spans="1:2" x14ac:dyDescent="0.25">
      <c r="A4321"/>
      <c r="B4321"/>
    </row>
    <row r="4322" spans="1:2" x14ac:dyDescent="0.25">
      <c r="A4322"/>
      <c r="B4322"/>
    </row>
    <row r="4323" spans="1:2" x14ac:dyDescent="0.25">
      <c r="A4323"/>
      <c r="B4323"/>
    </row>
    <row r="4324" spans="1:2" x14ac:dyDescent="0.25">
      <c r="A4324"/>
      <c r="B4324"/>
    </row>
    <row r="4325" spans="1:2" x14ac:dyDescent="0.25">
      <c r="A4325"/>
      <c r="B4325"/>
    </row>
    <row r="4326" spans="1:2" x14ac:dyDescent="0.25">
      <c r="A4326"/>
      <c r="B4326"/>
    </row>
    <row r="4327" spans="1:2" x14ac:dyDescent="0.25">
      <c r="A4327"/>
      <c r="B4327"/>
    </row>
    <row r="4328" spans="1:2" x14ac:dyDescent="0.25">
      <c r="A4328"/>
      <c r="B4328"/>
    </row>
    <row r="4329" spans="1:2" x14ac:dyDescent="0.25">
      <c r="A4329"/>
      <c r="B4329"/>
    </row>
    <row r="4330" spans="1:2" x14ac:dyDescent="0.25">
      <c r="A4330"/>
      <c r="B4330"/>
    </row>
    <row r="4331" spans="1:2" x14ac:dyDescent="0.25">
      <c r="A4331"/>
      <c r="B4331"/>
    </row>
    <row r="4332" spans="1:2" x14ac:dyDescent="0.25">
      <c r="A4332"/>
      <c r="B4332"/>
    </row>
    <row r="4333" spans="1:2" x14ac:dyDescent="0.25">
      <c r="A4333"/>
      <c r="B4333"/>
    </row>
    <row r="4334" spans="1:2" x14ac:dyDescent="0.25">
      <c r="A4334"/>
      <c r="B4334"/>
    </row>
    <row r="4335" spans="1:2" x14ac:dyDescent="0.25">
      <c r="A4335"/>
      <c r="B4335"/>
    </row>
    <row r="4336" spans="1:2" x14ac:dyDescent="0.25">
      <c r="A4336"/>
      <c r="B4336"/>
    </row>
    <row r="4337" spans="1:2" x14ac:dyDescent="0.25">
      <c r="A4337"/>
      <c r="B4337"/>
    </row>
    <row r="4338" spans="1:2" x14ac:dyDescent="0.25">
      <c r="A4338"/>
      <c r="B4338"/>
    </row>
    <row r="4339" spans="1:2" x14ac:dyDescent="0.25">
      <c r="A4339"/>
      <c r="B4339"/>
    </row>
    <row r="4340" spans="1:2" x14ac:dyDescent="0.25">
      <c r="A4340"/>
      <c r="B4340"/>
    </row>
    <row r="4341" spans="1:2" x14ac:dyDescent="0.25">
      <c r="A4341"/>
      <c r="B4341"/>
    </row>
    <row r="4342" spans="1:2" x14ac:dyDescent="0.25">
      <c r="A4342"/>
      <c r="B4342"/>
    </row>
    <row r="4343" spans="1:2" x14ac:dyDescent="0.25">
      <c r="A4343"/>
      <c r="B4343"/>
    </row>
    <row r="4344" spans="1:2" x14ac:dyDescent="0.25">
      <c r="A4344"/>
      <c r="B4344"/>
    </row>
    <row r="4345" spans="1:2" x14ac:dyDescent="0.25">
      <c r="A4345"/>
      <c r="B4345"/>
    </row>
    <row r="4346" spans="1:2" x14ac:dyDescent="0.25">
      <c r="A4346"/>
      <c r="B4346"/>
    </row>
    <row r="4347" spans="1:2" x14ac:dyDescent="0.25">
      <c r="A4347"/>
      <c r="B4347"/>
    </row>
    <row r="4348" spans="1:2" x14ac:dyDescent="0.25">
      <c r="A4348"/>
      <c r="B4348"/>
    </row>
    <row r="4349" spans="1:2" x14ac:dyDescent="0.25">
      <c r="A4349"/>
      <c r="B4349"/>
    </row>
    <row r="4350" spans="1:2" x14ac:dyDescent="0.25">
      <c r="A4350"/>
      <c r="B4350"/>
    </row>
    <row r="4351" spans="1:2" x14ac:dyDescent="0.25">
      <c r="A4351"/>
      <c r="B4351"/>
    </row>
    <row r="4352" spans="1:2" x14ac:dyDescent="0.25">
      <c r="A4352"/>
      <c r="B4352"/>
    </row>
    <row r="4353" spans="1:2" x14ac:dyDescent="0.25">
      <c r="A4353"/>
      <c r="B4353"/>
    </row>
    <row r="4354" spans="1:2" x14ac:dyDescent="0.25">
      <c r="A4354"/>
      <c r="B4354"/>
    </row>
    <row r="4355" spans="1:2" x14ac:dyDescent="0.25">
      <c r="A4355"/>
      <c r="B4355"/>
    </row>
    <row r="4356" spans="1:2" x14ac:dyDescent="0.25">
      <c r="A4356"/>
      <c r="B4356"/>
    </row>
    <row r="4357" spans="1:2" x14ac:dyDescent="0.25">
      <c r="A4357"/>
      <c r="B4357"/>
    </row>
    <row r="4358" spans="1:2" x14ac:dyDescent="0.25">
      <c r="A4358"/>
      <c r="B4358"/>
    </row>
    <row r="4359" spans="1:2" x14ac:dyDescent="0.25">
      <c r="A4359"/>
      <c r="B4359"/>
    </row>
    <row r="4360" spans="1:2" x14ac:dyDescent="0.25">
      <c r="A4360"/>
      <c r="B4360"/>
    </row>
    <row r="4361" spans="1:2" x14ac:dyDescent="0.25">
      <c r="A4361"/>
      <c r="B4361"/>
    </row>
    <row r="4362" spans="1:2" x14ac:dyDescent="0.25">
      <c r="A4362"/>
      <c r="B4362"/>
    </row>
    <row r="4363" spans="1:2" x14ac:dyDescent="0.25">
      <c r="A4363"/>
      <c r="B4363"/>
    </row>
    <row r="4364" spans="1:2" x14ac:dyDescent="0.25">
      <c r="A4364"/>
      <c r="B4364"/>
    </row>
    <row r="4365" spans="1:2" x14ac:dyDescent="0.25">
      <c r="A4365"/>
      <c r="B4365"/>
    </row>
    <row r="4366" spans="1:2" x14ac:dyDescent="0.25">
      <c r="A4366"/>
      <c r="B4366"/>
    </row>
    <row r="4367" spans="1:2" x14ac:dyDescent="0.25">
      <c r="A4367"/>
      <c r="B4367"/>
    </row>
    <row r="4368" spans="1:2" x14ac:dyDescent="0.25">
      <c r="A4368"/>
      <c r="B4368"/>
    </row>
    <row r="4369" spans="1:2" x14ac:dyDescent="0.25">
      <c r="A4369"/>
      <c r="B4369"/>
    </row>
    <row r="4370" spans="1:2" x14ac:dyDescent="0.25">
      <c r="A4370"/>
      <c r="B4370"/>
    </row>
    <row r="4371" spans="1:2" x14ac:dyDescent="0.25">
      <c r="A4371"/>
      <c r="B4371"/>
    </row>
    <row r="4372" spans="1:2" x14ac:dyDescent="0.25">
      <c r="A4372"/>
      <c r="B4372"/>
    </row>
    <row r="4373" spans="1:2" x14ac:dyDescent="0.25">
      <c r="A4373"/>
      <c r="B4373"/>
    </row>
    <row r="4374" spans="1:2" x14ac:dyDescent="0.25">
      <c r="A4374"/>
      <c r="B4374"/>
    </row>
    <row r="4375" spans="1:2" x14ac:dyDescent="0.25">
      <c r="A4375"/>
      <c r="B4375"/>
    </row>
    <row r="4376" spans="1:2" x14ac:dyDescent="0.25">
      <c r="A4376"/>
      <c r="B4376"/>
    </row>
    <row r="4377" spans="1:2" x14ac:dyDescent="0.25">
      <c r="A4377"/>
      <c r="B4377"/>
    </row>
    <row r="4378" spans="1:2" x14ac:dyDescent="0.25">
      <c r="A4378"/>
      <c r="B4378"/>
    </row>
    <row r="4379" spans="1:2" x14ac:dyDescent="0.25">
      <c r="A4379"/>
      <c r="B4379"/>
    </row>
    <row r="4380" spans="1:2" x14ac:dyDescent="0.25">
      <c r="A4380"/>
      <c r="B4380"/>
    </row>
    <row r="4381" spans="1:2" x14ac:dyDescent="0.25">
      <c r="A4381"/>
      <c r="B4381"/>
    </row>
    <row r="4382" spans="1:2" x14ac:dyDescent="0.25">
      <c r="A4382"/>
      <c r="B4382"/>
    </row>
    <row r="4383" spans="1:2" x14ac:dyDescent="0.25">
      <c r="A4383"/>
      <c r="B4383"/>
    </row>
    <row r="4384" spans="1:2" x14ac:dyDescent="0.25">
      <c r="A4384"/>
      <c r="B4384"/>
    </row>
    <row r="4385" spans="1:2" x14ac:dyDescent="0.25">
      <c r="A4385"/>
      <c r="B4385"/>
    </row>
    <row r="4386" spans="1:2" x14ac:dyDescent="0.25">
      <c r="A4386"/>
      <c r="B4386"/>
    </row>
    <row r="4387" spans="1:2" x14ac:dyDescent="0.25">
      <c r="A4387"/>
      <c r="B4387"/>
    </row>
    <row r="4388" spans="1:2" x14ac:dyDescent="0.25">
      <c r="A4388"/>
      <c r="B4388"/>
    </row>
    <row r="4389" spans="1:2" x14ac:dyDescent="0.25">
      <c r="A4389"/>
      <c r="B4389"/>
    </row>
    <row r="4390" spans="1:2" x14ac:dyDescent="0.25">
      <c r="A4390"/>
      <c r="B4390"/>
    </row>
    <row r="4391" spans="1:2" x14ac:dyDescent="0.25">
      <c r="A4391"/>
      <c r="B4391"/>
    </row>
    <row r="4392" spans="1:2" x14ac:dyDescent="0.25">
      <c r="A4392"/>
      <c r="B4392"/>
    </row>
    <row r="4393" spans="1:2" x14ac:dyDescent="0.25">
      <c r="A4393"/>
      <c r="B4393"/>
    </row>
    <row r="4394" spans="1:2" x14ac:dyDescent="0.25">
      <c r="A4394"/>
      <c r="B4394"/>
    </row>
    <row r="4395" spans="1:2" x14ac:dyDescent="0.25">
      <c r="A4395"/>
      <c r="B4395"/>
    </row>
    <row r="4396" spans="1:2" x14ac:dyDescent="0.25">
      <c r="A4396"/>
      <c r="B4396"/>
    </row>
    <row r="4397" spans="1:2" x14ac:dyDescent="0.25">
      <c r="A4397"/>
      <c r="B4397"/>
    </row>
    <row r="4398" spans="1:2" x14ac:dyDescent="0.25">
      <c r="A4398"/>
      <c r="B4398"/>
    </row>
    <row r="4399" spans="1:2" x14ac:dyDescent="0.25">
      <c r="A4399"/>
      <c r="B4399"/>
    </row>
    <row r="4400" spans="1:2" x14ac:dyDescent="0.25">
      <c r="A4400"/>
      <c r="B4400"/>
    </row>
    <row r="4401" spans="1:2" x14ac:dyDescent="0.25">
      <c r="A4401"/>
      <c r="B4401"/>
    </row>
    <row r="4402" spans="1:2" x14ac:dyDescent="0.25">
      <c r="A4402"/>
      <c r="B4402"/>
    </row>
    <row r="4403" spans="1:2" x14ac:dyDescent="0.25">
      <c r="A4403"/>
      <c r="B4403"/>
    </row>
    <row r="4404" spans="1:2" x14ac:dyDescent="0.25">
      <c r="A4404"/>
      <c r="B4404"/>
    </row>
    <row r="4405" spans="1:2" x14ac:dyDescent="0.25">
      <c r="A4405"/>
      <c r="B4405"/>
    </row>
    <row r="4406" spans="1:2" x14ac:dyDescent="0.25">
      <c r="A4406"/>
      <c r="B4406"/>
    </row>
    <row r="4407" spans="1:2" x14ac:dyDescent="0.25">
      <c r="A4407"/>
      <c r="B4407"/>
    </row>
    <row r="4408" spans="1:2" x14ac:dyDescent="0.25">
      <c r="A4408"/>
      <c r="B4408"/>
    </row>
    <row r="4409" spans="1:2" x14ac:dyDescent="0.25">
      <c r="A4409"/>
      <c r="B4409"/>
    </row>
    <row r="4410" spans="1:2" x14ac:dyDescent="0.25">
      <c r="A4410"/>
      <c r="B4410"/>
    </row>
    <row r="4411" spans="1:2" x14ac:dyDescent="0.25">
      <c r="A4411"/>
      <c r="B4411"/>
    </row>
    <row r="4412" spans="1:2" x14ac:dyDescent="0.25">
      <c r="A4412"/>
      <c r="B4412"/>
    </row>
    <row r="4413" spans="1:2" x14ac:dyDescent="0.25">
      <c r="A4413"/>
      <c r="B4413"/>
    </row>
    <row r="4414" spans="1:2" x14ac:dyDescent="0.25">
      <c r="A4414"/>
      <c r="B4414"/>
    </row>
    <row r="4415" spans="1:2" x14ac:dyDescent="0.25">
      <c r="A4415"/>
      <c r="B4415"/>
    </row>
    <row r="4416" spans="1:2" x14ac:dyDescent="0.25">
      <c r="A4416"/>
      <c r="B4416"/>
    </row>
    <row r="4417" spans="1:2" x14ac:dyDescent="0.25">
      <c r="A4417"/>
      <c r="B4417"/>
    </row>
    <row r="4418" spans="1:2" x14ac:dyDescent="0.25">
      <c r="A4418"/>
      <c r="B4418"/>
    </row>
    <row r="4419" spans="1:2" x14ac:dyDescent="0.25">
      <c r="A4419"/>
      <c r="B4419"/>
    </row>
    <row r="4420" spans="1:2" x14ac:dyDescent="0.25">
      <c r="A4420"/>
      <c r="B4420"/>
    </row>
    <row r="4421" spans="1:2" x14ac:dyDescent="0.25">
      <c r="A4421"/>
      <c r="B4421"/>
    </row>
    <row r="4422" spans="1:2" x14ac:dyDescent="0.25">
      <c r="A4422"/>
      <c r="B4422"/>
    </row>
    <row r="4423" spans="1:2" x14ac:dyDescent="0.25">
      <c r="A4423"/>
      <c r="B4423"/>
    </row>
    <row r="4424" spans="1:2" x14ac:dyDescent="0.25">
      <c r="A4424"/>
      <c r="B4424"/>
    </row>
    <row r="4425" spans="1:2" x14ac:dyDescent="0.25">
      <c r="A4425"/>
      <c r="B4425"/>
    </row>
    <row r="4426" spans="1:2" x14ac:dyDescent="0.25">
      <c r="A4426"/>
      <c r="B4426"/>
    </row>
    <row r="4427" spans="1:2" x14ac:dyDescent="0.25">
      <c r="A4427"/>
      <c r="B4427"/>
    </row>
    <row r="4428" spans="1:2" x14ac:dyDescent="0.25">
      <c r="A4428"/>
      <c r="B4428"/>
    </row>
    <row r="4429" spans="1:2" x14ac:dyDescent="0.25">
      <c r="A4429"/>
      <c r="B4429"/>
    </row>
    <row r="4430" spans="1:2" x14ac:dyDescent="0.25">
      <c r="A4430"/>
      <c r="B4430"/>
    </row>
    <row r="4431" spans="1:2" x14ac:dyDescent="0.25">
      <c r="A4431"/>
      <c r="B4431"/>
    </row>
    <row r="4432" spans="1:2" x14ac:dyDescent="0.25">
      <c r="A4432"/>
      <c r="B4432"/>
    </row>
    <row r="4433" spans="1:2" x14ac:dyDescent="0.25">
      <c r="A4433"/>
      <c r="B4433"/>
    </row>
    <row r="4434" spans="1:2" x14ac:dyDescent="0.25">
      <c r="A4434"/>
      <c r="B4434"/>
    </row>
    <row r="4435" spans="1:2" x14ac:dyDescent="0.25">
      <c r="A4435"/>
      <c r="B4435"/>
    </row>
    <row r="4436" spans="1:2" x14ac:dyDescent="0.25">
      <c r="A4436"/>
      <c r="B4436"/>
    </row>
    <row r="4437" spans="1:2" x14ac:dyDescent="0.25">
      <c r="A4437"/>
      <c r="B4437"/>
    </row>
    <row r="4438" spans="1:2" x14ac:dyDescent="0.25">
      <c r="A4438"/>
      <c r="B4438"/>
    </row>
    <row r="4439" spans="1:2" x14ac:dyDescent="0.25">
      <c r="A4439"/>
      <c r="B4439"/>
    </row>
    <row r="4440" spans="1:2" x14ac:dyDescent="0.25">
      <c r="A4440"/>
      <c r="B4440"/>
    </row>
    <row r="4441" spans="1:2" x14ac:dyDescent="0.25">
      <c r="A4441"/>
      <c r="B4441"/>
    </row>
    <row r="4442" spans="1:2" x14ac:dyDescent="0.25">
      <c r="A4442"/>
      <c r="B4442"/>
    </row>
    <row r="4443" spans="1:2" x14ac:dyDescent="0.25">
      <c r="A4443"/>
      <c r="B4443"/>
    </row>
    <row r="4444" spans="1:2" x14ac:dyDescent="0.25">
      <c r="A4444"/>
      <c r="B4444"/>
    </row>
    <row r="4445" spans="1:2" x14ac:dyDescent="0.25">
      <c r="A4445"/>
      <c r="B4445"/>
    </row>
    <row r="4446" spans="1:2" x14ac:dyDescent="0.25">
      <c r="A4446"/>
      <c r="B4446"/>
    </row>
    <row r="4447" spans="1:2" x14ac:dyDescent="0.25">
      <c r="A4447"/>
      <c r="B4447"/>
    </row>
    <row r="4448" spans="1:2" x14ac:dyDescent="0.25">
      <c r="A4448"/>
      <c r="B4448"/>
    </row>
    <row r="4449" spans="1:2" x14ac:dyDescent="0.25">
      <c r="A4449"/>
      <c r="B4449"/>
    </row>
    <row r="4450" spans="1:2" x14ac:dyDescent="0.25">
      <c r="A4450"/>
      <c r="B4450"/>
    </row>
    <row r="4451" spans="1:2" x14ac:dyDescent="0.25">
      <c r="A4451"/>
      <c r="B4451"/>
    </row>
    <row r="4452" spans="1:2" x14ac:dyDescent="0.25">
      <c r="A4452"/>
      <c r="B4452"/>
    </row>
    <row r="4453" spans="1:2" x14ac:dyDescent="0.25">
      <c r="A4453"/>
      <c r="B4453"/>
    </row>
    <row r="4454" spans="1:2" x14ac:dyDescent="0.25">
      <c r="A4454"/>
      <c r="B4454"/>
    </row>
    <row r="4455" spans="1:2" x14ac:dyDescent="0.25">
      <c r="A4455"/>
      <c r="B4455"/>
    </row>
    <row r="4456" spans="1:2" x14ac:dyDescent="0.25">
      <c r="A4456"/>
      <c r="B4456"/>
    </row>
    <row r="4457" spans="1:2" x14ac:dyDescent="0.25">
      <c r="A4457"/>
      <c r="B4457"/>
    </row>
    <row r="4458" spans="1:2" x14ac:dyDescent="0.25">
      <c r="A4458"/>
      <c r="B4458"/>
    </row>
    <row r="4459" spans="1:2" x14ac:dyDescent="0.25">
      <c r="A4459"/>
      <c r="B4459"/>
    </row>
    <row r="4460" spans="1:2" x14ac:dyDescent="0.25">
      <c r="A4460"/>
      <c r="B4460"/>
    </row>
    <row r="4461" spans="1:2" x14ac:dyDescent="0.25">
      <c r="A4461"/>
      <c r="B4461"/>
    </row>
    <row r="4462" spans="1:2" x14ac:dyDescent="0.25">
      <c r="A4462"/>
      <c r="B4462"/>
    </row>
    <row r="4463" spans="1:2" x14ac:dyDescent="0.25">
      <c r="A4463"/>
      <c r="B4463"/>
    </row>
    <row r="4464" spans="1:2" x14ac:dyDescent="0.25">
      <c r="A4464"/>
      <c r="B4464"/>
    </row>
    <row r="4465" spans="1:2" x14ac:dyDescent="0.25">
      <c r="A4465"/>
      <c r="B4465"/>
    </row>
    <row r="4466" spans="1:2" x14ac:dyDescent="0.25">
      <c r="A4466"/>
      <c r="B4466"/>
    </row>
    <row r="4467" spans="1:2" x14ac:dyDescent="0.25">
      <c r="A4467"/>
      <c r="B4467"/>
    </row>
    <row r="4468" spans="1:2" x14ac:dyDescent="0.25">
      <c r="A4468"/>
      <c r="B4468"/>
    </row>
    <row r="4469" spans="1:2" x14ac:dyDescent="0.25">
      <c r="A4469"/>
      <c r="B4469"/>
    </row>
    <row r="4470" spans="1:2" x14ac:dyDescent="0.25">
      <c r="A4470"/>
      <c r="B4470"/>
    </row>
    <row r="4471" spans="1:2" x14ac:dyDescent="0.25">
      <c r="A4471"/>
      <c r="B4471"/>
    </row>
    <row r="4472" spans="1:2" x14ac:dyDescent="0.25">
      <c r="A4472"/>
      <c r="B4472"/>
    </row>
    <row r="4473" spans="1:2" x14ac:dyDescent="0.25">
      <c r="A4473"/>
      <c r="B4473"/>
    </row>
    <row r="4474" spans="1:2" x14ac:dyDescent="0.25">
      <c r="A4474"/>
      <c r="B4474"/>
    </row>
    <row r="4475" spans="1:2" x14ac:dyDescent="0.25">
      <c r="A4475"/>
      <c r="B4475"/>
    </row>
    <row r="4476" spans="1:2" x14ac:dyDescent="0.25">
      <c r="A4476"/>
      <c r="B4476"/>
    </row>
    <row r="4477" spans="1:2" x14ac:dyDescent="0.25">
      <c r="A4477"/>
      <c r="B4477"/>
    </row>
    <row r="4478" spans="1:2" x14ac:dyDescent="0.25">
      <c r="A4478"/>
      <c r="B4478"/>
    </row>
    <row r="4479" spans="1:2" x14ac:dyDescent="0.25">
      <c r="A4479"/>
      <c r="B4479"/>
    </row>
    <row r="4480" spans="1:2" x14ac:dyDescent="0.25">
      <c r="A4480"/>
      <c r="B4480"/>
    </row>
    <row r="4481" spans="1:2" x14ac:dyDescent="0.25">
      <c r="A4481"/>
      <c r="B4481"/>
    </row>
    <row r="4482" spans="1:2" x14ac:dyDescent="0.25">
      <c r="A4482"/>
      <c r="B4482"/>
    </row>
    <row r="4483" spans="1:2" x14ac:dyDescent="0.25">
      <c r="A4483"/>
      <c r="B4483"/>
    </row>
    <row r="4484" spans="1:2" x14ac:dyDescent="0.25">
      <c r="A4484"/>
      <c r="B4484"/>
    </row>
    <row r="4485" spans="1:2" x14ac:dyDescent="0.25">
      <c r="A4485"/>
      <c r="B4485"/>
    </row>
    <row r="4486" spans="1:2" x14ac:dyDescent="0.25">
      <c r="A4486"/>
      <c r="B4486"/>
    </row>
    <row r="4487" spans="1:2" x14ac:dyDescent="0.25">
      <c r="A4487"/>
      <c r="B4487"/>
    </row>
    <row r="4488" spans="1:2" x14ac:dyDescent="0.25">
      <c r="A4488"/>
      <c r="B4488"/>
    </row>
    <row r="4489" spans="1:2" x14ac:dyDescent="0.25">
      <c r="A4489"/>
      <c r="B4489"/>
    </row>
    <row r="4490" spans="1:2" x14ac:dyDescent="0.25">
      <c r="A4490"/>
      <c r="B4490"/>
    </row>
    <row r="4491" spans="1:2" x14ac:dyDescent="0.25">
      <c r="A4491"/>
      <c r="B4491"/>
    </row>
    <row r="4492" spans="1:2" x14ac:dyDescent="0.25">
      <c r="A4492"/>
      <c r="B4492"/>
    </row>
    <row r="4493" spans="1:2" x14ac:dyDescent="0.25">
      <c r="A4493"/>
      <c r="B4493"/>
    </row>
    <row r="4494" spans="1:2" x14ac:dyDescent="0.25">
      <c r="A4494"/>
      <c r="B4494"/>
    </row>
    <row r="4495" spans="1:2" x14ac:dyDescent="0.25">
      <c r="A4495"/>
      <c r="B4495"/>
    </row>
    <row r="4496" spans="1:2" x14ac:dyDescent="0.25">
      <c r="A4496"/>
      <c r="B4496"/>
    </row>
    <row r="4497" spans="1:2" x14ac:dyDescent="0.25">
      <c r="A4497"/>
      <c r="B4497"/>
    </row>
    <row r="4498" spans="1:2" x14ac:dyDescent="0.25">
      <c r="A4498"/>
      <c r="B4498"/>
    </row>
    <row r="4499" spans="1:2" x14ac:dyDescent="0.25">
      <c r="A4499"/>
      <c r="B4499"/>
    </row>
    <row r="4500" spans="1:2" x14ac:dyDescent="0.25">
      <c r="A4500"/>
      <c r="B4500"/>
    </row>
    <row r="4501" spans="1:2" x14ac:dyDescent="0.25">
      <c r="A4501"/>
      <c r="B4501"/>
    </row>
    <row r="4502" spans="1:2" x14ac:dyDescent="0.25">
      <c r="A4502"/>
      <c r="B4502"/>
    </row>
    <row r="4503" spans="1:2" x14ac:dyDescent="0.25">
      <c r="A4503"/>
      <c r="B4503"/>
    </row>
    <row r="4504" spans="1:2" x14ac:dyDescent="0.25">
      <c r="A4504"/>
      <c r="B4504"/>
    </row>
    <row r="4505" spans="1:2" x14ac:dyDescent="0.25">
      <c r="A4505"/>
      <c r="B4505"/>
    </row>
    <row r="4506" spans="1:2" x14ac:dyDescent="0.25">
      <c r="A4506"/>
      <c r="B4506"/>
    </row>
    <row r="4507" spans="1:2" x14ac:dyDescent="0.25">
      <c r="A4507"/>
      <c r="B4507"/>
    </row>
    <row r="4508" spans="1:2" x14ac:dyDescent="0.25">
      <c r="A4508"/>
      <c r="B4508"/>
    </row>
    <row r="4509" spans="1:2" x14ac:dyDescent="0.25">
      <c r="A4509"/>
      <c r="B4509"/>
    </row>
    <row r="4510" spans="1:2" x14ac:dyDescent="0.25">
      <c r="A4510"/>
      <c r="B4510"/>
    </row>
    <row r="4511" spans="1:2" x14ac:dyDescent="0.25">
      <c r="A4511"/>
      <c r="B4511"/>
    </row>
    <row r="4512" spans="1:2" x14ac:dyDescent="0.25">
      <c r="A4512"/>
      <c r="B4512"/>
    </row>
    <row r="4513" spans="1:2" x14ac:dyDescent="0.25">
      <c r="A4513"/>
      <c r="B4513"/>
    </row>
    <row r="4514" spans="1:2" x14ac:dyDescent="0.25">
      <c r="A4514"/>
      <c r="B4514"/>
    </row>
    <row r="4515" spans="1:2" x14ac:dyDescent="0.25">
      <c r="A4515"/>
      <c r="B4515"/>
    </row>
    <row r="4516" spans="1:2" x14ac:dyDescent="0.25">
      <c r="A4516"/>
      <c r="B4516"/>
    </row>
    <row r="4517" spans="1:2" x14ac:dyDescent="0.25">
      <c r="A4517"/>
      <c r="B4517"/>
    </row>
    <row r="4518" spans="1:2" x14ac:dyDescent="0.25">
      <c r="A4518"/>
      <c r="B4518"/>
    </row>
    <row r="4519" spans="1:2" x14ac:dyDescent="0.25">
      <c r="A4519"/>
      <c r="B4519"/>
    </row>
    <row r="4520" spans="1:2" x14ac:dyDescent="0.25">
      <c r="A4520"/>
      <c r="B4520"/>
    </row>
    <row r="4521" spans="1:2" x14ac:dyDescent="0.25">
      <c r="A4521"/>
      <c r="B4521"/>
    </row>
    <row r="4522" spans="1:2" x14ac:dyDescent="0.25">
      <c r="A4522"/>
      <c r="B4522"/>
    </row>
    <row r="4523" spans="1:2" x14ac:dyDescent="0.25">
      <c r="A4523"/>
      <c r="B4523"/>
    </row>
    <row r="4524" spans="1:2" x14ac:dyDescent="0.25">
      <c r="A4524"/>
      <c r="B4524"/>
    </row>
    <row r="4525" spans="1:2" x14ac:dyDescent="0.25">
      <c r="A4525"/>
      <c r="B4525"/>
    </row>
    <row r="4526" spans="1:2" x14ac:dyDescent="0.25">
      <c r="A4526"/>
      <c r="B4526"/>
    </row>
    <row r="4527" spans="1:2" x14ac:dyDescent="0.25">
      <c r="A4527"/>
      <c r="B4527"/>
    </row>
    <row r="4528" spans="1:2" x14ac:dyDescent="0.25">
      <c r="A4528"/>
      <c r="B4528"/>
    </row>
    <row r="4529" spans="1:2" x14ac:dyDescent="0.25">
      <c r="A4529"/>
      <c r="B4529"/>
    </row>
    <row r="4530" spans="1:2" x14ac:dyDescent="0.25">
      <c r="A4530"/>
      <c r="B4530"/>
    </row>
    <row r="4531" spans="1:2" x14ac:dyDescent="0.25">
      <c r="A4531"/>
      <c r="B4531"/>
    </row>
    <row r="4532" spans="1:2" x14ac:dyDescent="0.25">
      <c r="A4532"/>
      <c r="B4532"/>
    </row>
    <row r="4533" spans="1:2" x14ac:dyDescent="0.25">
      <c r="A4533"/>
      <c r="B4533"/>
    </row>
    <row r="4534" spans="1:2" x14ac:dyDescent="0.25">
      <c r="A4534"/>
      <c r="B4534"/>
    </row>
    <row r="4535" spans="1:2" x14ac:dyDescent="0.25">
      <c r="A4535"/>
      <c r="B4535"/>
    </row>
    <row r="4536" spans="1:2" x14ac:dyDescent="0.25">
      <c r="A4536"/>
      <c r="B4536"/>
    </row>
    <row r="4537" spans="1:2" x14ac:dyDescent="0.25">
      <c r="A4537"/>
      <c r="B4537"/>
    </row>
    <row r="4538" spans="1:2" x14ac:dyDescent="0.25">
      <c r="A4538"/>
      <c r="B4538"/>
    </row>
    <row r="4539" spans="1:2" x14ac:dyDescent="0.25">
      <c r="A4539"/>
      <c r="B4539"/>
    </row>
    <row r="4540" spans="1:2" x14ac:dyDescent="0.25">
      <c r="A4540"/>
      <c r="B4540"/>
    </row>
    <row r="4541" spans="1:2" x14ac:dyDescent="0.25">
      <c r="A4541"/>
      <c r="B4541"/>
    </row>
    <row r="4542" spans="1:2" x14ac:dyDescent="0.25">
      <c r="A4542"/>
      <c r="B4542"/>
    </row>
    <row r="4543" spans="1:2" x14ac:dyDescent="0.25">
      <c r="A4543"/>
      <c r="B4543"/>
    </row>
    <row r="4544" spans="1:2" x14ac:dyDescent="0.25">
      <c r="A4544"/>
      <c r="B4544"/>
    </row>
    <row r="4545" spans="1:2" x14ac:dyDescent="0.25">
      <c r="A4545"/>
      <c r="B4545"/>
    </row>
    <row r="4546" spans="1:2" x14ac:dyDescent="0.25">
      <c r="A4546"/>
      <c r="B4546"/>
    </row>
    <row r="4547" spans="1:2" x14ac:dyDescent="0.25">
      <c r="A4547"/>
      <c r="B4547"/>
    </row>
    <row r="4548" spans="1:2" x14ac:dyDescent="0.25">
      <c r="A4548"/>
      <c r="B4548"/>
    </row>
    <row r="4549" spans="1:2" x14ac:dyDescent="0.25">
      <c r="A4549"/>
      <c r="B4549"/>
    </row>
    <row r="4550" spans="1:2" x14ac:dyDescent="0.25">
      <c r="A4550"/>
      <c r="B4550"/>
    </row>
    <row r="4551" spans="1:2" x14ac:dyDescent="0.25">
      <c r="A4551"/>
      <c r="B4551"/>
    </row>
    <row r="4552" spans="1:2" x14ac:dyDescent="0.25">
      <c r="A4552"/>
      <c r="B4552"/>
    </row>
    <row r="4553" spans="1:2" x14ac:dyDescent="0.25">
      <c r="A4553"/>
      <c r="B4553"/>
    </row>
    <row r="4554" spans="1:2" x14ac:dyDescent="0.25">
      <c r="A4554"/>
      <c r="B4554"/>
    </row>
    <row r="4555" spans="1:2" x14ac:dyDescent="0.25">
      <c r="A4555"/>
      <c r="B4555"/>
    </row>
    <row r="4556" spans="1:2" x14ac:dyDescent="0.25">
      <c r="A4556"/>
      <c r="B4556"/>
    </row>
    <row r="4557" spans="1:2" x14ac:dyDescent="0.25">
      <c r="A4557"/>
      <c r="B4557"/>
    </row>
    <row r="4558" spans="1:2" x14ac:dyDescent="0.25">
      <c r="A4558"/>
      <c r="B4558"/>
    </row>
    <row r="4559" spans="1:2" x14ac:dyDescent="0.25">
      <c r="A4559"/>
      <c r="B4559"/>
    </row>
    <row r="4560" spans="1:2" x14ac:dyDescent="0.25">
      <c r="A4560"/>
      <c r="B4560"/>
    </row>
    <row r="4561" spans="1:2" x14ac:dyDescent="0.25">
      <c r="A4561"/>
      <c r="B4561"/>
    </row>
    <row r="4562" spans="1:2" x14ac:dyDescent="0.25">
      <c r="A4562"/>
      <c r="B4562"/>
    </row>
    <row r="4563" spans="1:2" x14ac:dyDescent="0.25">
      <c r="A4563"/>
      <c r="B4563"/>
    </row>
    <row r="4564" spans="1:2" x14ac:dyDescent="0.25">
      <c r="A4564"/>
      <c r="B4564"/>
    </row>
    <row r="4565" spans="1:2" x14ac:dyDescent="0.25">
      <c r="A4565"/>
      <c r="B4565"/>
    </row>
    <row r="4566" spans="1:2" x14ac:dyDescent="0.25">
      <c r="A4566"/>
      <c r="B4566"/>
    </row>
    <row r="4567" spans="1:2" x14ac:dyDescent="0.25">
      <c r="A4567"/>
      <c r="B4567"/>
    </row>
    <row r="4568" spans="1:2" x14ac:dyDescent="0.25">
      <c r="A4568"/>
      <c r="B4568"/>
    </row>
    <row r="4569" spans="1:2" x14ac:dyDescent="0.25">
      <c r="A4569"/>
      <c r="B4569"/>
    </row>
    <row r="4570" spans="1:2" x14ac:dyDescent="0.25">
      <c r="A4570"/>
      <c r="B4570"/>
    </row>
    <row r="4571" spans="1:2" x14ac:dyDescent="0.25">
      <c r="A4571"/>
      <c r="B4571"/>
    </row>
    <row r="4572" spans="1:2" x14ac:dyDescent="0.25">
      <c r="A4572"/>
      <c r="B4572"/>
    </row>
    <row r="4573" spans="1:2" x14ac:dyDescent="0.25">
      <c r="A4573"/>
      <c r="B4573"/>
    </row>
    <row r="4574" spans="1:2" x14ac:dyDescent="0.25">
      <c r="A4574"/>
      <c r="B4574"/>
    </row>
    <row r="4575" spans="1:2" x14ac:dyDescent="0.25">
      <c r="A4575"/>
      <c r="B4575"/>
    </row>
    <row r="4576" spans="1:2" x14ac:dyDescent="0.25">
      <c r="A4576"/>
      <c r="B4576"/>
    </row>
    <row r="4577" spans="1:2" x14ac:dyDescent="0.25">
      <c r="A4577"/>
      <c r="B4577"/>
    </row>
    <row r="4578" spans="1:2" x14ac:dyDescent="0.25">
      <c r="A4578"/>
      <c r="B4578"/>
    </row>
    <row r="4579" spans="1:2" x14ac:dyDescent="0.25">
      <c r="A4579"/>
      <c r="B4579"/>
    </row>
    <row r="4580" spans="1:2" x14ac:dyDescent="0.25">
      <c r="A4580"/>
      <c r="B4580"/>
    </row>
    <row r="4581" spans="1:2" x14ac:dyDescent="0.25">
      <c r="A4581"/>
      <c r="B4581"/>
    </row>
    <row r="4582" spans="1:2" x14ac:dyDescent="0.25">
      <c r="A4582"/>
      <c r="B4582"/>
    </row>
    <row r="4583" spans="1:2" x14ac:dyDescent="0.25">
      <c r="A4583"/>
      <c r="B4583"/>
    </row>
    <row r="4584" spans="1:2" x14ac:dyDescent="0.25">
      <c r="A4584"/>
      <c r="B4584"/>
    </row>
    <row r="4585" spans="1:2" x14ac:dyDescent="0.25">
      <c r="A4585"/>
      <c r="B4585"/>
    </row>
    <row r="4586" spans="1:2" x14ac:dyDescent="0.25">
      <c r="A4586"/>
      <c r="B4586"/>
    </row>
    <row r="4587" spans="1:2" x14ac:dyDescent="0.25">
      <c r="A4587"/>
      <c r="B4587"/>
    </row>
    <row r="4588" spans="1:2" x14ac:dyDescent="0.25">
      <c r="A4588"/>
      <c r="B4588"/>
    </row>
    <row r="4589" spans="1:2" x14ac:dyDescent="0.25">
      <c r="A4589"/>
      <c r="B4589"/>
    </row>
    <row r="4590" spans="1:2" x14ac:dyDescent="0.25">
      <c r="A4590"/>
      <c r="B4590"/>
    </row>
    <row r="4591" spans="1:2" x14ac:dyDescent="0.25">
      <c r="A4591"/>
      <c r="B4591"/>
    </row>
    <row r="4592" spans="1:2" x14ac:dyDescent="0.25">
      <c r="A4592"/>
      <c r="B4592"/>
    </row>
    <row r="4593" spans="1:2" x14ac:dyDescent="0.25">
      <c r="A4593"/>
      <c r="B4593"/>
    </row>
    <row r="4594" spans="1:2" x14ac:dyDescent="0.25">
      <c r="A4594"/>
      <c r="B4594"/>
    </row>
    <row r="4595" spans="1:2" x14ac:dyDescent="0.25">
      <c r="A4595"/>
      <c r="B4595"/>
    </row>
    <row r="4596" spans="1:2" x14ac:dyDescent="0.25">
      <c r="A4596"/>
      <c r="B4596"/>
    </row>
    <row r="4597" spans="1:2" x14ac:dyDescent="0.25">
      <c r="A4597"/>
      <c r="B4597"/>
    </row>
    <row r="4598" spans="1:2" x14ac:dyDescent="0.25">
      <c r="A4598"/>
      <c r="B4598"/>
    </row>
    <row r="4599" spans="1:2" x14ac:dyDescent="0.25">
      <c r="A4599"/>
      <c r="B4599"/>
    </row>
    <row r="4600" spans="1:2" x14ac:dyDescent="0.25">
      <c r="A4600"/>
      <c r="B4600"/>
    </row>
    <row r="4601" spans="1:2" x14ac:dyDescent="0.25">
      <c r="A4601"/>
      <c r="B4601"/>
    </row>
    <row r="4602" spans="1:2" x14ac:dyDescent="0.25">
      <c r="A4602"/>
      <c r="B4602"/>
    </row>
    <row r="4603" spans="1:2" x14ac:dyDescent="0.25">
      <c r="A4603"/>
      <c r="B4603"/>
    </row>
    <row r="4604" spans="1:2" x14ac:dyDescent="0.25">
      <c r="A4604"/>
      <c r="B4604"/>
    </row>
    <row r="4605" spans="1:2" x14ac:dyDescent="0.25">
      <c r="A4605"/>
      <c r="B4605"/>
    </row>
    <row r="4606" spans="1:2" x14ac:dyDescent="0.25">
      <c r="A4606"/>
      <c r="B4606"/>
    </row>
    <row r="4607" spans="1:2" x14ac:dyDescent="0.25">
      <c r="A4607"/>
      <c r="B4607"/>
    </row>
    <row r="4608" spans="1:2" x14ac:dyDescent="0.25">
      <c r="A4608"/>
      <c r="B4608"/>
    </row>
    <row r="4609" spans="1:2" x14ac:dyDescent="0.25">
      <c r="A4609"/>
      <c r="B4609"/>
    </row>
    <row r="4610" spans="1:2" x14ac:dyDescent="0.25">
      <c r="A4610"/>
      <c r="B4610"/>
    </row>
    <row r="4611" spans="1:2" x14ac:dyDescent="0.25">
      <c r="A4611"/>
      <c r="B4611"/>
    </row>
    <row r="4612" spans="1:2" x14ac:dyDescent="0.25">
      <c r="A4612"/>
      <c r="B4612"/>
    </row>
    <row r="4613" spans="1:2" x14ac:dyDescent="0.25">
      <c r="A4613"/>
      <c r="B4613"/>
    </row>
    <row r="4614" spans="1:2" x14ac:dyDescent="0.25">
      <c r="A4614"/>
      <c r="B4614"/>
    </row>
    <row r="4615" spans="1:2" x14ac:dyDescent="0.25">
      <c r="A4615"/>
      <c r="B4615"/>
    </row>
    <row r="4616" spans="1:2" x14ac:dyDescent="0.25">
      <c r="A4616"/>
      <c r="B4616"/>
    </row>
    <row r="4617" spans="1:2" x14ac:dyDescent="0.25">
      <c r="A4617"/>
      <c r="B4617"/>
    </row>
    <row r="4618" spans="1:2" x14ac:dyDescent="0.25">
      <c r="A4618"/>
      <c r="B4618"/>
    </row>
    <row r="4619" spans="1:2" x14ac:dyDescent="0.25">
      <c r="A4619"/>
      <c r="B4619"/>
    </row>
    <row r="4620" spans="1:2" x14ac:dyDescent="0.25">
      <c r="A4620"/>
      <c r="B4620"/>
    </row>
    <row r="4621" spans="1:2" x14ac:dyDescent="0.25">
      <c r="A4621"/>
      <c r="B4621"/>
    </row>
    <row r="4622" spans="1:2" x14ac:dyDescent="0.25">
      <c r="A4622"/>
      <c r="B4622"/>
    </row>
    <row r="4623" spans="1:2" x14ac:dyDescent="0.25">
      <c r="A4623"/>
      <c r="B4623"/>
    </row>
    <row r="4624" spans="1:2" x14ac:dyDescent="0.25">
      <c r="A4624"/>
      <c r="B4624"/>
    </row>
    <row r="4625" spans="1:2" x14ac:dyDescent="0.25">
      <c r="A4625"/>
      <c r="B4625"/>
    </row>
    <row r="4626" spans="1:2" x14ac:dyDescent="0.25">
      <c r="A4626"/>
      <c r="B4626"/>
    </row>
    <row r="4627" spans="1:2" x14ac:dyDescent="0.25">
      <c r="A4627"/>
      <c r="B4627"/>
    </row>
    <row r="4628" spans="1:2" x14ac:dyDescent="0.25">
      <c r="A4628"/>
      <c r="B4628"/>
    </row>
    <row r="4629" spans="1:2" x14ac:dyDescent="0.25">
      <c r="A4629"/>
      <c r="B4629"/>
    </row>
    <row r="4630" spans="1:2" x14ac:dyDescent="0.25">
      <c r="A4630"/>
      <c r="B4630"/>
    </row>
    <row r="4631" spans="1:2" x14ac:dyDescent="0.25">
      <c r="A4631"/>
      <c r="B4631"/>
    </row>
    <row r="4632" spans="1:2" x14ac:dyDescent="0.25">
      <c r="A4632"/>
      <c r="B4632"/>
    </row>
    <row r="4633" spans="1:2" x14ac:dyDescent="0.25">
      <c r="A4633"/>
      <c r="B4633"/>
    </row>
    <row r="4634" spans="1:2" x14ac:dyDescent="0.25">
      <c r="A4634"/>
      <c r="B4634"/>
    </row>
    <row r="4635" spans="1:2" x14ac:dyDescent="0.25">
      <c r="A4635"/>
      <c r="B4635"/>
    </row>
    <row r="4636" spans="1:2" x14ac:dyDescent="0.25">
      <c r="A4636"/>
      <c r="B4636"/>
    </row>
    <row r="4637" spans="1:2" x14ac:dyDescent="0.25">
      <c r="A4637"/>
      <c r="B4637"/>
    </row>
    <row r="4638" spans="1:2" x14ac:dyDescent="0.25">
      <c r="A4638"/>
      <c r="B4638"/>
    </row>
    <row r="4639" spans="1:2" x14ac:dyDescent="0.25">
      <c r="A4639"/>
      <c r="B4639"/>
    </row>
    <row r="4640" spans="1:2" x14ac:dyDescent="0.25">
      <c r="A4640"/>
      <c r="B4640"/>
    </row>
    <row r="4641" spans="1:2" x14ac:dyDescent="0.25">
      <c r="A4641"/>
      <c r="B4641"/>
    </row>
    <row r="4642" spans="1:2" x14ac:dyDescent="0.25">
      <c r="A4642"/>
      <c r="B4642"/>
    </row>
    <row r="4643" spans="1:2" x14ac:dyDescent="0.25">
      <c r="A4643"/>
      <c r="B4643"/>
    </row>
    <row r="4644" spans="1:2" x14ac:dyDescent="0.25">
      <c r="A4644"/>
      <c r="B4644"/>
    </row>
    <row r="4645" spans="1:2" x14ac:dyDescent="0.25">
      <c r="A4645"/>
      <c r="B4645"/>
    </row>
    <row r="4646" spans="1:2" x14ac:dyDescent="0.25">
      <c r="A4646"/>
      <c r="B4646"/>
    </row>
    <row r="4647" spans="1:2" x14ac:dyDescent="0.25">
      <c r="A4647"/>
      <c r="B4647"/>
    </row>
    <row r="4648" spans="1:2" x14ac:dyDescent="0.25">
      <c r="A4648"/>
      <c r="B4648"/>
    </row>
    <row r="4649" spans="1:2" x14ac:dyDescent="0.25">
      <c r="A4649"/>
      <c r="B4649"/>
    </row>
    <row r="4650" spans="1:2" x14ac:dyDescent="0.25">
      <c r="A4650"/>
      <c r="B4650"/>
    </row>
    <row r="4651" spans="1:2" x14ac:dyDescent="0.25">
      <c r="A4651"/>
      <c r="B4651"/>
    </row>
    <row r="4652" spans="1:2" x14ac:dyDescent="0.25">
      <c r="A4652"/>
      <c r="B4652"/>
    </row>
    <row r="4653" spans="1:2" x14ac:dyDescent="0.25">
      <c r="A4653"/>
      <c r="B4653"/>
    </row>
    <row r="4654" spans="1:2" x14ac:dyDescent="0.25">
      <c r="A4654"/>
      <c r="B4654"/>
    </row>
    <row r="4655" spans="1:2" x14ac:dyDescent="0.25">
      <c r="A4655"/>
      <c r="B4655"/>
    </row>
    <row r="4656" spans="1:2" x14ac:dyDescent="0.25">
      <c r="A4656"/>
      <c r="B4656"/>
    </row>
    <row r="4657" spans="1:2" x14ac:dyDescent="0.25">
      <c r="A4657"/>
      <c r="B4657"/>
    </row>
    <row r="4658" spans="1:2" x14ac:dyDescent="0.25">
      <c r="A4658"/>
      <c r="B4658"/>
    </row>
    <row r="4659" spans="1:2" x14ac:dyDescent="0.25">
      <c r="A4659"/>
      <c r="B4659"/>
    </row>
    <row r="4660" spans="1:2" x14ac:dyDescent="0.25">
      <c r="A4660"/>
      <c r="B4660"/>
    </row>
    <row r="4661" spans="1:2" x14ac:dyDescent="0.25">
      <c r="A4661"/>
      <c r="B4661"/>
    </row>
    <row r="4662" spans="1:2" x14ac:dyDescent="0.25">
      <c r="A4662"/>
      <c r="B4662"/>
    </row>
    <row r="4663" spans="1:2" x14ac:dyDescent="0.25">
      <c r="A4663"/>
      <c r="B4663"/>
    </row>
    <row r="4664" spans="1:2" x14ac:dyDescent="0.25">
      <c r="A4664"/>
      <c r="B4664"/>
    </row>
    <row r="4665" spans="1:2" x14ac:dyDescent="0.25">
      <c r="A4665"/>
      <c r="B4665"/>
    </row>
    <row r="4666" spans="1:2" x14ac:dyDescent="0.25">
      <c r="A4666"/>
      <c r="B4666"/>
    </row>
    <row r="4667" spans="1:2" x14ac:dyDescent="0.25">
      <c r="A4667"/>
      <c r="B4667"/>
    </row>
    <row r="4668" spans="1:2" x14ac:dyDescent="0.25">
      <c r="A4668"/>
      <c r="B4668"/>
    </row>
    <row r="4669" spans="1:2" x14ac:dyDescent="0.25">
      <c r="A4669"/>
      <c r="B4669"/>
    </row>
    <row r="4670" spans="1:2" x14ac:dyDescent="0.25">
      <c r="A4670"/>
      <c r="B4670"/>
    </row>
    <row r="4671" spans="1:2" x14ac:dyDescent="0.25">
      <c r="A4671"/>
      <c r="B4671"/>
    </row>
    <row r="4672" spans="1:2" x14ac:dyDescent="0.25">
      <c r="A4672"/>
      <c r="B4672"/>
    </row>
    <row r="4673" spans="1:2" x14ac:dyDescent="0.25">
      <c r="A4673"/>
      <c r="B4673"/>
    </row>
    <row r="4674" spans="1:2" x14ac:dyDescent="0.25">
      <c r="A4674"/>
      <c r="B4674"/>
    </row>
    <row r="4675" spans="1:2" x14ac:dyDescent="0.25">
      <c r="A4675"/>
      <c r="B4675"/>
    </row>
    <row r="4676" spans="1:2" x14ac:dyDescent="0.25">
      <c r="A4676"/>
      <c r="B4676"/>
    </row>
    <row r="4677" spans="1:2" x14ac:dyDescent="0.25">
      <c r="A4677"/>
      <c r="B4677"/>
    </row>
    <row r="4678" spans="1:2" x14ac:dyDescent="0.25">
      <c r="A4678"/>
      <c r="B4678"/>
    </row>
    <row r="4679" spans="1:2" x14ac:dyDescent="0.25">
      <c r="A4679"/>
      <c r="B4679"/>
    </row>
    <row r="4680" spans="1:2" x14ac:dyDescent="0.25">
      <c r="A4680"/>
      <c r="B4680"/>
    </row>
    <row r="4681" spans="1:2" x14ac:dyDescent="0.25">
      <c r="A4681"/>
      <c r="B4681"/>
    </row>
    <row r="4682" spans="1:2" x14ac:dyDescent="0.25">
      <c r="A4682"/>
      <c r="B4682"/>
    </row>
    <row r="4683" spans="1:2" x14ac:dyDescent="0.25">
      <c r="A4683"/>
      <c r="B4683"/>
    </row>
    <row r="4684" spans="1:2" x14ac:dyDescent="0.25">
      <c r="A4684"/>
      <c r="B4684"/>
    </row>
    <row r="4685" spans="1:2" x14ac:dyDescent="0.25">
      <c r="A4685"/>
      <c r="B4685"/>
    </row>
    <row r="4686" spans="1:2" x14ac:dyDescent="0.25">
      <c r="A4686"/>
      <c r="B4686"/>
    </row>
    <row r="4687" spans="1:2" x14ac:dyDescent="0.25">
      <c r="A4687"/>
      <c r="B4687"/>
    </row>
    <row r="4688" spans="1:2" x14ac:dyDescent="0.25">
      <c r="A4688"/>
      <c r="B4688"/>
    </row>
    <row r="4689" spans="1:2" x14ac:dyDescent="0.25">
      <c r="A4689"/>
      <c r="B4689"/>
    </row>
    <row r="4690" spans="1:2" x14ac:dyDescent="0.25">
      <c r="A4690"/>
      <c r="B4690"/>
    </row>
    <row r="4691" spans="1:2" x14ac:dyDescent="0.25">
      <c r="A4691"/>
      <c r="B4691"/>
    </row>
    <row r="4692" spans="1:2" x14ac:dyDescent="0.25">
      <c r="A4692"/>
      <c r="B4692"/>
    </row>
    <row r="4693" spans="1:2" x14ac:dyDescent="0.25">
      <c r="A4693"/>
      <c r="B4693"/>
    </row>
    <row r="4694" spans="1:2" x14ac:dyDescent="0.25">
      <c r="A4694"/>
      <c r="B4694"/>
    </row>
    <row r="4695" spans="1:2" x14ac:dyDescent="0.25">
      <c r="A4695"/>
      <c r="B4695"/>
    </row>
    <row r="4696" spans="1:2" x14ac:dyDescent="0.25">
      <c r="A4696"/>
      <c r="B4696"/>
    </row>
    <row r="4697" spans="1:2" x14ac:dyDescent="0.25">
      <c r="A4697"/>
      <c r="B4697"/>
    </row>
    <row r="4698" spans="1:2" x14ac:dyDescent="0.25">
      <c r="A4698"/>
      <c r="B4698"/>
    </row>
    <row r="4699" spans="1:2" x14ac:dyDescent="0.25">
      <c r="A4699"/>
      <c r="B4699"/>
    </row>
    <row r="4700" spans="1:2" x14ac:dyDescent="0.25">
      <c r="A4700"/>
      <c r="B4700"/>
    </row>
    <row r="4701" spans="1:2" x14ac:dyDescent="0.25">
      <c r="A4701"/>
      <c r="B4701"/>
    </row>
    <row r="4702" spans="1:2" x14ac:dyDescent="0.25">
      <c r="A4702"/>
      <c r="B4702"/>
    </row>
    <row r="4703" spans="1:2" x14ac:dyDescent="0.25">
      <c r="A4703"/>
      <c r="B4703"/>
    </row>
    <row r="4704" spans="1:2" x14ac:dyDescent="0.25">
      <c r="A4704"/>
      <c r="B4704"/>
    </row>
    <row r="4705" spans="1:2" x14ac:dyDescent="0.25">
      <c r="A4705"/>
      <c r="B4705"/>
    </row>
    <row r="4706" spans="1:2" x14ac:dyDescent="0.25">
      <c r="A4706"/>
      <c r="B4706"/>
    </row>
    <row r="4707" spans="1:2" x14ac:dyDescent="0.25">
      <c r="A4707"/>
      <c r="B4707"/>
    </row>
    <row r="4708" spans="1:2" x14ac:dyDescent="0.25">
      <c r="A4708"/>
      <c r="B4708"/>
    </row>
    <row r="4709" spans="1:2" x14ac:dyDescent="0.25">
      <c r="A4709"/>
      <c r="B4709"/>
    </row>
    <row r="4710" spans="1:2" x14ac:dyDescent="0.25">
      <c r="A4710"/>
      <c r="B4710"/>
    </row>
    <row r="4711" spans="1:2" x14ac:dyDescent="0.25">
      <c r="A4711"/>
      <c r="B4711"/>
    </row>
    <row r="4712" spans="1:2" x14ac:dyDescent="0.25">
      <c r="A4712"/>
      <c r="B4712"/>
    </row>
    <row r="4713" spans="1:2" x14ac:dyDescent="0.25">
      <c r="A4713"/>
      <c r="B4713"/>
    </row>
    <row r="4714" spans="1:2" x14ac:dyDescent="0.25">
      <c r="A4714"/>
      <c r="B4714"/>
    </row>
    <row r="4715" spans="1:2" x14ac:dyDescent="0.25">
      <c r="A4715"/>
      <c r="B4715"/>
    </row>
    <row r="4716" spans="1:2" x14ac:dyDescent="0.25">
      <c r="A4716"/>
      <c r="B4716"/>
    </row>
    <row r="4717" spans="1:2" x14ac:dyDescent="0.25">
      <c r="A4717"/>
      <c r="B4717"/>
    </row>
    <row r="4718" spans="1:2" x14ac:dyDescent="0.25">
      <c r="A4718"/>
      <c r="B4718"/>
    </row>
    <row r="4719" spans="1:2" x14ac:dyDescent="0.25">
      <c r="A4719"/>
      <c r="B4719"/>
    </row>
    <row r="4720" spans="1:2" x14ac:dyDescent="0.25">
      <c r="A4720"/>
      <c r="B4720"/>
    </row>
    <row r="4721" spans="1:2" x14ac:dyDescent="0.25">
      <c r="A4721"/>
      <c r="B4721"/>
    </row>
    <row r="4722" spans="1:2" x14ac:dyDescent="0.25">
      <c r="A4722"/>
      <c r="B4722"/>
    </row>
    <row r="4723" spans="1:2" x14ac:dyDescent="0.25">
      <c r="A4723"/>
      <c r="B4723"/>
    </row>
    <row r="4724" spans="1:2" x14ac:dyDescent="0.25">
      <c r="A4724"/>
      <c r="B4724"/>
    </row>
    <row r="4725" spans="1:2" x14ac:dyDescent="0.25">
      <c r="A4725"/>
      <c r="B4725"/>
    </row>
    <row r="4726" spans="1:2" x14ac:dyDescent="0.25">
      <c r="A4726"/>
      <c r="B4726"/>
    </row>
    <row r="4727" spans="1:2" x14ac:dyDescent="0.25">
      <c r="A4727"/>
      <c r="B4727"/>
    </row>
    <row r="4728" spans="1:2" x14ac:dyDescent="0.25">
      <c r="A4728"/>
      <c r="B4728"/>
    </row>
    <row r="4729" spans="1:2" x14ac:dyDescent="0.25">
      <c r="A4729"/>
      <c r="B4729"/>
    </row>
    <row r="4730" spans="1:2" x14ac:dyDescent="0.25">
      <c r="A4730"/>
      <c r="B4730"/>
    </row>
    <row r="4731" spans="1:2" x14ac:dyDescent="0.25">
      <c r="A4731"/>
      <c r="B4731"/>
    </row>
    <row r="4732" spans="1:2" x14ac:dyDescent="0.25">
      <c r="A4732"/>
      <c r="B4732"/>
    </row>
    <row r="4733" spans="1:2" x14ac:dyDescent="0.25">
      <c r="A4733"/>
      <c r="B4733"/>
    </row>
    <row r="4734" spans="1:2" x14ac:dyDescent="0.25">
      <c r="A4734"/>
      <c r="B4734"/>
    </row>
    <row r="4735" spans="1:2" x14ac:dyDescent="0.25">
      <c r="A4735"/>
      <c r="B4735"/>
    </row>
    <row r="4736" spans="1:2" x14ac:dyDescent="0.25">
      <c r="A4736"/>
      <c r="B4736"/>
    </row>
    <row r="4737" spans="1:2" x14ac:dyDescent="0.25">
      <c r="A4737"/>
      <c r="B4737"/>
    </row>
    <row r="4738" spans="1:2" x14ac:dyDescent="0.25">
      <c r="A4738"/>
      <c r="B4738"/>
    </row>
    <row r="4739" spans="1:2" x14ac:dyDescent="0.25">
      <c r="A4739"/>
      <c r="B4739"/>
    </row>
    <row r="4740" spans="1:2" x14ac:dyDescent="0.25">
      <c r="A4740"/>
      <c r="B4740"/>
    </row>
    <row r="4741" spans="1:2" x14ac:dyDescent="0.25">
      <c r="A4741"/>
      <c r="B4741"/>
    </row>
    <row r="4742" spans="1:2" x14ac:dyDescent="0.25">
      <c r="A4742"/>
      <c r="B4742"/>
    </row>
    <row r="4743" spans="1:2" x14ac:dyDescent="0.25">
      <c r="A4743"/>
      <c r="B4743"/>
    </row>
    <row r="4744" spans="1:2" x14ac:dyDescent="0.25">
      <c r="A4744"/>
      <c r="B4744"/>
    </row>
    <row r="4745" spans="1:2" x14ac:dyDescent="0.25">
      <c r="A4745"/>
      <c r="B4745"/>
    </row>
    <row r="4746" spans="1:2" x14ac:dyDescent="0.25">
      <c r="A4746"/>
      <c r="B4746"/>
    </row>
    <row r="4747" spans="1:2" x14ac:dyDescent="0.25">
      <c r="A4747"/>
      <c r="B4747"/>
    </row>
    <row r="4748" spans="1:2" x14ac:dyDescent="0.25">
      <c r="A4748"/>
      <c r="B4748"/>
    </row>
    <row r="4749" spans="1:2" x14ac:dyDescent="0.25">
      <c r="A4749"/>
      <c r="B4749"/>
    </row>
    <row r="4750" spans="1:2" x14ac:dyDescent="0.25">
      <c r="A4750"/>
      <c r="B4750"/>
    </row>
    <row r="4751" spans="1:2" x14ac:dyDescent="0.25">
      <c r="A4751"/>
      <c r="B4751"/>
    </row>
    <row r="4752" spans="1:2" x14ac:dyDescent="0.25">
      <c r="A4752"/>
      <c r="B4752"/>
    </row>
    <row r="4753" spans="1:2" x14ac:dyDescent="0.25">
      <c r="A4753"/>
      <c r="B4753"/>
    </row>
    <row r="4754" spans="1:2" x14ac:dyDescent="0.25">
      <c r="A4754"/>
      <c r="B4754"/>
    </row>
    <row r="4755" spans="1:2" x14ac:dyDescent="0.25">
      <c r="A4755"/>
      <c r="B4755"/>
    </row>
    <row r="4756" spans="1:2" x14ac:dyDescent="0.25">
      <c r="A4756"/>
      <c r="B4756"/>
    </row>
    <row r="4757" spans="1:2" x14ac:dyDescent="0.25">
      <c r="A4757"/>
      <c r="B4757"/>
    </row>
    <row r="4758" spans="1:2" x14ac:dyDescent="0.25">
      <c r="A4758"/>
      <c r="B4758"/>
    </row>
    <row r="4759" spans="1:2" x14ac:dyDescent="0.25">
      <c r="A4759"/>
      <c r="B4759"/>
    </row>
    <row r="4760" spans="1:2" x14ac:dyDescent="0.25">
      <c r="A4760"/>
      <c r="B4760"/>
    </row>
    <row r="4761" spans="1:2" x14ac:dyDescent="0.25">
      <c r="A4761"/>
      <c r="B4761"/>
    </row>
    <row r="4762" spans="1:2" x14ac:dyDescent="0.25">
      <c r="A4762"/>
      <c r="B4762"/>
    </row>
    <row r="4763" spans="1:2" x14ac:dyDescent="0.25">
      <c r="A4763"/>
      <c r="B4763"/>
    </row>
    <row r="4764" spans="1:2" x14ac:dyDescent="0.25">
      <c r="A4764"/>
      <c r="B4764"/>
    </row>
    <row r="4765" spans="1:2" x14ac:dyDescent="0.25">
      <c r="A4765"/>
      <c r="B4765"/>
    </row>
    <row r="4766" spans="1:2" x14ac:dyDescent="0.25">
      <c r="A4766"/>
      <c r="B4766"/>
    </row>
    <row r="4767" spans="1:2" x14ac:dyDescent="0.25">
      <c r="A4767"/>
      <c r="B4767"/>
    </row>
    <row r="4768" spans="1:2" x14ac:dyDescent="0.25">
      <c r="A4768"/>
      <c r="B4768"/>
    </row>
    <row r="4769" spans="1:2" x14ac:dyDescent="0.25">
      <c r="A4769"/>
      <c r="B4769"/>
    </row>
    <row r="4770" spans="1:2" x14ac:dyDescent="0.25">
      <c r="A4770"/>
      <c r="B4770"/>
    </row>
    <row r="4771" spans="1:2" x14ac:dyDescent="0.25">
      <c r="A4771"/>
      <c r="B4771"/>
    </row>
    <row r="4772" spans="1:2" x14ac:dyDescent="0.25">
      <c r="A4772"/>
      <c r="B4772"/>
    </row>
    <row r="4773" spans="1:2" x14ac:dyDescent="0.25">
      <c r="A4773"/>
      <c r="B4773"/>
    </row>
    <row r="4774" spans="1:2" x14ac:dyDescent="0.25">
      <c r="A4774"/>
      <c r="B4774"/>
    </row>
    <row r="4775" spans="1:2" x14ac:dyDescent="0.25">
      <c r="A4775"/>
      <c r="B4775"/>
    </row>
    <row r="4776" spans="1:2" x14ac:dyDescent="0.25">
      <c r="A4776"/>
      <c r="B4776"/>
    </row>
    <row r="4777" spans="1:2" x14ac:dyDescent="0.25">
      <c r="A4777"/>
      <c r="B4777"/>
    </row>
    <row r="4778" spans="1:2" x14ac:dyDescent="0.25">
      <c r="A4778"/>
      <c r="B4778"/>
    </row>
    <row r="4779" spans="1:2" x14ac:dyDescent="0.25">
      <c r="A4779"/>
      <c r="B4779"/>
    </row>
    <row r="4780" spans="1:2" x14ac:dyDescent="0.25">
      <c r="A4780"/>
      <c r="B4780"/>
    </row>
    <row r="4781" spans="1:2" x14ac:dyDescent="0.25">
      <c r="A4781"/>
      <c r="B4781"/>
    </row>
    <row r="4782" spans="1:2" x14ac:dyDescent="0.25">
      <c r="A4782"/>
      <c r="B4782"/>
    </row>
    <row r="4783" spans="1:2" x14ac:dyDescent="0.25">
      <c r="A4783"/>
      <c r="B4783"/>
    </row>
    <row r="4784" spans="1:2" x14ac:dyDescent="0.25">
      <c r="A4784"/>
      <c r="B4784"/>
    </row>
    <row r="4785" spans="1:2" x14ac:dyDescent="0.25">
      <c r="A4785"/>
      <c r="B4785"/>
    </row>
    <row r="4786" spans="1:2" x14ac:dyDescent="0.25">
      <c r="A4786"/>
      <c r="B4786"/>
    </row>
    <row r="4787" spans="1:2" x14ac:dyDescent="0.25">
      <c r="A4787"/>
      <c r="B4787"/>
    </row>
    <row r="4788" spans="1:2" x14ac:dyDescent="0.25">
      <c r="A4788"/>
      <c r="B4788"/>
    </row>
    <row r="4789" spans="1:2" x14ac:dyDescent="0.25">
      <c r="A4789"/>
      <c r="B4789"/>
    </row>
    <row r="4790" spans="1:2" x14ac:dyDescent="0.25">
      <c r="A4790"/>
      <c r="B4790"/>
    </row>
    <row r="4791" spans="1:2" x14ac:dyDescent="0.25">
      <c r="A4791"/>
      <c r="B4791"/>
    </row>
    <row r="4792" spans="1:2" x14ac:dyDescent="0.25">
      <c r="A4792"/>
      <c r="B4792"/>
    </row>
    <row r="4793" spans="1:2" x14ac:dyDescent="0.25">
      <c r="A4793"/>
      <c r="B4793"/>
    </row>
    <row r="4794" spans="1:2" x14ac:dyDescent="0.25">
      <c r="A4794"/>
      <c r="B4794"/>
    </row>
    <row r="4795" spans="1:2" x14ac:dyDescent="0.25">
      <c r="A4795"/>
      <c r="B4795"/>
    </row>
    <row r="4796" spans="1:2" x14ac:dyDescent="0.25">
      <c r="A4796"/>
      <c r="B4796"/>
    </row>
    <row r="4797" spans="1:2" x14ac:dyDescent="0.25">
      <c r="A4797"/>
      <c r="B4797"/>
    </row>
    <row r="4798" spans="1:2" x14ac:dyDescent="0.25">
      <c r="A4798"/>
      <c r="B4798"/>
    </row>
    <row r="4799" spans="1:2" x14ac:dyDescent="0.25">
      <c r="A4799"/>
      <c r="B4799"/>
    </row>
    <row r="4800" spans="1:2" x14ac:dyDescent="0.25">
      <c r="A4800"/>
      <c r="B4800"/>
    </row>
    <row r="4801" spans="1:2" x14ac:dyDescent="0.25">
      <c r="A4801"/>
      <c r="B4801"/>
    </row>
    <row r="4802" spans="1:2" x14ac:dyDescent="0.25">
      <c r="A4802"/>
      <c r="B4802"/>
    </row>
    <row r="4803" spans="1:2" x14ac:dyDescent="0.25">
      <c r="A4803"/>
      <c r="B4803"/>
    </row>
    <row r="4804" spans="1:2" x14ac:dyDescent="0.25">
      <c r="A4804"/>
      <c r="B4804"/>
    </row>
    <row r="4805" spans="1:2" x14ac:dyDescent="0.25">
      <c r="A4805"/>
      <c r="B4805"/>
    </row>
    <row r="4806" spans="1:2" x14ac:dyDescent="0.25">
      <c r="A4806"/>
      <c r="B4806"/>
    </row>
    <row r="4807" spans="1:2" x14ac:dyDescent="0.25">
      <c r="A4807"/>
      <c r="B4807"/>
    </row>
    <row r="4808" spans="1:2" x14ac:dyDescent="0.25">
      <c r="A4808"/>
      <c r="B4808"/>
    </row>
    <row r="4809" spans="1:2" x14ac:dyDescent="0.25">
      <c r="A4809"/>
      <c r="B4809"/>
    </row>
    <row r="4810" spans="1:2" x14ac:dyDescent="0.25">
      <c r="A4810"/>
      <c r="B4810"/>
    </row>
    <row r="4811" spans="1:2" x14ac:dyDescent="0.25">
      <c r="A4811"/>
      <c r="B4811"/>
    </row>
    <row r="4812" spans="1:2" x14ac:dyDescent="0.25">
      <c r="A4812"/>
      <c r="B4812"/>
    </row>
    <row r="4813" spans="1:2" x14ac:dyDescent="0.25">
      <c r="A4813"/>
      <c r="B4813"/>
    </row>
    <row r="4814" spans="1:2" x14ac:dyDescent="0.25">
      <c r="A4814"/>
      <c r="B4814"/>
    </row>
    <row r="4815" spans="1:2" x14ac:dyDescent="0.25">
      <c r="A4815"/>
      <c r="B4815"/>
    </row>
    <row r="4816" spans="1:2" x14ac:dyDescent="0.25">
      <c r="A4816"/>
      <c r="B4816"/>
    </row>
    <row r="4817" spans="1:2" x14ac:dyDescent="0.25">
      <c r="A4817"/>
      <c r="B4817"/>
    </row>
    <row r="4818" spans="1:2" x14ac:dyDescent="0.25">
      <c r="A4818"/>
      <c r="B4818"/>
    </row>
    <row r="4819" spans="1:2" x14ac:dyDescent="0.25">
      <c r="A4819"/>
      <c r="B4819"/>
    </row>
    <row r="4820" spans="1:2" x14ac:dyDescent="0.25">
      <c r="A4820"/>
      <c r="B4820"/>
    </row>
    <row r="4821" spans="1:2" x14ac:dyDescent="0.25">
      <c r="A4821"/>
      <c r="B4821"/>
    </row>
    <row r="4822" spans="1:2" x14ac:dyDescent="0.25">
      <c r="A4822"/>
      <c r="B4822"/>
    </row>
    <row r="4823" spans="1:2" x14ac:dyDescent="0.25">
      <c r="A4823"/>
      <c r="B4823"/>
    </row>
    <row r="4824" spans="1:2" x14ac:dyDescent="0.25">
      <c r="A4824"/>
      <c r="B4824"/>
    </row>
    <row r="4825" spans="1:2" x14ac:dyDescent="0.25">
      <c r="A4825"/>
      <c r="B4825"/>
    </row>
    <row r="4826" spans="1:2" x14ac:dyDescent="0.25">
      <c r="A4826"/>
      <c r="B4826"/>
    </row>
    <row r="4827" spans="1:2" x14ac:dyDescent="0.25">
      <c r="A4827"/>
      <c r="B4827"/>
    </row>
    <row r="4828" spans="1:2" x14ac:dyDescent="0.25">
      <c r="A4828"/>
      <c r="B4828"/>
    </row>
    <row r="4829" spans="1:2" x14ac:dyDescent="0.25">
      <c r="A4829"/>
      <c r="B4829"/>
    </row>
    <row r="4830" spans="1:2" x14ac:dyDescent="0.25">
      <c r="A4830"/>
      <c r="B4830"/>
    </row>
    <row r="4831" spans="1:2" x14ac:dyDescent="0.25">
      <c r="A4831"/>
      <c r="B4831"/>
    </row>
    <row r="4832" spans="1:2" x14ac:dyDescent="0.25">
      <c r="A4832"/>
      <c r="B4832"/>
    </row>
    <row r="4833" spans="1:2" x14ac:dyDescent="0.25">
      <c r="A4833"/>
      <c r="B4833"/>
    </row>
    <row r="4834" spans="1:2" x14ac:dyDescent="0.25">
      <c r="A4834"/>
      <c r="B4834"/>
    </row>
    <row r="4835" spans="1:2" x14ac:dyDescent="0.25">
      <c r="A4835"/>
      <c r="B4835"/>
    </row>
    <row r="4836" spans="1:2" x14ac:dyDescent="0.25">
      <c r="A4836"/>
      <c r="B4836"/>
    </row>
    <row r="4837" spans="1:2" x14ac:dyDescent="0.25">
      <c r="A4837"/>
      <c r="B4837"/>
    </row>
    <row r="4838" spans="1:2" x14ac:dyDescent="0.25">
      <c r="A4838"/>
      <c r="B4838"/>
    </row>
    <row r="4839" spans="1:2" x14ac:dyDescent="0.25">
      <c r="A4839"/>
      <c r="B4839"/>
    </row>
    <row r="4840" spans="1:2" x14ac:dyDescent="0.25">
      <c r="A4840"/>
      <c r="B4840"/>
    </row>
    <row r="4841" spans="1:2" x14ac:dyDescent="0.25">
      <c r="A4841"/>
      <c r="B4841"/>
    </row>
    <row r="4842" spans="1:2" x14ac:dyDescent="0.25">
      <c r="A4842"/>
      <c r="B4842"/>
    </row>
    <row r="4843" spans="1:2" x14ac:dyDescent="0.25">
      <c r="A4843"/>
      <c r="B4843"/>
    </row>
    <row r="4844" spans="1:2" x14ac:dyDescent="0.25">
      <c r="A4844"/>
      <c r="B4844"/>
    </row>
    <row r="4845" spans="1:2" x14ac:dyDescent="0.25">
      <c r="A4845"/>
      <c r="B4845"/>
    </row>
    <row r="4846" spans="1:2" x14ac:dyDescent="0.25">
      <c r="A4846"/>
      <c r="B4846"/>
    </row>
    <row r="4847" spans="1:2" x14ac:dyDescent="0.25">
      <c r="A4847"/>
      <c r="B4847"/>
    </row>
    <row r="4848" spans="1:2" x14ac:dyDescent="0.25">
      <c r="A4848"/>
      <c r="B4848"/>
    </row>
    <row r="4849" spans="1:2" x14ac:dyDescent="0.25">
      <c r="A4849"/>
      <c r="B4849"/>
    </row>
    <row r="4850" spans="1:2" x14ac:dyDescent="0.25">
      <c r="A4850"/>
      <c r="B4850"/>
    </row>
    <row r="4851" spans="1:2" x14ac:dyDescent="0.25">
      <c r="A4851"/>
      <c r="B4851"/>
    </row>
    <row r="4852" spans="1:2" x14ac:dyDescent="0.25">
      <c r="A4852"/>
      <c r="B4852"/>
    </row>
    <row r="4853" spans="1:2" x14ac:dyDescent="0.25">
      <c r="A4853"/>
      <c r="B4853"/>
    </row>
    <row r="4854" spans="1:2" x14ac:dyDescent="0.25">
      <c r="A4854"/>
      <c r="B4854"/>
    </row>
    <row r="4855" spans="1:2" x14ac:dyDescent="0.25">
      <c r="A4855"/>
      <c r="B4855"/>
    </row>
    <row r="4856" spans="1:2" x14ac:dyDescent="0.25">
      <c r="A4856"/>
      <c r="B4856"/>
    </row>
    <row r="4857" spans="1:2" x14ac:dyDescent="0.25">
      <c r="A4857"/>
      <c r="B4857"/>
    </row>
    <row r="4858" spans="1:2" x14ac:dyDescent="0.25">
      <c r="A4858"/>
      <c r="B4858"/>
    </row>
    <row r="4859" spans="1:2" x14ac:dyDescent="0.25">
      <c r="A4859"/>
      <c r="B4859"/>
    </row>
    <row r="4860" spans="1:2" x14ac:dyDescent="0.25">
      <c r="A4860"/>
      <c r="B4860"/>
    </row>
    <row r="4861" spans="1:2" x14ac:dyDescent="0.25">
      <c r="A4861"/>
      <c r="B4861"/>
    </row>
    <row r="4862" spans="1:2" x14ac:dyDescent="0.25">
      <c r="A4862"/>
      <c r="B4862"/>
    </row>
    <row r="4863" spans="1:2" x14ac:dyDescent="0.25">
      <c r="A4863"/>
      <c r="B4863"/>
    </row>
    <row r="4864" spans="1:2" x14ac:dyDescent="0.25">
      <c r="A4864"/>
      <c r="B4864"/>
    </row>
    <row r="4865" spans="1:2" x14ac:dyDescent="0.25">
      <c r="A4865"/>
      <c r="B4865"/>
    </row>
    <row r="4866" spans="1:2" x14ac:dyDescent="0.25">
      <c r="A4866"/>
      <c r="B4866"/>
    </row>
    <row r="4867" spans="1:2" x14ac:dyDescent="0.25">
      <c r="A4867"/>
      <c r="B4867"/>
    </row>
    <row r="4868" spans="1:2" x14ac:dyDescent="0.25">
      <c r="A4868"/>
      <c r="B4868"/>
    </row>
    <row r="4869" spans="1:2" x14ac:dyDescent="0.25">
      <c r="A4869"/>
      <c r="B4869"/>
    </row>
    <row r="4870" spans="1:2" x14ac:dyDescent="0.25">
      <c r="A4870"/>
      <c r="B4870"/>
    </row>
    <row r="4871" spans="1:2" x14ac:dyDescent="0.25">
      <c r="A4871"/>
      <c r="B4871"/>
    </row>
    <row r="4872" spans="1:2" x14ac:dyDescent="0.25">
      <c r="A4872"/>
      <c r="B4872"/>
    </row>
    <row r="4873" spans="1:2" x14ac:dyDescent="0.25">
      <c r="A4873"/>
      <c r="B4873"/>
    </row>
    <row r="4874" spans="1:2" x14ac:dyDescent="0.25">
      <c r="A4874"/>
      <c r="B4874"/>
    </row>
    <row r="4875" spans="1:2" x14ac:dyDescent="0.25">
      <c r="A4875"/>
      <c r="B4875"/>
    </row>
    <row r="4876" spans="1:2" x14ac:dyDescent="0.25">
      <c r="A4876"/>
      <c r="B4876"/>
    </row>
    <row r="4877" spans="1:2" x14ac:dyDescent="0.25">
      <c r="A4877"/>
      <c r="B4877"/>
    </row>
    <row r="4878" spans="1:2" x14ac:dyDescent="0.25">
      <c r="A4878"/>
      <c r="B4878"/>
    </row>
    <row r="4879" spans="1:2" x14ac:dyDescent="0.25">
      <c r="A4879"/>
      <c r="B4879"/>
    </row>
    <row r="4880" spans="1:2" x14ac:dyDescent="0.25">
      <c r="A4880"/>
      <c r="B4880"/>
    </row>
    <row r="4881" spans="1:2" x14ac:dyDescent="0.25">
      <c r="A4881"/>
      <c r="B4881"/>
    </row>
    <row r="4882" spans="1:2" x14ac:dyDescent="0.25">
      <c r="A4882"/>
      <c r="B4882"/>
    </row>
    <row r="4883" spans="1:2" x14ac:dyDescent="0.25">
      <c r="A4883"/>
      <c r="B4883"/>
    </row>
    <row r="4884" spans="1:2" x14ac:dyDescent="0.25">
      <c r="A4884"/>
      <c r="B4884"/>
    </row>
    <row r="4885" spans="1:2" x14ac:dyDescent="0.25">
      <c r="A4885"/>
      <c r="B4885"/>
    </row>
    <row r="4886" spans="1:2" x14ac:dyDescent="0.25">
      <c r="A4886"/>
      <c r="B4886"/>
    </row>
    <row r="4887" spans="1:2" x14ac:dyDescent="0.25">
      <c r="A4887"/>
      <c r="B4887"/>
    </row>
    <row r="4888" spans="1:2" x14ac:dyDescent="0.25">
      <c r="A4888"/>
      <c r="B4888"/>
    </row>
    <row r="4889" spans="1:2" x14ac:dyDescent="0.25">
      <c r="A4889"/>
      <c r="B4889"/>
    </row>
    <row r="4890" spans="1:2" x14ac:dyDescent="0.25">
      <c r="A4890"/>
      <c r="B4890"/>
    </row>
    <row r="4891" spans="1:2" x14ac:dyDescent="0.25">
      <c r="A4891"/>
      <c r="B4891"/>
    </row>
    <row r="4892" spans="1:2" x14ac:dyDescent="0.25">
      <c r="A4892"/>
      <c r="B4892"/>
    </row>
    <row r="4893" spans="1:2" x14ac:dyDescent="0.25">
      <c r="A4893"/>
      <c r="B4893"/>
    </row>
    <row r="4894" spans="1:2" x14ac:dyDescent="0.25">
      <c r="A4894"/>
      <c r="B4894"/>
    </row>
    <row r="4895" spans="1:2" x14ac:dyDescent="0.25">
      <c r="A4895"/>
      <c r="B4895"/>
    </row>
    <row r="4896" spans="1:2" x14ac:dyDescent="0.25">
      <c r="A4896"/>
      <c r="B4896"/>
    </row>
    <row r="4897" spans="1:2" x14ac:dyDescent="0.25">
      <c r="A4897"/>
      <c r="B4897"/>
    </row>
    <row r="4898" spans="1:2" x14ac:dyDescent="0.25">
      <c r="A4898"/>
      <c r="B4898"/>
    </row>
    <row r="4899" spans="1:2" x14ac:dyDescent="0.25">
      <c r="A4899"/>
      <c r="B4899"/>
    </row>
    <row r="4900" spans="1:2" x14ac:dyDescent="0.25">
      <c r="A4900"/>
      <c r="B4900"/>
    </row>
    <row r="4901" spans="1:2" x14ac:dyDescent="0.25">
      <c r="A4901"/>
      <c r="B4901"/>
    </row>
    <row r="4902" spans="1:2" x14ac:dyDescent="0.25">
      <c r="A4902"/>
      <c r="B4902"/>
    </row>
    <row r="4903" spans="1:2" x14ac:dyDescent="0.25">
      <c r="A4903"/>
      <c r="B4903"/>
    </row>
    <row r="4904" spans="1:2" x14ac:dyDescent="0.25">
      <c r="A4904"/>
      <c r="B4904"/>
    </row>
    <row r="4905" spans="1:2" x14ac:dyDescent="0.25">
      <c r="A4905"/>
      <c r="B4905"/>
    </row>
    <row r="4906" spans="1:2" x14ac:dyDescent="0.25">
      <c r="A4906"/>
      <c r="B4906"/>
    </row>
    <row r="4907" spans="1:2" x14ac:dyDescent="0.25">
      <c r="A4907"/>
      <c r="B4907"/>
    </row>
    <row r="4908" spans="1:2" x14ac:dyDescent="0.25">
      <c r="A4908"/>
      <c r="B4908"/>
    </row>
    <row r="4909" spans="1:2" x14ac:dyDescent="0.25">
      <c r="A4909"/>
      <c r="B4909"/>
    </row>
    <row r="4910" spans="1:2" x14ac:dyDescent="0.25">
      <c r="A4910"/>
      <c r="B4910"/>
    </row>
    <row r="4911" spans="1:2" x14ac:dyDescent="0.25">
      <c r="A4911"/>
      <c r="B4911"/>
    </row>
    <row r="4912" spans="1:2" x14ac:dyDescent="0.25">
      <c r="A4912"/>
      <c r="B4912"/>
    </row>
    <row r="4913" spans="1:2" x14ac:dyDescent="0.25">
      <c r="A4913"/>
      <c r="B4913"/>
    </row>
    <row r="4914" spans="1:2" x14ac:dyDescent="0.25">
      <c r="A4914"/>
      <c r="B4914"/>
    </row>
    <row r="4915" spans="1:2" x14ac:dyDescent="0.25">
      <c r="A4915"/>
      <c r="B4915"/>
    </row>
    <row r="4916" spans="1:2" x14ac:dyDescent="0.25">
      <c r="A4916"/>
      <c r="B4916"/>
    </row>
    <row r="4917" spans="1:2" x14ac:dyDescent="0.25">
      <c r="A4917"/>
      <c r="B4917"/>
    </row>
    <row r="4918" spans="1:2" x14ac:dyDescent="0.25">
      <c r="A4918"/>
      <c r="B4918"/>
    </row>
    <row r="4919" spans="1:2" x14ac:dyDescent="0.25">
      <c r="A4919"/>
      <c r="B4919"/>
    </row>
    <row r="4920" spans="1:2" x14ac:dyDescent="0.25">
      <c r="A4920"/>
      <c r="B4920"/>
    </row>
    <row r="4921" spans="1:2" x14ac:dyDescent="0.25">
      <c r="A4921"/>
      <c r="B4921"/>
    </row>
    <row r="4922" spans="1:2" x14ac:dyDescent="0.25">
      <c r="A4922"/>
      <c r="B4922"/>
    </row>
    <row r="4923" spans="1:2" x14ac:dyDescent="0.25">
      <c r="A4923"/>
      <c r="B4923"/>
    </row>
    <row r="4924" spans="1:2" x14ac:dyDescent="0.25">
      <c r="A4924"/>
      <c r="B4924"/>
    </row>
    <row r="4925" spans="1:2" x14ac:dyDescent="0.25">
      <c r="A4925"/>
      <c r="B4925"/>
    </row>
    <row r="4926" spans="1:2" x14ac:dyDescent="0.25">
      <c r="A4926"/>
      <c r="B4926"/>
    </row>
    <row r="4927" spans="1:2" x14ac:dyDescent="0.25">
      <c r="A4927"/>
      <c r="B4927"/>
    </row>
    <row r="4928" spans="1:2" x14ac:dyDescent="0.25">
      <c r="A4928"/>
      <c r="B4928"/>
    </row>
    <row r="4929" spans="1:2" x14ac:dyDescent="0.25">
      <c r="A4929"/>
      <c r="B4929"/>
    </row>
    <row r="4930" spans="1:2" x14ac:dyDescent="0.25">
      <c r="A4930"/>
      <c r="B4930"/>
    </row>
    <row r="4931" spans="1:2" x14ac:dyDescent="0.25">
      <c r="A4931"/>
      <c r="B4931"/>
    </row>
    <row r="4932" spans="1:2" x14ac:dyDescent="0.25">
      <c r="A4932"/>
      <c r="B4932"/>
    </row>
    <row r="4933" spans="1:2" x14ac:dyDescent="0.25">
      <c r="A4933"/>
      <c r="B4933"/>
    </row>
    <row r="4934" spans="1:2" x14ac:dyDescent="0.25">
      <c r="A4934"/>
      <c r="B4934"/>
    </row>
    <row r="4935" spans="1:2" x14ac:dyDescent="0.25">
      <c r="A4935"/>
      <c r="B4935"/>
    </row>
    <row r="4936" spans="1:2" x14ac:dyDescent="0.25">
      <c r="A4936"/>
      <c r="B4936"/>
    </row>
    <row r="4937" spans="1:2" x14ac:dyDescent="0.25">
      <c r="A4937"/>
      <c r="B4937"/>
    </row>
    <row r="4938" spans="1:2" x14ac:dyDescent="0.25">
      <c r="A4938"/>
      <c r="B4938"/>
    </row>
    <row r="4939" spans="1:2" x14ac:dyDescent="0.25">
      <c r="A4939"/>
      <c r="B4939"/>
    </row>
    <row r="4940" spans="1:2" x14ac:dyDescent="0.25">
      <c r="A4940"/>
      <c r="B4940"/>
    </row>
    <row r="4941" spans="1:2" x14ac:dyDescent="0.25">
      <c r="A4941"/>
      <c r="B4941"/>
    </row>
    <row r="4942" spans="1:2" x14ac:dyDescent="0.25">
      <c r="A4942"/>
      <c r="B4942"/>
    </row>
    <row r="4943" spans="1:2" x14ac:dyDescent="0.25">
      <c r="A4943"/>
      <c r="B4943"/>
    </row>
    <row r="4944" spans="1:2" x14ac:dyDescent="0.25">
      <c r="A4944"/>
      <c r="B4944"/>
    </row>
    <row r="4945" spans="1:2" x14ac:dyDescent="0.25">
      <c r="A4945"/>
      <c r="B4945"/>
    </row>
    <row r="4946" spans="1:2" x14ac:dyDescent="0.25">
      <c r="A4946"/>
      <c r="B4946"/>
    </row>
    <row r="4947" spans="1:2" x14ac:dyDescent="0.25">
      <c r="A4947"/>
      <c r="B4947"/>
    </row>
    <row r="4948" spans="1:2" x14ac:dyDescent="0.25">
      <c r="A4948"/>
      <c r="B4948"/>
    </row>
    <row r="4949" spans="1:2" x14ac:dyDescent="0.25">
      <c r="A4949"/>
      <c r="B4949"/>
    </row>
    <row r="4950" spans="1:2" x14ac:dyDescent="0.25">
      <c r="A4950"/>
      <c r="B4950"/>
    </row>
    <row r="4951" spans="1:2" x14ac:dyDescent="0.25">
      <c r="A4951"/>
      <c r="B4951"/>
    </row>
    <row r="4952" spans="1:2" x14ac:dyDescent="0.25">
      <c r="A4952"/>
      <c r="B4952"/>
    </row>
    <row r="4953" spans="1:2" x14ac:dyDescent="0.25">
      <c r="A4953"/>
      <c r="B4953"/>
    </row>
    <row r="4954" spans="1:2" x14ac:dyDescent="0.25">
      <c r="A4954"/>
      <c r="B4954"/>
    </row>
    <row r="4955" spans="1:2" x14ac:dyDescent="0.25">
      <c r="A4955"/>
      <c r="B4955"/>
    </row>
    <row r="4956" spans="1:2" x14ac:dyDescent="0.25">
      <c r="A4956"/>
      <c r="B4956"/>
    </row>
    <row r="4957" spans="1:2" x14ac:dyDescent="0.25">
      <c r="A4957"/>
      <c r="B4957"/>
    </row>
    <row r="4958" spans="1:2" x14ac:dyDescent="0.25">
      <c r="A4958"/>
      <c r="B4958"/>
    </row>
    <row r="4959" spans="1:2" x14ac:dyDescent="0.25">
      <c r="A4959"/>
      <c r="B4959"/>
    </row>
    <row r="4960" spans="1:2" x14ac:dyDescent="0.25">
      <c r="A4960"/>
      <c r="B4960"/>
    </row>
    <row r="4961" spans="1:2" x14ac:dyDescent="0.25">
      <c r="A4961"/>
      <c r="B4961"/>
    </row>
    <row r="4962" spans="1:2" x14ac:dyDescent="0.25">
      <c r="A4962"/>
      <c r="B4962"/>
    </row>
    <row r="4963" spans="1:2" x14ac:dyDescent="0.25">
      <c r="A4963"/>
      <c r="B4963"/>
    </row>
    <row r="4964" spans="1:2" x14ac:dyDescent="0.25">
      <c r="A4964"/>
      <c r="B4964"/>
    </row>
    <row r="4965" spans="1:2" x14ac:dyDescent="0.25">
      <c r="A4965"/>
      <c r="B4965"/>
    </row>
    <row r="4966" spans="1:2" x14ac:dyDescent="0.25">
      <c r="A4966"/>
      <c r="B4966"/>
    </row>
    <row r="4967" spans="1:2" x14ac:dyDescent="0.25">
      <c r="A4967"/>
      <c r="B4967"/>
    </row>
    <row r="4968" spans="1:2" x14ac:dyDescent="0.25">
      <c r="A4968"/>
      <c r="B4968"/>
    </row>
    <row r="4969" spans="1:2" x14ac:dyDescent="0.25">
      <c r="A4969"/>
      <c r="B4969"/>
    </row>
    <row r="4970" spans="1:2" x14ac:dyDescent="0.25">
      <c r="A4970"/>
      <c r="B4970"/>
    </row>
    <row r="4971" spans="1:2" x14ac:dyDescent="0.25">
      <c r="A4971"/>
      <c r="B4971"/>
    </row>
    <row r="4972" spans="1:2" x14ac:dyDescent="0.25">
      <c r="A4972"/>
      <c r="B4972"/>
    </row>
    <row r="4973" spans="1:2" x14ac:dyDescent="0.25">
      <c r="A4973"/>
      <c r="B4973"/>
    </row>
    <row r="4974" spans="1:2" x14ac:dyDescent="0.25">
      <c r="A4974"/>
      <c r="B4974"/>
    </row>
    <row r="4975" spans="1:2" x14ac:dyDescent="0.25">
      <c r="A4975"/>
      <c r="B4975"/>
    </row>
    <row r="4976" spans="1:2" x14ac:dyDescent="0.25">
      <c r="A4976"/>
      <c r="B4976"/>
    </row>
    <row r="4977" spans="1:2" x14ac:dyDescent="0.25">
      <c r="A4977"/>
      <c r="B4977"/>
    </row>
    <row r="4978" spans="1:2" x14ac:dyDescent="0.25">
      <c r="A4978"/>
      <c r="B4978"/>
    </row>
    <row r="4979" spans="1:2" x14ac:dyDescent="0.25">
      <c r="A4979"/>
      <c r="B4979"/>
    </row>
    <row r="4980" spans="1:2" x14ac:dyDescent="0.25">
      <c r="A4980"/>
      <c r="B4980"/>
    </row>
    <row r="4981" spans="1:2" x14ac:dyDescent="0.25">
      <c r="A4981"/>
      <c r="B4981"/>
    </row>
    <row r="4982" spans="1:2" x14ac:dyDescent="0.25">
      <c r="A4982"/>
      <c r="B4982"/>
    </row>
    <row r="4983" spans="1:2" x14ac:dyDescent="0.25">
      <c r="A4983"/>
      <c r="B4983"/>
    </row>
    <row r="4984" spans="1:2" x14ac:dyDescent="0.25">
      <c r="A4984"/>
      <c r="B4984"/>
    </row>
    <row r="4985" spans="1:2" x14ac:dyDescent="0.25">
      <c r="A4985"/>
      <c r="B4985"/>
    </row>
    <row r="4986" spans="1:2" x14ac:dyDescent="0.25">
      <c r="A4986"/>
      <c r="B4986"/>
    </row>
    <row r="4987" spans="1:2" x14ac:dyDescent="0.25">
      <c r="A4987"/>
      <c r="B4987"/>
    </row>
    <row r="4988" spans="1:2" x14ac:dyDescent="0.25">
      <c r="A4988"/>
      <c r="B4988"/>
    </row>
    <row r="4989" spans="1:2" x14ac:dyDescent="0.25">
      <c r="A4989"/>
      <c r="B4989"/>
    </row>
    <row r="4990" spans="1:2" x14ac:dyDescent="0.25">
      <c r="A4990"/>
      <c r="B4990"/>
    </row>
    <row r="4991" spans="1:2" x14ac:dyDescent="0.25">
      <c r="A4991"/>
      <c r="B4991"/>
    </row>
    <row r="4992" spans="1:2" x14ac:dyDescent="0.25">
      <c r="A4992"/>
      <c r="B4992"/>
    </row>
    <row r="4993" spans="1:2" x14ac:dyDescent="0.25">
      <c r="A4993"/>
      <c r="B4993"/>
    </row>
    <row r="4994" spans="1:2" x14ac:dyDescent="0.25">
      <c r="A4994"/>
      <c r="B4994"/>
    </row>
    <row r="4995" spans="1:2" x14ac:dyDescent="0.25">
      <c r="A4995"/>
      <c r="B4995"/>
    </row>
    <row r="4996" spans="1:2" x14ac:dyDescent="0.25">
      <c r="A4996"/>
      <c r="B4996"/>
    </row>
    <row r="4997" spans="1:2" x14ac:dyDescent="0.25">
      <c r="A4997"/>
      <c r="B4997"/>
    </row>
    <row r="4998" spans="1:2" x14ac:dyDescent="0.25">
      <c r="A4998"/>
      <c r="B4998"/>
    </row>
    <row r="4999" spans="1:2" x14ac:dyDescent="0.25">
      <c r="A4999"/>
      <c r="B4999"/>
    </row>
    <row r="5000" spans="1:2" x14ac:dyDescent="0.25">
      <c r="A5000"/>
      <c r="B5000"/>
    </row>
    <row r="5001" spans="1:2" x14ac:dyDescent="0.25">
      <c r="A5001"/>
      <c r="B5001"/>
    </row>
    <row r="5002" spans="1:2" x14ac:dyDescent="0.25">
      <c r="A5002"/>
      <c r="B5002"/>
    </row>
    <row r="5003" spans="1:2" x14ac:dyDescent="0.25">
      <c r="A5003"/>
      <c r="B5003"/>
    </row>
    <row r="5004" spans="1:2" x14ac:dyDescent="0.25">
      <c r="A5004"/>
      <c r="B5004"/>
    </row>
    <row r="5005" spans="1:2" x14ac:dyDescent="0.25">
      <c r="A5005"/>
      <c r="B5005"/>
    </row>
    <row r="5006" spans="1:2" x14ac:dyDescent="0.25">
      <c r="A5006"/>
      <c r="B5006"/>
    </row>
    <row r="5007" spans="1:2" x14ac:dyDescent="0.25">
      <c r="A5007"/>
      <c r="B5007"/>
    </row>
    <row r="5008" spans="1:2" x14ac:dyDescent="0.25">
      <c r="A5008"/>
      <c r="B5008"/>
    </row>
    <row r="5009" spans="1:2" x14ac:dyDescent="0.25">
      <c r="A5009"/>
      <c r="B5009"/>
    </row>
    <row r="5010" spans="1:2" x14ac:dyDescent="0.25">
      <c r="A5010"/>
      <c r="B5010"/>
    </row>
    <row r="5011" spans="1:2" x14ac:dyDescent="0.25">
      <c r="A5011"/>
      <c r="B5011"/>
    </row>
    <row r="5012" spans="1:2" x14ac:dyDescent="0.25">
      <c r="A5012"/>
      <c r="B5012"/>
    </row>
    <row r="5013" spans="1:2" x14ac:dyDescent="0.25">
      <c r="A5013"/>
      <c r="B5013"/>
    </row>
    <row r="5014" spans="1:2" x14ac:dyDescent="0.25">
      <c r="A5014"/>
      <c r="B5014"/>
    </row>
    <row r="5015" spans="1:2" x14ac:dyDescent="0.25">
      <c r="A5015"/>
      <c r="B5015"/>
    </row>
    <row r="5016" spans="1:2" x14ac:dyDescent="0.25">
      <c r="A5016"/>
      <c r="B5016"/>
    </row>
    <row r="5017" spans="1:2" x14ac:dyDescent="0.25">
      <c r="A5017"/>
      <c r="B5017"/>
    </row>
    <row r="5018" spans="1:2" x14ac:dyDescent="0.25">
      <c r="A5018"/>
      <c r="B5018"/>
    </row>
    <row r="5019" spans="1:2" x14ac:dyDescent="0.25">
      <c r="A5019"/>
      <c r="B5019"/>
    </row>
    <row r="5020" spans="1:2" x14ac:dyDescent="0.25">
      <c r="A5020"/>
      <c r="B5020"/>
    </row>
    <row r="5021" spans="1:2" x14ac:dyDescent="0.25">
      <c r="A5021"/>
      <c r="B5021"/>
    </row>
    <row r="5022" spans="1:2" x14ac:dyDescent="0.25">
      <c r="A5022"/>
      <c r="B5022"/>
    </row>
    <row r="5023" spans="1:2" x14ac:dyDescent="0.25">
      <c r="A5023"/>
      <c r="B5023"/>
    </row>
    <row r="5024" spans="1:2" x14ac:dyDescent="0.25">
      <c r="A5024"/>
      <c r="B5024"/>
    </row>
    <row r="5025" spans="1:2" x14ac:dyDescent="0.25">
      <c r="A5025"/>
      <c r="B5025"/>
    </row>
    <row r="5026" spans="1:2" x14ac:dyDescent="0.25">
      <c r="A5026"/>
      <c r="B5026"/>
    </row>
    <row r="5027" spans="1:2" x14ac:dyDescent="0.25">
      <c r="A5027"/>
      <c r="B5027"/>
    </row>
    <row r="5028" spans="1:2" x14ac:dyDescent="0.25">
      <c r="A5028"/>
      <c r="B5028"/>
    </row>
    <row r="5029" spans="1:2" x14ac:dyDescent="0.25">
      <c r="A5029"/>
      <c r="B5029"/>
    </row>
    <row r="5030" spans="1:2" x14ac:dyDescent="0.25">
      <c r="A5030"/>
      <c r="B5030"/>
    </row>
    <row r="5031" spans="1:2" x14ac:dyDescent="0.25">
      <c r="A5031"/>
      <c r="B5031"/>
    </row>
    <row r="5032" spans="1:2" x14ac:dyDescent="0.25">
      <c r="A5032"/>
      <c r="B5032"/>
    </row>
    <row r="5033" spans="1:2" x14ac:dyDescent="0.25">
      <c r="A5033"/>
      <c r="B5033"/>
    </row>
    <row r="5034" spans="1:2" x14ac:dyDescent="0.25">
      <c r="A5034"/>
      <c r="B5034"/>
    </row>
    <row r="5035" spans="1:2" x14ac:dyDescent="0.25">
      <c r="A5035"/>
      <c r="B5035"/>
    </row>
    <row r="5036" spans="1:2" x14ac:dyDescent="0.25">
      <c r="A5036"/>
      <c r="B5036"/>
    </row>
    <row r="5037" spans="1:2" x14ac:dyDescent="0.25">
      <c r="A5037"/>
      <c r="B5037"/>
    </row>
    <row r="5038" spans="1:2" x14ac:dyDescent="0.25">
      <c r="A5038"/>
      <c r="B5038"/>
    </row>
    <row r="5039" spans="1:2" x14ac:dyDescent="0.25">
      <c r="A5039"/>
      <c r="B5039"/>
    </row>
    <row r="5040" spans="1:2" x14ac:dyDescent="0.25">
      <c r="A5040"/>
      <c r="B5040"/>
    </row>
    <row r="5041" spans="1:2" x14ac:dyDescent="0.25">
      <c r="A5041"/>
      <c r="B5041"/>
    </row>
    <row r="5042" spans="1:2" x14ac:dyDescent="0.25">
      <c r="A5042"/>
      <c r="B5042"/>
    </row>
    <row r="5043" spans="1:2" x14ac:dyDescent="0.25">
      <c r="A5043"/>
      <c r="B5043"/>
    </row>
    <row r="5044" spans="1:2" x14ac:dyDescent="0.25">
      <c r="A5044"/>
      <c r="B5044"/>
    </row>
    <row r="5045" spans="1:2" x14ac:dyDescent="0.25">
      <c r="A5045"/>
      <c r="B5045"/>
    </row>
    <row r="5046" spans="1:2" x14ac:dyDescent="0.25">
      <c r="A5046"/>
      <c r="B5046"/>
    </row>
    <row r="5047" spans="1:2" x14ac:dyDescent="0.25">
      <c r="A5047"/>
      <c r="B5047"/>
    </row>
    <row r="5048" spans="1:2" x14ac:dyDescent="0.25">
      <c r="A5048"/>
      <c r="B5048"/>
    </row>
    <row r="5049" spans="1:2" x14ac:dyDescent="0.25">
      <c r="A5049"/>
      <c r="B5049"/>
    </row>
    <row r="5050" spans="1:2" x14ac:dyDescent="0.25">
      <c r="A5050"/>
      <c r="B5050"/>
    </row>
    <row r="5051" spans="1:2" x14ac:dyDescent="0.25">
      <c r="A5051"/>
      <c r="B5051"/>
    </row>
    <row r="5052" spans="1:2" x14ac:dyDescent="0.25">
      <c r="A5052"/>
      <c r="B5052"/>
    </row>
    <row r="5053" spans="1:2" x14ac:dyDescent="0.25">
      <c r="A5053"/>
      <c r="B5053"/>
    </row>
    <row r="5054" spans="1:2" x14ac:dyDescent="0.25">
      <c r="A5054"/>
      <c r="B5054"/>
    </row>
    <row r="5055" spans="1:2" x14ac:dyDescent="0.25">
      <c r="A5055"/>
      <c r="B5055"/>
    </row>
    <row r="5056" spans="1:2" x14ac:dyDescent="0.25">
      <c r="A5056"/>
      <c r="B5056"/>
    </row>
    <row r="5057" spans="1:2" x14ac:dyDescent="0.25">
      <c r="A5057"/>
      <c r="B5057"/>
    </row>
    <row r="5058" spans="1:2" x14ac:dyDescent="0.25">
      <c r="A5058"/>
      <c r="B5058"/>
    </row>
    <row r="5059" spans="1:2" x14ac:dyDescent="0.25">
      <c r="A5059"/>
      <c r="B5059"/>
    </row>
    <row r="5060" spans="1:2" x14ac:dyDescent="0.25">
      <c r="A5060"/>
      <c r="B5060"/>
    </row>
    <row r="5061" spans="1:2" x14ac:dyDescent="0.25">
      <c r="A5061"/>
      <c r="B5061"/>
    </row>
    <row r="5062" spans="1:2" x14ac:dyDescent="0.25">
      <c r="A5062"/>
      <c r="B5062"/>
    </row>
    <row r="5063" spans="1:2" x14ac:dyDescent="0.25">
      <c r="A5063"/>
      <c r="B5063"/>
    </row>
    <row r="5064" spans="1:2" x14ac:dyDescent="0.25">
      <c r="A5064"/>
      <c r="B5064"/>
    </row>
    <row r="5065" spans="1:2" x14ac:dyDescent="0.25">
      <c r="A5065"/>
      <c r="B5065"/>
    </row>
    <row r="5066" spans="1:2" x14ac:dyDescent="0.25">
      <c r="A5066"/>
      <c r="B5066"/>
    </row>
    <row r="5067" spans="1:2" x14ac:dyDescent="0.25">
      <c r="A5067"/>
      <c r="B5067"/>
    </row>
    <row r="5068" spans="1:2" x14ac:dyDescent="0.25">
      <c r="A5068"/>
      <c r="B5068"/>
    </row>
    <row r="5069" spans="1:2" x14ac:dyDescent="0.25">
      <c r="A5069"/>
      <c r="B5069"/>
    </row>
    <row r="5070" spans="1:2" x14ac:dyDescent="0.25">
      <c r="A5070"/>
      <c r="B5070"/>
    </row>
    <row r="5071" spans="1:2" x14ac:dyDescent="0.25">
      <c r="A5071"/>
      <c r="B5071"/>
    </row>
    <row r="5072" spans="1:2" x14ac:dyDescent="0.25">
      <c r="A5072"/>
      <c r="B5072"/>
    </row>
    <row r="5073" spans="1:2" x14ac:dyDescent="0.25">
      <c r="A5073"/>
      <c r="B5073"/>
    </row>
    <row r="5074" spans="1:2" x14ac:dyDescent="0.25">
      <c r="A5074"/>
      <c r="B5074"/>
    </row>
    <row r="5075" spans="1:2" x14ac:dyDescent="0.25">
      <c r="A5075"/>
      <c r="B5075"/>
    </row>
    <row r="5076" spans="1:2" x14ac:dyDescent="0.25">
      <c r="A5076"/>
      <c r="B5076"/>
    </row>
    <row r="5077" spans="1:2" x14ac:dyDescent="0.25">
      <c r="A5077"/>
      <c r="B5077"/>
    </row>
    <row r="5078" spans="1:2" x14ac:dyDescent="0.25">
      <c r="A5078"/>
      <c r="B5078"/>
    </row>
    <row r="5079" spans="1:2" x14ac:dyDescent="0.25">
      <c r="A5079"/>
      <c r="B5079"/>
    </row>
    <row r="5080" spans="1:2" x14ac:dyDescent="0.25">
      <c r="A5080"/>
      <c r="B5080"/>
    </row>
    <row r="5081" spans="1:2" x14ac:dyDescent="0.25">
      <c r="A5081"/>
      <c r="B5081"/>
    </row>
    <row r="5082" spans="1:2" x14ac:dyDescent="0.25">
      <c r="A5082"/>
      <c r="B5082"/>
    </row>
    <row r="5083" spans="1:2" x14ac:dyDescent="0.25">
      <c r="A5083"/>
      <c r="B5083"/>
    </row>
    <row r="5084" spans="1:2" x14ac:dyDescent="0.25">
      <c r="A5084"/>
      <c r="B5084"/>
    </row>
    <row r="5085" spans="1:2" x14ac:dyDescent="0.25">
      <c r="A5085"/>
      <c r="B5085"/>
    </row>
    <row r="5086" spans="1:2" x14ac:dyDescent="0.25">
      <c r="A5086"/>
      <c r="B5086"/>
    </row>
    <row r="5087" spans="1:2" x14ac:dyDescent="0.25">
      <c r="A5087"/>
      <c r="B5087"/>
    </row>
    <row r="5088" spans="1:2" x14ac:dyDescent="0.25">
      <c r="A5088"/>
      <c r="B5088"/>
    </row>
    <row r="5089" spans="1:2" x14ac:dyDescent="0.25">
      <c r="A5089"/>
      <c r="B5089"/>
    </row>
    <row r="5090" spans="1:2" x14ac:dyDescent="0.25">
      <c r="A5090"/>
      <c r="B5090"/>
    </row>
    <row r="5091" spans="1:2" x14ac:dyDescent="0.25">
      <c r="A5091"/>
      <c r="B5091"/>
    </row>
    <row r="5092" spans="1:2" x14ac:dyDescent="0.25">
      <c r="A5092"/>
      <c r="B5092"/>
    </row>
    <row r="5093" spans="1:2" x14ac:dyDescent="0.25">
      <c r="A5093"/>
      <c r="B5093"/>
    </row>
    <row r="5094" spans="1:2" x14ac:dyDescent="0.25">
      <c r="A5094"/>
      <c r="B5094"/>
    </row>
    <row r="5095" spans="1:2" x14ac:dyDescent="0.25">
      <c r="A5095"/>
      <c r="B5095"/>
    </row>
    <row r="5096" spans="1:2" x14ac:dyDescent="0.25">
      <c r="A5096"/>
      <c r="B5096"/>
    </row>
    <row r="5097" spans="1:2" x14ac:dyDescent="0.25">
      <c r="A5097"/>
      <c r="B5097"/>
    </row>
    <row r="5098" spans="1:2" x14ac:dyDescent="0.25">
      <c r="A5098"/>
      <c r="B5098"/>
    </row>
    <row r="5099" spans="1:2" x14ac:dyDescent="0.25">
      <c r="A5099"/>
      <c r="B5099"/>
    </row>
    <row r="5100" spans="1:2" x14ac:dyDescent="0.25">
      <c r="A5100"/>
      <c r="B5100"/>
    </row>
    <row r="5101" spans="1:2" x14ac:dyDescent="0.25">
      <c r="A5101"/>
      <c r="B5101"/>
    </row>
    <row r="5102" spans="1:2" x14ac:dyDescent="0.25">
      <c r="A5102"/>
      <c r="B5102"/>
    </row>
    <row r="5103" spans="1:2" x14ac:dyDescent="0.25">
      <c r="A5103"/>
      <c r="B5103"/>
    </row>
    <row r="5104" spans="1:2" x14ac:dyDescent="0.25">
      <c r="A5104"/>
      <c r="B5104"/>
    </row>
    <row r="5105" spans="1:2" x14ac:dyDescent="0.25">
      <c r="A5105"/>
      <c r="B5105"/>
    </row>
    <row r="5106" spans="1:2" x14ac:dyDescent="0.25">
      <c r="A5106"/>
      <c r="B5106"/>
    </row>
    <row r="5107" spans="1:2" x14ac:dyDescent="0.25">
      <c r="A5107"/>
      <c r="B5107"/>
    </row>
    <row r="5108" spans="1:2" x14ac:dyDescent="0.25">
      <c r="A5108"/>
      <c r="B5108"/>
    </row>
    <row r="5109" spans="1:2" x14ac:dyDescent="0.25">
      <c r="A5109"/>
      <c r="B5109"/>
    </row>
    <row r="5110" spans="1:2" x14ac:dyDescent="0.25">
      <c r="A5110"/>
      <c r="B5110"/>
    </row>
    <row r="5111" spans="1:2" x14ac:dyDescent="0.25">
      <c r="A5111"/>
      <c r="B5111"/>
    </row>
    <row r="5112" spans="1:2" x14ac:dyDescent="0.25">
      <c r="A5112"/>
      <c r="B5112"/>
    </row>
    <row r="5113" spans="1:2" x14ac:dyDescent="0.25">
      <c r="A5113"/>
      <c r="B5113"/>
    </row>
    <row r="5114" spans="1:2" x14ac:dyDescent="0.25">
      <c r="A5114"/>
      <c r="B5114"/>
    </row>
    <row r="5115" spans="1:2" x14ac:dyDescent="0.25">
      <c r="A5115"/>
      <c r="B5115"/>
    </row>
    <row r="5116" spans="1:2" x14ac:dyDescent="0.25">
      <c r="A5116"/>
      <c r="B5116"/>
    </row>
    <row r="5117" spans="1:2" x14ac:dyDescent="0.25">
      <c r="A5117"/>
      <c r="B5117"/>
    </row>
    <row r="5118" spans="1:2" x14ac:dyDescent="0.25">
      <c r="A5118"/>
      <c r="B5118"/>
    </row>
    <row r="5119" spans="1:2" x14ac:dyDescent="0.25">
      <c r="A5119"/>
      <c r="B5119"/>
    </row>
    <row r="5120" spans="1:2" x14ac:dyDescent="0.25">
      <c r="A5120"/>
      <c r="B5120"/>
    </row>
    <row r="5121" spans="1:2" x14ac:dyDescent="0.25">
      <c r="A5121"/>
      <c r="B5121"/>
    </row>
    <row r="5122" spans="1:2" x14ac:dyDescent="0.25">
      <c r="A5122"/>
      <c r="B5122"/>
    </row>
    <row r="5123" spans="1:2" x14ac:dyDescent="0.25">
      <c r="A5123"/>
      <c r="B5123"/>
    </row>
    <row r="5124" spans="1:2" x14ac:dyDescent="0.25">
      <c r="A5124"/>
      <c r="B5124"/>
    </row>
    <row r="5125" spans="1:2" x14ac:dyDescent="0.25">
      <c r="A5125"/>
      <c r="B5125"/>
    </row>
    <row r="5126" spans="1:2" x14ac:dyDescent="0.25">
      <c r="A5126"/>
      <c r="B5126"/>
    </row>
    <row r="5127" spans="1:2" x14ac:dyDescent="0.25">
      <c r="A5127"/>
      <c r="B5127"/>
    </row>
    <row r="5128" spans="1:2" x14ac:dyDescent="0.25">
      <c r="A5128"/>
      <c r="B5128"/>
    </row>
    <row r="5129" spans="1:2" x14ac:dyDescent="0.25">
      <c r="A5129"/>
      <c r="B5129"/>
    </row>
    <row r="5130" spans="1:2" x14ac:dyDescent="0.25">
      <c r="A5130"/>
      <c r="B5130"/>
    </row>
    <row r="5131" spans="1:2" x14ac:dyDescent="0.25">
      <c r="A5131"/>
      <c r="B5131"/>
    </row>
    <row r="5132" spans="1:2" x14ac:dyDescent="0.25">
      <c r="A5132"/>
      <c r="B5132"/>
    </row>
    <row r="5133" spans="1:2" x14ac:dyDescent="0.25">
      <c r="A5133"/>
      <c r="B5133"/>
    </row>
    <row r="5134" spans="1:2" x14ac:dyDescent="0.25">
      <c r="A5134"/>
      <c r="B5134"/>
    </row>
    <row r="5135" spans="1:2" x14ac:dyDescent="0.25">
      <c r="A5135"/>
      <c r="B5135"/>
    </row>
    <row r="5136" spans="1:2" x14ac:dyDescent="0.25">
      <c r="A5136"/>
      <c r="B5136"/>
    </row>
    <row r="5137" spans="1:2" x14ac:dyDescent="0.25">
      <c r="A5137"/>
      <c r="B5137"/>
    </row>
    <row r="5138" spans="1:2" x14ac:dyDescent="0.25">
      <c r="A5138"/>
      <c r="B5138"/>
    </row>
    <row r="5139" spans="1:2" x14ac:dyDescent="0.25">
      <c r="A5139"/>
      <c r="B5139"/>
    </row>
    <row r="5140" spans="1:2" x14ac:dyDescent="0.25">
      <c r="A5140"/>
      <c r="B5140"/>
    </row>
    <row r="5141" spans="1:2" x14ac:dyDescent="0.25">
      <c r="A5141"/>
      <c r="B5141"/>
    </row>
    <row r="5142" spans="1:2" x14ac:dyDescent="0.25">
      <c r="A5142"/>
      <c r="B5142"/>
    </row>
    <row r="5143" spans="1:2" x14ac:dyDescent="0.25">
      <c r="A5143"/>
      <c r="B5143"/>
    </row>
    <row r="5144" spans="1:2" x14ac:dyDescent="0.25">
      <c r="A5144"/>
      <c r="B5144"/>
    </row>
    <row r="5145" spans="1:2" x14ac:dyDescent="0.25">
      <c r="A5145"/>
      <c r="B5145"/>
    </row>
    <row r="5146" spans="1:2" x14ac:dyDescent="0.25">
      <c r="A5146"/>
      <c r="B5146"/>
    </row>
    <row r="5147" spans="1:2" x14ac:dyDescent="0.25">
      <c r="A5147"/>
      <c r="B5147"/>
    </row>
    <row r="5148" spans="1:2" x14ac:dyDescent="0.25">
      <c r="A5148"/>
      <c r="B5148"/>
    </row>
    <row r="5149" spans="1:2" x14ac:dyDescent="0.25">
      <c r="A5149"/>
      <c r="B5149"/>
    </row>
    <row r="5150" spans="1:2" x14ac:dyDescent="0.25">
      <c r="A5150"/>
      <c r="B5150"/>
    </row>
    <row r="5151" spans="1:2" x14ac:dyDescent="0.25">
      <c r="A5151"/>
      <c r="B5151"/>
    </row>
    <row r="5152" spans="1:2" x14ac:dyDescent="0.25">
      <c r="A5152"/>
      <c r="B5152"/>
    </row>
    <row r="5153" spans="1:2" x14ac:dyDescent="0.25">
      <c r="A5153"/>
      <c r="B5153"/>
    </row>
    <row r="5154" spans="1:2" x14ac:dyDescent="0.25">
      <c r="A5154"/>
      <c r="B5154"/>
    </row>
    <row r="5155" spans="1:2" x14ac:dyDescent="0.25">
      <c r="A5155"/>
      <c r="B5155"/>
    </row>
    <row r="5156" spans="1:2" x14ac:dyDescent="0.25">
      <c r="A5156"/>
      <c r="B5156"/>
    </row>
    <row r="5157" spans="1:2" x14ac:dyDescent="0.25">
      <c r="A5157"/>
      <c r="B5157"/>
    </row>
    <row r="5158" spans="1:2" x14ac:dyDescent="0.25">
      <c r="A5158"/>
      <c r="B5158"/>
    </row>
    <row r="5159" spans="1:2" x14ac:dyDescent="0.25">
      <c r="A5159"/>
      <c r="B5159"/>
    </row>
    <row r="5160" spans="1:2" x14ac:dyDescent="0.25">
      <c r="A5160"/>
      <c r="B5160"/>
    </row>
    <row r="5161" spans="1:2" x14ac:dyDescent="0.25">
      <c r="A5161"/>
      <c r="B5161"/>
    </row>
    <row r="5162" spans="1:2" x14ac:dyDescent="0.25">
      <c r="A5162"/>
      <c r="B5162"/>
    </row>
    <row r="5163" spans="1:2" x14ac:dyDescent="0.25">
      <c r="A5163"/>
      <c r="B5163"/>
    </row>
    <row r="5164" spans="1:2" x14ac:dyDescent="0.25">
      <c r="A5164"/>
      <c r="B5164"/>
    </row>
    <row r="5165" spans="1:2" x14ac:dyDescent="0.25">
      <c r="A5165"/>
      <c r="B5165"/>
    </row>
    <row r="5166" spans="1:2" x14ac:dyDescent="0.25">
      <c r="A5166"/>
      <c r="B5166"/>
    </row>
    <row r="5167" spans="1:2" x14ac:dyDescent="0.25">
      <c r="A5167"/>
      <c r="B5167"/>
    </row>
    <row r="5168" spans="1:2" x14ac:dyDescent="0.25">
      <c r="A5168"/>
      <c r="B5168"/>
    </row>
    <row r="5169" spans="1:2" x14ac:dyDescent="0.25">
      <c r="A5169"/>
      <c r="B5169"/>
    </row>
    <row r="5170" spans="1:2" x14ac:dyDescent="0.25">
      <c r="A5170"/>
      <c r="B5170"/>
    </row>
    <row r="5171" spans="1:2" x14ac:dyDescent="0.25">
      <c r="A5171"/>
      <c r="B5171"/>
    </row>
    <row r="5172" spans="1:2" x14ac:dyDescent="0.25">
      <c r="A5172"/>
      <c r="B5172"/>
    </row>
    <row r="5173" spans="1:2" x14ac:dyDescent="0.25">
      <c r="A5173"/>
      <c r="B5173"/>
    </row>
    <row r="5174" spans="1:2" x14ac:dyDescent="0.25">
      <c r="A5174"/>
      <c r="B5174"/>
    </row>
    <row r="5175" spans="1:2" x14ac:dyDescent="0.25">
      <c r="A5175"/>
      <c r="B5175"/>
    </row>
    <row r="5176" spans="1:2" x14ac:dyDescent="0.25">
      <c r="A5176"/>
      <c r="B5176"/>
    </row>
    <row r="5177" spans="1:2" x14ac:dyDescent="0.25">
      <c r="A5177"/>
      <c r="B5177"/>
    </row>
    <row r="5178" spans="1:2" x14ac:dyDescent="0.25">
      <c r="A5178"/>
      <c r="B5178"/>
    </row>
    <row r="5179" spans="1:2" x14ac:dyDescent="0.25">
      <c r="A5179"/>
      <c r="B5179"/>
    </row>
    <row r="5180" spans="1:2" x14ac:dyDescent="0.25">
      <c r="A5180"/>
      <c r="B5180"/>
    </row>
    <row r="5181" spans="1:2" x14ac:dyDescent="0.25">
      <c r="A5181"/>
      <c r="B5181"/>
    </row>
    <row r="5182" spans="1:2" x14ac:dyDescent="0.25">
      <c r="A5182"/>
      <c r="B5182"/>
    </row>
    <row r="5183" spans="1:2" x14ac:dyDescent="0.25">
      <c r="A5183"/>
      <c r="B5183"/>
    </row>
    <row r="5184" spans="1:2" x14ac:dyDescent="0.25">
      <c r="A5184"/>
      <c r="B5184"/>
    </row>
    <row r="5185" spans="1:2" x14ac:dyDescent="0.25">
      <c r="A5185"/>
      <c r="B5185"/>
    </row>
    <row r="5186" spans="1:2" x14ac:dyDescent="0.25">
      <c r="A5186"/>
      <c r="B5186"/>
    </row>
    <row r="5187" spans="1:2" x14ac:dyDescent="0.25">
      <c r="A5187"/>
      <c r="B5187"/>
    </row>
    <row r="5188" spans="1:2" x14ac:dyDescent="0.25">
      <c r="A5188"/>
      <c r="B5188"/>
    </row>
    <row r="5189" spans="1:2" x14ac:dyDescent="0.25">
      <c r="A5189"/>
      <c r="B5189"/>
    </row>
    <row r="5190" spans="1:2" x14ac:dyDescent="0.25">
      <c r="A5190"/>
      <c r="B5190"/>
    </row>
    <row r="5191" spans="1:2" x14ac:dyDescent="0.25">
      <c r="A5191"/>
      <c r="B5191"/>
    </row>
    <row r="5192" spans="1:2" x14ac:dyDescent="0.25">
      <c r="A5192"/>
      <c r="B5192"/>
    </row>
    <row r="5193" spans="1:2" x14ac:dyDescent="0.25">
      <c r="A5193"/>
      <c r="B5193"/>
    </row>
    <row r="5194" spans="1:2" x14ac:dyDescent="0.25">
      <c r="A5194"/>
      <c r="B5194"/>
    </row>
    <row r="5195" spans="1:2" x14ac:dyDescent="0.25">
      <c r="A5195"/>
      <c r="B5195"/>
    </row>
    <row r="5196" spans="1:2" x14ac:dyDescent="0.25">
      <c r="A5196"/>
      <c r="B5196"/>
    </row>
    <row r="5197" spans="1:2" x14ac:dyDescent="0.25">
      <c r="A5197"/>
      <c r="B5197"/>
    </row>
    <row r="5198" spans="1:2" x14ac:dyDescent="0.25">
      <c r="A5198"/>
      <c r="B5198"/>
    </row>
    <row r="5199" spans="1:2" x14ac:dyDescent="0.25">
      <c r="A5199"/>
      <c r="B5199"/>
    </row>
    <row r="5200" spans="1:2" x14ac:dyDescent="0.25">
      <c r="A5200"/>
      <c r="B5200"/>
    </row>
    <row r="5201" spans="1:2" x14ac:dyDescent="0.25">
      <c r="A5201"/>
      <c r="B5201"/>
    </row>
    <row r="5202" spans="1:2" x14ac:dyDescent="0.25">
      <c r="A5202"/>
      <c r="B5202"/>
    </row>
    <row r="5203" spans="1:2" x14ac:dyDescent="0.25">
      <c r="A5203"/>
      <c r="B5203"/>
    </row>
    <row r="5204" spans="1:2" x14ac:dyDescent="0.25">
      <c r="A5204"/>
      <c r="B5204"/>
    </row>
    <row r="5205" spans="1:2" x14ac:dyDescent="0.25">
      <c r="A5205"/>
      <c r="B5205"/>
    </row>
    <row r="5206" spans="1:2" x14ac:dyDescent="0.25">
      <c r="A5206"/>
      <c r="B5206"/>
    </row>
    <row r="5207" spans="1:2" x14ac:dyDescent="0.25">
      <c r="A5207"/>
      <c r="B5207"/>
    </row>
    <row r="5208" spans="1:2" x14ac:dyDescent="0.25">
      <c r="A5208"/>
      <c r="B5208"/>
    </row>
    <row r="5209" spans="1:2" x14ac:dyDescent="0.25">
      <c r="A5209"/>
      <c r="B5209"/>
    </row>
    <row r="5210" spans="1:2" x14ac:dyDescent="0.25">
      <c r="A5210"/>
      <c r="B5210"/>
    </row>
    <row r="5211" spans="1:2" x14ac:dyDescent="0.25">
      <c r="A5211"/>
      <c r="B5211"/>
    </row>
    <row r="5212" spans="1:2" x14ac:dyDescent="0.25">
      <c r="A5212"/>
      <c r="B5212"/>
    </row>
    <row r="5213" spans="1:2" x14ac:dyDescent="0.25">
      <c r="A5213"/>
      <c r="B5213"/>
    </row>
    <row r="5214" spans="1:2" x14ac:dyDescent="0.25">
      <c r="A5214"/>
      <c r="B5214"/>
    </row>
    <row r="5215" spans="1:2" x14ac:dyDescent="0.25">
      <c r="A5215"/>
      <c r="B5215"/>
    </row>
    <row r="5216" spans="1:2" x14ac:dyDescent="0.25">
      <c r="A5216"/>
      <c r="B5216"/>
    </row>
    <row r="5217" spans="1:2" x14ac:dyDescent="0.25">
      <c r="A5217"/>
      <c r="B5217"/>
    </row>
    <row r="5218" spans="1:2" x14ac:dyDescent="0.25">
      <c r="A5218"/>
      <c r="B5218"/>
    </row>
    <row r="5219" spans="1:2" x14ac:dyDescent="0.25">
      <c r="A5219"/>
      <c r="B5219"/>
    </row>
    <row r="5220" spans="1:2" x14ac:dyDescent="0.25">
      <c r="A5220"/>
      <c r="B5220"/>
    </row>
    <row r="5221" spans="1:2" x14ac:dyDescent="0.25">
      <c r="A5221"/>
      <c r="B5221"/>
    </row>
    <row r="5222" spans="1:2" x14ac:dyDescent="0.25">
      <c r="A5222"/>
      <c r="B5222"/>
    </row>
    <row r="5223" spans="1:2" x14ac:dyDescent="0.25">
      <c r="A5223"/>
      <c r="B5223"/>
    </row>
    <row r="5224" spans="1:2" x14ac:dyDescent="0.25">
      <c r="A5224"/>
      <c r="B5224"/>
    </row>
    <row r="5225" spans="1:2" x14ac:dyDescent="0.25">
      <c r="A5225"/>
      <c r="B5225"/>
    </row>
    <row r="5226" spans="1:2" x14ac:dyDescent="0.25">
      <c r="A5226"/>
      <c r="B5226"/>
    </row>
    <row r="5227" spans="1:2" x14ac:dyDescent="0.25">
      <c r="A5227"/>
      <c r="B5227"/>
    </row>
    <row r="5228" spans="1:2" x14ac:dyDescent="0.25">
      <c r="A5228"/>
      <c r="B5228"/>
    </row>
    <row r="5229" spans="1:2" x14ac:dyDescent="0.25">
      <c r="A5229"/>
      <c r="B5229"/>
    </row>
    <row r="5230" spans="1:2" x14ac:dyDescent="0.25">
      <c r="A5230"/>
      <c r="B5230"/>
    </row>
    <row r="5231" spans="1:2" x14ac:dyDescent="0.25">
      <c r="A5231"/>
      <c r="B5231"/>
    </row>
    <row r="5232" spans="1:2" x14ac:dyDescent="0.25">
      <c r="A5232"/>
      <c r="B5232"/>
    </row>
    <row r="5233" spans="1:2" x14ac:dyDescent="0.25">
      <c r="A5233"/>
      <c r="B5233"/>
    </row>
    <row r="5234" spans="1:2" x14ac:dyDescent="0.25">
      <c r="A5234"/>
      <c r="B5234"/>
    </row>
    <row r="5235" spans="1:2" x14ac:dyDescent="0.25">
      <c r="A5235"/>
      <c r="B5235"/>
    </row>
    <row r="5236" spans="1:2" x14ac:dyDescent="0.25">
      <c r="A5236"/>
      <c r="B5236"/>
    </row>
    <row r="5237" spans="1:2" x14ac:dyDescent="0.25">
      <c r="A5237"/>
      <c r="B5237"/>
    </row>
    <row r="5238" spans="1:2" x14ac:dyDescent="0.25">
      <c r="A5238"/>
      <c r="B5238"/>
    </row>
    <row r="5239" spans="1:2" x14ac:dyDescent="0.25">
      <c r="A5239"/>
      <c r="B5239"/>
    </row>
    <row r="5240" spans="1:2" x14ac:dyDescent="0.25">
      <c r="A5240"/>
      <c r="B5240"/>
    </row>
    <row r="5241" spans="1:2" x14ac:dyDescent="0.25">
      <c r="A5241"/>
      <c r="B5241"/>
    </row>
    <row r="5242" spans="1:2" x14ac:dyDescent="0.25">
      <c r="A5242"/>
      <c r="B5242"/>
    </row>
    <row r="5243" spans="1:2" x14ac:dyDescent="0.25">
      <c r="A5243"/>
      <c r="B5243"/>
    </row>
    <row r="5244" spans="1:2" x14ac:dyDescent="0.25">
      <c r="A5244"/>
      <c r="B5244"/>
    </row>
    <row r="5245" spans="1:2" x14ac:dyDescent="0.25">
      <c r="A5245"/>
      <c r="B5245"/>
    </row>
    <row r="5246" spans="1:2" x14ac:dyDescent="0.25">
      <c r="A5246"/>
      <c r="B5246"/>
    </row>
    <row r="5247" spans="1:2" x14ac:dyDescent="0.25">
      <c r="A5247"/>
      <c r="B5247"/>
    </row>
    <row r="5248" spans="1:2" x14ac:dyDescent="0.25">
      <c r="A5248"/>
      <c r="B5248"/>
    </row>
    <row r="5249" spans="1:2" x14ac:dyDescent="0.25">
      <c r="A5249"/>
      <c r="B5249"/>
    </row>
    <row r="5250" spans="1:2" x14ac:dyDescent="0.25">
      <c r="A5250"/>
      <c r="B5250"/>
    </row>
    <row r="5251" spans="1:2" x14ac:dyDescent="0.25">
      <c r="A5251"/>
      <c r="B5251"/>
    </row>
    <row r="5252" spans="1:2" x14ac:dyDescent="0.25">
      <c r="A5252"/>
      <c r="B5252"/>
    </row>
    <row r="5253" spans="1:2" x14ac:dyDescent="0.25">
      <c r="A5253"/>
      <c r="B5253"/>
    </row>
    <row r="5254" spans="1:2" x14ac:dyDescent="0.25">
      <c r="A5254"/>
      <c r="B5254"/>
    </row>
    <row r="5255" spans="1:2" x14ac:dyDescent="0.25">
      <c r="A5255"/>
      <c r="B5255"/>
    </row>
    <row r="5256" spans="1:2" x14ac:dyDescent="0.25">
      <c r="A5256"/>
      <c r="B5256"/>
    </row>
    <row r="5257" spans="1:2" x14ac:dyDescent="0.25">
      <c r="A5257"/>
      <c r="B5257"/>
    </row>
    <row r="5258" spans="1:2" x14ac:dyDescent="0.25">
      <c r="A5258"/>
      <c r="B5258"/>
    </row>
    <row r="5259" spans="1:2" x14ac:dyDescent="0.25">
      <c r="A5259"/>
      <c r="B5259"/>
    </row>
    <row r="5260" spans="1:2" x14ac:dyDescent="0.25">
      <c r="A5260"/>
      <c r="B5260"/>
    </row>
    <row r="5261" spans="1:2" x14ac:dyDescent="0.25">
      <c r="A5261"/>
      <c r="B5261"/>
    </row>
    <row r="5262" spans="1:2" x14ac:dyDescent="0.25">
      <c r="A5262"/>
      <c r="B5262"/>
    </row>
    <row r="5263" spans="1:2" x14ac:dyDescent="0.25">
      <c r="A5263"/>
      <c r="B5263"/>
    </row>
    <row r="5264" spans="1:2" x14ac:dyDescent="0.25">
      <c r="A5264"/>
      <c r="B5264"/>
    </row>
    <row r="5265" spans="1:2" x14ac:dyDescent="0.25">
      <c r="A5265"/>
      <c r="B5265"/>
    </row>
    <row r="5266" spans="1:2" x14ac:dyDescent="0.25">
      <c r="A5266"/>
      <c r="B5266"/>
    </row>
    <row r="5267" spans="1:2" x14ac:dyDescent="0.25">
      <c r="A5267"/>
      <c r="B5267"/>
    </row>
    <row r="5268" spans="1:2" x14ac:dyDescent="0.25">
      <c r="A5268"/>
      <c r="B5268"/>
    </row>
    <row r="5269" spans="1:2" x14ac:dyDescent="0.25">
      <c r="A5269"/>
      <c r="B5269"/>
    </row>
    <row r="5270" spans="1:2" x14ac:dyDescent="0.25">
      <c r="A5270"/>
      <c r="B5270"/>
    </row>
    <row r="5271" spans="1:2" x14ac:dyDescent="0.25">
      <c r="A5271"/>
      <c r="B5271"/>
    </row>
    <row r="5272" spans="1:2" x14ac:dyDescent="0.25">
      <c r="A5272"/>
      <c r="B5272"/>
    </row>
    <row r="5273" spans="1:2" x14ac:dyDescent="0.25">
      <c r="A5273"/>
      <c r="B5273"/>
    </row>
    <row r="5274" spans="1:2" x14ac:dyDescent="0.25">
      <c r="A5274"/>
      <c r="B5274"/>
    </row>
    <row r="5275" spans="1:2" x14ac:dyDescent="0.25">
      <c r="A5275"/>
      <c r="B5275"/>
    </row>
    <row r="5276" spans="1:2" x14ac:dyDescent="0.25">
      <c r="A5276"/>
      <c r="B5276"/>
    </row>
    <row r="5277" spans="1:2" x14ac:dyDescent="0.25">
      <c r="A5277"/>
      <c r="B5277"/>
    </row>
    <row r="5278" spans="1:2" x14ac:dyDescent="0.25">
      <c r="A5278"/>
      <c r="B5278"/>
    </row>
    <row r="5279" spans="1:2" x14ac:dyDescent="0.25">
      <c r="A5279"/>
      <c r="B5279"/>
    </row>
    <row r="5280" spans="1:2" x14ac:dyDescent="0.25">
      <c r="A5280"/>
      <c r="B5280"/>
    </row>
    <row r="5281" spans="1:2" x14ac:dyDescent="0.25">
      <c r="A5281"/>
      <c r="B5281"/>
    </row>
    <row r="5282" spans="1:2" x14ac:dyDescent="0.25">
      <c r="A5282"/>
      <c r="B5282"/>
    </row>
    <row r="5283" spans="1:2" x14ac:dyDescent="0.25">
      <c r="A5283"/>
      <c r="B5283"/>
    </row>
    <row r="5284" spans="1:2" x14ac:dyDescent="0.25">
      <c r="A5284"/>
      <c r="B5284"/>
    </row>
    <row r="5285" spans="1:2" x14ac:dyDescent="0.25">
      <c r="A5285"/>
      <c r="B5285"/>
    </row>
    <row r="5286" spans="1:2" x14ac:dyDescent="0.25">
      <c r="A5286"/>
      <c r="B5286"/>
    </row>
    <row r="5287" spans="1:2" x14ac:dyDescent="0.25">
      <c r="A5287"/>
      <c r="B5287"/>
    </row>
    <row r="5288" spans="1:2" x14ac:dyDescent="0.25">
      <c r="A5288"/>
      <c r="B5288"/>
    </row>
    <row r="5289" spans="1:2" x14ac:dyDescent="0.25">
      <c r="A5289"/>
      <c r="B5289"/>
    </row>
    <row r="5290" spans="1:2" x14ac:dyDescent="0.25">
      <c r="A5290"/>
      <c r="B5290"/>
    </row>
    <row r="5291" spans="1:2" x14ac:dyDescent="0.25">
      <c r="A5291"/>
      <c r="B5291"/>
    </row>
    <row r="5292" spans="1:2" x14ac:dyDescent="0.25">
      <c r="A5292"/>
      <c r="B5292"/>
    </row>
    <row r="5293" spans="1:2" x14ac:dyDescent="0.25">
      <c r="A5293"/>
      <c r="B5293"/>
    </row>
    <row r="5294" spans="1:2" x14ac:dyDescent="0.25">
      <c r="A5294"/>
      <c r="B5294"/>
    </row>
    <row r="5295" spans="1:2" x14ac:dyDescent="0.25">
      <c r="A5295"/>
      <c r="B5295"/>
    </row>
    <row r="5296" spans="1:2" x14ac:dyDescent="0.25">
      <c r="A5296"/>
      <c r="B5296"/>
    </row>
    <row r="5297" spans="1:2" x14ac:dyDescent="0.25">
      <c r="A5297"/>
      <c r="B5297"/>
    </row>
    <row r="5298" spans="1:2" x14ac:dyDescent="0.25">
      <c r="A5298"/>
      <c r="B5298"/>
    </row>
    <row r="5299" spans="1:2" x14ac:dyDescent="0.25">
      <c r="A5299"/>
      <c r="B5299"/>
    </row>
    <row r="5300" spans="1:2" x14ac:dyDescent="0.25">
      <c r="A5300"/>
      <c r="B5300"/>
    </row>
    <row r="5301" spans="1:2" x14ac:dyDescent="0.25">
      <c r="A5301"/>
      <c r="B5301"/>
    </row>
    <row r="5302" spans="1:2" x14ac:dyDescent="0.25">
      <c r="A5302"/>
      <c r="B5302"/>
    </row>
    <row r="5303" spans="1:2" x14ac:dyDescent="0.25">
      <c r="A5303"/>
      <c r="B5303"/>
    </row>
    <row r="5304" spans="1:2" x14ac:dyDescent="0.25">
      <c r="A5304"/>
      <c r="B5304"/>
    </row>
    <row r="5305" spans="1:2" x14ac:dyDescent="0.25">
      <c r="A5305"/>
      <c r="B5305"/>
    </row>
    <row r="5306" spans="1:2" x14ac:dyDescent="0.25">
      <c r="A5306"/>
      <c r="B5306"/>
    </row>
    <row r="5307" spans="1:2" x14ac:dyDescent="0.25">
      <c r="A5307"/>
      <c r="B5307"/>
    </row>
    <row r="5308" spans="1:2" x14ac:dyDescent="0.25">
      <c r="A5308"/>
      <c r="B5308"/>
    </row>
    <row r="5309" spans="1:2" x14ac:dyDescent="0.25">
      <c r="A5309"/>
      <c r="B5309"/>
    </row>
    <row r="5310" spans="1:2" x14ac:dyDescent="0.25">
      <c r="A5310"/>
      <c r="B5310"/>
    </row>
    <row r="5311" spans="1:2" x14ac:dyDescent="0.25">
      <c r="A5311"/>
      <c r="B5311"/>
    </row>
    <row r="5312" spans="1:2" x14ac:dyDescent="0.25">
      <c r="A5312"/>
      <c r="B5312"/>
    </row>
    <row r="5313" spans="1:2" x14ac:dyDescent="0.25">
      <c r="A5313"/>
      <c r="B5313"/>
    </row>
    <row r="5314" spans="1:2" x14ac:dyDescent="0.25">
      <c r="A5314"/>
      <c r="B5314"/>
    </row>
    <row r="5315" spans="1:2" x14ac:dyDescent="0.25">
      <c r="A5315"/>
      <c r="B5315"/>
    </row>
    <row r="5316" spans="1:2" x14ac:dyDescent="0.25">
      <c r="A5316"/>
      <c r="B5316"/>
    </row>
    <row r="5317" spans="1:2" x14ac:dyDescent="0.25">
      <c r="A5317"/>
      <c r="B5317"/>
    </row>
    <row r="5318" spans="1:2" x14ac:dyDescent="0.25">
      <c r="A5318"/>
      <c r="B5318"/>
    </row>
    <row r="5319" spans="1:2" x14ac:dyDescent="0.25">
      <c r="A5319"/>
      <c r="B5319"/>
    </row>
    <row r="5320" spans="1:2" x14ac:dyDescent="0.25">
      <c r="A5320"/>
      <c r="B5320"/>
    </row>
    <row r="5321" spans="1:2" x14ac:dyDescent="0.25">
      <c r="A5321"/>
      <c r="B5321"/>
    </row>
    <row r="5322" spans="1:2" x14ac:dyDescent="0.25">
      <c r="A5322"/>
      <c r="B5322"/>
    </row>
    <row r="5323" spans="1:2" x14ac:dyDescent="0.25">
      <c r="A5323"/>
      <c r="B5323"/>
    </row>
    <row r="5324" spans="1:2" x14ac:dyDescent="0.25">
      <c r="A5324"/>
      <c r="B5324"/>
    </row>
    <row r="5325" spans="1:2" x14ac:dyDescent="0.25">
      <c r="A5325"/>
      <c r="B5325"/>
    </row>
    <row r="5326" spans="1:2" x14ac:dyDescent="0.25">
      <c r="A5326"/>
      <c r="B5326"/>
    </row>
    <row r="5327" spans="1:2" x14ac:dyDescent="0.25">
      <c r="A5327"/>
      <c r="B5327"/>
    </row>
    <row r="5328" spans="1:2" x14ac:dyDescent="0.25">
      <c r="A5328"/>
      <c r="B5328"/>
    </row>
    <row r="5329" spans="1:2" x14ac:dyDescent="0.25">
      <c r="A5329"/>
      <c r="B5329"/>
    </row>
    <row r="5330" spans="1:2" x14ac:dyDescent="0.25">
      <c r="A5330"/>
      <c r="B5330"/>
    </row>
    <row r="5331" spans="1:2" x14ac:dyDescent="0.25">
      <c r="A5331"/>
      <c r="B5331"/>
    </row>
    <row r="5332" spans="1:2" x14ac:dyDescent="0.25">
      <c r="A5332"/>
      <c r="B5332"/>
    </row>
    <row r="5333" spans="1:2" x14ac:dyDescent="0.25">
      <c r="A5333"/>
      <c r="B5333"/>
    </row>
    <row r="5334" spans="1:2" x14ac:dyDescent="0.25">
      <c r="A5334"/>
      <c r="B5334"/>
    </row>
    <row r="5335" spans="1:2" x14ac:dyDescent="0.25">
      <c r="A5335"/>
      <c r="B5335"/>
    </row>
    <row r="5336" spans="1:2" x14ac:dyDescent="0.25">
      <c r="A5336"/>
      <c r="B5336"/>
    </row>
    <row r="5337" spans="1:2" x14ac:dyDescent="0.25">
      <c r="A5337"/>
      <c r="B5337"/>
    </row>
    <row r="5338" spans="1:2" x14ac:dyDescent="0.25">
      <c r="A5338"/>
      <c r="B5338"/>
    </row>
    <row r="5339" spans="1:2" x14ac:dyDescent="0.25">
      <c r="A5339"/>
      <c r="B5339"/>
    </row>
    <row r="5340" spans="1:2" x14ac:dyDescent="0.25">
      <c r="A5340"/>
      <c r="B5340"/>
    </row>
    <row r="5341" spans="1:2" x14ac:dyDescent="0.25">
      <c r="A5341"/>
      <c r="B5341"/>
    </row>
    <row r="5342" spans="1:2" x14ac:dyDescent="0.25">
      <c r="A5342"/>
      <c r="B5342"/>
    </row>
    <row r="5343" spans="1:2" x14ac:dyDescent="0.25">
      <c r="A5343"/>
      <c r="B5343"/>
    </row>
    <row r="5344" spans="1:2" x14ac:dyDescent="0.25">
      <c r="A5344"/>
      <c r="B5344"/>
    </row>
    <row r="5345" spans="1:2" x14ac:dyDescent="0.25">
      <c r="A5345"/>
      <c r="B5345"/>
    </row>
    <row r="5346" spans="1:2" x14ac:dyDescent="0.25">
      <c r="A5346"/>
      <c r="B5346"/>
    </row>
    <row r="5347" spans="1:2" x14ac:dyDescent="0.25">
      <c r="A5347"/>
      <c r="B5347"/>
    </row>
    <row r="5348" spans="1:2" x14ac:dyDescent="0.25">
      <c r="A5348"/>
      <c r="B5348"/>
    </row>
    <row r="5349" spans="1:2" x14ac:dyDescent="0.25">
      <c r="A5349"/>
      <c r="B5349"/>
    </row>
    <row r="5350" spans="1:2" x14ac:dyDescent="0.25">
      <c r="A5350"/>
      <c r="B5350"/>
    </row>
    <row r="5351" spans="1:2" x14ac:dyDescent="0.25">
      <c r="A5351"/>
      <c r="B5351"/>
    </row>
    <row r="5352" spans="1:2" x14ac:dyDescent="0.25">
      <c r="A5352"/>
      <c r="B5352"/>
    </row>
    <row r="5353" spans="1:2" x14ac:dyDescent="0.25">
      <c r="A5353"/>
      <c r="B5353"/>
    </row>
    <row r="5354" spans="1:2" x14ac:dyDescent="0.25">
      <c r="A5354"/>
      <c r="B5354"/>
    </row>
    <row r="5355" spans="1:2" x14ac:dyDescent="0.25">
      <c r="A5355"/>
      <c r="B5355"/>
    </row>
    <row r="5356" spans="1:2" x14ac:dyDescent="0.25">
      <c r="A5356"/>
      <c r="B5356"/>
    </row>
    <row r="5357" spans="1:2" x14ac:dyDescent="0.25">
      <c r="A5357"/>
      <c r="B5357"/>
    </row>
    <row r="5358" spans="1:2" x14ac:dyDescent="0.25">
      <c r="A5358"/>
      <c r="B5358"/>
    </row>
    <row r="5359" spans="1:2" x14ac:dyDescent="0.25">
      <c r="A5359"/>
      <c r="B5359"/>
    </row>
    <row r="5360" spans="1:2" x14ac:dyDescent="0.25">
      <c r="A5360"/>
      <c r="B5360"/>
    </row>
    <row r="5361" spans="1:2" x14ac:dyDescent="0.25">
      <c r="A5361"/>
      <c r="B5361"/>
    </row>
    <row r="5362" spans="1:2" x14ac:dyDescent="0.25">
      <c r="A5362"/>
      <c r="B5362"/>
    </row>
    <row r="5363" spans="1:2" x14ac:dyDescent="0.25">
      <c r="A5363"/>
      <c r="B5363"/>
    </row>
    <row r="5364" spans="1:2" x14ac:dyDescent="0.25">
      <c r="A5364"/>
      <c r="B5364"/>
    </row>
    <row r="5365" spans="1:2" x14ac:dyDescent="0.25">
      <c r="A5365"/>
      <c r="B5365"/>
    </row>
    <row r="5366" spans="1:2" x14ac:dyDescent="0.25">
      <c r="A5366"/>
      <c r="B5366"/>
    </row>
    <row r="5367" spans="1:2" x14ac:dyDescent="0.25">
      <c r="A5367"/>
      <c r="B5367"/>
    </row>
    <row r="5368" spans="1:2" x14ac:dyDescent="0.25">
      <c r="A5368"/>
      <c r="B5368"/>
    </row>
    <row r="5369" spans="1:2" x14ac:dyDescent="0.25">
      <c r="A5369"/>
      <c r="B5369"/>
    </row>
    <row r="5370" spans="1:2" x14ac:dyDescent="0.25">
      <c r="A5370"/>
      <c r="B5370"/>
    </row>
    <row r="5371" spans="1:2" x14ac:dyDescent="0.25">
      <c r="A5371"/>
      <c r="B5371"/>
    </row>
    <row r="5372" spans="1:2" x14ac:dyDescent="0.25">
      <c r="A5372"/>
      <c r="B5372"/>
    </row>
    <row r="5373" spans="1:2" x14ac:dyDescent="0.25">
      <c r="A5373"/>
      <c r="B5373"/>
    </row>
    <row r="5374" spans="1:2" x14ac:dyDescent="0.25">
      <c r="A5374"/>
      <c r="B5374"/>
    </row>
    <row r="5375" spans="1:2" x14ac:dyDescent="0.25">
      <c r="A5375"/>
      <c r="B5375"/>
    </row>
    <row r="5376" spans="1:2" x14ac:dyDescent="0.25">
      <c r="A5376"/>
      <c r="B5376"/>
    </row>
    <row r="5377" spans="1:2" x14ac:dyDescent="0.25">
      <c r="A5377"/>
      <c r="B5377"/>
    </row>
    <row r="5378" spans="1:2" x14ac:dyDescent="0.25">
      <c r="A5378"/>
      <c r="B5378"/>
    </row>
    <row r="5379" spans="1:2" x14ac:dyDescent="0.25">
      <c r="A5379"/>
      <c r="B5379"/>
    </row>
    <row r="5380" spans="1:2" x14ac:dyDescent="0.25">
      <c r="A5380"/>
      <c r="B5380"/>
    </row>
    <row r="5381" spans="1:2" x14ac:dyDescent="0.25">
      <c r="A5381"/>
      <c r="B5381"/>
    </row>
    <row r="5382" spans="1:2" x14ac:dyDescent="0.25">
      <c r="A5382"/>
      <c r="B5382"/>
    </row>
    <row r="5383" spans="1:2" x14ac:dyDescent="0.25">
      <c r="A5383"/>
      <c r="B5383"/>
    </row>
    <row r="5384" spans="1:2" x14ac:dyDescent="0.25">
      <c r="A5384"/>
      <c r="B5384"/>
    </row>
    <row r="5385" spans="1:2" x14ac:dyDescent="0.25">
      <c r="A5385"/>
      <c r="B5385"/>
    </row>
    <row r="5386" spans="1:2" x14ac:dyDescent="0.25">
      <c r="A5386"/>
      <c r="B5386"/>
    </row>
    <row r="5387" spans="1:2" x14ac:dyDescent="0.25">
      <c r="A5387"/>
      <c r="B5387"/>
    </row>
    <row r="5388" spans="1:2" x14ac:dyDescent="0.25">
      <c r="A5388"/>
      <c r="B5388"/>
    </row>
    <row r="5389" spans="1:2" x14ac:dyDescent="0.25">
      <c r="A5389"/>
      <c r="B5389"/>
    </row>
    <row r="5390" spans="1:2" x14ac:dyDescent="0.25">
      <c r="A5390"/>
      <c r="B5390"/>
    </row>
    <row r="5391" spans="1:2" x14ac:dyDescent="0.25">
      <c r="A5391"/>
      <c r="B5391"/>
    </row>
    <row r="5392" spans="1:2" x14ac:dyDescent="0.25">
      <c r="A5392"/>
      <c r="B5392"/>
    </row>
    <row r="5393" spans="1:2" x14ac:dyDescent="0.25">
      <c r="A5393"/>
      <c r="B5393"/>
    </row>
    <row r="5394" spans="1:2" x14ac:dyDescent="0.25">
      <c r="A5394"/>
      <c r="B5394"/>
    </row>
    <row r="5395" spans="1:2" x14ac:dyDescent="0.25">
      <c r="A5395"/>
      <c r="B5395"/>
    </row>
    <row r="5396" spans="1:2" x14ac:dyDescent="0.25">
      <c r="A5396"/>
      <c r="B5396"/>
    </row>
    <row r="5397" spans="1:2" x14ac:dyDescent="0.25">
      <c r="A5397"/>
      <c r="B5397"/>
    </row>
    <row r="5398" spans="1:2" x14ac:dyDescent="0.25">
      <c r="A5398"/>
      <c r="B5398"/>
    </row>
    <row r="5399" spans="1:2" x14ac:dyDescent="0.25">
      <c r="A5399"/>
      <c r="B5399"/>
    </row>
    <row r="5400" spans="1:2" x14ac:dyDescent="0.25">
      <c r="A5400"/>
      <c r="B5400"/>
    </row>
    <row r="5401" spans="1:2" x14ac:dyDescent="0.25">
      <c r="A5401"/>
      <c r="B5401"/>
    </row>
    <row r="5402" spans="1:2" x14ac:dyDescent="0.25">
      <c r="A5402"/>
      <c r="B5402"/>
    </row>
    <row r="5403" spans="1:2" x14ac:dyDescent="0.25">
      <c r="A5403"/>
      <c r="B5403"/>
    </row>
    <row r="5404" spans="1:2" x14ac:dyDescent="0.25">
      <c r="A5404"/>
      <c r="B5404"/>
    </row>
    <row r="5405" spans="1:2" x14ac:dyDescent="0.25">
      <c r="A5405"/>
      <c r="B5405"/>
    </row>
    <row r="5406" spans="1:2" x14ac:dyDescent="0.25">
      <c r="A5406"/>
      <c r="B5406"/>
    </row>
    <row r="5407" spans="1:2" x14ac:dyDescent="0.25">
      <c r="A5407"/>
      <c r="B5407"/>
    </row>
    <row r="5408" spans="1:2" x14ac:dyDescent="0.25">
      <c r="A5408"/>
      <c r="B5408"/>
    </row>
    <row r="5409" spans="1:2" x14ac:dyDescent="0.25">
      <c r="A5409"/>
      <c r="B5409"/>
    </row>
    <row r="5410" spans="1:2" x14ac:dyDescent="0.25">
      <c r="A5410"/>
      <c r="B5410"/>
    </row>
    <row r="5411" spans="1:2" x14ac:dyDescent="0.25">
      <c r="A5411"/>
      <c r="B5411"/>
    </row>
    <row r="5412" spans="1:2" x14ac:dyDescent="0.25">
      <c r="A5412"/>
      <c r="B5412"/>
    </row>
    <row r="5413" spans="1:2" x14ac:dyDescent="0.25">
      <c r="A5413"/>
      <c r="B5413"/>
    </row>
    <row r="5414" spans="1:2" x14ac:dyDescent="0.25">
      <c r="A5414"/>
      <c r="B5414"/>
    </row>
    <row r="5415" spans="1:2" x14ac:dyDescent="0.25">
      <c r="A5415"/>
      <c r="B5415"/>
    </row>
    <row r="5416" spans="1:2" x14ac:dyDescent="0.25">
      <c r="A5416"/>
      <c r="B5416"/>
    </row>
    <row r="5417" spans="1:2" x14ac:dyDescent="0.25">
      <c r="A5417"/>
      <c r="B5417"/>
    </row>
    <row r="5418" spans="1:2" x14ac:dyDescent="0.25">
      <c r="A5418"/>
      <c r="B5418"/>
    </row>
    <row r="5419" spans="1:2" x14ac:dyDescent="0.25">
      <c r="A5419"/>
      <c r="B5419"/>
    </row>
    <row r="5420" spans="1:2" x14ac:dyDescent="0.25">
      <c r="A5420"/>
      <c r="B5420"/>
    </row>
    <row r="5421" spans="1:2" x14ac:dyDescent="0.25">
      <c r="A5421"/>
      <c r="B5421"/>
    </row>
    <row r="5422" spans="1:2" x14ac:dyDescent="0.25">
      <c r="A5422"/>
      <c r="B5422"/>
    </row>
    <row r="5423" spans="1:2" x14ac:dyDescent="0.25">
      <c r="A5423"/>
      <c r="B5423"/>
    </row>
    <row r="5424" spans="1:2" x14ac:dyDescent="0.25">
      <c r="A5424"/>
      <c r="B5424"/>
    </row>
    <row r="5425" spans="1:2" x14ac:dyDescent="0.25">
      <c r="A5425"/>
      <c r="B5425"/>
    </row>
    <row r="5426" spans="1:2" x14ac:dyDescent="0.25">
      <c r="A5426"/>
      <c r="B5426"/>
    </row>
    <row r="5427" spans="1:2" x14ac:dyDescent="0.25">
      <c r="A5427"/>
      <c r="B5427"/>
    </row>
    <row r="5428" spans="1:2" x14ac:dyDescent="0.25">
      <c r="A5428"/>
      <c r="B5428"/>
    </row>
    <row r="5429" spans="1:2" x14ac:dyDescent="0.25">
      <c r="A5429"/>
      <c r="B5429"/>
    </row>
    <row r="5430" spans="1:2" x14ac:dyDescent="0.25">
      <c r="A5430"/>
      <c r="B5430"/>
    </row>
    <row r="5431" spans="1:2" x14ac:dyDescent="0.25">
      <c r="A5431"/>
      <c r="B5431"/>
    </row>
    <row r="5432" spans="1:2" x14ac:dyDescent="0.25">
      <c r="A5432"/>
      <c r="B5432"/>
    </row>
    <row r="5433" spans="1:2" x14ac:dyDescent="0.25">
      <c r="A5433"/>
      <c r="B5433"/>
    </row>
    <row r="5434" spans="1:2" x14ac:dyDescent="0.25">
      <c r="A5434"/>
      <c r="B5434"/>
    </row>
    <row r="5435" spans="1:2" x14ac:dyDescent="0.25">
      <c r="A5435"/>
      <c r="B5435"/>
    </row>
    <row r="5436" spans="1:2" x14ac:dyDescent="0.25">
      <c r="A5436"/>
      <c r="B5436"/>
    </row>
    <row r="5437" spans="1:2" x14ac:dyDescent="0.25">
      <c r="A5437"/>
      <c r="B5437"/>
    </row>
    <row r="5438" spans="1:2" x14ac:dyDescent="0.25">
      <c r="A5438"/>
      <c r="B5438"/>
    </row>
    <row r="5439" spans="1:2" x14ac:dyDescent="0.25">
      <c r="A5439"/>
      <c r="B5439"/>
    </row>
    <row r="5440" spans="1:2" x14ac:dyDescent="0.25">
      <c r="A5440"/>
      <c r="B5440"/>
    </row>
    <row r="5441" spans="1:2" x14ac:dyDescent="0.25">
      <c r="A5441"/>
      <c r="B5441"/>
    </row>
    <row r="5442" spans="1:2" x14ac:dyDescent="0.25">
      <c r="A5442"/>
      <c r="B5442"/>
    </row>
    <row r="5443" spans="1:2" x14ac:dyDescent="0.25">
      <c r="A5443"/>
      <c r="B5443"/>
    </row>
    <row r="5444" spans="1:2" x14ac:dyDescent="0.25">
      <c r="A5444"/>
      <c r="B5444"/>
    </row>
    <row r="5445" spans="1:2" x14ac:dyDescent="0.25">
      <c r="A5445"/>
      <c r="B5445"/>
    </row>
    <row r="5446" spans="1:2" x14ac:dyDescent="0.25">
      <c r="A5446"/>
      <c r="B5446"/>
    </row>
    <row r="5447" spans="1:2" x14ac:dyDescent="0.25">
      <c r="A5447"/>
      <c r="B5447"/>
    </row>
    <row r="5448" spans="1:2" x14ac:dyDescent="0.25">
      <c r="A5448"/>
      <c r="B5448"/>
    </row>
    <row r="5449" spans="1:2" x14ac:dyDescent="0.25">
      <c r="A5449"/>
      <c r="B5449"/>
    </row>
    <row r="5450" spans="1:2" x14ac:dyDescent="0.25">
      <c r="A5450"/>
      <c r="B5450"/>
    </row>
    <row r="5451" spans="1:2" x14ac:dyDescent="0.25">
      <c r="A5451"/>
      <c r="B5451"/>
    </row>
    <row r="5452" spans="1:2" x14ac:dyDescent="0.25">
      <c r="A5452"/>
      <c r="B5452"/>
    </row>
    <row r="5453" spans="1:2" x14ac:dyDescent="0.25">
      <c r="A5453"/>
      <c r="B5453"/>
    </row>
    <row r="5454" spans="1:2" x14ac:dyDescent="0.25">
      <c r="A5454"/>
      <c r="B5454"/>
    </row>
    <row r="5455" spans="1:2" x14ac:dyDescent="0.25">
      <c r="A5455"/>
      <c r="B5455"/>
    </row>
    <row r="5456" spans="1:2" x14ac:dyDescent="0.25">
      <c r="A5456"/>
      <c r="B5456"/>
    </row>
    <row r="5457" spans="1:2" x14ac:dyDescent="0.25">
      <c r="A5457"/>
      <c r="B5457"/>
    </row>
    <row r="5458" spans="1:2" x14ac:dyDescent="0.25">
      <c r="A5458"/>
      <c r="B5458"/>
    </row>
    <row r="5459" spans="1:2" x14ac:dyDescent="0.25">
      <c r="A5459"/>
      <c r="B5459"/>
    </row>
    <row r="5460" spans="1:2" x14ac:dyDescent="0.25">
      <c r="A5460"/>
      <c r="B5460"/>
    </row>
    <row r="5461" spans="1:2" x14ac:dyDescent="0.25">
      <c r="A5461"/>
      <c r="B5461"/>
    </row>
    <row r="5462" spans="1:2" x14ac:dyDescent="0.25">
      <c r="A5462"/>
      <c r="B5462"/>
    </row>
    <row r="5463" spans="1:2" x14ac:dyDescent="0.25">
      <c r="A5463"/>
      <c r="B5463"/>
    </row>
    <row r="5464" spans="1:2" x14ac:dyDescent="0.25">
      <c r="A5464"/>
      <c r="B5464"/>
    </row>
    <row r="5465" spans="1:2" x14ac:dyDescent="0.25">
      <c r="A5465"/>
      <c r="B5465"/>
    </row>
    <row r="5466" spans="1:2" x14ac:dyDescent="0.25">
      <c r="A5466"/>
      <c r="B5466"/>
    </row>
    <row r="5467" spans="1:2" x14ac:dyDescent="0.25">
      <c r="A5467"/>
      <c r="B5467"/>
    </row>
    <row r="5468" spans="1:2" x14ac:dyDescent="0.25">
      <c r="A5468"/>
      <c r="B5468"/>
    </row>
    <row r="5469" spans="1:2" x14ac:dyDescent="0.25">
      <c r="A5469"/>
      <c r="B5469"/>
    </row>
    <row r="5470" spans="1:2" x14ac:dyDescent="0.25">
      <c r="A5470"/>
      <c r="B5470"/>
    </row>
    <row r="5471" spans="1:2" x14ac:dyDescent="0.25">
      <c r="A5471"/>
      <c r="B5471"/>
    </row>
    <row r="5472" spans="1:2" x14ac:dyDescent="0.25">
      <c r="A5472"/>
      <c r="B5472"/>
    </row>
    <row r="5473" spans="1:2" x14ac:dyDescent="0.25">
      <c r="A5473"/>
      <c r="B5473"/>
    </row>
    <row r="5474" spans="1:2" x14ac:dyDescent="0.25">
      <c r="A5474"/>
      <c r="B5474"/>
    </row>
    <row r="5475" spans="1:2" x14ac:dyDescent="0.25">
      <c r="A5475"/>
      <c r="B5475"/>
    </row>
    <row r="5476" spans="1:2" x14ac:dyDescent="0.25">
      <c r="A5476"/>
      <c r="B5476"/>
    </row>
    <row r="5477" spans="1:2" x14ac:dyDescent="0.25">
      <c r="A5477"/>
      <c r="B5477"/>
    </row>
    <row r="5478" spans="1:2" x14ac:dyDescent="0.25">
      <c r="A5478"/>
      <c r="B5478"/>
    </row>
    <row r="5479" spans="1:2" x14ac:dyDescent="0.25">
      <c r="A5479"/>
      <c r="B5479"/>
    </row>
    <row r="5480" spans="1:2" x14ac:dyDescent="0.25">
      <c r="A5480"/>
      <c r="B5480"/>
    </row>
    <row r="5481" spans="1:2" x14ac:dyDescent="0.25">
      <c r="A5481"/>
      <c r="B5481"/>
    </row>
    <row r="5482" spans="1:2" x14ac:dyDescent="0.25">
      <c r="A5482"/>
      <c r="B5482"/>
    </row>
    <row r="5483" spans="1:2" x14ac:dyDescent="0.25">
      <c r="A5483"/>
      <c r="B5483"/>
    </row>
    <row r="5484" spans="1:2" x14ac:dyDescent="0.25">
      <c r="A5484"/>
      <c r="B5484"/>
    </row>
    <row r="5485" spans="1:2" x14ac:dyDescent="0.25">
      <c r="A5485"/>
      <c r="B5485"/>
    </row>
    <row r="5486" spans="1:2" x14ac:dyDescent="0.25">
      <c r="A5486"/>
      <c r="B5486"/>
    </row>
    <row r="5487" spans="1:2" x14ac:dyDescent="0.25">
      <c r="A5487"/>
      <c r="B5487"/>
    </row>
    <row r="5488" spans="1:2" x14ac:dyDescent="0.25">
      <c r="A5488"/>
      <c r="B5488"/>
    </row>
    <row r="5489" spans="1:2" x14ac:dyDescent="0.25">
      <c r="A5489"/>
      <c r="B5489"/>
    </row>
    <row r="5490" spans="1:2" x14ac:dyDescent="0.25">
      <c r="A5490"/>
      <c r="B5490"/>
    </row>
    <row r="5491" spans="1:2" x14ac:dyDescent="0.25">
      <c r="A5491"/>
      <c r="B5491"/>
    </row>
    <row r="5492" spans="1:2" x14ac:dyDescent="0.25">
      <c r="A5492"/>
      <c r="B5492"/>
    </row>
    <row r="5493" spans="1:2" x14ac:dyDescent="0.25">
      <c r="A5493"/>
      <c r="B5493"/>
    </row>
    <row r="5494" spans="1:2" x14ac:dyDescent="0.25">
      <c r="A5494"/>
      <c r="B5494"/>
    </row>
    <row r="5495" spans="1:2" x14ac:dyDescent="0.25">
      <c r="A5495"/>
      <c r="B5495"/>
    </row>
    <row r="5496" spans="1:2" x14ac:dyDescent="0.25">
      <c r="A5496"/>
      <c r="B5496"/>
    </row>
    <row r="5497" spans="1:2" x14ac:dyDescent="0.25">
      <c r="A5497"/>
      <c r="B5497"/>
    </row>
    <row r="5498" spans="1:2" x14ac:dyDescent="0.25">
      <c r="A5498"/>
      <c r="B5498"/>
    </row>
    <row r="5499" spans="1:2" x14ac:dyDescent="0.25">
      <c r="A5499"/>
      <c r="B5499"/>
    </row>
    <row r="5500" spans="1:2" x14ac:dyDescent="0.25">
      <c r="A5500"/>
      <c r="B5500"/>
    </row>
    <row r="5501" spans="1:2" x14ac:dyDescent="0.25">
      <c r="A5501"/>
      <c r="B5501"/>
    </row>
    <row r="5502" spans="1:2" x14ac:dyDescent="0.25">
      <c r="A5502"/>
      <c r="B5502"/>
    </row>
    <row r="5503" spans="1:2" x14ac:dyDescent="0.25">
      <c r="A5503"/>
      <c r="B5503"/>
    </row>
    <row r="5504" spans="1:2" x14ac:dyDescent="0.25">
      <c r="A5504"/>
      <c r="B5504"/>
    </row>
    <row r="5505" spans="1:2" x14ac:dyDescent="0.25">
      <c r="A5505"/>
      <c r="B5505"/>
    </row>
    <row r="5506" spans="1:2" x14ac:dyDescent="0.25">
      <c r="A5506"/>
      <c r="B5506"/>
    </row>
    <row r="5507" spans="1:2" x14ac:dyDescent="0.25">
      <c r="A5507"/>
      <c r="B5507"/>
    </row>
    <row r="5508" spans="1:2" x14ac:dyDescent="0.25">
      <c r="A5508"/>
      <c r="B5508"/>
    </row>
    <row r="5509" spans="1:2" x14ac:dyDescent="0.25">
      <c r="A5509"/>
      <c r="B5509"/>
    </row>
    <row r="5510" spans="1:2" x14ac:dyDescent="0.25">
      <c r="A5510"/>
      <c r="B5510"/>
    </row>
    <row r="5511" spans="1:2" x14ac:dyDescent="0.25">
      <c r="A5511"/>
      <c r="B5511"/>
    </row>
    <row r="5512" spans="1:2" x14ac:dyDescent="0.25">
      <c r="A5512"/>
      <c r="B5512"/>
    </row>
    <row r="5513" spans="1:2" x14ac:dyDescent="0.25">
      <c r="A5513"/>
      <c r="B5513"/>
    </row>
    <row r="5514" spans="1:2" x14ac:dyDescent="0.25">
      <c r="A5514"/>
      <c r="B5514"/>
    </row>
    <row r="5515" spans="1:2" x14ac:dyDescent="0.25">
      <c r="A5515"/>
      <c r="B5515"/>
    </row>
    <row r="5516" spans="1:2" x14ac:dyDescent="0.25">
      <c r="A5516"/>
      <c r="B5516"/>
    </row>
    <row r="5517" spans="1:2" x14ac:dyDescent="0.25">
      <c r="A5517"/>
      <c r="B5517"/>
    </row>
    <row r="5518" spans="1:2" x14ac:dyDescent="0.25">
      <c r="A5518"/>
      <c r="B5518"/>
    </row>
    <row r="5519" spans="1:2" x14ac:dyDescent="0.25">
      <c r="A5519"/>
      <c r="B5519"/>
    </row>
    <row r="5520" spans="1:2" x14ac:dyDescent="0.25">
      <c r="A5520"/>
      <c r="B5520"/>
    </row>
    <row r="5521" spans="1:2" x14ac:dyDescent="0.25">
      <c r="A5521"/>
      <c r="B5521"/>
    </row>
    <row r="5522" spans="1:2" x14ac:dyDescent="0.25">
      <c r="A5522"/>
      <c r="B5522"/>
    </row>
    <row r="5523" spans="1:2" x14ac:dyDescent="0.25">
      <c r="A5523"/>
      <c r="B5523"/>
    </row>
    <row r="5524" spans="1:2" x14ac:dyDescent="0.25">
      <c r="A5524"/>
      <c r="B5524"/>
    </row>
    <row r="5525" spans="1:2" x14ac:dyDescent="0.25">
      <c r="A5525"/>
      <c r="B5525"/>
    </row>
    <row r="5526" spans="1:2" x14ac:dyDescent="0.25">
      <c r="A5526"/>
      <c r="B5526"/>
    </row>
    <row r="5527" spans="1:2" x14ac:dyDescent="0.25">
      <c r="A5527"/>
      <c r="B5527"/>
    </row>
    <row r="5528" spans="1:2" x14ac:dyDescent="0.25">
      <c r="A5528"/>
      <c r="B5528"/>
    </row>
    <row r="5529" spans="1:2" x14ac:dyDescent="0.25">
      <c r="A5529"/>
      <c r="B5529"/>
    </row>
    <row r="5530" spans="1:2" x14ac:dyDescent="0.25">
      <c r="A5530"/>
      <c r="B5530"/>
    </row>
    <row r="5531" spans="1:2" x14ac:dyDescent="0.25">
      <c r="A5531"/>
      <c r="B5531"/>
    </row>
    <row r="5532" spans="1:2" x14ac:dyDescent="0.25">
      <c r="A5532"/>
      <c r="B5532"/>
    </row>
    <row r="5533" spans="1:2" x14ac:dyDescent="0.25">
      <c r="A5533"/>
      <c r="B5533"/>
    </row>
    <row r="5534" spans="1:2" x14ac:dyDescent="0.25">
      <c r="A5534"/>
      <c r="B5534"/>
    </row>
    <row r="5535" spans="1:2" x14ac:dyDescent="0.25">
      <c r="A5535"/>
      <c r="B5535"/>
    </row>
    <row r="5536" spans="1:2" x14ac:dyDescent="0.25">
      <c r="A5536"/>
      <c r="B5536"/>
    </row>
    <row r="5537" spans="1:2" x14ac:dyDescent="0.25">
      <c r="A5537"/>
      <c r="B5537"/>
    </row>
    <row r="5538" spans="1:2" x14ac:dyDescent="0.25">
      <c r="A5538"/>
      <c r="B5538"/>
    </row>
    <row r="5539" spans="1:2" x14ac:dyDescent="0.25">
      <c r="A5539"/>
      <c r="B5539"/>
    </row>
    <row r="5540" spans="1:2" x14ac:dyDescent="0.25">
      <c r="A5540"/>
      <c r="B5540"/>
    </row>
    <row r="5541" spans="1:2" x14ac:dyDescent="0.25">
      <c r="A5541"/>
      <c r="B5541"/>
    </row>
    <row r="5542" spans="1:2" x14ac:dyDescent="0.25">
      <c r="A5542"/>
      <c r="B5542"/>
    </row>
    <row r="5543" spans="1:2" x14ac:dyDescent="0.25">
      <c r="A5543"/>
      <c r="B5543"/>
    </row>
    <row r="5544" spans="1:2" x14ac:dyDescent="0.25">
      <c r="A5544"/>
      <c r="B5544"/>
    </row>
    <row r="5545" spans="1:2" x14ac:dyDescent="0.25">
      <c r="A5545"/>
      <c r="B5545"/>
    </row>
    <row r="5546" spans="1:2" x14ac:dyDescent="0.25">
      <c r="A5546"/>
      <c r="B5546"/>
    </row>
    <row r="5547" spans="1:2" x14ac:dyDescent="0.25">
      <c r="A5547"/>
      <c r="B5547"/>
    </row>
    <row r="5548" spans="1:2" x14ac:dyDescent="0.25">
      <c r="A5548"/>
      <c r="B5548"/>
    </row>
    <row r="5549" spans="1:2" x14ac:dyDescent="0.25">
      <c r="A5549"/>
      <c r="B5549"/>
    </row>
    <row r="5550" spans="1:2" x14ac:dyDescent="0.25">
      <c r="A5550"/>
      <c r="B5550"/>
    </row>
    <row r="5551" spans="1:2" x14ac:dyDescent="0.25">
      <c r="A5551"/>
      <c r="B5551"/>
    </row>
    <row r="5552" spans="1:2" x14ac:dyDescent="0.25">
      <c r="A5552"/>
      <c r="B5552"/>
    </row>
    <row r="5553" spans="1:2" x14ac:dyDescent="0.25">
      <c r="A5553"/>
      <c r="B5553"/>
    </row>
    <row r="5554" spans="1:2" x14ac:dyDescent="0.25">
      <c r="A5554"/>
      <c r="B5554"/>
    </row>
    <row r="5555" spans="1:2" x14ac:dyDescent="0.25">
      <c r="A5555"/>
      <c r="B5555"/>
    </row>
    <row r="5556" spans="1:2" x14ac:dyDescent="0.25">
      <c r="A5556"/>
      <c r="B5556"/>
    </row>
    <row r="5557" spans="1:2" x14ac:dyDescent="0.25">
      <c r="A5557"/>
      <c r="B5557"/>
    </row>
    <row r="5558" spans="1:2" x14ac:dyDescent="0.25">
      <c r="A5558"/>
      <c r="B5558"/>
    </row>
    <row r="5559" spans="1:2" x14ac:dyDescent="0.25">
      <c r="A5559"/>
      <c r="B5559"/>
    </row>
    <row r="5560" spans="1:2" x14ac:dyDescent="0.25">
      <c r="A5560"/>
      <c r="B5560"/>
    </row>
    <row r="5561" spans="1:2" x14ac:dyDescent="0.25">
      <c r="A5561"/>
      <c r="B5561"/>
    </row>
    <row r="5562" spans="1:2" x14ac:dyDescent="0.25">
      <c r="A5562"/>
      <c r="B5562"/>
    </row>
    <row r="5563" spans="1:2" x14ac:dyDescent="0.25">
      <c r="A5563"/>
      <c r="B5563"/>
    </row>
    <row r="5564" spans="1:2" x14ac:dyDescent="0.25">
      <c r="A5564"/>
      <c r="B5564"/>
    </row>
    <row r="5565" spans="1:2" x14ac:dyDescent="0.25">
      <c r="A5565"/>
      <c r="B5565"/>
    </row>
    <row r="5566" spans="1:2" x14ac:dyDescent="0.25">
      <c r="A5566"/>
      <c r="B5566"/>
    </row>
    <row r="5567" spans="1:2" x14ac:dyDescent="0.25">
      <c r="A5567"/>
      <c r="B5567"/>
    </row>
    <row r="5568" spans="1:2" x14ac:dyDescent="0.25">
      <c r="A5568"/>
      <c r="B5568"/>
    </row>
    <row r="5569" spans="1:2" x14ac:dyDescent="0.25">
      <c r="A5569"/>
      <c r="B5569"/>
    </row>
    <row r="5570" spans="1:2" x14ac:dyDescent="0.25">
      <c r="A5570"/>
      <c r="B5570"/>
    </row>
    <row r="5571" spans="1:2" x14ac:dyDescent="0.25">
      <c r="A5571"/>
      <c r="B5571"/>
    </row>
    <row r="5572" spans="1:2" x14ac:dyDescent="0.25">
      <c r="A5572"/>
      <c r="B5572"/>
    </row>
    <row r="5573" spans="1:2" x14ac:dyDescent="0.25">
      <c r="A5573"/>
      <c r="B5573"/>
    </row>
    <row r="5574" spans="1:2" x14ac:dyDescent="0.25">
      <c r="A5574"/>
      <c r="B5574"/>
    </row>
    <row r="5575" spans="1:2" x14ac:dyDescent="0.25">
      <c r="A5575"/>
      <c r="B5575"/>
    </row>
    <row r="5576" spans="1:2" x14ac:dyDescent="0.25">
      <c r="A5576"/>
      <c r="B5576"/>
    </row>
    <row r="5577" spans="1:2" x14ac:dyDescent="0.25">
      <c r="A5577"/>
      <c r="B5577"/>
    </row>
    <row r="5578" spans="1:2" x14ac:dyDescent="0.25">
      <c r="A5578"/>
      <c r="B5578"/>
    </row>
    <row r="5579" spans="1:2" x14ac:dyDescent="0.25">
      <c r="A5579"/>
      <c r="B5579"/>
    </row>
    <row r="5580" spans="1:2" x14ac:dyDescent="0.25">
      <c r="A5580"/>
      <c r="B5580"/>
    </row>
    <row r="5581" spans="1:2" x14ac:dyDescent="0.25">
      <c r="A5581"/>
      <c r="B5581"/>
    </row>
    <row r="5582" spans="1:2" x14ac:dyDescent="0.25">
      <c r="A5582"/>
      <c r="B5582"/>
    </row>
    <row r="5583" spans="1:2" x14ac:dyDescent="0.25">
      <c r="A5583"/>
      <c r="B5583"/>
    </row>
    <row r="5584" spans="1:2" x14ac:dyDescent="0.25">
      <c r="A5584"/>
      <c r="B5584"/>
    </row>
    <row r="5585" spans="1:2" x14ac:dyDescent="0.25">
      <c r="A5585"/>
      <c r="B5585"/>
    </row>
    <row r="5586" spans="1:2" x14ac:dyDescent="0.25">
      <c r="A5586"/>
      <c r="B5586"/>
    </row>
    <row r="5587" spans="1:2" x14ac:dyDescent="0.25">
      <c r="A5587"/>
      <c r="B5587"/>
    </row>
    <row r="5588" spans="1:2" x14ac:dyDescent="0.25">
      <c r="A5588"/>
      <c r="B5588"/>
    </row>
    <row r="5589" spans="1:2" x14ac:dyDescent="0.25">
      <c r="A5589"/>
      <c r="B5589"/>
    </row>
    <row r="5590" spans="1:2" x14ac:dyDescent="0.25">
      <c r="A5590"/>
      <c r="B5590"/>
    </row>
    <row r="5591" spans="1:2" x14ac:dyDescent="0.25">
      <c r="A5591"/>
      <c r="B5591"/>
    </row>
    <row r="5592" spans="1:2" x14ac:dyDescent="0.25">
      <c r="A5592"/>
      <c r="B5592"/>
    </row>
    <row r="5593" spans="1:2" x14ac:dyDescent="0.25">
      <c r="A5593"/>
      <c r="B5593"/>
    </row>
    <row r="5594" spans="1:2" x14ac:dyDescent="0.25">
      <c r="A5594"/>
      <c r="B5594"/>
    </row>
    <row r="5595" spans="1:2" x14ac:dyDescent="0.25">
      <c r="A5595"/>
      <c r="B5595"/>
    </row>
    <row r="5596" spans="1:2" x14ac:dyDescent="0.25">
      <c r="A5596"/>
      <c r="B5596"/>
    </row>
    <row r="5597" spans="1:2" x14ac:dyDescent="0.25">
      <c r="A5597"/>
      <c r="B5597"/>
    </row>
    <row r="5598" spans="1:2" x14ac:dyDescent="0.25">
      <c r="A5598"/>
      <c r="B5598"/>
    </row>
    <row r="5599" spans="1:2" x14ac:dyDescent="0.25">
      <c r="A5599"/>
      <c r="B5599"/>
    </row>
    <row r="5600" spans="1:2" x14ac:dyDescent="0.25">
      <c r="A5600"/>
      <c r="B5600"/>
    </row>
    <row r="5601" spans="1:2" x14ac:dyDescent="0.25">
      <c r="A5601"/>
      <c r="B5601"/>
    </row>
    <row r="5602" spans="1:2" x14ac:dyDescent="0.25">
      <c r="A5602"/>
      <c r="B5602"/>
    </row>
    <row r="5603" spans="1:2" x14ac:dyDescent="0.25">
      <c r="A5603"/>
      <c r="B5603"/>
    </row>
    <row r="5604" spans="1:2" x14ac:dyDescent="0.25">
      <c r="A5604"/>
      <c r="B5604"/>
    </row>
    <row r="5605" spans="1:2" x14ac:dyDescent="0.25">
      <c r="A5605"/>
      <c r="B5605"/>
    </row>
    <row r="5606" spans="1:2" x14ac:dyDescent="0.25">
      <c r="A5606"/>
      <c r="B5606"/>
    </row>
    <row r="5607" spans="1:2" x14ac:dyDescent="0.25">
      <c r="A5607"/>
      <c r="B5607"/>
    </row>
    <row r="5608" spans="1:2" x14ac:dyDescent="0.25">
      <c r="A5608"/>
      <c r="B5608"/>
    </row>
    <row r="5609" spans="1:2" x14ac:dyDescent="0.25">
      <c r="A5609"/>
      <c r="B5609"/>
    </row>
    <row r="5610" spans="1:2" x14ac:dyDescent="0.25">
      <c r="A5610"/>
      <c r="B5610"/>
    </row>
    <row r="5611" spans="1:2" x14ac:dyDescent="0.25">
      <c r="A5611"/>
      <c r="B5611"/>
    </row>
    <row r="5612" spans="1:2" x14ac:dyDescent="0.25">
      <c r="A5612"/>
      <c r="B5612"/>
    </row>
    <row r="5613" spans="1:2" x14ac:dyDescent="0.25">
      <c r="A5613"/>
      <c r="B5613"/>
    </row>
    <row r="5614" spans="1:2" x14ac:dyDescent="0.25">
      <c r="A5614"/>
      <c r="B5614"/>
    </row>
    <row r="5615" spans="1:2" x14ac:dyDescent="0.25">
      <c r="A5615"/>
      <c r="B5615"/>
    </row>
    <row r="5616" spans="1:2" x14ac:dyDescent="0.25">
      <c r="A5616"/>
      <c r="B5616"/>
    </row>
    <row r="5617" spans="1:2" x14ac:dyDescent="0.25">
      <c r="A5617"/>
      <c r="B5617"/>
    </row>
    <row r="5618" spans="1:2" x14ac:dyDescent="0.25">
      <c r="A5618"/>
      <c r="B5618"/>
    </row>
    <row r="5619" spans="1:2" x14ac:dyDescent="0.25">
      <c r="A5619"/>
      <c r="B5619"/>
    </row>
    <row r="5620" spans="1:2" x14ac:dyDescent="0.25">
      <c r="A5620"/>
      <c r="B5620"/>
    </row>
    <row r="5621" spans="1:2" x14ac:dyDescent="0.25">
      <c r="A5621"/>
      <c r="B5621"/>
    </row>
    <row r="5622" spans="1:2" x14ac:dyDescent="0.25">
      <c r="A5622"/>
      <c r="B5622"/>
    </row>
    <row r="5623" spans="1:2" x14ac:dyDescent="0.25">
      <c r="A5623"/>
      <c r="B5623"/>
    </row>
    <row r="5624" spans="1:2" x14ac:dyDescent="0.25">
      <c r="A5624"/>
      <c r="B5624"/>
    </row>
    <row r="5625" spans="1:2" x14ac:dyDescent="0.25">
      <c r="A5625"/>
      <c r="B5625"/>
    </row>
    <row r="5626" spans="1:2" x14ac:dyDescent="0.25">
      <c r="A5626"/>
      <c r="B5626"/>
    </row>
    <row r="5627" spans="1:2" x14ac:dyDescent="0.25">
      <c r="A5627"/>
      <c r="B5627"/>
    </row>
    <row r="5628" spans="1:2" x14ac:dyDescent="0.25">
      <c r="A5628"/>
      <c r="B5628"/>
    </row>
    <row r="5629" spans="1:2" x14ac:dyDescent="0.25">
      <c r="A5629"/>
      <c r="B5629"/>
    </row>
    <row r="5630" spans="1:2" x14ac:dyDescent="0.25">
      <c r="A5630"/>
      <c r="B5630"/>
    </row>
    <row r="5631" spans="1:2" x14ac:dyDescent="0.25">
      <c r="A5631"/>
      <c r="B5631"/>
    </row>
    <row r="5632" spans="1:2" x14ac:dyDescent="0.25">
      <c r="A5632"/>
      <c r="B5632"/>
    </row>
    <row r="5633" spans="1:2" x14ac:dyDescent="0.25">
      <c r="A5633"/>
      <c r="B5633"/>
    </row>
    <row r="5634" spans="1:2" x14ac:dyDescent="0.25">
      <c r="A5634"/>
      <c r="B5634"/>
    </row>
    <row r="5635" spans="1:2" x14ac:dyDescent="0.25">
      <c r="A5635"/>
      <c r="B5635"/>
    </row>
    <row r="5636" spans="1:2" x14ac:dyDescent="0.25">
      <c r="A5636"/>
      <c r="B5636"/>
    </row>
    <row r="5637" spans="1:2" x14ac:dyDescent="0.25">
      <c r="A5637"/>
      <c r="B5637"/>
    </row>
    <row r="5638" spans="1:2" x14ac:dyDescent="0.25">
      <c r="A5638"/>
      <c r="B5638"/>
    </row>
    <row r="5639" spans="1:2" x14ac:dyDescent="0.25">
      <c r="A5639"/>
      <c r="B5639"/>
    </row>
    <row r="5640" spans="1:2" x14ac:dyDescent="0.25">
      <c r="A5640"/>
      <c r="B5640"/>
    </row>
    <row r="5641" spans="1:2" x14ac:dyDescent="0.25">
      <c r="A5641"/>
      <c r="B5641"/>
    </row>
    <row r="5642" spans="1:2" x14ac:dyDescent="0.25">
      <c r="A5642"/>
      <c r="B5642"/>
    </row>
    <row r="5643" spans="1:2" x14ac:dyDescent="0.25">
      <c r="A5643"/>
      <c r="B5643"/>
    </row>
    <row r="5644" spans="1:2" x14ac:dyDescent="0.25">
      <c r="A5644"/>
      <c r="B5644"/>
    </row>
    <row r="5645" spans="1:2" x14ac:dyDescent="0.25">
      <c r="A5645"/>
      <c r="B5645"/>
    </row>
    <row r="5646" spans="1:2" x14ac:dyDescent="0.25">
      <c r="A5646"/>
      <c r="B5646"/>
    </row>
    <row r="5647" spans="1:2" x14ac:dyDescent="0.25">
      <c r="A5647"/>
      <c r="B5647"/>
    </row>
    <row r="5648" spans="1:2" x14ac:dyDescent="0.25">
      <c r="A5648"/>
      <c r="B5648"/>
    </row>
    <row r="5649" spans="1:2" x14ac:dyDescent="0.25">
      <c r="A5649"/>
      <c r="B5649"/>
    </row>
    <row r="5650" spans="1:2" x14ac:dyDescent="0.25">
      <c r="A5650"/>
      <c r="B5650"/>
    </row>
    <row r="5651" spans="1:2" x14ac:dyDescent="0.25">
      <c r="A5651"/>
      <c r="B5651"/>
    </row>
    <row r="5652" spans="1:2" x14ac:dyDescent="0.25">
      <c r="A5652"/>
      <c r="B5652"/>
    </row>
    <row r="5653" spans="1:2" x14ac:dyDescent="0.25">
      <c r="A5653"/>
      <c r="B5653"/>
    </row>
    <row r="5654" spans="1:2" x14ac:dyDescent="0.25">
      <c r="A5654"/>
      <c r="B5654"/>
    </row>
    <row r="5655" spans="1:2" x14ac:dyDescent="0.25">
      <c r="A5655"/>
      <c r="B5655"/>
    </row>
    <row r="5656" spans="1:2" x14ac:dyDescent="0.25">
      <c r="A5656"/>
      <c r="B5656"/>
    </row>
    <row r="5657" spans="1:2" x14ac:dyDescent="0.25">
      <c r="A5657"/>
      <c r="B5657"/>
    </row>
    <row r="5658" spans="1:2" x14ac:dyDescent="0.25">
      <c r="A5658"/>
      <c r="B5658"/>
    </row>
    <row r="5659" spans="1:2" x14ac:dyDescent="0.25">
      <c r="A5659"/>
      <c r="B5659"/>
    </row>
    <row r="5660" spans="1:2" x14ac:dyDescent="0.25">
      <c r="A5660"/>
      <c r="B5660"/>
    </row>
    <row r="5661" spans="1:2" x14ac:dyDescent="0.25">
      <c r="A5661"/>
      <c r="B5661"/>
    </row>
    <row r="5662" spans="1:2" x14ac:dyDescent="0.25">
      <c r="A5662"/>
      <c r="B5662"/>
    </row>
    <row r="5663" spans="1:2" x14ac:dyDescent="0.25">
      <c r="A5663"/>
      <c r="B5663"/>
    </row>
    <row r="5664" spans="1:2" x14ac:dyDescent="0.25">
      <c r="A5664"/>
      <c r="B5664"/>
    </row>
    <row r="5665" spans="1:2" x14ac:dyDescent="0.25">
      <c r="A5665"/>
      <c r="B5665"/>
    </row>
    <row r="5666" spans="1:2" x14ac:dyDescent="0.25">
      <c r="A5666"/>
      <c r="B5666"/>
    </row>
    <row r="5667" spans="1:2" x14ac:dyDescent="0.25">
      <c r="A5667"/>
      <c r="B5667"/>
    </row>
    <row r="5668" spans="1:2" x14ac:dyDescent="0.25">
      <c r="A5668"/>
      <c r="B5668"/>
    </row>
    <row r="5669" spans="1:2" x14ac:dyDescent="0.25">
      <c r="A5669"/>
      <c r="B5669"/>
    </row>
    <row r="5670" spans="1:2" x14ac:dyDescent="0.25">
      <c r="A5670"/>
      <c r="B5670"/>
    </row>
    <row r="5671" spans="1:2" x14ac:dyDescent="0.25">
      <c r="A5671"/>
      <c r="B5671"/>
    </row>
    <row r="5672" spans="1:2" x14ac:dyDescent="0.25">
      <c r="A5672"/>
      <c r="B5672"/>
    </row>
    <row r="5673" spans="1:2" x14ac:dyDescent="0.25">
      <c r="A5673"/>
      <c r="B5673"/>
    </row>
    <row r="5674" spans="1:2" x14ac:dyDescent="0.25">
      <c r="A5674"/>
      <c r="B5674"/>
    </row>
    <row r="5675" spans="1:2" x14ac:dyDescent="0.25">
      <c r="A5675"/>
      <c r="B5675"/>
    </row>
    <row r="5676" spans="1:2" x14ac:dyDescent="0.25">
      <c r="A5676"/>
      <c r="B5676"/>
    </row>
    <row r="5677" spans="1:2" x14ac:dyDescent="0.25">
      <c r="A5677"/>
      <c r="B5677"/>
    </row>
    <row r="5678" spans="1:2" x14ac:dyDescent="0.25">
      <c r="A5678"/>
      <c r="B5678"/>
    </row>
    <row r="5679" spans="1:2" x14ac:dyDescent="0.25">
      <c r="A5679"/>
      <c r="B5679"/>
    </row>
    <row r="5680" spans="1:2" x14ac:dyDescent="0.25">
      <c r="A5680"/>
      <c r="B5680"/>
    </row>
    <row r="5681" spans="1:2" x14ac:dyDescent="0.25">
      <c r="A5681"/>
      <c r="B5681"/>
    </row>
    <row r="5682" spans="1:2" x14ac:dyDescent="0.25">
      <c r="A5682"/>
      <c r="B5682"/>
    </row>
    <row r="5683" spans="1:2" x14ac:dyDescent="0.25">
      <c r="A5683"/>
      <c r="B5683"/>
    </row>
    <row r="5684" spans="1:2" x14ac:dyDescent="0.25">
      <c r="A5684"/>
      <c r="B5684"/>
    </row>
    <row r="5685" spans="1:2" x14ac:dyDescent="0.25">
      <c r="A5685"/>
      <c r="B5685"/>
    </row>
    <row r="5686" spans="1:2" x14ac:dyDescent="0.25">
      <c r="A5686"/>
      <c r="B5686"/>
    </row>
    <row r="5687" spans="1:2" x14ac:dyDescent="0.25">
      <c r="A5687"/>
      <c r="B5687"/>
    </row>
    <row r="5688" spans="1:2" x14ac:dyDescent="0.25">
      <c r="A5688"/>
      <c r="B5688"/>
    </row>
    <row r="5689" spans="1:2" x14ac:dyDescent="0.25">
      <c r="A5689"/>
      <c r="B5689"/>
    </row>
    <row r="5690" spans="1:2" x14ac:dyDescent="0.25">
      <c r="A5690"/>
      <c r="B5690"/>
    </row>
    <row r="5691" spans="1:2" x14ac:dyDescent="0.25">
      <c r="A5691"/>
      <c r="B5691"/>
    </row>
    <row r="5692" spans="1:2" x14ac:dyDescent="0.25">
      <c r="A5692"/>
      <c r="B5692"/>
    </row>
    <row r="5693" spans="1:2" x14ac:dyDescent="0.25">
      <c r="A5693"/>
      <c r="B5693"/>
    </row>
    <row r="5694" spans="1:2" x14ac:dyDescent="0.25">
      <c r="A5694"/>
      <c r="B5694"/>
    </row>
    <row r="5695" spans="1:2" x14ac:dyDescent="0.25">
      <c r="A5695"/>
      <c r="B5695"/>
    </row>
    <row r="5696" spans="1:2" x14ac:dyDescent="0.25">
      <c r="A5696"/>
      <c r="B5696"/>
    </row>
    <row r="5697" spans="1:2" x14ac:dyDescent="0.25">
      <c r="A5697"/>
      <c r="B5697"/>
    </row>
    <row r="5698" spans="1:2" x14ac:dyDescent="0.25">
      <c r="A5698"/>
      <c r="B5698"/>
    </row>
    <row r="5699" spans="1:2" x14ac:dyDescent="0.25">
      <c r="A5699"/>
      <c r="B5699"/>
    </row>
    <row r="5700" spans="1:2" x14ac:dyDescent="0.25">
      <c r="A5700"/>
      <c r="B5700"/>
    </row>
    <row r="5701" spans="1:2" x14ac:dyDescent="0.25">
      <c r="A5701"/>
      <c r="B5701"/>
    </row>
    <row r="5702" spans="1:2" x14ac:dyDescent="0.25">
      <c r="A5702"/>
      <c r="B5702"/>
    </row>
    <row r="5703" spans="1:2" x14ac:dyDescent="0.25">
      <c r="A5703"/>
      <c r="B5703"/>
    </row>
    <row r="5704" spans="1:2" x14ac:dyDescent="0.25">
      <c r="A5704"/>
      <c r="B5704"/>
    </row>
    <row r="5705" spans="1:2" x14ac:dyDescent="0.25">
      <c r="A5705"/>
      <c r="B5705"/>
    </row>
    <row r="5706" spans="1:2" x14ac:dyDescent="0.25">
      <c r="A5706"/>
      <c r="B5706"/>
    </row>
    <row r="5707" spans="1:2" x14ac:dyDescent="0.25">
      <c r="A5707"/>
      <c r="B5707"/>
    </row>
    <row r="5708" spans="1:2" x14ac:dyDescent="0.25">
      <c r="A5708"/>
      <c r="B5708"/>
    </row>
    <row r="5709" spans="1:2" x14ac:dyDescent="0.25">
      <c r="A5709"/>
      <c r="B5709"/>
    </row>
    <row r="5710" spans="1:2" x14ac:dyDescent="0.25">
      <c r="A5710"/>
      <c r="B5710"/>
    </row>
    <row r="5711" spans="1:2" x14ac:dyDescent="0.25">
      <c r="A5711"/>
      <c r="B5711"/>
    </row>
    <row r="5712" spans="1:2" x14ac:dyDescent="0.25">
      <c r="A5712"/>
      <c r="B5712"/>
    </row>
    <row r="5713" spans="1:2" x14ac:dyDescent="0.25">
      <c r="A5713"/>
      <c r="B5713"/>
    </row>
    <row r="5714" spans="1:2" x14ac:dyDescent="0.25">
      <c r="A5714"/>
      <c r="B5714"/>
    </row>
    <row r="5715" spans="1:2" x14ac:dyDescent="0.25">
      <c r="A5715"/>
      <c r="B5715"/>
    </row>
    <row r="5716" spans="1:2" x14ac:dyDescent="0.25">
      <c r="A5716"/>
      <c r="B5716"/>
    </row>
    <row r="5717" spans="1:2" x14ac:dyDescent="0.25">
      <c r="A5717"/>
      <c r="B5717"/>
    </row>
    <row r="5718" spans="1:2" x14ac:dyDescent="0.25">
      <c r="A5718"/>
      <c r="B5718"/>
    </row>
    <row r="5719" spans="1:2" x14ac:dyDescent="0.25">
      <c r="A5719"/>
      <c r="B5719"/>
    </row>
    <row r="5720" spans="1:2" x14ac:dyDescent="0.25">
      <c r="A5720"/>
      <c r="B5720"/>
    </row>
    <row r="5721" spans="1:2" x14ac:dyDescent="0.25">
      <c r="A5721"/>
      <c r="B5721"/>
    </row>
    <row r="5722" spans="1:2" x14ac:dyDescent="0.25">
      <c r="A5722"/>
      <c r="B5722"/>
    </row>
    <row r="5723" spans="1:2" x14ac:dyDescent="0.25">
      <c r="A5723"/>
      <c r="B5723"/>
    </row>
    <row r="5724" spans="1:2" x14ac:dyDescent="0.25">
      <c r="A5724"/>
      <c r="B5724"/>
    </row>
    <row r="5725" spans="1:2" x14ac:dyDescent="0.25">
      <c r="A5725"/>
      <c r="B5725"/>
    </row>
    <row r="5726" spans="1:2" x14ac:dyDescent="0.25">
      <c r="A5726"/>
      <c r="B5726"/>
    </row>
    <row r="5727" spans="1:2" x14ac:dyDescent="0.25">
      <c r="A5727"/>
      <c r="B5727"/>
    </row>
    <row r="5728" spans="1:2" x14ac:dyDescent="0.25">
      <c r="A5728"/>
      <c r="B5728"/>
    </row>
    <row r="5729" spans="1:2" x14ac:dyDescent="0.25">
      <c r="A5729"/>
      <c r="B5729"/>
    </row>
    <row r="5730" spans="1:2" x14ac:dyDescent="0.25">
      <c r="A5730"/>
      <c r="B5730"/>
    </row>
    <row r="5731" spans="1:2" x14ac:dyDescent="0.25">
      <c r="A5731"/>
      <c r="B5731"/>
    </row>
    <row r="5732" spans="1:2" x14ac:dyDescent="0.25">
      <c r="A5732"/>
      <c r="B5732"/>
    </row>
    <row r="5733" spans="1:2" x14ac:dyDescent="0.25">
      <c r="A5733"/>
      <c r="B5733"/>
    </row>
    <row r="5734" spans="1:2" x14ac:dyDescent="0.25">
      <c r="A5734"/>
      <c r="B5734"/>
    </row>
    <row r="5735" spans="1:2" x14ac:dyDescent="0.25">
      <c r="A5735"/>
      <c r="B5735"/>
    </row>
    <row r="5736" spans="1:2" x14ac:dyDescent="0.25">
      <c r="A5736"/>
      <c r="B5736"/>
    </row>
    <row r="5737" spans="1:2" x14ac:dyDescent="0.25">
      <c r="A5737"/>
      <c r="B5737"/>
    </row>
    <row r="5738" spans="1:2" x14ac:dyDescent="0.25">
      <c r="A5738"/>
      <c r="B5738"/>
    </row>
    <row r="5739" spans="1:2" x14ac:dyDescent="0.25">
      <c r="A5739"/>
      <c r="B5739"/>
    </row>
    <row r="5740" spans="1:2" x14ac:dyDescent="0.25">
      <c r="A5740"/>
      <c r="B5740"/>
    </row>
    <row r="5741" spans="1:2" x14ac:dyDescent="0.25">
      <c r="A5741"/>
      <c r="B5741"/>
    </row>
    <row r="5742" spans="1:2" x14ac:dyDescent="0.25">
      <c r="A5742"/>
      <c r="B5742"/>
    </row>
    <row r="5743" spans="1:2" x14ac:dyDescent="0.25">
      <c r="A5743"/>
      <c r="B5743"/>
    </row>
    <row r="5744" spans="1:2" x14ac:dyDescent="0.25">
      <c r="A5744"/>
      <c r="B5744"/>
    </row>
    <row r="5745" spans="1:2" x14ac:dyDescent="0.25">
      <c r="A5745"/>
      <c r="B5745"/>
    </row>
    <row r="5746" spans="1:2" x14ac:dyDescent="0.25">
      <c r="A5746"/>
      <c r="B5746"/>
    </row>
    <row r="5747" spans="1:2" x14ac:dyDescent="0.25">
      <c r="A5747"/>
      <c r="B5747"/>
    </row>
    <row r="5748" spans="1:2" x14ac:dyDescent="0.25">
      <c r="A5748"/>
      <c r="B5748"/>
    </row>
    <row r="5749" spans="1:2" x14ac:dyDescent="0.25">
      <c r="A5749"/>
      <c r="B5749"/>
    </row>
    <row r="5750" spans="1:2" x14ac:dyDescent="0.25">
      <c r="A5750"/>
      <c r="B5750"/>
    </row>
    <row r="5751" spans="1:2" x14ac:dyDescent="0.25">
      <c r="A5751"/>
      <c r="B5751"/>
    </row>
    <row r="5752" spans="1:2" x14ac:dyDescent="0.25">
      <c r="A5752"/>
      <c r="B5752"/>
    </row>
    <row r="5753" spans="1:2" x14ac:dyDescent="0.25">
      <c r="A5753"/>
      <c r="B5753"/>
    </row>
    <row r="5754" spans="1:2" x14ac:dyDescent="0.25">
      <c r="A5754"/>
      <c r="B5754"/>
    </row>
    <row r="5755" spans="1:2" x14ac:dyDescent="0.25">
      <c r="A5755"/>
      <c r="B5755"/>
    </row>
    <row r="5756" spans="1:2" x14ac:dyDescent="0.25">
      <c r="A5756"/>
      <c r="B5756"/>
    </row>
    <row r="5757" spans="1:2" x14ac:dyDescent="0.25">
      <c r="A5757"/>
      <c r="B5757"/>
    </row>
    <row r="5758" spans="1:2" x14ac:dyDescent="0.25">
      <c r="A5758"/>
      <c r="B5758"/>
    </row>
    <row r="5759" spans="1:2" x14ac:dyDescent="0.25">
      <c r="A5759"/>
      <c r="B5759"/>
    </row>
    <row r="5760" spans="1:2" x14ac:dyDescent="0.25">
      <c r="A5760"/>
      <c r="B5760"/>
    </row>
    <row r="5761" spans="1:2" x14ac:dyDescent="0.25">
      <c r="A5761"/>
      <c r="B5761"/>
    </row>
    <row r="5762" spans="1:2" x14ac:dyDescent="0.25">
      <c r="A5762"/>
      <c r="B5762"/>
    </row>
    <row r="5763" spans="1:2" x14ac:dyDescent="0.25">
      <c r="A5763"/>
      <c r="B5763"/>
    </row>
    <row r="5764" spans="1:2" x14ac:dyDescent="0.25">
      <c r="A5764"/>
      <c r="B5764"/>
    </row>
    <row r="5765" spans="1:2" x14ac:dyDescent="0.25">
      <c r="A5765"/>
      <c r="B5765"/>
    </row>
    <row r="5766" spans="1:2" x14ac:dyDescent="0.25">
      <c r="A5766"/>
      <c r="B5766"/>
    </row>
    <row r="5767" spans="1:2" x14ac:dyDescent="0.25">
      <c r="A5767"/>
      <c r="B5767"/>
    </row>
    <row r="5768" spans="1:2" x14ac:dyDescent="0.25">
      <c r="A5768"/>
      <c r="B5768"/>
    </row>
    <row r="5769" spans="1:2" x14ac:dyDescent="0.25">
      <c r="A5769"/>
      <c r="B5769"/>
    </row>
    <row r="5770" spans="1:2" x14ac:dyDescent="0.25">
      <c r="A5770"/>
      <c r="B5770"/>
    </row>
    <row r="5771" spans="1:2" x14ac:dyDescent="0.25">
      <c r="A5771"/>
      <c r="B5771"/>
    </row>
    <row r="5772" spans="1:2" x14ac:dyDescent="0.25">
      <c r="A5772"/>
      <c r="B5772"/>
    </row>
    <row r="5773" spans="1:2" x14ac:dyDescent="0.25">
      <c r="A5773"/>
      <c r="B5773"/>
    </row>
    <row r="5774" spans="1:2" x14ac:dyDescent="0.25">
      <c r="A5774"/>
      <c r="B5774"/>
    </row>
    <row r="5775" spans="1:2" x14ac:dyDescent="0.25">
      <c r="A5775"/>
      <c r="B5775"/>
    </row>
    <row r="5776" spans="1:2" x14ac:dyDescent="0.25">
      <c r="A5776"/>
      <c r="B5776"/>
    </row>
    <row r="5777" spans="1:2" x14ac:dyDescent="0.25">
      <c r="A5777"/>
      <c r="B5777"/>
    </row>
    <row r="5778" spans="1:2" x14ac:dyDescent="0.25">
      <c r="A5778"/>
      <c r="B5778"/>
    </row>
    <row r="5779" spans="1:2" x14ac:dyDescent="0.25">
      <c r="A5779"/>
      <c r="B5779"/>
    </row>
    <row r="5780" spans="1:2" x14ac:dyDescent="0.25">
      <c r="A5780"/>
      <c r="B5780"/>
    </row>
    <row r="5781" spans="1:2" x14ac:dyDescent="0.25">
      <c r="A5781"/>
      <c r="B5781"/>
    </row>
    <row r="5782" spans="1:2" x14ac:dyDescent="0.25">
      <c r="A5782"/>
      <c r="B5782"/>
    </row>
    <row r="5783" spans="1:2" x14ac:dyDescent="0.25">
      <c r="A5783"/>
      <c r="B5783"/>
    </row>
    <row r="5784" spans="1:2" x14ac:dyDescent="0.25">
      <c r="A5784"/>
      <c r="B5784"/>
    </row>
    <row r="5785" spans="1:2" x14ac:dyDescent="0.25">
      <c r="A5785"/>
      <c r="B5785"/>
    </row>
    <row r="5786" spans="1:2" x14ac:dyDescent="0.25">
      <c r="A5786"/>
      <c r="B5786"/>
    </row>
    <row r="5787" spans="1:2" x14ac:dyDescent="0.25">
      <c r="A5787"/>
      <c r="B5787"/>
    </row>
    <row r="5788" spans="1:2" x14ac:dyDescent="0.25">
      <c r="A5788"/>
      <c r="B5788"/>
    </row>
    <row r="5789" spans="1:2" x14ac:dyDescent="0.25">
      <c r="A5789"/>
      <c r="B5789"/>
    </row>
    <row r="5790" spans="1:2" x14ac:dyDescent="0.25">
      <c r="A5790"/>
      <c r="B5790"/>
    </row>
    <row r="5791" spans="1:2" x14ac:dyDescent="0.25">
      <c r="A5791"/>
      <c r="B5791"/>
    </row>
    <row r="5792" spans="1:2" x14ac:dyDescent="0.25">
      <c r="A5792"/>
      <c r="B5792"/>
    </row>
    <row r="5793" spans="1:2" x14ac:dyDescent="0.25">
      <c r="A5793"/>
      <c r="B5793"/>
    </row>
    <row r="5794" spans="1:2" x14ac:dyDescent="0.25">
      <c r="A5794"/>
      <c r="B5794"/>
    </row>
    <row r="5795" spans="1:2" x14ac:dyDescent="0.25">
      <c r="A5795"/>
      <c r="B5795"/>
    </row>
    <row r="5796" spans="1:2" x14ac:dyDescent="0.25">
      <c r="A5796"/>
      <c r="B5796"/>
    </row>
    <row r="5797" spans="1:2" x14ac:dyDescent="0.25">
      <c r="A5797"/>
      <c r="B5797"/>
    </row>
    <row r="5798" spans="1:2" x14ac:dyDescent="0.25">
      <c r="A5798"/>
      <c r="B5798"/>
    </row>
    <row r="5799" spans="1:2" x14ac:dyDescent="0.25">
      <c r="A5799"/>
      <c r="B5799"/>
    </row>
    <row r="5800" spans="1:2" x14ac:dyDescent="0.25">
      <c r="A5800"/>
      <c r="B5800"/>
    </row>
    <row r="5801" spans="1:2" x14ac:dyDescent="0.25">
      <c r="A5801"/>
      <c r="B5801"/>
    </row>
    <row r="5802" spans="1:2" x14ac:dyDescent="0.25">
      <c r="A5802"/>
      <c r="B5802"/>
    </row>
    <row r="5803" spans="1:2" x14ac:dyDescent="0.25">
      <c r="A5803"/>
      <c r="B5803"/>
    </row>
    <row r="5804" spans="1:2" x14ac:dyDescent="0.25">
      <c r="A5804"/>
      <c r="B5804"/>
    </row>
    <row r="5805" spans="1:2" x14ac:dyDescent="0.25">
      <c r="A5805"/>
      <c r="B5805"/>
    </row>
    <row r="5806" spans="1:2" x14ac:dyDescent="0.25">
      <c r="A5806"/>
      <c r="B5806"/>
    </row>
    <row r="5807" spans="1:2" x14ac:dyDescent="0.25">
      <c r="A5807"/>
      <c r="B5807"/>
    </row>
    <row r="5808" spans="1:2" x14ac:dyDescent="0.25">
      <c r="A5808"/>
      <c r="B5808"/>
    </row>
    <row r="5809" spans="1:2" x14ac:dyDescent="0.25">
      <c r="A5809"/>
      <c r="B5809"/>
    </row>
    <row r="5810" spans="1:2" x14ac:dyDescent="0.25">
      <c r="A5810"/>
      <c r="B5810"/>
    </row>
    <row r="5811" spans="1:2" x14ac:dyDescent="0.25">
      <c r="A5811"/>
      <c r="B5811"/>
    </row>
    <row r="5812" spans="1:2" x14ac:dyDescent="0.25">
      <c r="A5812"/>
      <c r="B5812"/>
    </row>
    <row r="5813" spans="1:2" x14ac:dyDescent="0.25">
      <c r="A5813"/>
      <c r="B5813"/>
    </row>
    <row r="5814" spans="1:2" x14ac:dyDescent="0.25">
      <c r="A5814"/>
      <c r="B5814"/>
    </row>
    <row r="5815" spans="1:2" x14ac:dyDescent="0.25">
      <c r="A5815"/>
      <c r="B5815"/>
    </row>
    <row r="5816" spans="1:2" x14ac:dyDescent="0.25">
      <c r="A5816"/>
      <c r="B5816"/>
    </row>
    <row r="5817" spans="1:2" x14ac:dyDescent="0.25">
      <c r="A5817"/>
      <c r="B5817"/>
    </row>
    <row r="5818" spans="1:2" x14ac:dyDescent="0.25">
      <c r="A5818"/>
      <c r="B5818"/>
    </row>
    <row r="5819" spans="1:2" x14ac:dyDescent="0.25">
      <c r="A5819"/>
      <c r="B5819"/>
    </row>
    <row r="5820" spans="1:2" x14ac:dyDescent="0.25">
      <c r="A5820"/>
      <c r="B5820"/>
    </row>
    <row r="5821" spans="1:2" x14ac:dyDescent="0.25">
      <c r="A5821"/>
      <c r="B5821"/>
    </row>
    <row r="5822" spans="1:2" x14ac:dyDescent="0.25">
      <c r="A5822"/>
      <c r="B5822"/>
    </row>
    <row r="5823" spans="1:2" x14ac:dyDescent="0.25">
      <c r="A5823"/>
      <c r="B5823"/>
    </row>
    <row r="5824" spans="1:2" x14ac:dyDescent="0.25">
      <c r="A5824"/>
      <c r="B5824"/>
    </row>
    <row r="5825" spans="1:2" x14ac:dyDescent="0.25">
      <c r="A5825"/>
      <c r="B5825"/>
    </row>
    <row r="5826" spans="1:2" x14ac:dyDescent="0.25">
      <c r="A5826"/>
      <c r="B5826"/>
    </row>
    <row r="5827" spans="1:2" x14ac:dyDescent="0.25">
      <c r="A5827"/>
      <c r="B5827"/>
    </row>
    <row r="5828" spans="1:2" x14ac:dyDescent="0.25">
      <c r="A5828"/>
      <c r="B5828"/>
    </row>
    <row r="5829" spans="1:2" x14ac:dyDescent="0.25">
      <c r="A5829"/>
      <c r="B5829"/>
    </row>
    <row r="5830" spans="1:2" x14ac:dyDescent="0.25">
      <c r="A5830"/>
      <c r="B5830"/>
    </row>
    <row r="5831" spans="1:2" x14ac:dyDescent="0.25">
      <c r="A5831"/>
      <c r="B5831"/>
    </row>
    <row r="5832" spans="1:2" x14ac:dyDescent="0.25">
      <c r="A5832"/>
      <c r="B5832"/>
    </row>
    <row r="5833" spans="1:2" x14ac:dyDescent="0.25">
      <c r="A5833"/>
      <c r="B5833"/>
    </row>
    <row r="5834" spans="1:2" x14ac:dyDescent="0.25">
      <c r="A5834"/>
      <c r="B5834"/>
    </row>
    <row r="5835" spans="1:2" x14ac:dyDescent="0.25">
      <c r="A5835"/>
      <c r="B5835"/>
    </row>
    <row r="5836" spans="1:2" x14ac:dyDescent="0.25">
      <c r="A5836"/>
      <c r="B5836"/>
    </row>
    <row r="5837" spans="1:2" x14ac:dyDescent="0.25">
      <c r="A5837"/>
      <c r="B5837"/>
    </row>
    <row r="5838" spans="1:2" x14ac:dyDescent="0.25">
      <c r="A5838"/>
      <c r="B5838"/>
    </row>
    <row r="5839" spans="1:2" x14ac:dyDescent="0.25">
      <c r="A5839"/>
      <c r="B5839"/>
    </row>
    <row r="5840" spans="1:2" x14ac:dyDescent="0.25">
      <c r="A5840"/>
      <c r="B5840"/>
    </row>
    <row r="5841" spans="1:2" x14ac:dyDescent="0.25">
      <c r="A5841"/>
      <c r="B5841"/>
    </row>
    <row r="5842" spans="1:2" x14ac:dyDescent="0.25">
      <c r="A5842"/>
      <c r="B5842"/>
    </row>
    <row r="5843" spans="1:2" x14ac:dyDescent="0.25">
      <c r="A5843"/>
      <c r="B5843"/>
    </row>
    <row r="5844" spans="1:2" x14ac:dyDescent="0.25">
      <c r="A5844"/>
      <c r="B5844"/>
    </row>
    <row r="5845" spans="1:2" x14ac:dyDescent="0.25">
      <c r="A5845"/>
      <c r="B5845"/>
    </row>
    <row r="5846" spans="1:2" x14ac:dyDescent="0.25">
      <c r="A5846"/>
      <c r="B5846"/>
    </row>
    <row r="5847" spans="1:2" x14ac:dyDescent="0.25">
      <c r="A5847"/>
      <c r="B5847"/>
    </row>
    <row r="5848" spans="1:2" x14ac:dyDescent="0.25">
      <c r="A5848"/>
      <c r="B5848"/>
    </row>
    <row r="5849" spans="1:2" x14ac:dyDescent="0.25">
      <c r="A5849"/>
      <c r="B5849"/>
    </row>
    <row r="5850" spans="1:2" x14ac:dyDescent="0.25">
      <c r="A5850"/>
      <c r="B5850"/>
    </row>
    <row r="5851" spans="1:2" x14ac:dyDescent="0.25">
      <c r="A5851"/>
      <c r="B5851"/>
    </row>
    <row r="5852" spans="1:2" x14ac:dyDescent="0.25">
      <c r="A5852"/>
      <c r="B5852"/>
    </row>
    <row r="5853" spans="1:2" x14ac:dyDescent="0.25">
      <c r="A5853"/>
      <c r="B5853"/>
    </row>
    <row r="5854" spans="1:2" x14ac:dyDescent="0.25">
      <c r="A5854"/>
      <c r="B5854"/>
    </row>
    <row r="5855" spans="1:2" x14ac:dyDescent="0.25">
      <c r="A5855"/>
      <c r="B5855"/>
    </row>
    <row r="5856" spans="1:2" x14ac:dyDescent="0.25">
      <c r="A5856"/>
      <c r="B5856"/>
    </row>
    <row r="5857" spans="1:2" x14ac:dyDescent="0.25">
      <c r="A5857"/>
      <c r="B5857"/>
    </row>
    <row r="5858" spans="1:2" x14ac:dyDescent="0.25">
      <c r="A5858"/>
      <c r="B5858"/>
    </row>
    <row r="5859" spans="1:2" x14ac:dyDescent="0.25">
      <c r="A5859"/>
      <c r="B5859"/>
    </row>
    <row r="5860" spans="1:2" x14ac:dyDescent="0.25">
      <c r="A5860"/>
      <c r="B5860"/>
    </row>
    <row r="5861" spans="1:2" x14ac:dyDescent="0.25">
      <c r="A5861"/>
      <c r="B5861"/>
    </row>
    <row r="5862" spans="1:2" x14ac:dyDescent="0.25">
      <c r="A5862"/>
      <c r="B5862"/>
    </row>
    <row r="5863" spans="1:2" x14ac:dyDescent="0.25">
      <c r="A5863"/>
      <c r="B5863"/>
    </row>
    <row r="5864" spans="1:2" x14ac:dyDescent="0.25">
      <c r="A5864"/>
      <c r="B5864"/>
    </row>
    <row r="5865" spans="1:2" x14ac:dyDescent="0.25">
      <c r="A5865"/>
      <c r="B5865"/>
    </row>
    <row r="5866" spans="1:2" x14ac:dyDescent="0.25">
      <c r="A5866"/>
      <c r="B5866"/>
    </row>
    <row r="5867" spans="1:2" x14ac:dyDescent="0.25">
      <c r="A5867"/>
      <c r="B5867"/>
    </row>
    <row r="5868" spans="1:2" x14ac:dyDescent="0.25">
      <c r="A5868"/>
      <c r="B5868"/>
    </row>
    <row r="5869" spans="1:2" x14ac:dyDescent="0.25">
      <c r="A5869"/>
      <c r="B5869"/>
    </row>
    <row r="5870" spans="1:2" x14ac:dyDescent="0.25">
      <c r="A5870"/>
      <c r="B5870"/>
    </row>
    <row r="5871" spans="1:2" x14ac:dyDescent="0.25">
      <c r="A5871"/>
      <c r="B5871"/>
    </row>
    <row r="5872" spans="1:2" x14ac:dyDescent="0.25">
      <c r="A5872"/>
      <c r="B5872"/>
    </row>
    <row r="5873" spans="1:2" x14ac:dyDescent="0.25">
      <c r="A5873"/>
      <c r="B5873"/>
    </row>
    <row r="5874" spans="1:2" x14ac:dyDescent="0.25">
      <c r="A5874"/>
      <c r="B5874"/>
    </row>
    <row r="5875" spans="1:2" x14ac:dyDescent="0.25">
      <c r="A5875"/>
      <c r="B5875"/>
    </row>
    <row r="5876" spans="1:2" x14ac:dyDescent="0.25">
      <c r="A5876"/>
      <c r="B5876"/>
    </row>
    <row r="5877" spans="1:2" x14ac:dyDescent="0.25">
      <c r="A5877"/>
      <c r="B5877"/>
    </row>
    <row r="5878" spans="1:2" x14ac:dyDescent="0.25">
      <c r="A5878"/>
      <c r="B5878"/>
    </row>
    <row r="5879" spans="1:2" x14ac:dyDescent="0.25">
      <c r="A5879"/>
      <c r="B5879"/>
    </row>
    <row r="5880" spans="1:2" x14ac:dyDescent="0.25">
      <c r="A5880"/>
      <c r="B5880"/>
    </row>
    <row r="5881" spans="1:2" x14ac:dyDescent="0.25">
      <c r="A5881"/>
      <c r="B5881"/>
    </row>
    <row r="5882" spans="1:2" x14ac:dyDescent="0.25">
      <c r="A5882"/>
      <c r="B5882"/>
    </row>
    <row r="5883" spans="1:2" x14ac:dyDescent="0.25">
      <c r="A5883"/>
      <c r="B5883"/>
    </row>
    <row r="5884" spans="1:2" x14ac:dyDescent="0.25">
      <c r="A5884"/>
      <c r="B5884"/>
    </row>
    <row r="5885" spans="1:2" x14ac:dyDescent="0.25">
      <c r="A5885"/>
      <c r="B5885"/>
    </row>
    <row r="5886" spans="1:2" x14ac:dyDescent="0.25">
      <c r="A5886"/>
      <c r="B5886"/>
    </row>
    <row r="5887" spans="1:2" x14ac:dyDescent="0.25">
      <c r="A5887"/>
      <c r="B5887"/>
    </row>
    <row r="5888" spans="1:2" x14ac:dyDescent="0.25">
      <c r="A5888"/>
      <c r="B5888"/>
    </row>
    <row r="5889" spans="1:2" x14ac:dyDescent="0.25">
      <c r="A5889"/>
      <c r="B5889"/>
    </row>
    <row r="5890" spans="1:2" x14ac:dyDescent="0.25">
      <c r="A5890"/>
      <c r="B5890"/>
    </row>
    <row r="5891" spans="1:2" x14ac:dyDescent="0.25">
      <c r="A5891"/>
      <c r="B5891"/>
    </row>
    <row r="5892" spans="1:2" x14ac:dyDescent="0.25">
      <c r="A5892"/>
      <c r="B5892"/>
    </row>
    <row r="5893" spans="1:2" x14ac:dyDescent="0.25">
      <c r="A5893"/>
      <c r="B5893"/>
    </row>
    <row r="5894" spans="1:2" x14ac:dyDescent="0.25">
      <c r="A5894"/>
      <c r="B5894"/>
    </row>
    <row r="5895" spans="1:2" x14ac:dyDescent="0.25">
      <c r="A5895"/>
      <c r="B5895"/>
    </row>
    <row r="5896" spans="1:2" x14ac:dyDescent="0.25">
      <c r="A5896"/>
      <c r="B5896"/>
    </row>
    <row r="5897" spans="1:2" x14ac:dyDescent="0.25">
      <c r="A5897"/>
      <c r="B5897"/>
    </row>
    <row r="5898" spans="1:2" x14ac:dyDescent="0.25">
      <c r="A5898"/>
      <c r="B5898"/>
    </row>
    <row r="5899" spans="1:2" x14ac:dyDescent="0.25">
      <c r="A5899"/>
      <c r="B5899"/>
    </row>
    <row r="5900" spans="1:2" x14ac:dyDescent="0.25">
      <c r="A5900"/>
      <c r="B5900"/>
    </row>
    <row r="5901" spans="1:2" x14ac:dyDescent="0.25">
      <c r="A5901"/>
      <c r="B5901"/>
    </row>
    <row r="5902" spans="1:2" x14ac:dyDescent="0.25">
      <c r="A5902"/>
      <c r="B5902"/>
    </row>
    <row r="5903" spans="1:2" x14ac:dyDescent="0.25">
      <c r="A5903"/>
      <c r="B5903"/>
    </row>
    <row r="5904" spans="1:2" x14ac:dyDescent="0.25">
      <c r="A5904"/>
      <c r="B5904"/>
    </row>
    <row r="5905" spans="1:2" x14ac:dyDescent="0.25">
      <c r="A5905"/>
      <c r="B5905"/>
    </row>
    <row r="5906" spans="1:2" x14ac:dyDescent="0.25">
      <c r="A5906"/>
      <c r="B5906"/>
    </row>
    <row r="5907" spans="1:2" x14ac:dyDescent="0.25">
      <c r="A5907"/>
      <c r="B5907"/>
    </row>
    <row r="5908" spans="1:2" x14ac:dyDescent="0.25">
      <c r="A5908"/>
      <c r="B5908"/>
    </row>
    <row r="5909" spans="1:2" x14ac:dyDescent="0.25">
      <c r="A5909"/>
      <c r="B5909"/>
    </row>
    <row r="5910" spans="1:2" x14ac:dyDescent="0.25">
      <c r="A5910"/>
      <c r="B5910"/>
    </row>
    <row r="5911" spans="1:2" x14ac:dyDescent="0.25">
      <c r="A5911"/>
      <c r="B5911"/>
    </row>
    <row r="5912" spans="1:2" x14ac:dyDescent="0.25">
      <c r="A5912"/>
      <c r="B5912"/>
    </row>
    <row r="5913" spans="1:2" x14ac:dyDescent="0.25">
      <c r="A5913"/>
      <c r="B5913"/>
    </row>
    <row r="5914" spans="1:2" x14ac:dyDescent="0.25">
      <c r="A5914"/>
      <c r="B5914"/>
    </row>
    <row r="5915" spans="1:2" x14ac:dyDescent="0.25">
      <c r="A5915"/>
      <c r="B5915"/>
    </row>
    <row r="5916" spans="1:2" x14ac:dyDescent="0.25">
      <c r="A5916"/>
      <c r="B5916"/>
    </row>
    <row r="5917" spans="1:2" x14ac:dyDescent="0.25">
      <c r="A5917"/>
      <c r="B5917"/>
    </row>
    <row r="5918" spans="1:2" x14ac:dyDescent="0.25">
      <c r="A5918"/>
      <c r="B5918"/>
    </row>
    <row r="5919" spans="1:2" x14ac:dyDescent="0.25">
      <c r="A5919"/>
      <c r="B5919"/>
    </row>
    <row r="5920" spans="1:2" x14ac:dyDescent="0.25">
      <c r="A5920"/>
      <c r="B5920"/>
    </row>
    <row r="5921" spans="1:2" x14ac:dyDescent="0.25">
      <c r="A5921"/>
      <c r="B5921"/>
    </row>
    <row r="5922" spans="1:2" x14ac:dyDescent="0.25">
      <c r="A5922"/>
      <c r="B5922"/>
    </row>
    <row r="5923" spans="1:2" x14ac:dyDescent="0.25">
      <c r="A5923"/>
      <c r="B5923"/>
    </row>
    <row r="5924" spans="1:2" x14ac:dyDescent="0.25">
      <c r="A5924"/>
      <c r="B5924"/>
    </row>
    <row r="5925" spans="1:2" x14ac:dyDescent="0.25">
      <c r="A5925"/>
      <c r="B5925"/>
    </row>
    <row r="5926" spans="1:2" x14ac:dyDescent="0.25">
      <c r="A5926"/>
      <c r="B5926"/>
    </row>
    <row r="5927" spans="1:2" x14ac:dyDescent="0.25">
      <c r="A5927"/>
      <c r="B5927"/>
    </row>
    <row r="5928" spans="1:2" x14ac:dyDescent="0.25">
      <c r="A5928"/>
      <c r="B5928"/>
    </row>
    <row r="5929" spans="1:2" x14ac:dyDescent="0.25">
      <c r="A5929"/>
      <c r="B5929"/>
    </row>
    <row r="5930" spans="1:2" x14ac:dyDescent="0.25">
      <c r="A5930"/>
      <c r="B5930"/>
    </row>
    <row r="5931" spans="1:2" x14ac:dyDescent="0.25">
      <c r="A5931"/>
      <c r="B5931"/>
    </row>
    <row r="5932" spans="1:2" x14ac:dyDescent="0.25">
      <c r="A5932"/>
      <c r="B5932"/>
    </row>
    <row r="5933" spans="1:2" x14ac:dyDescent="0.25">
      <c r="A5933"/>
      <c r="B5933"/>
    </row>
    <row r="5934" spans="1:2" x14ac:dyDescent="0.25">
      <c r="A5934"/>
      <c r="B5934"/>
    </row>
    <row r="5935" spans="1:2" x14ac:dyDescent="0.25">
      <c r="A5935"/>
      <c r="B5935"/>
    </row>
    <row r="5936" spans="1:2" x14ac:dyDescent="0.25">
      <c r="A5936"/>
      <c r="B5936"/>
    </row>
    <row r="5937" spans="1:2" x14ac:dyDescent="0.25">
      <c r="A5937"/>
      <c r="B5937"/>
    </row>
    <row r="5938" spans="1:2" x14ac:dyDescent="0.25">
      <c r="A5938"/>
      <c r="B5938"/>
    </row>
    <row r="5939" spans="1:2" x14ac:dyDescent="0.25">
      <c r="A5939"/>
      <c r="B5939"/>
    </row>
    <row r="5940" spans="1:2" x14ac:dyDescent="0.25">
      <c r="A5940"/>
      <c r="B5940"/>
    </row>
    <row r="5941" spans="1:2" x14ac:dyDescent="0.25">
      <c r="A5941"/>
      <c r="B5941"/>
    </row>
    <row r="5942" spans="1:2" x14ac:dyDescent="0.25">
      <c r="A5942"/>
      <c r="B5942"/>
    </row>
    <row r="5943" spans="1:2" x14ac:dyDescent="0.25">
      <c r="A5943"/>
      <c r="B5943"/>
    </row>
    <row r="5944" spans="1:2" x14ac:dyDescent="0.25">
      <c r="A5944"/>
      <c r="B5944"/>
    </row>
    <row r="5945" spans="1:2" x14ac:dyDescent="0.25">
      <c r="A5945"/>
      <c r="B5945"/>
    </row>
    <row r="5946" spans="1:2" x14ac:dyDescent="0.25">
      <c r="A5946"/>
      <c r="B5946"/>
    </row>
    <row r="5947" spans="1:2" x14ac:dyDescent="0.25">
      <c r="A5947"/>
      <c r="B5947"/>
    </row>
    <row r="5948" spans="1:2" x14ac:dyDescent="0.25">
      <c r="A5948"/>
      <c r="B5948"/>
    </row>
    <row r="5949" spans="1:2" x14ac:dyDescent="0.25">
      <c r="A5949"/>
      <c r="B5949"/>
    </row>
    <row r="5950" spans="1:2" x14ac:dyDescent="0.25">
      <c r="A5950"/>
      <c r="B5950"/>
    </row>
    <row r="5951" spans="1:2" x14ac:dyDescent="0.25">
      <c r="A5951"/>
      <c r="B5951"/>
    </row>
    <row r="5952" spans="1:2" x14ac:dyDescent="0.25">
      <c r="A5952"/>
      <c r="B5952"/>
    </row>
    <row r="5953" spans="1:2" x14ac:dyDescent="0.25">
      <c r="A5953"/>
      <c r="B5953"/>
    </row>
    <row r="5954" spans="1:2" x14ac:dyDescent="0.25">
      <c r="A5954"/>
      <c r="B5954"/>
    </row>
    <row r="5955" spans="1:2" x14ac:dyDescent="0.25">
      <c r="A5955"/>
      <c r="B5955"/>
    </row>
    <row r="5956" spans="1:2" x14ac:dyDescent="0.25">
      <c r="A5956"/>
      <c r="B5956"/>
    </row>
    <row r="5957" spans="1:2" x14ac:dyDescent="0.25">
      <c r="A5957"/>
      <c r="B5957"/>
    </row>
    <row r="5958" spans="1:2" x14ac:dyDescent="0.25">
      <c r="A5958"/>
      <c r="B5958"/>
    </row>
    <row r="5959" spans="1:2" x14ac:dyDescent="0.25">
      <c r="A5959"/>
      <c r="B5959"/>
    </row>
    <row r="5960" spans="1:2" x14ac:dyDescent="0.25">
      <c r="A5960"/>
      <c r="B5960"/>
    </row>
    <row r="5961" spans="1:2" x14ac:dyDescent="0.25">
      <c r="A5961"/>
      <c r="B5961"/>
    </row>
    <row r="5962" spans="1:2" x14ac:dyDescent="0.25">
      <c r="A5962"/>
      <c r="B5962"/>
    </row>
    <row r="5963" spans="1:2" x14ac:dyDescent="0.25">
      <c r="A5963"/>
      <c r="B5963"/>
    </row>
    <row r="5964" spans="1:2" x14ac:dyDescent="0.25">
      <c r="A5964"/>
      <c r="B5964"/>
    </row>
    <row r="5965" spans="1:2" x14ac:dyDescent="0.25">
      <c r="A5965"/>
      <c r="B5965"/>
    </row>
    <row r="5966" spans="1:2" x14ac:dyDescent="0.25">
      <c r="A5966"/>
      <c r="B5966"/>
    </row>
  </sheetData>
  <pageMargins left="0.7" right="0.7" top="0.75" bottom="0.75" header="0.3" footer="0.3"/>
  <pageSetup orientation="portrait"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2:K98"/>
  <sheetViews>
    <sheetView topLeftCell="A13" workbookViewId="0">
      <selection activeCell="O59" sqref="O59"/>
    </sheetView>
  </sheetViews>
  <sheetFormatPr defaultRowHeight="15" x14ac:dyDescent="0.25"/>
  <cols>
    <col min="1" max="1" width="50.140625" customWidth="1"/>
    <col min="2" max="2" width="28.7109375" bestFit="1" customWidth="1"/>
    <col min="3" max="3" width="11.28515625" hidden="1" customWidth="1"/>
    <col min="4" max="4" width="11.140625" bestFit="1" customWidth="1"/>
    <col min="5" max="5" width="14.7109375" hidden="1" customWidth="1"/>
    <col min="6" max="6" width="12.7109375" customWidth="1"/>
    <col min="7" max="7" width="16.28515625" bestFit="1" customWidth="1"/>
    <col min="8" max="8" width="10.140625" hidden="1" customWidth="1"/>
    <col min="9"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2" spans="1:11" x14ac:dyDescent="0.25">
      <c r="A12" s="4" t="s">
        <v>244</v>
      </c>
      <c r="B12" t="s" vm="13">
        <v>245</v>
      </c>
    </row>
    <row r="14" spans="1:11" x14ac:dyDescent="0.25">
      <c r="A14" s="4" t="s">
        <v>136</v>
      </c>
      <c r="B14" s="4" t="s">
        <v>137</v>
      </c>
    </row>
    <row r="15" spans="1:11" x14ac:dyDescent="0.25">
      <c r="B15" t="s">
        <v>303</v>
      </c>
      <c r="E15" t="s">
        <v>1028</v>
      </c>
      <c r="F15" t="s">
        <v>248</v>
      </c>
      <c r="H15" t="s">
        <v>326</v>
      </c>
      <c r="I15" t="s">
        <v>239</v>
      </c>
      <c r="K15" t="s">
        <v>1029</v>
      </c>
    </row>
    <row r="16" spans="1:11" x14ac:dyDescent="0.25">
      <c r="A16" s="4" t="s">
        <v>242</v>
      </c>
      <c r="B16">
        <v>2018</v>
      </c>
      <c r="C16">
        <v>2019</v>
      </c>
      <c r="D16">
        <v>2020</v>
      </c>
      <c r="F16">
        <v>2019</v>
      </c>
      <c r="G16">
        <v>2020</v>
      </c>
      <c r="I16">
        <v>2019</v>
      </c>
      <c r="J16">
        <v>2020</v>
      </c>
    </row>
    <row r="17" spans="1:11" hidden="1" x14ac:dyDescent="0.25">
      <c r="A17" s="7" t="s">
        <v>1030</v>
      </c>
      <c r="B17" s="1">
        <v>0</v>
      </c>
      <c r="C17" s="1">
        <v>312451912</v>
      </c>
      <c r="D17" s="1">
        <v>315148617</v>
      </c>
      <c r="E17" s="1">
        <v>627600529</v>
      </c>
      <c r="F17" s="1">
        <v>0</v>
      </c>
      <c r="G17" s="1">
        <v>0</v>
      </c>
      <c r="H17" s="1">
        <v>0</v>
      </c>
      <c r="I17" s="1">
        <v>0</v>
      </c>
      <c r="J17" s="1">
        <v>350082758</v>
      </c>
      <c r="K17" s="1">
        <v>350082758</v>
      </c>
    </row>
    <row r="18" spans="1:11" hidden="1" x14ac:dyDescent="0.25">
      <c r="A18" s="8" t="s">
        <v>1031</v>
      </c>
      <c r="B18" s="1">
        <v>0</v>
      </c>
      <c r="C18" s="1">
        <v>2410221</v>
      </c>
      <c r="D18" s="1">
        <v>2247849</v>
      </c>
      <c r="E18" s="1">
        <v>4658070</v>
      </c>
      <c r="F18" s="1">
        <v>0</v>
      </c>
      <c r="G18" s="1">
        <v>0</v>
      </c>
      <c r="H18" s="1">
        <v>0</v>
      </c>
      <c r="I18" s="1">
        <v>0</v>
      </c>
      <c r="J18" s="1">
        <v>1919284</v>
      </c>
      <c r="K18" s="1">
        <v>1919284</v>
      </c>
    </row>
    <row r="19" spans="1:11" hidden="1" x14ac:dyDescent="0.25">
      <c r="A19" s="8" t="s">
        <v>1032</v>
      </c>
      <c r="B19" s="1"/>
      <c r="C19" s="1"/>
      <c r="D19" s="1"/>
      <c r="E19" s="1"/>
      <c r="F19" s="1"/>
      <c r="G19" s="1"/>
      <c r="H19" s="1"/>
      <c r="I19" s="1">
        <v>0</v>
      </c>
      <c r="J19" s="1">
        <v>9428570</v>
      </c>
      <c r="K19" s="1">
        <v>9428570</v>
      </c>
    </row>
    <row r="20" spans="1:11" hidden="1" x14ac:dyDescent="0.25">
      <c r="A20" s="8" t="s">
        <v>1033</v>
      </c>
      <c r="B20" s="1">
        <v>0</v>
      </c>
      <c r="C20" s="1">
        <v>0</v>
      </c>
      <c r="D20" s="1">
        <v>0</v>
      </c>
      <c r="E20" s="1">
        <v>0</v>
      </c>
      <c r="F20" s="1">
        <v>0</v>
      </c>
      <c r="G20" s="1">
        <v>0</v>
      </c>
      <c r="H20" s="1">
        <v>0</v>
      </c>
      <c r="I20" s="1">
        <v>0</v>
      </c>
      <c r="J20" s="1">
        <v>0</v>
      </c>
      <c r="K20" s="1">
        <v>0</v>
      </c>
    </row>
    <row r="21" spans="1:11" hidden="1" x14ac:dyDescent="0.25">
      <c r="A21" s="8" t="s">
        <v>1034</v>
      </c>
      <c r="B21" s="1">
        <v>0</v>
      </c>
      <c r="C21" s="1">
        <v>10757390</v>
      </c>
      <c r="D21" s="1">
        <v>9819066</v>
      </c>
      <c r="E21" s="1">
        <v>20576456</v>
      </c>
      <c r="F21" s="1">
        <v>0</v>
      </c>
      <c r="G21" s="1">
        <v>0</v>
      </c>
      <c r="H21" s="1">
        <v>0</v>
      </c>
      <c r="I21" s="1">
        <v>0</v>
      </c>
      <c r="J21" s="1">
        <v>11094063</v>
      </c>
      <c r="K21" s="1">
        <v>11094063</v>
      </c>
    </row>
    <row r="22" spans="1:11" hidden="1" x14ac:dyDescent="0.25">
      <c r="A22" s="8" t="s">
        <v>1035</v>
      </c>
      <c r="B22" s="1">
        <v>0</v>
      </c>
      <c r="C22" s="1">
        <v>75224</v>
      </c>
      <c r="D22" s="1">
        <v>139623</v>
      </c>
      <c r="E22" s="1">
        <v>214847</v>
      </c>
      <c r="F22" s="1">
        <v>0</v>
      </c>
      <c r="G22" s="1">
        <v>0</v>
      </c>
      <c r="H22" s="1">
        <v>0</v>
      </c>
      <c r="I22" s="1">
        <v>0</v>
      </c>
      <c r="J22" s="1">
        <v>71887</v>
      </c>
      <c r="K22" s="1">
        <v>71887</v>
      </c>
    </row>
    <row r="23" spans="1:11" hidden="1" x14ac:dyDescent="0.25">
      <c r="A23" s="8" t="s">
        <v>1036</v>
      </c>
      <c r="B23" s="1">
        <v>0</v>
      </c>
      <c r="C23" s="1">
        <v>0</v>
      </c>
      <c r="D23" s="1">
        <v>0</v>
      </c>
      <c r="E23" s="1">
        <v>0</v>
      </c>
      <c r="F23" s="1">
        <v>0</v>
      </c>
      <c r="G23" s="1">
        <v>0</v>
      </c>
      <c r="H23" s="1">
        <v>0</v>
      </c>
      <c r="I23" s="1"/>
      <c r="J23" s="1"/>
      <c r="K23" s="1"/>
    </row>
    <row r="24" spans="1:11" hidden="1" x14ac:dyDescent="0.25">
      <c r="A24" s="8" t="s">
        <v>1037</v>
      </c>
      <c r="B24" s="1">
        <v>0</v>
      </c>
      <c r="C24" s="1">
        <v>172072257</v>
      </c>
      <c r="D24" s="1">
        <v>176082377</v>
      </c>
      <c r="E24" s="1">
        <v>348154634</v>
      </c>
      <c r="F24" s="1">
        <v>0</v>
      </c>
      <c r="G24" s="1">
        <v>0</v>
      </c>
      <c r="H24" s="1">
        <v>0</v>
      </c>
      <c r="I24" s="1">
        <v>0</v>
      </c>
      <c r="J24" s="1">
        <v>188191194</v>
      </c>
      <c r="K24" s="1">
        <v>188191194</v>
      </c>
    </row>
    <row r="25" spans="1:11" hidden="1" x14ac:dyDescent="0.25">
      <c r="A25" s="8" t="s">
        <v>1038</v>
      </c>
      <c r="B25" s="1">
        <v>0</v>
      </c>
      <c r="C25" s="1">
        <v>184037</v>
      </c>
      <c r="D25" s="1">
        <v>149531</v>
      </c>
      <c r="E25" s="1">
        <v>333568</v>
      </c>
      <c r="F25" s="1">
        <v>0</v>
      </c>
      <c r="G25" s="1">
        <v>0</v>
      </c>
      <c r="H25" s="1">
        <v>0</v>
      </c>
      <c r="I25" s="1">
        <v>0</v>
      </c>
      <c r="J25" s="1">
        <v>179594</v>
      </c>
      <c r="K25" s="1">
        <v>179594</v>
      </c>
    </row>
    <row r="26" spans="1:11" hidden="1" x14ac:dyDescent="0.25">
      <c r="A26" s="8" t="s">
        <v>1039</v>
      </c>
      <c r="B26" s="1">
        <v>0</v>
      </c>
      <c r="C26" s="1">
        <v>1278211</v>
      </c>
      <c r="D26" s="1">
        <v>1054180</v>
      </c>
      <c r="E26" s="1">
        <v>2332391</v>
      </c>
      <c r="F26" s="1">
        <v>0</v>
      </c>
      <c r="G26" s="1">
        <v>0</v>
      </c>
      <c r="H26" s="1">
        <v>0</v>
      </c>
      <c r="I26" s="1">
        <v>0</v>
      </c>
      <c r="J26" s="1">
        <v>1340046</v>
      </c>
      <c r="K26" s="1">
        <v>1340046</v>
      </c>
    </row>
    <row r="27" spans="1:11" hidden="1" x14ac:dyDescent="0.25">
      <c r="A27" s="8" t="s">
        <v>1040</v>
      </c>
      <c r="B27" s="1">
        <v>0</v>
      </c>
      <c r="C27" s="1">
        <v>127231</v>
      </c>
      <c r="D27" s="1">
        <v>39196</v>
      </c>
      <c r="E27" s="1">
        <v>166427</v>
      </c>
      <c r="F27" s="1">
        <v>0</v>
      </c>
      <c r="G27" s="1">
        <v>0</v>
      </c>
      <c r="H27" s="1">
        <v>0</v>
      </c>
      <c r="I27" s="1">
        <v>0</v>
      </c>
      <c r="J27" s="1">
        <v>140166</v>
      </c>
      <c r="K27" s="1">
        <v>140166</v>
      </c>
    </row>
    <row r="28" spans="1:11" hidden="1" x14ac:dyDescent="0.25">
      <c r="A28" s="8" t="s">
        <v>1041</v>
      </c>
      <c r="B28" s="1">
        <v>0</v>
      </c>
      <c r="C28" s="1">
        <v>110406299</v>
      </c>
      <c r="D28" s="1">
        <v>112844829</v>
      </c>
      <c r="E28" s="1">
        <v>223251128</v>
      </c>
      <c r="F28" s="1">
        <v>0</v>
      </c>
      <c r="G28" s="1">
        <v>0</v>
      </c>
      <c r="H28" s="1">
        <v>0</v>
      </c>
      <c r="I28" s="1">
        <v>0</v>
      </c>
      <c r="J28" s="1">
        <v>121033450</v>
      </c>
      <c r="K28" s="1">
        <v>121033450</v>
      </c>
    </row>
    <row r="29" spans="1:11" hidden="1" x14ac:dyDescent="0.25">
      <c r="A29" s="8" t="s">
        <v>1042</v>
      </c>
      <c r="B29" s="1">
        <v>0</v>
      </c>
      <c r="C29" s="1">
        <v>1230953</v>
      </c>
      <c r="D29" s="1">
        <v>1000581</v>
      </c>
      <c r="E29" s="1">
        <v>2231534</v>
      </c>
      <c r="F29" s="1">
        <v>0</v>
      </c>
      <c r="G29" s="1">
        <v>0</v>
      </c>
      <c r="H29" s="1">
        <v>0</v>
      </c>
      <c r="I29" s="1">
        <v>0</v>
      </c>
      <c r="J29" s="1">
        <v>1119922</v>
      </c>
      <c r="K29" s="1">
        <v>1119922</v>
      </c>
    </row>
    <row r="30" spans="1:11" hidden="1" x14ac:dyDescent="0.25">
      <c r="A30" s="8" t="s">
        <v>1043</v>
      </c>
      <c r="B30" s="1">
        <v>0</v>
      </c>
      <c r="C30" s="1">
        <v>13910089</v>
      </c>
      <c r="D30" s="1">
        <v>11771385</v>
      </c>
      <c r="E30" s="1">
        <v>25681474</v>
      </c>
      <c r="F30" s="1">
        <v>0</v>
      </c>
      <c r="G30" s="1">
        <v>0</v>
      </c>
      <c r="H30" s="1">
        <v>0</v>
      </c>
      <c r="I30" s="1">
        <v>0</v>
      </c>
      <c r="J30" s="1">
        <v>15564582</v>
      </c>
      <c r="K30" s="1">
        <v>15564582</v>
      </c>
    </row>
    <row r="31" spans="1:11" hidden="1" x14ac:dyDescent="0.25">
      <c r="A31" s="7" t="s">
        <v>1044</v>
      </c>
      <c r="B31" s="1">
        <v>0</v>
      </c>
      <c r="C31" s="1">
        <v>15596427</v>
      </c>
      <c r="D31" s="1">
        <v>4746883</v>
      </c>
      <c r="E31" s="1">
        <v>20343310</v>
      </c>
      <c r="F31" s="1">
        <v>0</v>
      </c>
      <c r="G31" s="1">
        <v>0</v>
      </c>
      <c r="H31" s="1">
        <v>0</v>
      </c>
      <c r="I31" s="1">
        <v>0</v>
      </c>
      <c r="J31" s="1">
        <v>5024385</v>
      </c>
      <c r="K31" s="1">
        <v>5024385</v>
      </c>
    </row>
    <row r="32" spans="1:11" hidden="1" x14ac:dyDescent="0.25">
      <c r="A32" s="8" t="s">
        <v>1045</v>
      </c>
      <c r="B32" s="1">
        <v>0</v>
      </c>
      <c r="C32" s="1">
        <v>4915</v>
      </c>
      <c r="D32" s="1">
        <v>1831</v>
      </c>
      <c r="E32" s="1">
        <v>6746</v>
      </c>
      <c r="F32" s="1">
        <v>0</v>
      </c>
      <c r="G32" s="1">
        <v>0</v>
      </c>
      <c r="H32" s="1">
        <v>0</v>
      </c>
      <c r="I32" s="1">
        <v>0</v>
      </c>
      <c r="J32" s="1">
        <v>22346</v>
      </c>
      <c r="K32" s="1">
        <v>22346</v>
      </c>
    </row>
    <row r="33" spans="1:11" hidden="1" x14ac:dyDescent="0.25">
      <c r="A33" s="8" t="s">
        <v>1046</v>
      </c>
      <c r="B33" s="1">
        <v>0</v>
      </c>
      <c r="C33" s="1">
        <v>853</v>
      </c>
      <c r="D33" s="1">
        <v>1137</v>
      </c>
      <c r="E33" s="1">
        <v>1990</v>
      </c>
      <c r="F33" s="1">
        <v>0</v>
      </c>
      <c r="G33" s="1">
        <v>0</v>
      </c>
      <c r="H33" s="1">
        <v>0</v>
      </c>
      <c r="I33" s="1">
        <v>0</v>
      </c>
      <c r="J33" s="1">
        <v>623</v>
      </c>
      <c r="K33" s="1">
        <v>623</v>
      </c>
    </row>
    <row r="34" spans="1:11" hidden="1" x14ac:dyDescent="0.25">
      <c r="A34" s="8" t="s">
        <v>1047</v>
      </c>
      <c r="B34" s="1">
        <v>0</v>
      </c>
      <c r="C34" s="1">
        <v>136257</v>
      </c>
      <c r="D34" s="1">
        <v>28143</v>
      </c>
      <c r="E34" s="1">
        <v>164400</v>
      </c>
      <c r="F34" s="1">
        <v>0</v>
      </c>
      <c r="G34" s="1">
        <v>0</v>
      </c>
      <c r="H34" s="1">
        <v>0</v>
      </c>
      <c r="I34" s="1">
        <v>0</v>
      </c>
      <c r="J34" s="1">
        <v>285644</v>
      </c>
      <c r="K34" s="1">
        <v>285644</v>
      </c>
    </row>
    <row r="35" spans="1:11" hidden="1" x14ac:dyDescent="0.25">
      <c r="A35" s="8" t="s">
        <v>1048</v>
      </c>
      <c r="B35" s="1"/>
      <c r="C35" s="1"/>
      <c r="D35" s="1"/>
      <c r="E35" s="1"/>
      <c r="F35" s="1"/>
      <c r="G35" s="1"/>
      <c r="H35" s="1"/>
      <c r="I35" s="1">
        <v>0</v>
      </c>
      <c r="J35" s="1"/>
      <c r="K35" s="1">
        <v>0</v>
      </c>
    </row>
    <row r="36" spans="1:11" hidden="1" x14ac:dyDescent="0.25">
      <c r="A36" s="8" t="s">
        <v>1049</v>
      </c>
      <c r="B36" s="1">
        <v>0</v>
      </c>
      <c r="C36" s="1">
        <v>15454402</v>
      </c>
      <c r="D36" s="1">
        <v>4715772</v>
      </c>
      <c r="E36" s="1">
        <v>20170174</v>
      </c>
      <c r="F36" s="1">
        <v>0</v>
      </c>
      <c r="G36" s="1">
        <v>0</v>
      </c>
      <c r="H36" s="1">
        <v>0</v>
      </c>
      <c r="I36" s="1">
        <v>0</v>
      </c>
      <c r="J36" s="1">
        <v>4715772</v>
      </c>
      <c r="K36" s="1">
        <v>4715772</v>
      </c>
    </row>
    <row r="37" spans="1:11" hidden="1" x14ac:dyDescent="0.25">
      <c r="A37" s="8" t="s">
        <v>1050</v>
      </c>
      <c r="B37" s="1">
        <v>0</v>
      </c>
      <c r="C37" s="1">
        <v>0</v>
      </c>
      <c r="D37" s="1">
        <v>0</v>
      </c>
      <c r="E37" s="1">
        <v>0</v>
      </c>
      <c r="F37" s="1">
        <v>0</v>
      </c>
      <c r="G37" s="1">
        <v>0</v>
      </c>
      <c r="H37" s="1">
        <v>0</v>
      </c>
      <c r="I37" s="1"/>
      <c r="J37" s="1"/>
      <c r="K37" s="1"/>
    </row>
    <row r="38" spans="1:11" hidden="1" x14ac:dyDescent="0.25">
      <c r="A38" s="8" t="s">
        <v>1051</v>
      </c>
      <c r="B38" s="1"/>
      <c r="C38" s="1"/>
      <c r="D38" s="1"/>
      <c r="E38" s="1"/>
      <c r="F38" s="1"/>
      <c r="G38" s="1"/>
      <c r="H38" s="1"/>
      <c r="I38" s="1">
        <v>0</v>
      </c>
      <c r="J38" s="1"/>
      <c r="K38" s="1">
        <v>0</v>
      </c>
    </row>
    <row r="39" spans="1:11" hidden="1" x14ac:dyDescent="0.25">
      <c r="A39" s="8" t="s">
        <v>1052</v>
      </c>
      <c r="B39" s="1">
        <v>0</v>
      </c>
      <c r="C39" s="1">
        <v>0</v>
      </c>
      <c r="D39" s="1">
        <v>0</v>
      </c>
      <c r="E39" s="1">
        <v>0</v>
      </c>
      <c r="F39" s="1">
        <v>0</v>
      </c>
      <c r="G39" s="1">
        <v>0</v>
      </c>
      <c r="H39" s="1">
        <v>0</v>
      </c>
      <c r="I39" s="1"/>
      <c r="J39" s="1"/>
      <c r="K39" s="1"/>
    </row>
    <row r="40" spans="1:11" x14ac:dyDescent="0.25">
      <c r="A40" s="7" t="s">
        <v>241</v>
      </c>
      <c r="B40" s="1">
        <v>0</v>
      </c>
      <c r="C40" s="1">
        <v>299678532</v>
      </c>
      <c r="D40" s="1">
        <v>312827321</v>
      </c>
      <c r="E40" s="1">
        <v>612505853</v>
      </c>
      <c r="F40" s="1">
        <v>174512</v>
      </c>
      <c r="G40" s="1">
        <v>0</v>
      </c>
      <c r="H40" s="1">
        <v>174512</v>
      </c>
      <c r="I40" s="1">
        <v>0</v>
      </c>
      <c r="J40" s="1">
        <v>352496871</v>
      </c>
      <c r="K40" s="1">
        <v>352496871</v>
      </c>
    </row>
    <row r="41" spans="1:11" x14ac:dyDescent="0.25">
      <c r="A41" s="8" t="s">
        <v>309</v>
      </c>
      <c r="B41" s="1">
        <v>0</v>
      </c>
      <c r="C41" s="1">
        <v>1648075</v>
      </c>
      <c r="D41" s="1">
        <v>4299624</v>
      </c>
      <c r="E41" s="1">
        <v>5947699</v>
      </c>
      <c r="F41" s="1">
        <v>0</v>
      </c>
      <c r="G41" s="1">
        <v>0</v>
      </c>
      <c r="H41" s="1">
        <v>0</v>
      </c>
      <c r="I41" s="1">
        <v>0</v>
      </c>
      <c r="J41" s="1">
        <v>2966088</v>
      </c>
      <c r="K41" s="1">
        <v>2966088</v>
      </c>
    </row>
    <row r="42" spans="1:11" x14ac:dyDescent="0.25">
      <c r="A42" s="8" t="s">
        <v>310</v>
      </c>
      <c r="B42" s="1">
        <v>0</v>
      </c>
      <c r="C42" s="1">
        <v>27290932</v>
      </c>
      <c r="D42" s="1">
        <v>34645388</v>
      </c>
      <c r="E42" s="1">
        <v>61936320</v>
      </c>
      <c r="F42" s="1">
        <v>0</v>
      </c>
      <c r="G42" s="1">
        <v>0</v>
      </c>
      <c r="H42" s="1">
        <v>0</v>
      </c>
      <c r="I42" s="1">
        <v>0</v>
      </c>
      <c r="J42" s="1">
        <v>38970368</v>
      </c>
      <c r="K42" s="1">
        <v>38970368</v>
      </c>
    </row>
    <row r="43" spans="1:11" x14ac:dyDescent="0.25">
      <c r="A43" s="192" t="s">
        <v>1053</v>
      </c>
      <c r="B43" s="1">
        <v>0</v>
      </c>
      <c r="C43" s="1"/>
      <c r="D43" s="1"/>
      <c r="E43" s="1">
        <v>0</v>
      </c>
      <c r="F43" s="1">
        <v>0</v>
      </c>
      <c r="G43" s="1"/>
      <c r="H43" s="1">
        <v>0</v>
      </c>
      <c r="I43" s="1"/>
      <c r="J43" s="1">
        <v>1020000</v>
      </c>
      <c r="K43" s="1">
        <v>1020000</v>
      </c>
    </row>
    <row r="44" spans="1:11" x14ac:dyDescent="0.25">
      <c r="A44" s="192" t="s">
        <v>1054</v>
      </c>
      <c r="B44" s="1">
        <v>0</v>
      </c>
      <c r="C44" s="1"/>
      <c r="D44" s="1"/>
      <c r="E44" s="1">
        <v>0</v>
      </c>
      <c r="F44" s="1">
        <v>0</v>
      </c>
      <c r="G44" s="1"/>
      <c r="H44" s="1">
        <v>0</v>
      </c>
      <c r="I44" s="1"/>
      <c r="J44" s="1">
        <v>4716000</v>
      </c>
      <c r="K44" s="1">
        <v>4716000</v>
      </c>
    </row>
    <row r="45" spans="1:11" x14ac:dyDescent="0.25">
      <c r="A45" s="192" t="s">
        <v>1055</v>
      </c>
      <c r="B45" s="1"/>
      <c r="C45" s="1">
        <v>0</v>
      </c>
      <c r="D45" s="1">
        <v>0</v>
      </c>
      <c r="E45" s="1">
        <v>0</v>
      </c>
      <c r="F45" s="1"/>
      <c r="G45" s="1">
        <v>0</v>
      </c>
      <c r="H45" s="1">
        <v>0</v>
      </c>
      <c r="I45" s="1"/>
      <c r="J45" s="1"/>
      <c r="K45" s="1"/>
    </row>
    <row r="46" spans="1:11" x14ac:dyDescent="0.25">
      <c r="A46" s="192" t="s">
        <v>1056</v>
      </c>
      <c r="B46" s="1">
        <v>0</v>
      </c>
      <c r="C46" s="1">
        <v>7894946</v>
      </c>
      <c r="D46" s="1">
        <v>8841453</v>
      </c>
      <c r="E46" s="1">
        <v>16736399</v>
      </c>
      <c r="F46" s="1">
        <v>0</v>
      </c>
      <c r="G46" s="1">
        <v>0</v>
      </c>
      <c r="H46" s="1">
        <v>0</v>
      </c>
      <c r="I46" s="1">
        <v>0</v>
      </c>
      <c r="J46" s="1">
        <v>12253200</v>
      </c>
      <c r="K46" s="1">
        <v>12253200</v>
      </c>
    </row>
    <row r="47" spans="1:11" x14ac:dyDescent="0.25">
      <c r="A47" s="192" t="s">
        <v>1057</v>
      </c>
      <c r="B47" s="1">
        <v>0</v>
      </c>
      <c r="C47" s="1">
        <v>262966</v>
      </c>
      <c r="D47" s="1">
        <v>286872</v>
      </c>
      <c r="E47" s="1">
        <v>549838</v>
      </c>
      <c r="F47" s="1">
        <v>0</v>
      </c>
      <c r="G47" s="1">
        <v>0</v>
      </c>
      <c r="H47" s="1">
        <v>0</v>
      </c>
      <c r="I47" s="1"/>
      <c r="J47" s="1">
        <v>288000</v>
      </c>
      <c r="K47" s="1">
        <v>288000</v>
      </c>
    </row>
    <row r="48" spans="1:11" x14ac:dyDescent="0.25">
      <c r="A48" s="192" t="s">
        <v>1058</v>
      </c>
      <c r="B48" s="1"/>
      <c r="C48" s="1">
        <v>934681</v>
      </c>
      <c r="D48" s="1">
        <v>1019652</v>
      </c>
      <c r="E48" s="1">
        <v>1954333</v>
      </c>
      <c r="F48" s="1"/>
      <c r="G48" s="1">
        <v>0</v>
      </c>
      <c r="H48" s="1">
        <v>0</v>
      </c>
      <c r="I48" s="1"/>
      <c r="J48" s="1"/>
      <c r="K48" s="1"/>
    </row>
    <row r="49" spans="1:11" x14ac:dyDescent="0.25">
      <c r="A49" s="192" t="s">
        <v>1059</v>
      </c>
      <c r="B49" s="1"/>
      <c r="C49" s="1">
        <v>4322791</v>
      </c>
      <c r="D49" s="1">
        <v>4715772</v>
      </c>
      <c r="E49" s="1">
        <v>9038563</v>
      </c>
      <c r="F49" s="1"/>
      <c r="G49" s="1">
        <v>0</v>
      </c>
      <c r="H49" s="1">
        <v>0</v>
      </c>
      <c r="I49" s="1"/>
      <c r="J49" s="1"/>
      <c r="K49" s="1"/>
    </row>
    <row r="50" spans="1:11" x14ac:dyDescent="0.25">
      <c r="A50" s="192" t="s">
        <v>1060</v>
      </c>
      <c r="B50" s="1">
        <v>0</v>
      </c>
      <c r="C50" s="1">
        <v>2415220</v>
      </c>
      <c r="D50" s="1">
        <v>2230502</v>
      </c>
      <c r="E50" s="1">
        <v>4645722</v>
      </c>
      <c r="F50" s="1">
        <v>0</v>
      </c>
      <c r="G50" s="1">
        <v>0</v>
      </c>
      <c r="H50" s="1">
        <v>0</v>
      </c>
      <c r="I50" s="1"/>
      <c r="J50" s="1">
        <v>2328000</v>
      </c>
      <c r="K50" s="1">
        <v>2328000</v>
      </c>
    </row>
    <row r="51" spans="1:11" x14ac:dyDescent="0.25">
      <c r="A51" s="192" t="s">
        <v>1061</v>
      </c>
      <c r="B51" s="1">
        <v>0</v>
      </c>
      <c r="C51" s="1">
        <v>113575</v>
      </c>
      <c r="D51" s="1">
        <v>333696</v>
      </c>
      <c r="E51" s="1">
        <v>447271</v>
      </c>
      <c r="F51" s="1">
        <v>0</v>
      </c>
      <c r="G51" s="1">
        <v>0</v>
      </c>
      <c r="H51" s="1">
        <v>0</v>
      </c>
      <c r="I51" s="1"/>
      <c r="J51" s="1">
        <v>126000</v>
      </c>
      <c r="K51" s="1">
        <v>126000</v>
      </c>
    </row>
    <row r="52" spans="1:11" x14ac:dyDescent="0.25">
      <c r="A52" s="192" t="s">
        <v>1062</v>
      </c>
      <c r="B52" s="1">
        <v>0</v>
      </c>
      <c r="C52" s="1">
        <v>10594457</v>
      </c>
      <c r="D52" s="1">
        <v>15999769</v>
      </c>
      <c r="E52" s="1">
        <v>26594226</v>
      </c>
      <c r="F52" s="1">
        <v>0</v>
      </c>
      <c r="G52" s="1">
        <v>0</v>
      </c>
      <c r="H52" s="1">
        <v>0</v>
      </c>
      <c r="I52" s="1"/>
      <c r="J52" s="1">
        <v>16059176</v>
      </c>
      <c r="K52" s="1">
        <v>16059176</v>
      </c>
    </row>
    <row r="53" spans="1:11" x14ac:dyDescent="0.25">
      <c r="A53" s="192" t="s">
        <v>1063</v>
      </c>
      <c r="B53" s="1">
        <v>0</v>
      </c>
      <c r="C53" s="1">
        <v>546728</v>
      </c>
      <c r="D53" s="1">
        <v>980663</v>
      </c>
      <c r="E53" s="1">
        <v>1527391</v>
      </c>
      <c r="F53" s="1">
        <v>0</v>
      </c>
      <c r="G53" s="1">
        <v>0</v>
      </c>
      <c r="H53" s="1">
        <v>0</v>
      </c>
      <c r="I53" s="1">
        <v>0</v>
      </c>
      <c r="J53" s="1">
        <v>1957992</v>
      </c>
      <c r="K53" s="1">
        <v>1957992</v>
      </c>
    </row>
    <row r="54" spans="1:11" x14ac:dyDescent="0.25">
      <c r="A54" s="192" t="s">
        <v>1064</v>
      </c>
      <c r="B54" s="1">
        <v>0</v>
      </c>
      <c r="C54" s="1">
        <v>188760</v>
      </c>
      <c r="D54" s="1">
        <v>217145</v>
      </c>
      <c r="E54" s="1">
        <v>405905</v>
      </c>
      <c r="F54" s="1">
        <v>0</v>
      </c>
      <c r="G54" s="1">
        <v>0</v>
      </c>
      <c r="H54" s="1">
        <v>0</v>
      </c>
      <c r="I54" s="1"/>
      <c r="J54" s="1">
        <v>204000</v>
      </c>
      <c r="K54" s="1">
        <v>204000</v>
      </c>
    </row>
    <row r="55" spans="1:11" x14ac:dyDescent="0.25">
      <c r="A55" s="192" t="s">
        <v>1065</v>
      </c>
      <c r="B55" s="1">
        <v>0</v>
      </c>
      <c r="C55" s="1">
        <v>16808</v>
      </c>
      <c r="D55" s="1">
        <v>19864</v>
      </c>
      <c r="E55" s="1">
        <v>36672</v>
      </c>
      <c r="F55" s="1">
        <v>0</v>
      </c>
      <c r="G55" s="1">
        <v>0</v>
      </c>
      <c r="H55" s="1">
        <v>0</v>
      </c>
      <c r="I55" s="1"/>
      <c r="J55" s="1">
        <v>18000</v>
      </c>
      <c r="K55" s="1">
        <v>18000</v>
      </c>
    </row>
    <row r="56" spans="1:11" x14ac:dyDescent="0.25">
      <c r="A56" s="192" t="s">
        <v>1066</v>
      </c>
      <c r="B56" s="1">
        <v>0</v>
      </c>
      <c r="C56" s="1">
        <v>0</v>
      </c>
      <c r="D56" s="1">
        <v>0</v>
      </c>
      <c r="E56" s="1">
        <v>0</v>
      </c>
      <c r="F56" s="1">
        <v>0</v>
      </c>
      <c r="G56" s="1">
        <v>0</v>
      </c>
      <c r="H56" s="1">
        <v>0</v>
      </c>
      <c r="I56" s="1">
        <v>0</v>
      </c>
      <c r="J56" s="1"/>
      <c r="K56" s="1">
        <v>0</v>
      </c>
    </row>
    <row r="57" spans="1:11" x14ac:dyDescent="0.25">
      <c r="A57" s="8" t="s">
        <v>308</v>
      </c>
      <c r="B57" s="1">
        <v>0</v>
      </c>
      <c r="C57" s="1">
        <v>210850023</v>
      </c>
      <c r="D57" s="1">
        <v>230846283</v>
      </c>
      <c r="E57" s="1">
        <v>441696306</v>
      </c>
      <c r="F57" s="1">
        <v>0</v>
      </c>
      <c r="G57" s="1">
        <v>0</v>
      </c>
      <c r="H57" s="1">
        <v>0</v>
      </c>
      <c r="I57" s="1">
        <v>0</v>
      </c>
      <c r="J57" s="1">
        <v>252209220</v>
      </c>
      <c r="K57" s="1">
        <v>252209220</v>
      </c>
    </row>
    <row r="58" spans="1:11" x14ac:dyDescent="0.25">
      <c r="A58" s="8" t="s">
        <v>311</v>
      </c>
      <c r="B58" s="1">
        <v>0</v>
      </c>
      <c r="C58" s="1">
        <v>1420728</v>
      </c>
      <c r="D58" s="1">
        <v>406088</v>
      </c>
      <c r="E58" s="1">
        <v>1826816</v>
      </c>
      <c r="F58" s="1">
        <v>0</v>
      </c>
      <c r="G58" s="1">
        <v>0</v>
      </c>
      <c r="H58" s="1">
        <v>0</v>
      </c>
      <c r="I58" s="1">
        <v>0</v>
      </c>
      <c r="J58" s="1">
        <v>2455812</v>
      </c>
      <c r="K58" s="1">
        <v>2455812</v>
      </c>
    </row>
    <row r="59" spans="1:11" x14ac:dyDescent="0.25">
      <c r="A59" s="8" t="s">
        <v>312</v>
      </c>
      <c r="B59" s="1">
        <v>0</v>
      </c>
      <c r="C59" s="1">
        <v>376819</v>
      </c>
      <c r="D59" s="1">
        <v>696289</v>
      </c>
      <c r="E59" s="1">
        <v>1073108</v>
      </c>
      <c r="F59" s="1">
        <v>0</v>
      </c>
      <c r="G59" s="1">
        <v>0</v>
      </c>
      <c r="H59" s="1">
        <v>0</v>
      </c>
      <c r="I59" s="1">
        <v>0</v>
      </c>
      <c r="J59" s="1">
        <v>1004180</v>
      </c>
      <c r="K59" s="1">
        <v>1004180</v>
      </c>
    </row>
    <row r="60" spans="1:11" x14ac:dyDescent="0.25">
      <c r="A60" s="8" t="s">
        <v>313</v>
      </c>
      <c r="B60" s="1">
        <v>0</v>
      </c>
      <c r="C60" s="1">
        <v>366769</v>
      </c>
      <c r="D60" s="1">
        <v>110198</v>
      </c>
      <c r="E60" s="1">
        <v>476967</v>
      </c>
      <c r="F60" s="1">
        <v>0</v>
      </c>
      <c r="G60" s="1">
        <v>0</v>
      </c>
      <c r="H60" s="1">
        <v>0</v>
      </c>
      <c r="I60" s="1">
        <v>0</v>
      </c>
      <c r="J60" s="1">
        <v>1372896</v>
      </c>
      <c r="K60" s="1">
        <v>1372896</v>
      </c>
    </row>
    <row r="61" spans="1:11" x14ac:dyDescent="0.25">
      <c r="A61" s="8" t="s">
        <v>314</v>
      </c>
      <c r="B61" s="1">
        <v>0</v>
      </c>
      <c r="C61" s="1">
        <v>866594</v>
      </c>
      <c r="D61" s="1">
        <v>908211</v>
      </c>
      <c r="E61" s="1">
        <v>1774805</v>
      </c>
      <c r="F61" s="1">
        <v>0</v>
      </c>
      <c r="G61" s="1">
        <v>0</v>
      </c>
      <c r="H61" s="1">
        <v>0</v>
      </c>
      <c r="I61" s="1">
        <v>0</v>
      </c>
      <c r="J61" s="1">
        <v>970085</v>
      </c>
      <c r="K61" s="1">
        <v>970085</v>
      </c>
    </row>
    <row r="62" spans="1:11" x14ac:dyDescent="0.25">
      <c r="A62" s="8" t="s">
        <v>315</v>
      </c>
      <c r="B62" s="1">
        <v>0</v>
      </c>
      <c r="C62" s="1">
        <v>279494</v>
      </c>
      <c r="D62" s="1">
        <v>261083</v>
      </c>
      <c r="E62" s="1">
        <v>540577</v>
      </c>
      <c r="F62" s="1">
        <v>0</v>
      </c>
      <c r="G62" s="1">
        <v>0</v>
      </c>
      <c r="H62" s="1">
        <v>0</v>
      </c>
      <c r="I62" s="1">
        <v>0</v>
      </c>
      <c r="J62" s="1">
        <v>300012</v>
      </c>
      <c r="K62" s="1">
        <v>300012</v>
      </c>
    </row>
    <row r="63" spans="1:11" x14ac:dyDescent="0.25">
      <c r="A63" s="8" t="s">
        <v>316</v>
      </c>
      <c r="B63" s="1">
        <v>0</v>
      </c>
      <c r="C63" s="1">
        <v>819000</v>
      </c>
      <c r="D63" s="1">
        <v>0</v>
      </c>
      <c r="E63" s="1">
        <v>819000</v>
      </c>
      <c r="F63" s="1">
        <v>0</v>
      </c>
      <c r="G63" s="1">
        <v>0</v>
      </c>
      <c r="H63" s="1">
        <v>0</v>
      </c>
      <c r="I63" s="1">
        <v>0</v>
      </c>
      <c r="J63" s="1"/>
      <c r="K63" s="1">
        <v>0</v>
      </c>
    </row>
    <row r="64" spans="1:11" x14ac:dyDescent="0.25">
      <c r="A64" s="8" t="s">
        <v>317</v>
      </c>
      <c r="B64" s="1">
        <v>0</v>
      </c>
      <c r="C64" s="1">
        <v>2230912</v>
      </c>
      <c r="D64" s="1">
        <v>2679804</v>
      </c>
      <c r="E64" s="1">
        <v>4910716</v>
      </c>
      <c r="F64" s="1">
        <v>0</v>
      </c>
      <c r="G64" s="1">
        <v>0</v>
      </c>
      <c r="H64" s="1">
        <v>0</v>
      </c>
      <c r="I64" s="1">
        <v>0</v>
      </c>
      <c r="J64" s="1">
        <v>3517164</v>
      </c>
      <c r="K64" s="1">
        <v>3517164</v>
      </c>
    </row>
    <row r="65" spans="1:11" hidden="1" x14ac:dyDescent="0.25">
      <c r="A65" s="192" t="s">
        <v>1072</v>
      </c>
      <c r="B65" s="1">
        <v>0</v>
      </c>
      <c r="C65" s="1">
        <v>15530</v>
      </c>
      <c r="D65" s="1">
        <v>930</v>
      </c>
      <c r="E65" s="1">
        <v>16460</v>
      </c>
      <c r="F65" s="1">
        <v>0</v>
      </c>
      <c r="G65" s="1">
        <v>0</v>
      </c>
      <c r="H65" s="1">
        <v>0</v>
      </c>
      <c r="I65" s="1"/>
      <c r="J65" s="1">
        <v>23604</v>
      </c>
      <c r="K65" s="1">
        <v>23604</v>
      </c>
    </row>
    <row r="66" spans="1:11" hidden="1" x14ac:dyDescent="0.25">
      <c r="A66" s="192" t="s">
        <v>1073</v>
      </c>
      <c r="B66" s="1">
        <v>0</v>
      </c>
      <c r="C66" s="1">
        <v>0</v>
      </c>
      <c r="D66" s="1">
        <v>0</v>
      </c>
      <c r="E66" s="1">
        <v>0</v>
      </c>
      <c r="F66" s="1">
        <v>0</v>
      </c>
      <c r="G66" s="1">
        <v>0</v>
      </c>
      <c r="H66" s="1">
        <v>0</v>
      </c>
      <c r="I66" s="1"/>
      <c r="J66" s="1"/>
      <c r="K66" s="1"/>
    </row>
    <row r="67" spans="1:11" x14ac:dyDescent="0.25">
      <c r="A67" s="192" t="s">
        <v>1074</v>
      </c>
      <c r="B67" s="1">
        <v>0</v>
      </c>
      <c r="C67" s="1">
        <v>73800</v>
      </c>
      <c r="D67" s="1">
        <v>14400</v>
      </c>
      <c r="E67" s="1">
        <v>88200</v>
      </c>
      <c r="F67" s="1">
        <v>0</v>
      </c>
      <c r="G67" s="1">
        <v>0</v>
      </c>
      <c r="H67" s="1">
        <v>0</v>
      </c>
      <c r="I67" s="1">
        <v>0</v>
      </c>
      <c r="J67" s="1">
        <v>86400</v>
      </c>
      <c r="K67" s="1">
        <v>86400</v>
      </c>
    </row>
    <row r="68" spans="1:11" x14ac:dyDescent="0.25">
      <c r="A68" s="192" t="s">
        <v>1075</v>
      </c>
      <c r="B68" s="1">
        <v>0</v>
      </c>
      <c r="C68" s="1">
        <v>673344</v>
      </c>
      <c r="D68" s="1">
        <v>739336</v>
      </c>
      <c r="E68" s="1">
        <v>1412680</v>
      </c>
      <c r="F68" s="1">
        <v>0</v>
      </c>
      <c r="G68" s="1">
        <v>0</v>
      </c>
      <c r="H68" s="1">
        <v>0</v>
      </c>
      <c r="I68" s="1">
        <v>0</v>
      </c>
      <c r="J68" s="1">
        <v>768000</v>
      </c>
      <c r="K68" s="1">
        <v>768000</v>
      </c>
    </row>
    <row r="69" spans="1:11" x14ac:dyDescent="0.25">
      <c r="A69" s="192" t="s">
        <v>1076</v>
      </c>
      <c r="B69" s="1">
        <v>0</v>
      </c>
      <c r="C69" s="1">
        <v>416669</v>
      </c>
      <c r="D69" s="1">
        <v>639990</v>
      </c>
      <c r="E69" s="1">
        <v>1056659</v>
      </c>
      <c r="F69" s="1">
        <v>0</v>
      </c>
      <c r="G69" s="1">
        <v>0</v>
      </c>
      <c r="H69" s="1">
        <v>0</v>
      </c>
      <c r="I69" s="1">
        <v>0</v>
      </c>
      <c r="J69" s="1">
        <v>693336</v>
      </c>
      <c r="K69" s="1">
        <v>693336</v>
      </c>
    </row>
    <row r="70" spans="1:11" x14ac:dyDescent="0.25">
      <c r="A70" s="192" t="s">
        <v>1077</v>
      </c>
      <c r="B70" s="1">
        <v>0</v>
      </c>
      <c r="C70" s="1">
        <v>60000</v>
      </c>
      <c r="D70" s="1">
        <v>0</v>
      </c>
      <c r="E70" s="1">
        <v>60000</v>
      </c>
      <c r="F70" s="1">
        <v>0</v>
      </c>
      <c r="G70" s="1">
        <v>0</v>
      </c>
      <c r="H70" s="1">
        <v>0</v>
      </c>
      <c r="I70" s="1">
        <v>0</v>
      </c>
      <c r="J70" s="1"/>
      <c r="K70" s="1">
        <v>0</v>
      </c>
    </row>
    <row r="71" spans="1:11" x14ac:dyDescent="0.25">
      <c r="A71" s="192" t="s">
        <v>1078</v>
      </c>
      <c r="B71" s="1"/>
      <c r="C71" s="1"/>
      <c r="D71" s="1"/>
      <c r="E71" s="1"/>
      <c r="F71" s="1"/>
      <c r="G71" s="1"/>
      <c r="H71" s="1"/>
      <c r="I71" s="1">
        <v>0</v>
      </c>
      <c r="J71" s="1"/>
      <c r="K71" s="1">
        <v>0</v>
      </c>
    </row>
    <row r="72" spans="1:11" x14ac:dyDescent="0.25">
      <c r="A72" s="192" t="s">
        <v>1079</v>
      </c>
      <c r="B72" s="1">
        <v>0</v>
      </c>
      <c r="C72" s="1">
        <v>277053</v>
      </c>
      <c r="D72" s="1">
        <v>671642</v>
      </c>
      <c r="E72" s="1">
        <v>948695</v>
      </c>
      <c r="F72" s="1">
        <v>0</v>
      </c>
      <c r="G72" s="1">
        <v>0</v>
      </c>
      <c r="H72" s="1">
        <v>0</v>
      </c>
      <c r="I72" s="1">
        <v>0</v>
      </c>
      <c r="J72" s="1">
        <v>999996</v>
      </c>
      <c r="K72" s="1">
        <v>999996</v>
      </c>
    </row>
    <row r="73" spans="1:11" x14ac:dyDescent="0.25">
      <c r="A73" s="192" t="s">
        <v>1080</v>
      </c>
      <c r="B73" s="1">
        <v>0</v>
      </c>
      <c r="C73" s="1">
        <v>394780</v>
      </c>
      <c r="D73" s="1">
        <v>275365</v>
      </c>
      <c r="E73" s="1">
        <v>670145</v>
      </c>
      <c r="F73" s="1">
        <v>0</v>
      </c>
      <c r="G73" s="1">
        <v>0</v>
      </c>
      <c r="H73" s="1">
        <v>0</v>
      </c>
      <c r="I73" s="1">
        <v>0</v>
      </c>
      <c r="J73" s="1">
        <v>390000</v>
      </c>
      <c r="K73" s="1">
        <v>390000</v>
      </c>
    </row>
    <row r="74" spans="1:11" x14ac:dyDescent="0.25">
      <c r="A74" s="192" t="s">
        <v>1081</v>
      </c>
      <c r="B74" s="1">
        <v>0</v>
      </c>
      <c r="C74" s="1">
        <v>3085</v>
      </c>
      <c r="D74" s="1">
        <v>21240</v>
      </c>
      <c r="E74" s="1">
        <v>24325</v>
      </c>
      <c r="F74" s="1">
        <v>0</v>
      </c>
      <c r="G74" s="1">
        <v>0</v>
      </c>
      <c r="H74" s="1">
        <v>0</v>
      </c>
      <c r="I74" s="1">
        <v>0</v>
      </c>
      <c r="J74" s="1">
        <v>180000</v>
      </c>
      <c r="K74" s="1">
        <v>180000</v>
      </c>
    </row>
    <row r="75" spans="1:11" x14ac:dyDescent="0.25">
      <c r="A75" s="192" t="s">
        <v>1082</v>
      </c>
      <c r="B75" s="1">
        <v>0</v>
      </c>
      <c r="C75" s="1">
        <v>81355</v>
      </c>
      <c r="D75" s="1">
        <v>17455</v>
      </c>
      <c r="E75" s="1">
        <v>98810</v>
      </c>
      <c r="F75" s="1">
        <v>0</v>
      </c>
      <c r="G75" s="1">
        <v>0</v>
      </c>
      <c r="H75" s="1">
        <v>0</v>
      </c>
      <c r="I75" s="1"/>
      <c r="J75" s="1">
        <v>75828</v>
      </c>
      <c r="K75" s="1">
        <v>75828</v>
      </c>
    </row>
    <row r="76" spans="1:11" x14ac:dyDescent="0.25">
      <c r="A76" s="192" t="s">
        <v>1083</v>
      </c>
      <c r="B76" s="1">
        <v>0</v>
      </c>
      <c r="C76" s="1">
        <v>235296</v>
      </c>
      <c r="D76" s="1">
        <v>299446</v>
      </c>
      <c r="E76" s="1">
        <v>534742</v>
      </c>
      <c r="F76" s="1">
        <v>0</v>
      </c>
      <c r="G76" s="1">
        <v>0</v>
      </c>
      <c r="H76" s="1">
        <v>0</v>
      </c>
      <c r="I76" s="1"/>
      <c r="J76" s="1">
        <v>300000</v>
      </c>
      <c r="K76" s="1">
        <v>300000</v>
      </c>
    </row>
    <row r="77" spans="1:11" x14ac:dyDescent="0.25">
      <c r="A77" s="8" t="s">
        <v>318</v>
      </c>
      <c r="B77" s="1">
        <v>0</v>
      </c>
      <c r="C77" s="1">
        <v>5055476</v>
      </c>
      <c r="D77" s="1">
        <v>4320465</v>
      </c>
      <c r="E77" s="1">
        <v>9375941</v>
      </c>
      <c r="F77" s="1">
        <v>0</v>
      </c>
      <c r="G77" s="1">
        <v>0</v>
      </c>
      <c r="H77" s="1">
        <v>0</v>
      </c>
      <c r="I77" s="1">
        <v>0</v>
      </c>
      <c r="J77" s="1">
        <v>5420052</v>
      </c>
      <c r="K77" s="1">
        <v>5420052</v>
      </c>
    </row>
    <row r="78" spans="1:11" x14ac:dyDescent="0.25">
      <c r="A78" s="8" t="s">
        <v>319</v>
      </c>
      <c r="B78" s="1">
        <v>0</v>
      </c>
      <c r="C78" s="1">
        <v>88727</v>
      </c>
      <c r="D78" s="1">
        <v>10112</v>
      </c>
      <c r="E78" s="1">
        <v>98839</v>
      </c>
      <c r="F78" s="1">
        <v>0</v>
      </c>
      <c r="G78" s="1">
        <v>0</v>
      </c>
      <c r="H78" s="1">
        <v>0</v>
      </c>
      <c r="I78" s="1">
        <v>0</v>
      </c>
      <c r="J78" s="1">
        <v>122952</v>
      </c>
      <c r="K78" s="1">
        <v>122952</v>
      </c>
    </row>
    <row r="79" spans="1:11" x14ac:dyDescent="0.25">
      <c r="A79" s="8" t="s">
        <v>320</v>
      </c>
      <c r="B79" s="1">
        <v>0</v>
      </c>
      <c r="C79" s="1">
        <v>1669712</v>
      </c>
      <c r="D79" s="1">
        <v>163451</v>
      </c>
      <c r="E79" s="1">
        <v>1833163</v>
      </c>
      <c r="F79" s="1">
        <v>0</v>
      </c>
      <c r="G79" s="1">
        <v>0</v>
      </c>
      <c r="H79" s="1">
        <v>0</v>
      </c>
      <c r="I79" s="1">
        <v>0</v>
      </c>
      <c r="J79" s="1">
        <v>1943394</v>
      </c>
      <c r="K79" s="1">
        <v>1943394</v>
      </c>
    </row>
    <row r="80" spans="1:11" x14ac:dyDescent="0.25">
      <c r="A80" s="8" t="s">
        <v>321</v>
      </c>
      <c r="B80" s="1">
        <v>0</v>
      </c>
      <c r="C80" s="1">
        <v>8668898</v>
      </c>
      <c r="D80" s="1">
        <v>8958367</v>
      </c>
      <c r="E80" s="1">
        <v>17627265</v>
      </c>
      <c r="F80" s="1">
        <v>0</v>
      </c>
      <c r="G80" s="1">
        <v>0</v>
      </c>
      <c r="H80" s="1">
        <v>0</v>
      </c>
      <c r="I80" s="1">
        <v>0</v>
      </c>
      <c r="J80" s="1">
        <v>8338104</v>
      </c>
      <c r="K80" s="1">
        <v>8338104</v>
      </c>
    </row>
    <row r="81" spans="1:11" x14ac:dyDescent="0.25">
      <c r="A81" s="192" t="s">
        <v>1084</v>
      </c>
      <c r="B81" s="1">
        <v>0</v>
      </c>
      <c r="C81" s="1">
        <v>2400</v>
      </c>
      <c r="D81" s="1">
        <v>1000</v>
      </c>
      <c r="E81" s="1">
        <v>3400</v>
      </c>
      <c r="F81" s="1">
        <v>0</v>
      </c>
      <c r="G81" s="1">
        <v>0</v>
      </c>
      <c r="H81" s="1">
        <v>0</v>
      </c>
      <c r="I81" s="1">
        <v>0</v>
      </c>
      <c r="J81" s="1">
        <v>6000</v>
      </c>
      <c r="K81" s="1">
        <v>6000</v>
      </c>
    </row>
    <row r="82" spans="1:11" x14ac:dyDescent="0.25">
      <c r="A82" s="192" t="s">
        <v>1085</v>
      </c>
      <c r="B82" s="1">
        <v>0</v>
      </c>
      <c r="C82" s="1">
        <v>0</v>
      </c>
      <c r="D82" s="1">
        <v>142190</v>
      </c>
      <c r="E82" s="1">
        <v>142190</v>
      </c>
      <c r="F82" s="1">
        <v>0</v>
      </c>
      <c r="G82" s="1">
        <v>0</v>
      </c>
      <c r="H82" s="1">
        <v>0</v>
      </c>
      <c r="I82" s="1"/>
      <c r="J82" s="1"/>
      <c r="K82" s="1"/>
    </row>
    <row r="83" spans="1:11" x14ac:dyDescent="0.25">
      <c r="A83" s="192" t="s">
        <v>1086</v>
      </c>
      <c r="B83" s="1">
        <v>0</v>
      </c>
      <c r="C83" s="1">
        <v>4771285</v>
      </c>
      <c r="D83" s="1">
        <v>4619039</v>
      </c>
      <c r="E83" s="1">
        <v>9390324</v>
      </c>
      <c r="F83" s="1">
        <v>0</v>
      </c>
      <c r="G83" s="1">
        <v>0</v>
      </c>
      <c r="H83" s="1">
        <v>0</v>
      </c>
      <c r="I83" s="1">
        <v>0</v>
      </c>
      <c r="J83" s="1">
        <v>772308</v>
      </c>
      <c r="K83" s="1">
        <v>772308</v>
      </c>
    </row>
    <row r="84" spans="1:11" x14ac:dyDescent="0.25">
      <c r="A84" s="192" t="s">
        <v>1087</v>
      </c>
      <c r="B84" s="1">
        <v>0</v>
      </c>
      <c r="C84" s="1">
        <v>1137393</v>
      </c>
      <c r="D84" s="1">
        <v>1021443</v>
      </c>
      <c r="E84" s="1">
        <v>2158836</v>
      </c>
      <c r="F84" s="1">
        <v>0</v>
      </c>
      <c r="G84" s="1">
        <v>0</v>
      </c>
      <c r="H84" s="1">
        <v>0</v>
      </c>
      <c r="I84" s="1">
        <v>0</v>
      </c>
      <c r="J84" s="1">
        <v>4143696</v>
      </c>
      <c r="K84" s="1">
        <v>4143696</v>
      </c>
    </row>
    <row r="85" spans="1:11" x14ac:dyDescent="0.25">
      <c r="A85" s="192" t="s">
        <v>1088</v>
      </c>
      <c r="B85" s="1">
        <v>0</v>
      </c>
      <c r="C85" s="1">
        <v>1949602</v>
      </c>
      <c r="D85" s="1">
        <v>2031589</v>
      </c>
      <c r="E85" s="1">
        <v>3981191</v>
      </c>
      <c r="F85" s="1">
        <v>0</v>
      </c>
      <c r="G85" s="1">
        <v>0</v>
      </c>
      <c r="H85" s="1">
        <v>0</v>
      </c>
      <c r="I85" s="1">
        <v>0</v>
      </c>
      <c r="J85" s="1">
        <v>2478000</v>
      </c>
      <c r="K85" s="1">
        <v>2478000</v>
      </c>
    </row>
    <row r="86" spans="1:11" x14ac:dyDescent="0.25">
      <c r="A86" s="192" t="s">
        <v>1089</v>
      </c>
      <c r="B86" s="1">
        <v>0</v>
      </c>
      <c r="C86" s="1">
        <v>808218</v>
      </c>
      <c r="D86" s="1">
        <v>343710</v>
      </c>
      <c r="E86" s="1">
        <v>1151928</v>
      </c>
      <c r="F86" s="1">
        <v>0</v>
      </c>
      <c r="G86" s="1">
        <v>0</v>
      </c>
      <c r="H86" s="1">
        <v>0</v>
      </c>
      <c r="I86" s="1">
        <v>0</v>
      </c>
      <c r="J86" s="1">
        <v>938100</v>
      </c>
      <c r="K86" s="1">
        <v>938100</v>
      </c>
    </row>
    <row r="87" spans="1:11" x14ac:dyDescent="0.25">
      <c r="A87" s="192" t="s">
        <v>1090</v>
      </c>
      <c r="B87" s="1"/>
      <c r="C87" s="1">
        <v>0</v>
      </c>
      <c r="D87" s="1">
        <v>799396</v>
      </c>
      <c r="E87" s="1">
        <v>799396</v>
      </c>
      <c r="F87" s="1"/>
      <c r="G87" s="1"/>
      <c r="H87" s="1"/>
      <c r="I87" s="1"/>
      <c r="J87" s="1"/>
      <c r="K87" s="1"/>
    </row>
    <row r="88" spans="1:11" x14ac:dyDescent="0.25">
      <c r="A88" s="8" t="s">
        <v>322</v>
      </c>
      <c r="B88" s="1">
        <v>0</v>
      </c>
      <c r="C88" s="1">
        <v>11913058</v>
      </c>
      <c r="D88" s="1">
        <v>822747</v>
      </c>
      <c r="E88" s="1">
        <v>12735805</v>
      </c>
      <c r="F88" s="1">
        <v>0</v>
      </c>
      <c r="G88" s="1">
        <v>0</v>
      </c>
      <c r="H88" s="1">
        <v>0</v>
      </c>
      <c r="I88" s="1">
        <v>0</v>
      </c>
      <c r="J88" s="1">
        <v>889852</v>
      </c>
      <c r="K88" s="1">
        <v>889852</v>
      </c>
    </row>
    <row r="89" spans="1:11" x14ac:dyDescent="0.25">
      <c r="A89" s="8" t="s">
        <v>323</v>
      </c>
      <c r="B89" s="1">
        <v>0</v>
      </c>
      <c r="C89" s="1">
        <v>12196243</v>
      </c>
      <c r="D89" s="1">
        <v>13487824</v>
      </c>
      <c r="E89" s="1">
        <v>25684067</v>
      </c>
      <c r="F89" s="1">
        <v>0</v>
      </c>
      <c r="G89" s="1">
        <v>0</v>
      </c>
      <c r="H89" s="1">
        <v>0</v>
      </c>
      <c r="I89" s="1">
        <v>0</v>
      </c>
      <c r="J89" s="1">
        <v>16012460</v>
      </c>
      <c r="K89" s="1">
        <v>16012460</v>
      </c>
    </row>
    <row r="90" spans="1:11" x14ac:dyDescent="0.25">
      <c r="A90" s="8" t="s">
        <v>324</v>
      </c>
      <c r="B90" s="1">
        <v>0</v>
      </c>
      <c r="C90" s="1">
        <v>141440</v>
      </c>
      <c r="D90" s="1">
        <v>57250</v>
      </c>
      <c r="E90" s="1">
        <v>198690</v>
      </c>
      <c r="F90" s="1">
        <v>0</v>
      </c>
      <c r="G90" s="1">
        <v>0</v>
      </c>
      <c r="H90" s="1">
        <v>0</v>
      </c>
      <c r="I90" s="1">
        <v>0</v>
      </c>
      <c r="J90" s="1">
        <v>201780</v>
      </c>
      <c r="K90" s="1">
        <v>201780</v>
      </c>
    </row>
    <row r="91" spans="1:11" x14ac:dyDescent="0.25">
      <c r="A91" s="8" t="s">
        <v>325</v>
      </c>
      <c r="B91" s="1">
        <v>0</v>
      </c>
      <c r="C91" s="1">
        <v>13795632</v>
      </c>
      <c r="D91" s="1">
        <v>10154137</v>
      </c>
      <c r="E91" s="1">
        <v>23949769</v>
      </c>
      <c r="F91" s="1">
        <v>174512</v>
      </c>
      <c r="G91" s="1">
        <v>0</v>
      </c>
      <c r="H91" s="1">
        <v>174512</v>
      </c>
      <c r="I91" s="1">
        <v>0</v>
      </c>
      <c r="J91" s="1">
        <v>15802452</v>
      </c>
      <c r="K91" s="1">
        <v>15802452</v>
      </c>
    </row>
    <row r="92" spans="1:11" x14ac:dyDescent="0.25">
      <c r="A92" s="7" t="s">
        <v>172</v>
      </c>
      <c r="B92" s="1">
        <v>0</v>
      </c>
      <c r="C92" s="1">
        <v>4652427</v>
      </c>
      <c r="D92" s="1">
        <v>149622</v>
      </c>
      <c r="E92" s="1">
        <v>4802049</v>
      </c>
      <c r="F92" s="1">
        <v>0</v>
      </c>
      <c r="G92" s="1">
        <v>0</v>
      </c>
      <c r="H92" s="1">
        <v>0</v>
      </c>
      <c r="I92" s="1"/>
      <c r="J92" s="1"/>
      <c r="K92" s="1"/>
    </row>
    <row r="93" spans="1:11" x14ac:dyDescent="0.25">
      <c r="A93" s="8" t="s">
        <v>1067</v>
      </c>
      <c r="B93" s="1">
        <v>0</v>
      </c>
      <c r="C93" s="1">
        <v>0</v>
      </c>
      <c r="D93" s="1">
        <v>0</v>
      </c>
      <c r="E93" s="1">
        <v>0</v>
      </c>
      <c r="F93" s="1">
        <v>0</v>
      </c>
      <c r="G93" s="1">
        <v>0</v>
      </c>
      <c r="H93" s="1">
        <v>0</v>
      </c>
      <c r="I93" s="1"/>
      <c r="J93" s="1"/>
      <c r="K93" s="1"/>
    </row>
    <row r="94" spans="1:11" x14ac:dyDescent="0.25">
      <c r="A94" s="8" t="s">
        <v>1068</v>
      </c>
      <c r="B94" s="1">
        <v>0</v>
      </c>
      <c r="C94" s="1">
        <v>70027</v>
      </c>
      <c r="D94" s="1">
        <v>92265</v>
      </c>
      <c r="E94" s="1">
        <v>162292</v>
      </c>
      <c r="F94" s="1">
        <v>0</v>
      </c>
      <c r="G94" s="1">
        <v>0</v>
      </c>
      <c r="H94" s="1">
        <v>0</v>
      </c>
      <c r="I94" s="1"/>
      <c r="J94" s="1"/>
      <c r="K94" s="1"/>
    </row>
    <row r="95" spans="1:11" x14ac:dyDescent="0.25">
      <c r="A95" s="8" t="s">
        <v>1069</v>
      </c>
      <c r="B95" s="1">
        <v>0</v>
      </c>
      <c r="C95" s="1">
        <v>4517397</v>
      </c>
      <c r="D95" s="1">
        <v>681</v>
      </c>
      <c r="E95" s="1">
        <v>4518078</v>
      </c>
      <c r="F95" s="1">
        <v>0</v>
      </c>
      <c r="G95" s="1">
        <v>0</v>
      </c>
      <c r="H95" s="1">
        <v>0</v>
      </c>
      <c r="I95" s="1"/>
      <c r="J95" s="1"/>
      <c r="K95" s="1"/>
    </row>
    <row r="96" spans="1:11" x14ac:dyDescent="0.25">
      <c r="A96" s="8" t="s">
        <v>1070</v>
      </c>
      <c r="B96" s="1">
        <v>0</v>
      </c>
      <c r="C96" s="1">
        <v>0</v>
      </c>
      <c r="D96" s="1">
        <v>0</v>
      </c>
      <c r="E96" s="1">
        <v>0</v>
      </c>
      <c r="F96" s="1">
        <v>0</v>
      </c>
      <c r="G96" s="1">
        <v>0</v>
      </c>
      <c r="H96" s="1">
        <v>0</v>
      </c>
      <c r="I96" s="1"/>
      <c r="J96" s="1"/>
      <c r="K96" s="1"/>
    </row>
    <row r="97" spans="1:11" x14ac:dyDescent="0.25">
      <c r="A97" s="8" t="s">
        <v>1071</v>
      </c>
      <c r="B97" s="1">
        <v>0</v>
      </c>
      <c r="C97" s="1">
        <v>65003</v>
      </c>
      <c r="D97" s="1">
        <v>56676</v>
      </c>
      <c r="E97" s="1">
        <v>121679</v>
      </c>
      <c r="F97" s="1">
        <v>0</v>
      </c>
      <c r="G97" s="1">
        <v>0</v>
      </c>
      <c r="H97" s="1">
        <v>0</v>
      </c>
      <c r="I97" s="1"/>
      <c r="J97" s="1"/>
      <c r="K97" s="1"/>
    </row>
    <row r="98" spans="1:11" x14ac:dyDescent="0.25">
      <c r="A98" s="7" t="s">
        <v>138</v>
      </c>
      <c r="B98" s="1">
        <v>0</v>
      </c>
      <c r="C98" s="1">
        <v>632379298</v>
      </c>
      <c r="D98" s="1">
        <v>632872443</v>
      </c>
      <c r="E98" s="1">
        <v>1265251741</v>
      </c>
      <c r="F98" s="1">
        <v>174512</v>
      </c>
      <c r="G98" s="1">
        <v>0</v>
      </c>
      <c r="H98" s="1">
        <v>174512</v>
      </c>
      <c r="I98" s="1">
        <v>0</v>
      </c>
      <c r="J98" s="1">
        <v>707604014</v>
      </c>
      <c r="K98" s="1">
        <v>707604014</v>
      </c>
    </row>
  </sheetData>
  <pageMargins left="0.7" right="0.7" top="0.75" bottom="0.75" header="0.3" footer="0.3"/>
  <pageSetup paperSize="9" orientation="landscape" r:id="rId2"/>
  <drawing r:id="rId3"/>
  <extLst>
    <ext xmlns:x14="http://schemas.microsoft.com/office/spreadsheetml/2009/9/main" uri="{A8765BA9-456A-4dab-B4F3-ACF838C121DE}">
      <x14:slicerList>
        <x14:slicer r:id="rId4"/>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2:K79"/>
  <sheetViews>
    <sheetView topLeftCell="A13" workbookViewId="0">
      <selection activeCell="D15" sqref="D15"/>
    </sheetView>
  </sheetViews>
  <sheetFormatPr defaultRowHeight="15" x14ac:dyDescent="0.25"/>
  <cols>
    <col min="1" max="1" width="50.140625" customWidth="1"/>
    <col min="2" max="2" width="28.7109375" bestFit="1" customWidth="1"/>
    <col min="3" max="3" width="11.28515625" hidden="1" customWidth="1"/>
    <col min="4" max="4" width="11.140625" bestFit="1" customWidth="1"/>
    <col min="5" max="5" width="14.7109375" hidden="1" customWidth="1"/>
    <col min="6" max="6" width="12.7109375" customWidth="1"/>
    <col min="7" max="7" width="16.28515625" bestFit="1" customWidth="1"/>
    <col min="8" max="8" width="10.140625" hidden="1" customWidth="1"/>
    <col min="9"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2" spans="1:11" x14ac:dyDescent="0.25">
      <c r="A12" s="4" t="s">
        <v>244</v>
      </c>
      <c r="B12" t="s" vm="13">
        <v>245</v>
      </c>
    </row>
    <row r="14" spans="1:11" x14ac:dyDescent="0.25">
      <c r="A14" s="4" t="s">
        <v>136</v>
      </c>
      <c r="B14" s="4" t="s">
        <v>137</v>
      </c>
    </row>
    <row r="15" spans="1:11" x14ac:dyDescent="0.25">
      <c r="B15" t="s">
        <v>248</v>
      </c>
      <c r="D15" t="s">
        <v>326</v>
      </c>
      <c r="E15" t="s">
        <v>303</v>
      </c>
      <c r="H15" t="s">
        <v>1028</v>
      </c>
      <c r="I15" t="s">
        <v>239</v>
      </c>
      <c r="K15" t="s">
        <v>1029</v>
      </c>
    </row>
    <row r="16" spans="1:11" x14ac:dyDescent="0.25">
      <c r="A16" s="4" t="s">
        <v>242</v>
      </c>
      <c r="B16">
        <v>2019</v>
      </c>
      <c r="C16">
        <v>2020</v>
      </c>
      <c r="E16">
        <v>2018</v>
      </c>
      <c r="F16">
        <v>2019</v>
      </c>
      <c r="G16">
        <v>2020</v>
      </c>
      <c r="I16">
        <v>2019</v>
      </c>
      <c r="J16">
        <v>2020</v>
      </c>
    </row>
    <row r="17" spans="1:11" hidden="1" x14ac:dyDescent="0.25">
      <c r="A17" s="7" t="s">
        <v>1030</v>
      </c>
      <c r="B17" s="1">
        <v>0</v>
      </c>
      <c r="C17" s="1">
        <v>0</v>
      </c>
      <c r="D17" s="1">
        <v>0</v>
      </c>
      <c r="E17" s="1">
        <v>0</v>
      </c>
      <c r="F17" s="1">
        <v>312451912</v>
      </c>
      <c r="G17" s="1">
        <v>315148617</v>
      </c>
      <c r="H17" s="1">
        <v>627600529</v>
      </c>
      <c r="I17" s="1">
        <v>0</v>
      </c>
      <c r="J17" s="1">
        <v>350082758</v>
      </c>
      <c r="K17" s="1">
        <v>350082758</v>
      </c>
    </row>
    <row r="18" spans="1:11" hidden="1" x14ac:dyDescent="0.25">
      <c r="A18" s="8" t="s">
        <v>1031</v>
      </c>
      <c r="B18" s="1">
        <v>0</v>
      </c>
      <c r="C18" s="1">
        <v>0</v>
      </c>
      <c r="D18" s="1">
        <v>0</v>
      </c>
      <c r="E18" s="1">
        <v>0</v>
      </c>
      <c r="F18" s="1">
        <v>2410221</v>
      </c>
      <c r="G18" s="1">
        <v>2247849</v>
      </c>
      <c r="H18" s="1">
        <v>4658070</v>
      </c>
      <c r="I18" s="1">
        <v>0</v>
      </c>
      <c r="J18" s="1">
        <v>1919284</v>
      </c>
      <c r="K18" s="1">
        <v>1919284</v>
      </c>
    </row>
    <row r="19" spans="1:11" hidden="1" x14ac:dyDescent="0.25">
      <c r="A19" s="8" t="s">
        <v>1032</v>
      </c>
      <c r="B19" s="1"/>
      <c r="C19" s="1"/>
      <c r="D19" s="1"/>
      <c r="E19" s="1"/>
      <c r="F19" s="1"/>
      <c r="G19" s="1"/>
      <c r="H19" s="1"/>
      <c r="I19" s="1">
        <v>0</v>
      </c>
      <c r="J19" s="1">
        <v>9428570</v>
      </c>
      <c r="K19" s="1">
        <v>9428570</v>
      </c>
    </row>
    <row r="20" spans="1:11" hidden="1" x14ac:dyDescent="0.25">
      <c r="A20" s="8" t="s">
        <v>1033</v>
      </c>
      <c r="B20" s="1">
        <v>0</v>
      </c>
      <c r="C20" s="1">
        <v>0</v>
      </c>
      <c r="D20" s="1">
        <v>0</v>
      </c>
      <c r="E20" s="1">
        <v>0</v>
      </c>
      <c r="F20" s="1">
        <v>0</v>
      </c>
      <c r="G20" s="1">
        <v>0</v>
      </c>
      <c r="H20" s="1">
        <v>0</v>
      </c>
      <c r="I20" s="1">
        <v>0</v>
      </c>
      <c r="J20" s="1">
        <v>0</v>
      </c>
      <c r="K20" s="1">
        <v>0</v>
      </c>
    </row>
    <row r="21" spans="1:11" hidden="1" x14ac:dyDescent="0.25">
      <c r="A21" s="8" t="s">
        <v>1034</v>
      </c>
      <c r="B21" s="1">
        <v>0</v>
      </c>
      <c r="C21" s="1">
        <v>0</v>
      </c>
      <c r="D21" s="1">
        <v>0</v>
      </c>
      <c r="E21" s="1">
        <v>0</v>
      </c>
      <c r="F21" s="1">
        <v>10757390</v>
      </c>
      <c r="G21" s="1">
        <v>9819066</v>
      </c>
      <c r="H21" s="1">
        <v>20576456</v>
      </c>
      <c r="I21" s="1">
        <v>0</v>
      </c>
      <c r="J21" s="1">
        <v>11094063</v>
      </c>
      <c r="K21" s="1">
        <v>11094063</v>
      </c>
    </row>
    <row r="22" spans="1:11" hidden="1" x14ac:dyDescent="0.25">
      <c r="A22" s="8" t="s">
        <v>1035</v>
      </c>
      <c r="B22" s="1">
        <v>0</v>
      </c>
      <c r="C22" s="1">
        <v>0</v>
      </c>
      <c r="D22" s="1">
        <v>0</v>
      </c>
      <c r="E22" s="1">
        <v>0</v>
      </c>
      <c r="F22" s="1">
        <v>75224</v>
      </c>
      <c r="G22" s="1">
        <v>139623</v>
      </c>
      <c r="H22" s="1">
        <v>214847</v>
      </c>
      <c r="I22" s="1">
        <v>0</v>
      </c>
      <c r="J22" s="1">
        <v>71887</v>
      </c>
      <c r="K22" s="1">
        <v>71887</v>
      </c>
    </row>
    <row r="23" spans="1:11" hidden="1" x14ac:dyDescent="0.25">
      <c r="A23" s="8" t="s">
        <v>1036</v>
      </c>
      <c r="B23" s="1">
        <v>0</v>
      </c>
      <c r="C23" s="1">
        <v>0</v>
      </c>
      <c r="D23" s="1">
        <v>0</v>
      </c>
      <c r="E23" s="1">
        <v>0</v>
      </c>
      <c r="F23" s="1">
        <v>0</v>
      </c>
      <c r="G23" s="1">
        <v>0</v>
      </c>
      <c r="H23" s="1">
        <v>0</v>
      </c>
      <c r="I23" s="1"/>
      <c r="J23" s="1"/>
      <c r="K23" s="1"/>
    </row>
    <row r="24" spans="1:11" hidden="1" x14ac:dyDescent="0.25">
      <c r="A24" s="8" t="s">
        <v>1037</v>
      </c>
      <c r="B24" s="1">
        <v>0</v>
      </c>
      <c r="C24" s="1">
        <v>0</v>
      </c>
      <c r="D24" s="1">
        <v>0</v>
      </c>
      <c r="E24" s="1">
        <v>0</v>
      </c>
      <c r="F24" s="1">
        <v>172072257</v>
      </c>
      <c r="G24" s="1">
        <v>176082377</v>
      </c>
      <c r="H24" s="1">
        <v>348154634</v>
      </c>
      <c r="I24" s="1">
        <v>0</v>
      </c>
      <c r="J24" s="1">
        <v>188191194</v>
      </c>
      <c r="K24" s="1">
        <v>188191194</v>
      </c>
    </row>
    <row r="25" spans="1:11" hidden="1" x14ac:dyDescent="0.25">
      <c r="A25" s="8" t="s">
        <v>1038</v>
      </c>
      <c r="B25" s="1">
        <v>0</v>
      </c>
      <c r="C25" s="1">
        <v>0</v>
      </c>
      <c r="D25" s="1">
        <v>0</v>
      </c>
      <c r="E25" s="1">
        <v>0</v>
      </c>
      <c r="F25" s="1">
        <v>184037</v>
      </c>
      <c r="G25" s="1">
        <v>149531</v>
      </c>
      <c r="H25" s="1">
        <v>333568</v>
      </c>
      <c r="I25" s="1">
        <v>0</v>
      </c>
      <c r="J25" s="1">
        <v>179594</v>
      </c>
      <c r="K25" s="1">
        <v>179594</v>
      </c>
    </row>
    <row r="26" spans="1:11" hidden="1" x14ac:dyDescent="0.25">
      <c r="A26" s="8" t="s">
        <v>1039</v>
      </c>
      <c r="B26" s="1">
        <v>0</v>
      </c>
      <c r="C26" s="1">
        <v>0</v>
      </c>
      <c r="D26" s="1">
        <v>0</v>
      </c>
      <c r="E26" s="1">
        <v>0</v>
      </c>
      <c r="F26" s="1">
        <v>1278211</v>
      </c>
      <c r="G26" s="1">
        <v>1054180</v>
      </c>
      <c r="H26" s="1">
        <v>2332391</v>
      </c>
      <c r="I26" s="1">
        <v>0</v>
      </c>
      <c r="J26" s="1">
        <v>1340046</v>
      </c>
      <c r="K26" s="1">
        <v>1340046</v>
      </c>
    </row>
    <row r="27" spans="1:11" hidden="1" x14ac:dyDescent="0.25">
      <c r="A27" s="8" t="s">
        <v>1040</v>
      </c>
      <c r="B27" s="1">
        <v>0</v>
      </c>
      <c r="C27" s="1">
        <v>0</v>
      </c>
      <c r="D27" s="1">
        <v>0</v>
      </c>
      <c r="E27" s="1">
        <v>0</v>
      </c>
      <c r="F27" s="1">
        <v>127231</v>
      </c>
      <c r="G27" s="1">
        <v>39196</v>
      </c>
      <c r="H27" s="1">
        <v>166427</v>
      </c>
      <c r="I27" s="1">
        <v>0</v>
      </c>
      <c r="J27" s="1">
        <v>140166</v>
      </c>
      <c r="K27" s="1">
        <v>140166</v>
      </c>
    </row>
    <row r="28" spans="1:11" hidden="1" x14ac:dyDescent="0.25">
      <c r="A28" s="8" t="s">
        <v>1041</v>
      </c>
      <c r="B28" s="1">
        <v>0</v>
      </c>
      <c r="C28" s="1">
        <v>0</v>
      </c>
      <c r="D28" s="1">
        <v>0</v>
      </c>
      <c r="E28" s="1">
        <v>0</v>
      </c>
      <c r="F28" s="1">
        <v>110406299</v>
      </c>
      <c r="G28" s="1">
        <v>112844829</v>
      </c>
      <c r="H28" s="1">
        <v>223251128</v>
      </c>
      <c r="I28" s="1">
        <v>0</v>
      </c>
      <c r="J28" s="1">
        <v>121033450</v>
      </c>
      <c r="K28" s="1">
        <v>121033450</v>
      </c>
    </row>
    <row r="29" spans="1:11" hidden="1" x14ac:dyDescent="0.25">
      <c r="A29" s="8" t="s">
        <v>1042</v>
      </c>
      <c r="B29" s="1">
        <v>0</v>
      </c>
      <c r="C29" s="1">
        <v>0</v>
      </c>
      <c r="D29" s="1">
        <v>0</v>
      </c>
      <c r="E29" s="1">
        <v>0</v>
      </c>
      <c r="F29" s="1">
        <v>1230953</v>
      </c>
      <c r="G29" s="1">
        <v>1000581</v>
      </c>
      <c r="H29" s="1">
        <v>2231534</v>
      </c>
      <c r="I29" s="1">
        <v>0</v>
      </c>
      <c r="J29" s="1">
        <v>1119922</v>
      </c>
      <c r="K29" s="1">
        <v>1119922</v>
      </c>
    </row>
    <row r="30" spans="1:11" hidden="1" x14ac:dyDescent="0.25">
      <c r="A30" s="8" t="s">
        <v>1043</v>
      </c>
      <c r="B30" s="1">
        <v>0</v>
      </c>
      <c r="C30" s="1">
        <v>0</v>
      </c>
      <c r="D30" s="1">
        <v>0</v>
      </c>
      <c r="E30" s="1">
        <v>0</v>
      </c>
      <c r="F30" s="1">
        <v>13910089</v>
      </c>
      <c r="G30" s="1">
        <v>11771385</v>
      </c>
      <c r="H30" s="1">
        <v>25681474</v>
      </c>
      <c r="I30" s="1">
        <v>0</v>
      </c>
      <c r="J30" s="1">
        <v>15564582</v>
      </c>
      <c r="K30" s="1">
        <v>15564582</v>
      </c>
    </row>
    <row r="31" spans="1:11" hidden="1" x14ac:dyDescent="0.25">
      <c r="A31" s="7" t="s">
        <v>1044</v>
      </c>
      <c r="B31" s="1">
        <v>0</v>
      </c>
      <c r="C31" s="1">
        <v>0</v>
      </c>
      <c r="D31" s="1">
        <v>0</v>
      </c>
      <c r="E31" s="1">
        <v>0</v>
      </c>
      <c r="F31" s="1">
        <v>15596427</v>
      </c>
      <c r="G31" s="1">
        <v>4746883</v>
      </c>
      <c r="H31" s="1">
        <v>20343310</v>
      </c>
      <c r="I31" s="1">
        <v>0</v>
      </c>
      <c r="J31" s="1">
        <v>5024385</v>
      </c>
      <c r="K31" s="1">
        <v>5024385</v>
      </c>
    </row>
    <row r="32" spans="1:11" hidden="1" x14ac:dyDescent="0.25">
      <c r="A32" s="8" t="s">
        <v>1045</v>
      </c>
      <c r="B32" s="1">
        <v>0</v>
      </c>
      <c r="C32" s="1">
        <v>0</v>
      </c>
      <c r="D32" s="1">
        <v>0</v>
      </c>
      <c r="E32" s="1">
        <v>0</v>
      </c>
      <c r="F32" s="1">
        <v>4915</v>
      </c>
      <c r="G32" s="1">
        <v>1831</v>
      </c>
      <c r="H32" s="1">
        <v>6746</v>
      </c>
      <c r="I32" s="1">
        <v>0</v>
      </c>
      <c r="J32" s="1">
        <v>22346</v>
      </c>
      <c r="K32" s="1">
        <v>22346</v>
      </c>
    </row>
    <row r="33" spans="1:11" hidden="1" x14ac:dyDescent="0.25">
      <c r="A33" s="8" t="s">
        <v>1046</v>
      </c>
      <c r="B33" s="1">
        <v>0</v>
      </c>
      <c r="C33" s="1">
        <v>0</v>
      </c>
      <c r="D33" s="1">
        <v>0</v>
      </c>
      <c r="E33" s="1">
        <v>0</v>
      </c>
      <c r="F33" s="1">
        <v>853</v>
      </c>
      <c r="G33" s="1">
        <v>1137</v>
      </c>
      <c r="H33" s="1">
        <v>1990</v>
      </c>
      <c r="I33" s="1">
        <v>0</v>
      </c>
      <c r="J33" s="1">
        <v>623</v>
      </c>
      <c r="K33" s="1">
        <v>623</v>
      </c>
    </row>
    <row r="34" spans="1:11" hidden="1" x14ac:dyDescent="0.25">
      <c r="A34" s="8" t="s">
        <v>1047</v>
      </c>
      <c r="B34" s="1">
        <v>0</v>
      </c>
      <c r="C34" s="1">
        <v>0</v>
      </c>
      <c r="D34" s="1">
        <v>0</v>
      </c>
      <c r="E34" s="1">
        <v>0</v>
      </c>
      <c r="F34" s="1">
        <v>136257</v>
      </c>
      <c r="G34" s="1">
        <v>28143</v>
      </c>
      <c r="H34" s="1">
        <v>164400</v>
      </c>
      <c r="I34" s="1">
        <v>0</v>
      </c>
      <c r="J34" s="1">
        <v>285644</v>
      </c>
      <c r="K34" s="1">
        <v>285644</v>
      </c>
    </row>
    <row r="35" spans="1:11" hidden="1" x14ac:dyDescent="0.25">
      <c r="A35" s="8" t="s">
        <v>1048</v>
      </c>
      <c r="B35" s="1"/>
      <c r="C35" s="1"/>
      <c r="D35" s="1"/>
      <c r="E35" s="1"/>
      <c r="F35" s="1"/>
      <c r="G35" s="1"/>
      <c r="H35" s="1"/>
      <c r="I35" s="1">
        <v>0</v>
      </c>
      <c r="J35" s="1"/>
      <c r="K35" s="1">
        <v>0</v>
      </c>
    </row>
    <row r="36" spans="1:11" hidden="1" x14ac:dyDescent="0.25">
      <c r="A36" s="8" t="s">
        <v>1049</v>
      </c>
      <c r="B36" s="1">
        <v>0</v>
      </c>
      <c r="C36" s="1">
        <v>0</v>
      </c>
      <c r="D36" s="1">
        <v>0</v>
      </c>
      <c r="E36" s="1">
        <v>0</v>
      </c>
      <c r="F36" s="1">
        <v>15454402</v>
      </c>
      <c r="G36" s="1">
        <v>4715772</v>
      </c>
      <c r="H36" s="1">
        <v>20170174</v>
      </c>
      <c r="I36" s="1">
        <v>0</v>
      </c>
      <c r="J36" s="1">
        <v>4715772</v>
      </c>
      <c r="K36" s="1">
        <v>4715772</v>
      </c>
    </row>
    <row r="37" spans="1:11" hidden="1" x14ac:dyDescent="0.25">
      <c r="A37" s="8" t="s">
        <v>1050</v>
      </c>
      <c r="B37" s="1">
        <v>0</v>
      </c>
      <c r="C37" s="1">
        <v>0</v>
      </c>
      <c r="D37" s="1">
        <v>0</v>
      </c>
      <c r="E37" s="1">
        <v>0</v>
      </c>
      <c r="F37" s="1">
        <v>0</v>
      </c>
      <c r="G37" s="1">
        <v>0</v>
      </c>
      <c r="H37" s="1">
        <v>0</v>
      </c>
      <c r="I37" s="1"/>
      <c r="J37" s="1"/>
      <c r="K37" s="1"/>
    </row>
    <row r="38" spans="1:11" hidden="1" x14ac:dyDescent="0.25">
      <c r="A38" s="8" t="s">
        <v>1051</v>
      </c>
      <c r="B38" s="1"/>
      <c r="C38" s="1"/>
      <c r="D38" s="1"/>
      <c r="E38" s="1"/>
      <c r="F38" s="1"/>
      <c r="G38" s="1"/>
      <c r="H38" s="1"/>
      <c r="I38" s="1">
        <v>0</v>
      </c>
      <c r="J38" s="1"/>
      <c r="K38" s="1">
        <v>0</v>
      </c>
    </row>
    <row r="39" spans="1:11" hidden="1" x14ac:dyDescent="0.25">
      <c r="A39" s="8" t="s">
        <v>1052</v>
      </c>
      <c r="B39" s="1">
        <v>0</v>
      </c>
      <c r="C39" s="1">
        <v>0</v>
      </c>
      <c r="D39" s="1">
        <v>0</v>
      </c>
      <c r="E39" s="1">
        <v>0</v>
      </c>
      <c r="F39" s="1">
        <v>0</v>
      </c>
      <c r="G39" s="1">
        <v>0</v>
      </c>
      <c r="H39" s="1">
        <v>0</v>
      </c>
      <c r="I39" s="1"/>
      <c r="J39" s="1"/>
      <c r="K39" s="1"/>
    </row>
    <row r="40" spans="1:11" x14ac:dyDescent="0.25">
      <c r="A40" s="7" t="s">
        <v>241</v>
      </c>
      <c r="B40" s="1">
        <v>174512</v>
      </c>
      <c r="C40" s="1">
        <v>0</v>
      </c>
      <c r="D40" s="1">
        <v>174512</v>
      </c>
      <c r="E40" s="1">
        <v>0</v>
      </c>
      <c r="F40" s="1">
        <v>299678532</v>
      </c>
      <c r="G40" s="1">
        <v>312827321</v>
      </c>
      <c r="H40" s="1">
        <v>612505853</v>
      </c>
      <c r="I40" s="1">
        <v>0</v>
      </c>
      <c r="J40" s="1">
        <v>352496871</v>
      </c>
      <c r="K40" s="1">
        <v>352496871</v>
      </c>
    </row>
    <row r="41" spans="1:11" x14ac:dyDescent="0.25">
      <c r="A41" s="8" t="s">
        <v>309</v>
      </c>
      <c r="B41" s="1">
        <v>0</v>
      </c>
      <c r="C41" s="1">
        <v>0</v>
      </c>
      <c r="D41" s="1">
        <v>0</v>
      </c>
      <c r="E41" s="1">
        <v>0</v>
      </c>
      <c r="F41" s="1">
        <v>1648075</v>
      </c>
      <c r="G41" s="1">
        <v>4299624</v>
      </c>
      <c r="H41" s="1">
        <v>5947699</v>
      </c>
      <c r="I41" s="1">
        <v>0</v>
      </c>
      <c r="J41" s="1">
        <v>2966088</v>
      </c>
      <c r="K41" s="1">
        <v>2966088</v>
      </c>
    </row>
    <row r="42" spans="1:11" x14ac:dyDescent="0.25">
      <c r="A42" s="8" t="s">
        <v>310</v>
      </c>
      <c r="B42" s="1">
        <v>0</v>
      </c>
      <c r="C42" s="1">
        <v>0</v>
      </c>
      <c r="D42" s="1">
        <v>0</v>
      </c>
      <c r="E42" s="1">
        <v>0</v>
      </c>
      <c r="F42" s="1">
        <v>27290932</v>
      </c>
      <c r="G42" s="1">
        <v>34645388</v>
      </c>
      <c r="H42" s="1">
        <v>61936320</v>
      </c>
      <c r="I42" s="1">
        <v>0</v>
      </c>
      <c r="J42" s="1">
        <v>38970368</v>
      </c>
      <c r="K42" s="1">
        <v>38970368</v>
      </c>
    </row>
    <row r="43" spans="1:11" x14ac:dyDescent="0.25">
      <c r="A43" s="193" t="s">
        <v>1053</v>
      </c>
      <c r="B43" s="1">
        <v>0</v>
      </c>
      <c r="C43" s="1"/>
      <c r="D43" s="1">
        <v>0</v>
      </c>
      <c r="E43" s="1">
        <v>0</v>
      </c>
      <c r="F43" s="1"/>
      <c r="G43" s="1"/>
      <c r="H43" s="1">
        <v>0</v>
      </c>
      <c r="I43" s="1"/>
      <c r="J43" s="1">
        <v>1020000</v>
      </c>
      <c r="K43" s="1">
        <v>1020000</v>
      </c>
    </row>
    <row r="44" spans="1:11" x14ac:dyDescent="0.25">
      <c r="A44" s="193" t="s">
        <v>1054</v>
      </c>
      <c r="B44" s="1">
        <v>0</v>
      </c>
      <c r="C44" s="1"/>
      <c r="D44" s="1">
        <v>0</v>
      </c>
      <c r="E44" s="1">
        <v>0</v>
      </c>
      <c r="F44" s="1"/>
      <c r="G44" s="1"/>
      <c r="H44" s="1">
        <v>0</v>
      </c>
      <c r="I44" s="1"/>
      <c r="J44" s="1">
        <v>4716000</v>
      </c>
      <c r="K44" s="1">
        <v>4716000</v>
      </c>
    </row>
    <row r="45" spans="1:11" hidden="1" x14ac:dyDescent="0.25">
      <c r="A45" s="193" t="s">
        <v>1055</v>
      </c>
      <c r="B45" s="1"/>
      <c r="C45" s="1">
        <v>0</v>
      </c>
      <c r="D45" s="1">
        <v>0</v>
      </c>
      <c r="E45" s="1"/>
      <c r="F45" s="1">
        <v>0</v>
      </c>
      <c r="G45" s="1">
        <v>0</v>
      </c>
      <c r="H45" s="1">
        <v>0</v>
      </c>
      <c r="I45" s="1"/>
      <c r="J45" s="1"/>
      <c r="K45" s="1"/>
    </row>
    <row r="46" spans="1:11" hidden="1" x14ac:dyDescent="0.25">
      <c r="A46" s="193" t="s">
        <v>1056</v>
      </c>
      <c r="B46" s="1">
        <v>0</v>
      </c>
      <c r="C46" s="1">
        <v>0</v>
      </c>
      <c r="D46" s="1">
        <v>0</v>
      </c>
      <c r="E46" s="1">
        <v>0</v>
      </c>
      <c r="F46" s="1">
        <v>7894946</v>
      </c>
      <c r="G46" s="1">
        <v>8841453</v>
      </c>
      <c r="H46" s="1">
        <v>16736399</v>
      </c>
      <c r="I46" s="1">
        <v>0</v>
      </c>
      <c r="J46" s="1">
        <v>12253200</v>
      </c>
      <c r="K46" s="1">
        <v>12253200</v>
      </c>
    </row>
    <row r="47" spans="1:11" x14ac:dyDescent="0.25">
      <c r="A47" s="193" t="s">
        <v>1057</v>
      </c>
      <c r="B47" s="1">
        <v>0</v>
      </c>
      <c r="C47" s="1">
        <v>0</v>
      </c>
      <c r="D47" s="1">
        <v>0</v>
      </c>
      <c r="E47" s="1">
        <v>0</v>
      </c>
      <c r="F47" s="1">
        <v>262966</v>
      </c>
      <c r="G47" s="1">
        <v>286872</v>
      </c>
      <c r="H47" s="1">
        <v>549838</v>
      </c>
      <c r="I47" s="1"/>
      <c r="J47" s="1">
        <v>288000</v>
      </c>
      <c r="K47" s="1">
        <v>288000</v>
      </c>
    </row>
    <row r="48" spans="1:11" x14ac:dyDescent="0.25">
      <c r="A48" s="193" t="s">
        <v>1058</v>
      </c>
      <c r="B48" s="1"/>
      <c r="C48" s="1">
        <v>0</v>
      </c>
      <c r="D48" s="1">
        <v>0</v>
      </c>
      <c r="E48" s="1"/>
      <c r="F48" s="1">
        <v>934681</v>
      </c>
      <c r="G48" s="1">
        <v>1019652</v>
      </c>
      <c r="H48" s="1">
        <v>1954333</v>
      </c>
      <c r="I48" s="1"/>
      <c r="J48" s="1"/>
      <c r="K48" s="1"/>
    </row>
    <row r="49" spans="1:11" x14ac:dyDescent="0.25">
      <c r="A49" s="193" t="s">
        <v>1059</v>
      </c>
      <c r="B49" s="1"/>
      <c r="C49" s="1">
        <v>0</v>
      </c>
      <c r="D49" s="1">
        <v>0</v>
      </c>
      <c r="E49" s="1"/>
      <c r="F49" s="1">
        <v>4322791</v>
      </c>
      <c r="G49" s="1">
        <v>4715772</v>
      </c>
      <c r="H49" s="1">
        <v>9038563</v>
      </c>
      <c r="I49" s="1"/>
      <c r="J49" s="1"/>
      <c r="K49" s="1"/>
    </row>
    <row r="50" spans="1:11" x14ac:dyDescent="0.25">
      <c r="A50" s="193" t="s">
        <v>1060</v>
      </c>
      <c r="B50" s="1">
        <v>0</v>
      </c>
      <c r="C50" s="1">
        <v>0</v>
      </c>
      <c r="D50" s="1">
        <v>0</v>
      </c>
      <c r="E50" s="1">
        <v>0</v>
      </c>
      <c r="F50" s="1">
        <v>2415220</v>
      </c>
      <c r="G50" s="1">
        <v>2230502</v>
      </c>
      <c r="H50" s="1">
        <v>4645722</v>
      </c>
      <c r="I50" s="1"/>
      <c r="J50" s="1">
        <v>2328000</v>
      </c>
      <c r="K50" s="1">
        <v>2328000</v>
      </c>
    </row>
    <row r="51" spans="1:11" x14ac:dyDescent="0.25">
      <c r="A51" s="193" t="s">
        <v>1061</v>
      </c>
      <c r="B51" s="1">
        <v>0</v>
      </c>
      <c r="C51" s="1">
        <v>0</v>
      </c>
      <c r="D51" s="1">
        <v>0</v>
      </c>
      <c r="E51" s="1">
        <v>0</v>
      </c>
      <c r="F51" s="1">
        <v>113575</v>
      </c>
      <c r="G51" s="1">
        <v>333696</v>
      </c>
      <c r="H51" s="1">
        <v>447271</v>
      </c>
      <c r="I51" s="1"/>
      <c r="J51" s="1">
        <v>126000</v>
      </c>
      <c r="K51" s="1">
        <v>126000</v>
      </c>
    </row>
    <row r="52" spans="1:11" x14ac:dyDescent="0.25">
      <c r="A52" s="193" t="s">
        <v>1062</v>
      </c>
      <c r="B52" s="1">
        <v>0</v>
      </c>
      <c r="C52" s="1">
        <v>0</v>
      </c>
      <c r="D52" s="1">
        <v>0</v>
      </c>
      <c r="E52" s="1">
        <v>0</v>
      </c>
      <c r="F52" s="1">
        <v>10594457</v>
      </c>
      <c r="G52" s="1">
        <v>15999769</v>
      </c>
      <c r="H52" s="1">
        <v>26594226</v>
      </c>
      <c r="I52" s="1"/>
      <c r="J52" s="1">
        <v>16059176</v>
      </c>
      <c r="K52" s="1">
        <v>16059176</v>
      </c>
    </row>
    <row r="53" spans="1:11" x14ac:dyDescent="0.25">
      <c r="A53" s="193" t="s">
        <v>1063</v>
      </c>
      <c r="B53" s="1">
        <v>0</v>
      </c>
      <c r="C53" s="1">
        <v>0</v>
      </c>
      <c r="D53" s="1">
        <v>0</v>
      </c>
      <c r="E53" s="1">
        <v>0</v>
      </c>
      <c r="F53" s="1">
        <v>546728</v>
      </c>
      <c r="G53" s="1">
        <v>980663</v>
      </c>
      <c r="H53" s="1">
        <v>1527391</v>
      </c>
      <c r="I53" s="1">
        <v>0</v>
      </c>
      <c r="J53" s="1">
        <v>1957992</v>
      </c>
      <c r="K53" s="1">
        <v>1957992</v>
      </c>
    </row>
    <row r="54" spans="1:11" x14ac:dyDescent="0.25">
      <c r="A54" s="193" t="s">
        <v>1064</v>
      </c>
      <c r="B54" s="1">
        <v>0</v>
      </c>
      <c r="C54" s="1">
        <v>0</v>
      </c>
      <c r="D54" s="1">
        <v>0</v>
      </c>
      <c r="E54" s="1">
        <v>0</v>
      </c>
      <c r="F54" s="1">
        <v>188760</v>
      </c>
      <c r="G54" s="1">
        <v>217145</v>
      </c>
      <c r="H54" s="1">
        <v>405905</v>
      </c>
      <c r="I54" s="1"/>
      <c r="J54" s="1">
        <v>204000</v>
      </c>
      <c r="K54" s="1">
        <v>204000</v>
      </c>
    </row>
    <row r="55" spans="1:11" x14ac:dyDescent="0.25">
      <c r="A55" s="193" t="s">
        <v>1065</v>
      </c>
      <c r="B55" s="1">
        <v>0</v>
      </c>
      <c r="C55" s="1">
        <v>0</v>
      </c>
      <c r="D55" s="1">
        <v>0</v>
      </c>
      <c r="E55" s="1">
        <v>0</v>
      </c>
      <c r="F55" s="1">
        <v>16808</v>
      </c>
      <c r="G55" s="1">
        <v>19864</v>
      </c>
      <c r="H55" s="1">
        <v>36672</v>
      </c>
      <c r="I55" s="1"/>
      <c r="J55" s="1">
        <v>18000</v>
      </c>
      <c r="K55" s="1">
        <v>18000</v>
      </c>
    </row>
    <row r="56" spans="1:11" x14ac:dyDescent="0.25">
      <c r="A56" s="193" t="s">
        <v>1066</v>
      </c>
      <c r="B56" s="1">
        <v>0</v>
      </c>
      <c r="C56" s="1">
        <v>0</v>
      </c>
      <c r="D56" s="1">
        <v>0</v>
      </c>
      <c r="E56" s="1">
        <v>0</v>
      </c>
      <c r="F56" s="1">
        <v>0</v>
      </c>
      <c r="G56" s="1">
        <v>0</v>
      </c>
      <c r="H56" s="1">
        <v>0</v>
      </c>
      <c r="I56" s="1">
        <v>0</v>
      </c>
      <c r="J56" s="1"/>
      <c r="K56" s="1">
        <v>0</v>
      </c>
    </row>
    <row r="57" spans="1:11" x14ac:dyDescent="0.25">
      <c r="A57" s="8" t="s">
        <v>308</v>
      </c>
      <c r="B57" s="1">
        <v>0</v>
      </c>
      <c r="C57" s="1">
        <v>0</v>
      </c>
      <c r="D57" s="1">
        <v>0</v>
      </c>
      <c r="E57" s="1">
        <v>0</v>
      </c>
      <c r="F57" s="1">
        <v>210850023</v>
      </c>
      <c r="G57" s="1">
        <v>230846283</v>
      </c>
      <c r="H57" s="1">
        <v>441696306</v>
      </c>
      <c r="I57" s="1">
        <v>0</v>
      </c>
      <c r="J57" s="1">
        <v>252209220</v>
      </c>
      <c r="K57" s="1">
        <v>252209220</v>
      </c>
    </row>
    <row r="58" spans="1:11" x14ac:dyDescent="0.25">
      <c r="A58" s="8" t="s">
        <v>311</v>
      </c>
      <c r="B58" s="1">
        <v>0</v>
      </c>
      <c r="C58" s="1">
        <v>0</v>
      </c>
      <c r="D58" s="1">
        <v>0</v>
      </c>
      <c r="E58" s="1">
        <v>0</v>
      </c>
      <c r="F58" s="1">
        <v>1420728</v>
      </c>
      <c r="G58" s="1">
        <v>406088</v>
      </c>
      <c r="H58" s="1">
        <v>1826816</v>
      </c>
      <c r="I58" s="1">
        <v>0</v>
      </c>
      <c r="J58" s="1">
        <v>2455812</v>
      </c>
      <c r="K58" s="1">
        <v>2455812</v>
      </c>
    </row>
    <row r="59" spans="1:11" x14ac:dyDescent="0.25">
      <c r="A59" s="8" t="s">
        <v>312</v>
      </c>
      <c r="B59" s="1">
        <v>0</v>
      </c>
      <c r="C59" s="1">
        <v>0</v>
      </c>
      <c r="D59" s="1">
        <v>0</v>
      </c>
      <c r="E59" s="1">
        <v>0</v>
      </c>
      <c r="F59" s="1">
        <v>376819</v>
      </c>
      <c r="G59" s="1">
        <v>696289</v>
      </c>
      <c r="H59" s="1">
        <v>1073108</v>
      </c>
      <c r="I59" s="1">
        <v>0</v>
      </c>
      <c r="J59" s="1">
        <v>1004180</v>
      </c>
      <c r="K59" s="1">
        <v>1004180</v>
      </c>
    </row>
    <row r="60" spans="1:11" x14ac:dyDescent="0.25">
      <c r="A60" s="8" t="s">
        <v>313</v>
      </c>
      <c r="B60" s="1">
        <v>0</v>
      </c>
      <c r="C60" s="1">
        <v>0</v>
      </c>
      <c r="D60" s="1">
        <v>0</v>
      </c>
      <c r="E60" s="1">
        <v>0</v>
      </c>
      <c r="F60" s="1">
        <v>366769</v>
      </c>
      <c r="G60" s="1">
        <v>110198</v>
      </c>
      <c r="H60" s="1">
        <v>476967</v>
      </c>
      <c r="I60" s="1">
        <v>0</v>
      </c>
      <c r="J60" s="1">
        <v>1372896</v>
      </c>
      <c r="K60" s="1">
        <v>1372896</v>
      </c>
    </row>
    <row r="61" spans="1:11" x14ac:dyDescent="0.25">
      <c r="A61" s="8" t="s">
        <v>314</v>
      </c>
      <c r="B61" s="1">
        <v>0</v>
      </c>
      <c r="C61" s="1">
        <v>0</v>
      </c>
      <c r="D61" s="1">
        <v>0</v>
      </c>
      <c r="E61" s="1">
        <v>0</v>
      </c>
      <c r="F61" s="1">
        <v>866594</v>
      </c>
      <c r="G61" s="1">
        <v>908211</v>
      </c>
      <c r="H61" s="1">
        <v>1774805</v>
      </c>
      <c r="I61" s="1">
        <v>0</v>
      </c>
      <c r="J61" s="1">
        <v>970085</v>
      </c>
      <c r="K61" s="1">
        <v>970085</v>
      </c>
    </row>
    <row r="62" spans="1:11" x14ac:dyDescent="0.25">
      <c r="A62" s="8" t="s">
        <v>315</v>
      </c>
      <c r="B62" s="1">
        <v>0</v>
      </c>
      <c r="C62" s="1">
        <v>0</v>
      </c>
      <c r="D62" s="1">
        <v>0</v>
      </c>
      <c r="E62" s="1">
        <v>0</v>
      </c>
      <c r="F62" s="1">
        <v>279494</v>
      </c>
      <c r="G62" s="1">
        <v>261083</v>
      </c>
      <c r="H62" s="1">
        <v>540577</v>
      </c>
      <c r="I62" s="1">
        <v>0</v>
      </c>
      <c r="J62" s="1">
        <v>300012</v>
      </c>
      <c r="K62" s="1">
        <v>300012</v>
      </c>
    </row>
    <row r="63" spans="1:11" x14ac:dyDescent="0.25">
      <c r="A63" s="8" t="s">
        <v>316</v>
      </c>
      <c r="B63" s="1">
        <v>0</v>
      </c>
      <c r="C63" s="1">
        <v>0</v>
      </c>
      <c r="D63" s="1">
        <v>0</v>
      </c>
      <c r="E63" s="1">
        <v>0</v>
      </c>
      <c r="F63" s="1">
        <v>819000</v>
      </c>
      <c r="G63" s="1">
        <v>0</v>
      </c>
      <c r="H63" s="1">
        <v>819000</v>
      </c>
      <c r="I63" s="1">
        <v>0</v>
      </c>
      <c r="J63" s="1"/>
      <c r="K63" s="1">
        <v>0</v>
      </c>
    </row>
    <row r="64" spans="1:11" x14ac:dyDescent="0.25">
      <c r="A64" s="8" t="s">
        <v>317</v>
      </c>
      <c r="B64" s="1">
        <v>0</v>
      </c>
      <c r="C64" s="1">
        <v>0</v>
      </c>
      <c r="D64" s="1">
        <v>0</v>
      </c>
      <c r="E64" s="1">
        <v>0</v>
      </c>
      <c r="F64" s="1">
        <v>2230912</v>
      </c>
      <c r="G64" s="1">
        <v>2679804</v>
      </c>
      <c r="H64" s="1">
        <v>4910716</v>
      </c>
      <c r="I64" s="1">
        <v>0</v>
      </c>
      <c r="J64" s="1">
        <v>3517164</v>
      </c>
      <c r="K64" s="1">
        <v>3517164</v>
      </c>
    </row>
    <row r="65" spans="1:11" hidden="1" x14ac:dyDescent="0.25">
      <c r="A65" s="8" t="s">
        <v>318</v>
      </c>
      <c r="B65" s="1">
        <v>0</v>
      </c>
      <c r="C65" s="1">
        <v>0</v>
      </c>
      <c r="D65" s="1">
        <v>0</v>
      </c>
      <c r="E65" s="1">
        <v>0</v>
      </c>
      <c r="F65" s="1">
        <v>5055476</v>
      </c>
      <c r="G65" s="1">
        <v>4320465</v>
      </c>
      <c r="H65" s="1">
        <v>9375941</v>
      </c>
      <c r="I65" s="1">
        <v>0</v>
      </c>
      <c r="J65" s="1">
        <v>5420052</v>
      </c>
      <c r="K65" s="1">
        <v>5420052</v>
      </c>
    </row>
    <row r="66" spans="1:11" hidden="1" x14ac:dyDescent="0.25">
      <c r="A66" s="8" t="s">
        <v>319</v>
      </c>
      <c r="B66" s="1">
        <v>0</v>
      </c>
      <c r="C66" s="1">
        <v>0</v>
      </c>
      <c r="D66" s="1">
        <v>0</v>
      </c>
      <c r="E66" s="1">
        <v>0</v>
      </c>
      <c r="F66" s="1">
        <v>88727</v>
      </c>
      <c r="G66" s="1">
        <v>10112</v>
      </c>
      <c r="H66" s="1">
        <v>98839</v>
      </c>
      <c r="I66" s="1">
        <v>0</v>
      </c>
      <c r="J66" s="1">
        <v>122952</v>
      </c>
      <c r="K66" s="1">
        <v>122952</v>
      </c>
    </row>
    <row r="67" spans="1:11" x14ac:dyDescent="0.25">
      <c r="A67" s="8" t="s">
        <v>320</v>
      </c>
      <c r="B67" s="1">
        <v>0</v>
      </c>
      <c r="C67" s="1">
        <v>0</v>
      </c>
      <c r="D67" s="1">
        <v>0</v>
      </c>
      <c r="E67" s="1">
        <v>0</v>
      </c>
      <c r="F67" s="1">
        <v>1669712</v>
      </c>
      <c r="G67" s="1">
        <v>163451</v>
      </c>
      <c r="H67" s="1">
        <v>1833163</v>
      </c>
      <c r="I67" s="1">
        <v>0</v>
      </c>
      <c r="J67" s="1">
        <v>1943394</v>
      </c>
      <c r="K67" s="1">
        <v>1943394</v>
      </c>
    </row>
    <row r="68" spans="1:11" x14ac:dyDescent="0.25">
      <c r="A68" s="8" t="s">
        <v>321</v>
      </c>
      <c r="B68" s="1">
        <v>0</v>
      </c>
      <c r="C68" s="1">
        <v>0</v>
      </c>
      <c r="D68" s="1">
        <v>0</v>
      </c>
      <c r="E68" s="1">
        <v>0</v>
      </c>
      <c r="F68" s="1">
        <v>8668898</v>
      </c>
      <c r="G68" s="1">
        <v>8958367</v>
      </c>
      <c r="H68" s="1">
        <v>17627265</v>
      </c>
      <c r="I68" s="1">
        <v>0</v>
      </c>
      <c r="J68" s="1">
        <v>8338104</v>
      </c>
      <c r="K68" s="1">
        <v>8338104</v>
      </c>
    </row>
    <row r="69" spans="1:11" x14ac:dyDescent="0.25">
      <c r="A69" s="8" t="s">
        <v>322</v>
      </c>
      <c r="B69" s="1">
        <v>0</v>
      </c>
      <c r="C69" s="1">
        <v>0</v>
      </c>
      <c r="D69" s="1">
        <v>0</v>
      </c>
      <c r="E69" s="1">
        <v>0</v>
      </c>
      <c r="F69" s="1">
        <v>11913058</v>
      </c>
      <c r="G69" s="1">
        <v>822747</v>
      </c>
      <c r="H69" s="1">
        <v>12735805</v>
      </c>
      <c r="I69" s="1">
        <v>0</v>
      </c>
      <c r="J69" s="1">
        <v>889852</v>
      </c>
      <c r="K69" s="1">
        <v>889852</v>
      </c>
    </row>
    <row r="70" spans="1:11" x14ac:dyDescent="0.25">
      <c r="A70" s="8" t="s">
        <v>323</v>
      </c>
      <c r="B70" s="1">
        <v>0</v>
      </c>
      <c r="C70" s="1">
        <v>0</v>
      </c>
      <c r="D70" s="1">
        <v>0</v>
      </c>
      <c r="E70" s="1">
        <v>0</v>
      </c>
      <c r="F70" s="1">
        <v>12196243</v>
      </c>
      <c r="G70" s="1">
        <v>13487824</v>
      </c>
      <c r="H70" s="1">
        <v>25684067</v>
      </c>
      <c r="I70" s="1">
        <v>0</v>
      </c>
      <c r="J70" s="1">
        <v>16012460</v>
      </c>
      <c r="K70" s="1">
        <v>16012460</v>
      </c>
    </row>
    <row r="71" spans="1:11" x14ac:dyDescent="0.25">
      <c r="A71" s="8" t="s">
        <v>324</v>
      </c>
      <c r="B71" s="1">
        <v>0</v>
      </c>
      <c r="C71" s="1">
        <v>0</v>
      </c>
      <c r="D71" s="1">
        <v>0</v>
      </c>
      <c r="E71" s="1">
        <v>0</v>
      </c>
      <c r="F71" s="1">
        <v>141440</v>
      </c>
      <c r="G71" s="1">
        <v>57250</v>
      </c>
      <c r="H71" s="1">
        <v>198690</v>
      </c>
      <c r="I71" s="1">
        <v>0</v>
      </c>
      <c r="J71" s="1">
        <v>201780</v>
      </c>
      <c r="K71" s="1">
        <v>201780</v>
      </c>
    </row>
    <row r="72" spans="1:11" x14ac:dyDescent="0.25">
      <c r="A72" s="8" t="s">
        <v>325</v>
      </c>
      <c r="B72" s="1">
        <v>174512</v>
      </c>
      <c r="C72" s="1">
        <v>0</v>
      </c>
      <c r="D72" s="1">
        <v>174512</v>
      </c>
      <c r="E72" s="1">
        <v>0</v>
      </c>
      <c r="F72" s="1">
        <v>13795632</v>
      </c>
      <c r="G72" s="1">
        <v>10154137</v>
      </c>
      <c r="H72" s="1">
        <v>23949769</v>
      </c>
      <c r="I72" s="1">
        <v>0</v>
      </c>
      <c r="J72" s="1">
        <v>15802452</v>
      </c>
      <c r="K72" s="1">
        <v>15802452</v>
      </c>
    </row>
    <row r="73" spans="1:11" x14ac:dyDescent="0.25">
      <c r="A73" s="7" t="s">
        <v>172</v>
      </c>
      <c r="B73" s="1">
        <v>0</v>
      </c>
      <c r="C73" s="1">
        <v>0</v>
      </c>
      <c r="D73" s="1">
        <v>0</v>
      </c>
      <c r="E73" s="1">
        <v>0</v>
      </c>
      <c r="F73" s="1">
        <v>4652427</v>
      </c>
      <c r="G73" s="1">
        <v>149622</v>
      </c>
      <c r="H73" s="1">
        <v>4802049</v>
      </c>
      <c r="I73" s="1"/>
      <c r="J73" s="1"/>
      <c r="K73" s="1"/>
    </row>
    <row r="74" spans="1:11" x14ac:dyDescent="0.25">
      <c r="A74" s="8" t="s">
        <v>1067</v>
      </c>
      <c r="B74" s="1">
        <v>0</v>
      </c>
      <c r="C74" s="1">
        <v>0</v>
      </c>
      <c r="D74" s="1">
        <v>0</v>
      </c>
      <c r="E74" s="1">
        <v>0</v>
      </c>
      <c r="F74" s="1">
        <v>0</v>
      </c>
      <c r="G74" s="1">
        <v>0</v>
      </c>
      <c r="H74" s="1">
        <v>0</v>
      </c>
      <c r="I74" s="1"/>
      <c r="J74" s="1"/>
      <c r="K74" s="1"/>
    </row>
    <row r="75" spans="1:11" x14ac:dyDescent="0.25">
      <c r="A75" s="8" t="s">
        <v>1068</v>
      </c>
      <c r="B75" s="1">
        <v>0</v>
      </c>
      <c r="C75" s="1">
        <v>0</v>
      </c>
      <c r="D75" s="1">
        <v>0</v>
      </c>
      <c r="E75" s="1">
        <v>0</v>
      </c>
      <c r="F75" s="1">
        <v>70027</v>
      </c>
      <c r="G75" s="1">
        <v>92265</v>
      </c>
      <c r="H75" s="1">
        <v>162292</v>
      </c>
      <c r="I75" s="1"/>
      <c r="J75" s="1"/>
      <c r="K75" s="1"/>
    </row>
    <row r="76" spans="1:11" x14ac:dyDescent="0.25">
      <c r="A76" s="8" t="s">
        <v>1069</v>
      </c>
      <c r="B76" s="1">
        <v>0</v>
      </c>
      <c r="C76" s="1">
        <v>0</v>
      </c>
      <c r="D76" s="1">
        <v>0</v>
      </c>
      <c r="E76" s="1">
        <v>0</v>
      </c>
      <c r="F76" s="1">
        <v>4517397</v>
      </c>
      <c r="G76" s="1">
        <v>681</v>
      </c>
      <c r="H76" s="1">
        <v>4518078</v>
      </c>
      <c r="I76" s="1"/>
      <c r="J76" s="1"/>
      <c r="K76" s="1"/>
    </row>
    <row r="77" spans="1:11" x14ac:dyDescent="0.25">
      <c r="A77" s="8" t="s">
        <v>1070</v>
      </c>
      <c r="B77" s="1">
        <v>0</v>
      </c>
      <c r="C77" s="1">
        <v>0</v>
      </c>
      <c r="D77" s="1">
        <v>0</v>
      </c>
      <c r="E77" s="1">
        <v>0</v>
      </c>
      <c r="F77" s="1">
        <v>0</v>
      </c>
      <c r="G77" s="1">
        <v>0</v>
      </c>
      <c r="H77" s="1">
        <v>0</v>
      </c>
      <c r="I77" s="1"/>
      <c r="J77" s="1"/>
      <c r="K77" s="1"/>
    </row>
    <row r="78" spans="1:11" x14ac:dyDescent="0.25">
      <c r="A78" s="8" t="s">
        <v>1071</v>
      </c>
      <c r="B78" s="1">
        <v>0</v>
      </c>
      <c r="C78" s="1">
        <v>0</v>
      </c>
      <c r="D78" s="1">
        <v>0</v>
      </c>
      <c r="E78" s="1">
        <v>0</v>
      </c>
      <c r="F78" s="1">
        <v>65003</v>
      </c>
      <c r="G78" s="1">
        <v>56676</v>
      </c>
      <c r="H78" s="1">
        <v>121679</v>
      </c>
      <c r="I78" s="1"/>
      <c r="J78" s="1"/>
      <c r="K78" s="1"/>
    </row>
    <row r="79" spans="1:11" x14ac:dyDescent="0.25">
      <c r="A79" s="7" t="s">
        <v>138</v>
      </c>
      <c r="B79" s="1">
        <v>174512</v>
      </c>
      <c r="C79" s="1">
        <v>0</v>
      </c>
      <c r="D79" s="1">
        <v>174512</v>
      </c>
      <c r="E79" s="1">
        <v>0</v>
      </c>
      <c r="F79" s="1">
        <v>632379298</v>
      </c>
      <c r="G79" s="1">
        <v>632872443</v>
      </c>
      <c r="H79" s="1">
        <v>1265251741</v>
      </c>
      <c r="I79" s="1">
        <v>0</v>
      </c>
      <c r="J79" s="1">
        <v>707604014</v>
      </c>
      <c r="K79" s="1">
        <v>707604014</v>
      </c>
    </row>
  </sheetData>
  <pageMargins left="0.7" right="0.7" top="0.75" bottom="0.75" header="0.3" footer="0.3"/>
  <pageSetup paperSize="9" scale="77" fitToHeight="0" orientation="landscape"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C000"/>
  </sheetPr>
  <dimension ref="A1:E16"/>
  <sheetViews>
    <sheetView showGridLines="0" workbookViewId="0">
      <selection activeCell="N27" sqref="N27"/>
    </sheetView>
  </sheetViews>
  <sheetFormatPr defaultRowHeight="15" x14ac:dyDescent="0.25"/>
  <cols>
    <col min="1" max="1" width="41.5703125" customWidth="1"/>
    <col min="2" max="2" width="10.85546875" customWidth="1"/>
    <col min="3" max="4" width="15.140625" bestFit="1" customWidth="1"/>
    <col min="5" max="5" width="11" style="15" bestFit="1" customWidth="1"/>
    <col min="6" max="10" width="11" bestFit="1" customWidth="1"/>
  </cols>
  <sheetData>
    <row r="1" spans="1:5" x14ac:dyDescent="0.25">
      <c r="A1" s="211" t="s">
        <v>154</v>
      </c>
      <c r="B1" s="211" t="s">
        <v>1184</v>
      </c>
      <c r="C1" s="211"/>
    </row>
    <row r="2" spans="1:5" x14ac:dyDescent="0.25">
      <c r="A2" s="211" t="s">
        <v>155</v>
      </c>
      <c r="B2" s="12">
        <f>'8. Izv. za paricni tekovi'!N13*-1</f>
        <v>139306600</v>
      </c>
      <c r="C2" s="172">
        <f>B2/$B$4</f>
        <v>0.30956983973148688</v>
      </c>
    </row>
    <row r="3" spans="1:5" x14ac:dyDescent="0.25">
      <c r="A3" s="211" t="s">
        <v>156</v>
      </c>
      <c r="B3" s="12">
        <f>'4.Specificirani rashodi'!F68-'4.Specificirani rashodi'!F42</f>
        <v>310693956</v>
      </c>
      <c r="C3" s="172">
        <f>B3/$B$4</f>
        <v>0.69043016026851312</v>
      </c>
    </row>
    <row r="4" spans="1:5" x14ac:dyDescent="0.25">
      <c r="A4" s="211"/>
      <c r="B4" s="11">
        <f>SUM(B2:B3)</f>
        <v>450000556</v>
      </c>
      <c r="C4" s="292">
        <f>SUM(C2:C3)</f>
        <v>1</v>
      </c>
    </row>
    <row r="7" spans="1:5" x14ac:dyDescent="0.25">
      <c r="A7" s="211"/>
      <c r="B7" s="296" t="str" vm="11">
        <f>CUBEMEMBER("ThisWorkbookDataModel","[Calendar].[Година].&amp;[2020]")</f>
        <v>2020</v>
      </c>
      <c r="C7" s="296" t="str" vm="142">
        <f>CUBEMEMBER("ThisWorkbookDataModel","[Calendar].[Година].&amp;[2021]")</f>
        <v>2021</v>
      </c>
      <c r="D7" s="296" t="str" vm="250">
        <f>CUBEMEMBER("ThisWorkbookDataModel","[Calendar].[Година].&amp;[2022]")</f>
        <v>2022</v>
      </c>
    </row>
    <row r="8" spans="1:5" ht="30" x14ac:dyDescent="0.25">
      <c r="A8" s="297" t="str" vm="10">
        <f>CUBEMEMBER("ThisWorkbookDataModel","[Measures].[Sum of Износ]")</f>
        <v>Sum of Износ</v>
      </c>
      <c r="B8" s="298" t="str" vm="3">
        <f>CUBEMEMBER("ThisWorkbookDataModel",{"[Calendar].[Година].&amp;[2017]","[fActualAndBudget].[ReportType].&amp;[Остварено]"})</f>
        <v>Остварено</v>
      </c>
      <c r="C8" s="298" t="str" vm="4">
        <f>CUBEMEMBER("ThisWorkbookDataModel",{"[Calendar].[Година].&amp;[2018]","[fActualAndBudget].[ReportType].&amp;[Предвидување]"})</f>
        <v>Предвидување</v>
      </c>
      <c r="D8" s="298" t="str" vm="2">
        <f>CUBEMEMBER("ThisWorkbookDataModel",{"[Calendar].[Година].&amp;[2019]","[fActualAndBudget].[ReportType].&amp;[План]"})</f>
        <v>План</v>
      </c>
    </row>
    <row r="9" spans="1:5" x14ac:dyDescent="0.25">
      <c r="A9" s="299" t="s">
        <v>170</v>
      </c>
      <c r="B9" s="11">
        <f>'2. Bilans Na Uspeh'!C82+'2. Bilans Na Uspeh'!C106</f>
        <v>319895500</v>
      </c>
      <c r="C9" s="11">
        <f>'2. Bilans Na Uspeh'!D82+'2. Bilans Na Uspeh'!D106</f>
        <v>360382124</v>
      </c>
      <c r="D9" s="11">
        <f>'2. Bilans Na Uspeh'!F82+'2. Bilans Na Uspeh'!F106</f>
        <v>366479045</v>
      </c>
      <c r="E9" s="15">
        <f t="shared" ref="E9:E10" si="0">D9/C9-1</f>
        <v>1.6917934031600357E-2</v>
      </c>
    </row>
    <row r="10" spans="1:5" x14ac:dyDescent="0.25">
      <c r="A10" s="299" t="s">
        <v>307</v>
      </c>
      <c r="B10" s="11">
        <f>SUM('2. Bilans Na Uspeh'!C104,'2. Bilans Na Uspeh'!C109)</f>
        <v>312976943</v>
      </c>
      <c r="C10" s="11">
        <f>SUM('2. Bilans Na Uspeh'!D104,'2. Bilans Na Uspeh'!D109)</f>
        <v>317736583</v>
      </c>
      <c r="D10" s="11">
        <f>SUM('2. Bilans Na Uspeh'!F104,'2. Bilans Na Uspeh'!F109)</f>
        <v>364923586</v>
      </c>
      <c r="E10" s="15">
        <f t="shared" si="0"/>
        <v>0.14850982079076491</v>
      </c>
    </row>
    <row r="11" spans="1:5" x14ac:dyDescent="0.25">
      <c r="A11" s="211" t="s">
        <v>157</v>
      </c>
      <c r="B11" s="259">
        <f>SUM('2. Bilans Na Uspeh'!C104,'2. Bilans Na Uspeh'!C109,-'2. Bilans Na Uspeh'!C90)</f>
        <v>278331555</v>
      </c>
      <c r="C11" s="259">
        <f>SUM('2. Bilans Na Uspeh'!D104,'2. Bilans Na Uspeh'!D109,-'2. Bilans Na Uspeh'!D90)</f>
        <v>276308199</v>
      </c>
      <c r="D11" s="259">
        <f>SUM('2. Bilans Na Uspeh'!F104,'2. Bilans Na Uspeh'!F109,-'2. Bilans Na Uspeh'!F90)</f>
        <v>310693956</v>
      </c>
      <c r="E11" s="15">
        <f>D11/C11-1</f>
        <v>0.12444711059768454</v>
      </c>
    </row>
    <row r="12" spans="1:5" x14ac:dyDescent="0.25">
      <c r="A12" s="211" t="s">
        <v>158</v>
      </c>
      <c r="B12" s="12">
        <f>B9-B11</f>
        <v>41563945</v>
      </c>
      <c r="C12" s="12">
        <f>C9-C11</f>
        <v>84073925</v>
      </c>
      <c r="D12" s="12">
        <f>D9-D11</f>
        <v>55785089</v>
      </c>
      <c r="E12" s="15">
        <f t="shared" ref="E12:E16" si="1">D12/C12-1</f>
        <v>-0.33647573846469048</v>
      </c>
    </row>
    <row r="13" spans="1:5" x14ac:dyDescent="0.25">
      <c r="A13" s="300" t="s">
        <v>196</v>
      </c>
      <c r="B13" s="11" vm="349">
        <f>'2. Bilans Na Uspeh'!C90</f>
        <v>34645388</v>
      </c>
      <c r="C13" s="11" vm="333">
        <f>'2. Bilans Na Uspeh'!D90</f>
        <v>41428384</v>
      </c>
      <c r="D13" s="11" vm="323">
        <f>'2. Bilans Na Uspeh'!F90</f>
        <v>54229630</v>
      </c>
      <c r="E13" s="15">
        <f t="shared" si="1"/>
        <v>0.30899699104845602</v>
      </c>
    </row>
    <row r="14" spans="1:5" x14ac:dyDescent="0.25">
      <c r="A14" s="211" t="s">
        <v>159</v>
      </c>
      <c r="B14" s="12">
        <f>B12-B13</f>
        <v>6918557</v>
      </c>
      <c r="C14" s="12">
        <f>C12-C13</f>
        <v>42645541</v>
      </c>
      <c r="D14" s="12">
        <f>D12-D13</f>
        <v>1555459</v>
      </c>
      <c r="E14" s="15">
        <f t="shared" si="1"/>
        <v>-0.96352587014900337</v>
      </c>
    </row>
    <row r="15" spans="1:5" x14ac:dyDescent="0.25">
      <c r="A15" s="211" t="s">
        <v>160</v>
      </c>
      <c r="B15" s="172">
        <f>B12/B9</f>
        <v>0.12992975831169867</v>
      </c>
      <c r="C15" s="172">
        <f>C12/C9</f>
        <v>0.23329105247184792</v>
      </c>
      <c r="D15" s="172">
        <f>D12/D9</f>
        <v>0.15221904160986885</v>
      </c>
      <c r="E15" s="15">
        <f t="shared" si="1"/>
        <v>-0.34751444602343817</v>
      </c>
    </row>
    <row r="16" spans="1:5" x14ac:dyDescent="0.25">
      <c r="A16" s="211" t="s">
        <v>161</v>
      </c>
      <c r="B16" s="172">
        <f>B14/B9</f>
        <v>2.1627553372898338E-2</v>
      </c>
      <c r="C16" s="172">
        <f>C14/C9</f>
        <v>0.11833422958570498</v>
      </c>
      <c r="D16" s="172">
        <f>D14/D9</f>
        <v>4.2443327148486759E-3</v>
      </c>
      <c r="E16" s="15">
        <f t="shared" si="1"/>
        <v>-0.96413267125067414</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FFC000"/>
    <pageSetUpPr fitToPage="1"/>
  </sheetPr>
  <dimension ref="A4:I35"/>
  <sheetViews>
    <sheetView topLeftCell="A13" zoomScale="130" zoomScaleNormal="130" workbookViewId="0">
      <selection activeCell="A28" sqref="A28"/>
    </sheetView>
  </sheetViews>
  <sheetFormatPr defaultRowHeight="15" x14ac:dyDescent="0.25"/>
  <cols>
    <col min="1" max="1" width="50.140625" customWidth="1"/>
    <col min="2" max="2" width="28.7109375" bestFit="1" customWidth="1"/>
    <col min="3" max="3" width="13.42578125" customWidth="1"/>
    <col min="4" max="4" width="17.28515625" customWidth="1"/>
    <col min="5" max="5" width="14.7109375" customWidth="1"/>
    <col min="6" max="6" width="12.7109375" customWidth="1"/>
    <col min="7" max="7" width="16.28515625" bestFit="1" customWidth="1"/>
    <col min="8" max="8" width="10.140625" hidden="1" customWidth="1"/>
    <col min="9"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4" spans="1:9" ht="13.9" customHeight="1" x14ac:dyDescent="0.25"/>
    <row r="11" spans="1:9" x14ac:dyDescent="0.25">
      <c r="A11" s="4" t="s">
        <v>244</v>
      </c>
      <c r="B11" t="s" vm="13">
        <v>245</v>
      </c>
    </row>
    <row r="13" spans="1:9" x14ac:dyDescent="0.25">
      <c r="A13" s="4" t="s">
        <v>136</v>
      </c>
      <c r="B13" s="4" t="s">
        <v>137</v>
      </c>
    </row>
    <row r="14" spans="1:9" x14ac:dyDescent="0.25">
      <c r="B14">
        <v>2019</v>
      </c>
      <c r="E14">
        <v>2020</v>
      </c>
      <c r="H14">
        <v>2021</v>
      </c>
    </row>
    <row r="15" spans="1:9" x14ac:dyDescent="0.25">
      <c r="A15" s="4" t="s">
        <v>242</v>
      </c>
      <c r="B15" t="s">
        <v>248</v>
      </c>
      <c r="C15" t="s">
        <v>239</v>
      </c>
      <c r="D15" t="s">
        <v>303</v>
      </c>
      <c r="E15" t="s">
        <v>248</v>
      </c>
      <c r="F15" t="s">
        <v>239</v>
      </c>
      <c r="G15" t="s">
        <v>303</v>
      </c>
      <c r="H15" t="s">
        <v>248</v>
      </c>
      <c r="I15" t="s">
        <v>239</v>
      </c>
    </row>
    <row r="16" spans="1:9" x14ac:dyDescent="0.25">
      <c r="A16" s="7" t="s">
        <v>241</v>
      </c>
      <c r="B16" s="1"/>
      <c r="C16" s="1"/>
      <c r="D16" s="1"/>
      <c r="E16" s="1"/>
      <c r="F16" s="1"/>
      <c r="G16" s="1"/>
      <c r="H16" s="1"/>
      <c r="I16" s="1"/>
    </row>
    <row r="17" spans="1:9" x14ac:dyDescent="0.25">
      <c r="A17" s="8" t="s">
        <v>309</v>
      </c>
      <c r="B17" s="1">
        <v>0</v>
      </c>
      <c r="C17" s="1">
        <v>0</v>
      </c>
      <c r="D17" s="1">
        <v>1648075</v>
      </c>
      <c r="E17" s="1">
        <v>0</v>
      </c>
      <c r="F17" s="1">
        <v>2966088</v>
      </c>
      <c r="G17" s="1">
        <v>4299624</v>
      </c>
      <c r="H17" s="1">
        <v>2254739</v>
      </c>
      <c r="I17" s="1">
        <v>3045468</v>
      </c>
    </row>
    <row r="18" spans="1:9" x14ac:dyDescent="0.25">
      <c r="A18" s="8" t="s">
        <v>310</v>
      </c>
      <c r="B18" s="1">
        <v>0</v>
      </c>
      <c r="C18" s="1">
        <v>0</v>
      </c>
      <c r="D18" s="1">
        <v>27290932</v>
      </c>
      <c r="E18" s="1">
        <v>0</v>
      </c>
      <c r="F18" s="1">
        <v>38970368</v>
      </c>
      <c r="G18" s="1">
        <v>34645388</v>
      </c>
      <c r="H18" s="1">
        <v>41428384</v>
      </c>
      <c r="I18" s="1">
        <v>36719996</v>
      </c>
    </row>
    <row r="19" spans="1:9" x14ac:dyDescent="0.25">
      <c r="A19" s="8" t="s">
        <v>308</v>
      </c>
      <c r="B19" s="1">
        <v>0</v>
      </c>
      <c r="C19" s="1">
        <v>0</v>
      </c>
      <c r="D19" s="1">
        <v>210850023</v>
      </c>
      <c r="E19" s="1">
        <v>0</v>
      </c>
      <c r="F19" s="1">
        <v>252209220</v>
      </c>
      <c r="G19" s="1">
        <v>230846283</v>
      </c>
      <c r="H19" s="1">
        <v>230245237</v>
      </c>
      <c r="I19" s="1">
        <v>234171147</v>
      </c>
    </row>
    <row r="20" spans="1:9" x14ac:dyDescent="0.25">
      <c r="A20" s="8" t="s">
        <v>311</v>
      </c>
      <c r="B20" s="1">
        <v>0</v>
      </c>
      <c r="C20" s="1">
        <v>0</v>
      </c>
      <c r="D20" s="1">
        <v>1420728</v>
      </c>
      <c r="E20" s="1">
        <v>0</v>
      </c>
      <c r="F20" s="1">
        <v>2455812</v>
      </c>
      <c r="G20" s="1">
        <v>406088</v>
      </c>
      <c r="H20" s="1">
        <v>101180</v>
      </c>
      <c r="I20" s="1">
        <v>1176600</v>
      </c>
    </row>
    <row r="21" spans="1:9" x14ac:dyDescent="0.25">
      <c r="A21" s="8" t="s">
        <v>312</v>
      </c>
      <c r="B21" s="1">
        <v>0</v>
      </c>
      <c r="C21" s="1">
        <v>0</v>
      </c>
      <c r="D21" s="1">
        <v>376819</v>
      </c>
      <c r="E21" s="1">
        <v>0</v>
      </c>
      <c r="F21" s="1">
        <v>1004180</v>
      </c>
      <c r="G21" s="1">
        <v>696289</v>
      </c>
      <c r="H21" s="1">
        <v>487058</v>
      </c>
      <c r="I21" s="1">
        <v>609285</v>
      </c>
    </row>
    <row r="22" spans="1:9" x14ac:dyDescent="0.25">
      <c r="A22" s="8" t="s">
        <v>313</v>
      </c>
      <c r="B22" s="1">
        <v>0</v>
      </c>
      <c r="C22" s="1">
        <v>0</v>
      </c>
      <c r="D22" s="1">
        <v>366769</v>
      </c>
      <c r="E22" s="1">
        <v>0</v>
      </c>
      <c r="F22" s="1">
        <v>1372896</v>
      </c>
      <c r="G22" s="1">
        <v>110198</v>
      </c>
      <c r="H22" s="1">
        <v>143505</v>
      </c>
      <c r="I22" s="1">
        <v>1000002</v>
      </c>
    </row>
    <row r="23" spans="1:9" x14ac:dyDescent="0.25">
      <c r="A23" s="8" t="s">
        <v>314</v>
      </c>
      <c r="B23" s="1">
        <v>0</v>
      </c>
      <c r="C23" s="1">
        <v>0</v>
      </c>
      <c r="D23" s="1">
        <v>866594</v>
      </c>
      <c r="E23" s="1">
        <v>0</v>
      </c>
      <c r="F23" s="1">
        <v>970085</v>
      </c>
      <c r="G23" s="1">
        <v>908211</v>
      </c>
      <c r="H23" s="1">
        <v>921566</v>
      </c>
      <c r="I23" s="1">
        <v>1172920</v>
      </c>
    </row>
    <row r="24" spans="1:9" x14ac:dyDescent="0.25">
      <c r="A24" s="8" t="s">
        <v>315</v>
      </c>
      <c r="B24" s="1">
        <v>0</v>
      </c>
      <c r="C24" s="1">
        <v>0</v>
      </c>
      <c r="D24" s="1">
        <v>279494</v>
      </c>
      <c r="E24" s="1">
        <v>0</v>
      </c>
      <c r="F24" s="1">
        <v>300012</v>
      </c>
      <c r="G24" s="1">
        <v>261083</v>
      </c>
      <c r="H24" s="1">
        <v>280875</v>
      </c>
      <c r="I24" s="1">
        <v>300015</v>
      </c>
    </row>
    <row r="25" spans="1:9" x14ac:dyDescent="0.25">
      <c r="A25" s="8" t="s">
        <v>316</v>
      </c>
      <c r="B25" s="1">
        <v>0</v>
      </c>
      <c r="C25" s="1">
        <v>0</v>
      </c>
      <c r="D25" s="1">
        <v>819000</v>
      </c>
      <c r="E25" s="1">
        <v>0</v>
      </c>
      <c r="F25" s="1"/>
      <c r="G25" s="1">
        <v>0</v>
      </c>
      <c r="H25" s="1">
        <v>944973</v>
      </c>
      <c r="I25" s="1">
        <v>1711000</v>
      </c>
    </row>
    <row r="26" spans="1:9" x14ac:dyDescent="0.25">
      <c r="A26" s="8" t="s">
        <v>317</v>
      </c>
      <c r="B26" s="1">
        <v>0</v>
      </c>
      <c r="C26" s="1">
        <v>0</v>
      </c>
      <c r="D26" s="1">
        <v>2230912</v>
      </c>
      <c r="E26" s="1">
        <v>0</v>
      </c>
      <c r="F26" s="1">
        <v>3517164</v>
      </c>
      <c r="G26" s="1">
        <v>2679804</v>
      </c>
      <c r="H26" s="1">
        <v>2231760</v>
      </c>
      <c r="I26" s="1">
        <v>2856456</v>
      </c>
    </row>
    <row r="27" spans="1:9" x14ac:dyDescent="0.25">
      <c r="A27" s="8" t="s">
        <v>318</v>
      </c>
      <c r="B27" s="1">
        <v>0</v>
      </c>
      <c r="C27" s="1">
        <v>0</v>
      </c>
      <c r="D27" s="1">
        <v>5055476</v>
      </c>
      <c r="E27" s="1">
        <v>0</v>
      </c>
      <c r="F27" s="1">
        <v>5420052</v>
      </c>
      <c r="G27" s="1">
        <v>4320465</v>
      </c>
      <c r="H27" s="1">
        <v>3741815</v>
      </c>
      <c r="I27" s="1">
        <v>5265084</v>
      </c>
    </row>
    <row r="28" spans="1:9" x14ac:dyDescent="0.25">
      <c r="A28" s="8" t="s">
        <v>319</v>
      </c>
      <c r="B28" s="1">
        <v>0</v>
      </c>
      <c r="C28" s="1">
        <v>0</v>
      </c>
      <c r="D28" s="1">
        <v>88727</v>
      </c>
      <c r="E28" s="1">
        <v>0</v>
      </c>
      <c r="F28" s="1">
        <v>122952</v>
      </c>
      <c r="G28" s="1">
        <v>10112</v>
      </c>
      <c r="H28" s="1">
        <v>7281</v>
      </c>
      <c r="I28" s="1">
        <v>24996</v>
      </c>
    </row>
    <row r="29" spans="1:9" x14ac:dyDescent="0.25">
      <c r="A29" s="8" t="s">
        <v>320</v>
      </c>
      <c r="B29" s="1">
        <v>0</v>
      </c>
      <c r="C29" s="1">
        <v>0</v>
      </c>
      <c r="D29" s="1">
        <v>1669712</v>
      </c>
      <c r="E29" s="1">
        <v>0</v>
      </c>
      <c r="F29" s="1">
        <v>1943394</v>
      </c>
      <c r="G29" s="1">
        <v>163451</v>
      </c>
      <c r="H29" s="1">
        <v>308605</v>
      </c>
      <c r="I29" s="1">
        <v>847248</v>
      </c>
    </row>
    <row r="30" spans="1:9" x14ac:dyDescent="0.25">
      <c r="A30" s="8" t="s">
        <v>321</v>
      </c>
      <c r="B30" s="1">
        <v>0</v>
      </c>
      <c r="C30" s="1">
        <v>0</v>
      </c>
      <c r="D30" s="1">
        <v>8668898</v>
      </c>
      <c r="E30" s="1">
        <v>0</v>
      </c>
      <c r="F30" s="1">
        <v>8338104</v>
      </c>
      <c r="G30" s="1">
        <v>8958367</v>
      </c>
      <c r="H30" s="1">
        <v>10162536</v>
      </c>
      <c r="I30" s="1">
        <v>9796252</v>
      </c>
    </row>
    <row r="31" spans="1:9" x14ac:dyDescent="0.25">
      <c r="A31" s="8" t="s">
        <v>322</v>
      </c>
      <c r="B31" s="1">
        <v>0</v>
      </c>
      <c r="C31" s="1">
        <v>0</v>
      </c>
      <c r="D31" s="1">
        <v>11913058</v>
      </c>
      <c r="E31" s="1">
        <v>0</v>
      </c>
      <c r="F31" s="1">
        <v>889852</v>
      </c>
      <c r="G31" s="1">
        <v>822747</v>
      </c>
      <c r="H31" s="1">
        <v>781442</v>
      </c>
      <c r="I31" s="1">
        <v>810912</v>
      </c>
    </row>
    <row r="32" spans="1:9" x14ac:dyDescent="0.25">
      <c r="A32" s="8" t="s">
        <v>323</v>
      </c>
      <c r="B32" s="1">
        <v>0</v>
      </c>
      <c r="C32" s="1">
        <v>0</v>
      </c>
      <c r="D32" s="1">
        <v>12196243</v>
      </c>
      <c r="E32" s="1">
        <v>0</v>
      </c>
      <c r="F32" s="1">
        <v>16012460</v>
      </c>
      <c r="G32" s="1">
        <v>13487824</v>
      </c>
      <c r="H32" s="1">
        <v>13250229</v>
      </c>
      <c r="I32" s="1">
        <v>13850952</v>
      </c>
    </row>
    <row r="33" spans="1:9" x14ac:dyDescent="0.25">
      <c r="A33" s="8" t="s">
        <v>324</v>
      </c>
      <c r="B33" s="1">
        <v>0</v>
      </c>
      <c r="C33" s="1">
        <v>0</v>
      </c>
      <c r="D33" s="1">
        <v>141440</v>
      </c>
      <c r="E33" s="1">
        <v>0</v>
      </c>
      <c r="F33" s="1">
        <v>201780</v>
      </c>
      <c r="G33" s="1">
        <v>57250</v>
      </c>
      <c r="H33" s="1">
        <v>0</v>
      </c>
      <c r="I33" s="1">
        <v>60180</v>
      </c>
    </row>
    <row r="34" spans="1:9" x14ac:dyDescent="0.25">
      <c r="A34" s="8" t="s">
        <v>325</v>
      </c>
      <c r="B34" s="1">
        <v>174512</v>
      </c>
      <c r="C34" s="1">
        <v>0</v>
      </c>
      <c r="D34" s="1">
        <v>13795632</v>
      </c>
      <c r="E34" s="1">
        <v>0</v>
      </c>
      <c r="F34" s="1">
        <v>15802452</v>
      </c>
      <c r="G34" s="1">
        <v>10154137</v>
      </c>
      <c r="H34" s="1">
        <v>7768506</v>
      </c>
      <c r="I34" s="1">
        <v>14133404</v>
      </c>
    </row>
    <row r="35" spans="1:9" x14ac:dyDescent="0.25">
      <c r="A35" s="7" t="s">
        <v>138</v>
      </c>
      <c r="B35" s="1">
        <v>174512</v>
      </c>
      <c r="C35" s="1">
        <v>0</v>
      </c>
      <c r="D35" s="1">
        <v>299678532</v>
      </c>
      <c r="E35" s="1">
        <v>0</v>
      </c>
      <c r="F35" s="1">
        <v>352496871</v>
      </c>
      <c r="G35" s="1">
        <v>312827321</v>
      </c>
      <c r="H35" s="1">
        <v>315059691</v>
      </c>
      <c r="I35" s="1">
        <v>327551917</v>
      </c>
    </row>
  </sheetData>
  <pageMargins left="0.7" right="0.7" top="0.75" bottom="0.75" header="0.3" footer="0.3"/>
  <pageSetup scale="99" fitToHeight="0" orientation="landscape" r:id="rId2"/>
  <colBreaks count="1" manualBreakCount="1">
    <brk id="8" max="1048575" man="1"/>
  </colBreaks>
  <drawing r:id="rId3"/>
  <extLs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C688"/>
  <sheetViews>
    <sheetView zoomScale="85" zoomScaleNormal="85" workbookViewId="0">
      <selection activeCell="C20" sqref="C20"/>
    </sheetView>
  </sheetViews>
  <sheetFormatPr defaultRowHeight="15" x14ac:dyDescent="0.25"/>
  <cols>
    <col min="1" max="1" width="36" style="2" customWidth="1"/>
    <col min="2" max="2" width="15.42578125" customWidth="1"/>
    <col min="3" max="3" width="13.42578125" customWidth="1"/>
    <col min="4" max="4" width="12" bestFit="1" customWidth="1"/>
    <col min="5" max="5" width="14.7109375" customWidth="1"/>
    <col min="6" max="6" width="12.7109375" customWidth="1"/>
    <col min="7" max="7" width="11.5703125" bestFit="1" customWidth="1"/>
    <col min="8" max="13" width="10.85546875" bestFit="1" customWidth="1"/>
    <col min="14" max="14" width="13.710937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 spans="1:3" x14ac:dyDescent="0.25">
      <c r="A1"/>
    </row>
    <row r="2" spans="1:3" x14ac:dyDescent="0.25">
      <c r="A2" s="4" t="s">
        <v>152</v>
      </c>
      <c r="B2" t="s" vm="12">
        <v>239</v>
      </c>
    </row>
    <row r="4" spans="1:3" x14ac:dyDescent="0.25">
      <c r="A4" s="4" t="s">
        <v>136</v>
      </c>
      <c r="B4" s="4" t="s">
        <v>137</v>
      </c>
    </row>
    <row r="5" spans="1:3" x14ac:dyDescent="0.25">
      <c r="A5" s="4" t="s">
        <v>242</v>
      </c>
      <c r="B5">
        <v>2022</v>
      </c>
      <c r="C5" t="s">
        <v>138</v>
      </c>
    </row>
    <row r="6" spans="1:3" x14ac:dyDescent="0.25">
      <c r="A6" s="7" t="s">
        <v>382</v>
      </c>
      <c r="B6" s="1">
        <v>361061273</v>
      </c>
      <c r="C6" s="1">
        <v>361061273</v>
      </c>
    </row>
    <row r="7" spans="1:3" x14ac:dyDescent="0.25">
      <c r="A7" s="8" t="s">
        <v>805</v>
      </c>
      <c r="B7" s="1">
        <v>1300000</v>
      </c>
      <c r="C7" s="1">
        <v>1300000</v>
      </c>
    </row>
    <row r="8" spans="1:3" x14ac:dyDescent="0.25">
      <c r="A8" s="192" t="s">
        <v>758</v>
      </c>
      <c r="B8" s="1">
        <v>1300000</v>
      </c>
      <c r="C8" s="1">
        <v>1300000</v>
      </c>
    </row>
    <row r="9" spans="1:3" x14ac:dyDescent="0.25">
      <c r="A9" s="8" t="s">
        <v>806</v>
      </c>
      <c r="B9" s="1">
        <v>169998</v>
      </c>
      <c r="C9" s="1">
        <v>169998</v>
      </c>
    </row>
    <row r="10" spans="1:3" x14ac:dyDescent="0.25">
      <c r="A10" s="192" t="s">
        <v>758</v>
      </c>
      <c r="B10" s="1">
        <v>169998</v>
      </c>
      <c r="C10" s="1">
        <v>169998</v>
      </c>
    </row>
    <row r="11" spans="1:3" x14ac:dyDescent="0.25">
      <c r="A11" s="8" t="s">
        <v>807</v>
      </c>
      <c r="B11" s="1">
        <v>730001</v>
      </c>
      <c r="C11" s="1">
        <v>730001</v>
      </c>
    </row>
    <row r="12" spans="1:3" x14ac:dyDescent="0.25">
      <c r="A12" s="192" t="s">
        <v>758</v>
      </c>
      <c r="B12" s="1">
        <v>730001</v>
      </c>
      <c r="C12" s="1">
        <v>730001</v>
      </c>
    </row>
    <row r="13" spans="1:3" x14ac:dyDescent="0.25">
      <c r="A13" s="8" t="s">
        <v>808</v>
      </c>
      <c r="B13" s="1">
        <v>99996</v>
      </c>
      <c r="C13" s="1">
        <v>99996</v>
      </c>
    </row>
    <row r="14" spans="1:3" x14ac:dyDescent="0.25">
      <c r="A14" s="192" t="s">
        <v>758</v>
      </c>
      <c r="B14" s="1">
        <v>99996</v>
      </c>
      <c r="C14" s="1">
        <v>99996</v>
      </c>
    </row>
    <row r="15" spans="1:3" x14ac:dyDescent="0.25">
      <c r="A15" s="8" t="s">
        <v>809</v>
      </c>
      <c r="B15" s="1">
        <v>50004</v>
      </c>
      <c r="C15" s="1">
        <v>50004</v>
      </c>
    </row>
    <row r="16" spans="1:3" x14ac:dyDescent="0.25">
      <c r="A16" s="192" t="s">
        <v>758</v>
      </c>
      <c r="B16" s="1">
        <v>50004</v>
      </c>
      <c r="C16" s="1">
        <v>50004</v>
      </c>
    </row>
    <row r="17" spans="1:3" x14ac:dyDescent="0.25">
      <c r="A17" s="8" t="s">
        <v>810</v>
      </c>
      <c r="B17" s="1">
        <v>7199999</v>
      </c>
      <c r="C17" s="1">
        <v>7199999</v>
      </c>
    </row>
    <row r="18" spans="1:3" x14ac:dyDescent="0.25">
      <c r="A18" s="192" t="s">
        <v>758</v>
      </c>
      <c r="B18" s="1">
        <v>7199999</v>
      </c>
      <c r="C18" s="1">
        <v>7199999</v>
      </c>
    </row>
    <row r="19" spans="1:3" x14ac:dyDescent="0.25">
      <c r="A19" s="8" t="s">
        <v>811</v>
      </c>
      <c r="B19" s="1">
        <v>147000000</v>
      </c>
      <c r="C19" s="1">
        <v>147000000</v>
      </c>
    </row>
    <row r="20" spans="1:3" x14ac:dyDescent="0.25">
      <c r="A20" s="192" t="s">
        <v>758</v>
      </c>
      <c r="B20" s="1">
        <v>147000000</v>
      </c>
      <c r="C20" s="1">
        <v>147000000</v>
      </c>
    </row>
    <row r="21" spans="1:3" x14ac:dyDescent="0.25">
      <c r="A21" s="8" t="s">
        <v>812</v>
      </c>
      <c r="B21" s="1">
        <v>13000000</v>
      </c>
      <c r="C21" s="1">
        <v>13000000</v>
      </c>
    </row>
    <row r="22" spans="1:3" x14ac:dyDescent="0.25">
      <c r="A22" s="192" t="s">
        <v>758</v>
      </c>
      <c r="B22" s="1">
        <v>13000000</v>
      </c>
      <c r="C22" s="1">
        <v>13000000</v>
      </c>
    </row>
    <row r="23" spans="1:3" x14ac:dyDescent="0.25">
      <c r="A23" s="8" t="s">
        <v>813</v>
      </c>
      <c r="B23" s="1">
        <v>99996</v>
      </c>
      <c r="C23" s="1">
        <v>99996</v>
      </c>
    </row>
    <row r="24" spans="1:3" x14ac:dyDescent="0.25">
      <c r="A24" s="192" t="s">
        <v>758</v>
      </c>
      <c r="B24" s="1">
        <v>99996</v>
      </c>
      <c r="C24" s="1">
        <v>99996</v>
      </c>
    </row>
    <row r="25" spans="1:3" x14ac:dyDescent="0.25">
      <c r="A25" s="8" t="s">
        <v>814</v>
      </c>
      <c r="B25" s="1">
        <v>6600000</v>
      </c>
      <c r="C25" s="1">
        <v>6600000</v>
      </c>
    </row>
    <row r="26" spans="1:3" x14ac:dyDescent="0.25">
      <c r="A26" s="192" t="s">
        <v>758</v>
      </c>
      <c r="B26" s="1">
        <v>6600000</v>
      </c>
      <c r="C26" s="1">
        <v>6600000</v>
      </c>
    </row>
    <row r="27" spans="1:3" x14ac:dyDescent="0.25">
      <c r="A27" s="8" t="s">
        <v>815</v>
      </c>
      <c r="B27" s="1">
        <v>61600001</v>
      </c>
      <c r="C27" s="1">
        <v>61600001</v>
      </c>
    </row>
    <row r="28" spans="1:3" x14ac:dyDescent="0.25">
      <c r="A28" s="192" t="s">
        <v>758</v>
      </c>
      <c r="B28" s="1">
        <v>61600001</v>
      </c>
      <c r="C28" s="1">
        <v>61600001</v>
      </c>
    </row>
    <row r="29" spans="1:3" x14ac:dyDescent="0.25">
      <c r="A29" s="8" t="s">
        <v>816</v>
      </c>
      <c r="B29" s="1">
        <v>7100000</v>
      </c>
      <c r="C29" s="1">
        <v>7100000</v>
      </c>
    </row>
    <row r="30" spans="1:3" x14ac:dyDescent="0.25">
      <c r="A30" s="192" t="s">
        <v>758</v>
      </c>
      <c r="B30" s="1">
        <v>7100000</v>
      </c>
      <c r="C30" s="1">
        <v>7100000</v>
      </c>
    </row>
    <row r="31" spans="1:3" x14ac:dyDescent="0.25">
      <c r="A31" s="8" t="s">
        <v>817</v>
      </c>
      <c r="B31" s="1">
        <v>13500001</v>
      </c>
      <c r="C31" s="1">
        <v>13500001</v>
      </c>
    </row>
    <row r="32" spans="1:3" x14ac:dyDescent="0.25">
      <c r="A32" s="192" t="s">
        <v>758</v>
      </c>
      <c r="B32" s="1">
        <v>13500001</v>
      </c>
      <c r="C32" s="1">
        <v>13500001</v>
      </c>
    </row>
    <row r="33" spans="1:3" x14ac:dyDescent="0.25">
      <c r="A33" s="8" t="s">
        <v>818</v>
      </c>
      <c r="B33" s="1">
        <v>30946106</v>
      </c>
      <c r="C33" s="1">
        <v>30946106</v>
      </c>
    </row>
    <row r="34" spans="1:3" x14ac:dyDescent="0.25">
      <c r="A34" s="192" t="s">
        <v>758</v>
      </c>
      <c r="B34" s="1">
        <v>30946106</v>
      </c>
      <c r="C34" s="1">
        <v>30946106</v>
      </c>
    </row>
    <row r="35" spans="1:3" x14ac:dyDescent="0.25">
      <c r="A35" s="8" t="s">
        <v>819</v>
      </c>
      <c r="B35" s="1">
        <v>28470000</v>
      </c>
      <c r="C35" s="1">
        <v>28470000</v>
      </c>
    </row>
    <row r="36" spans="1:3" x14ac:dyDescent="0.25">
      <c r="A36" s="192" t="s">
        <v>758</v>
      </c>
      <c r="B36" s="1">
        <v>28470000</v>
      </c>
      <c r="C36" s="1">
        <v>28470000</v>
      </c>
    </row>
    <row r="37" spans="1:3" x14ac:dyDescent="0.25">
      <c r="A37" s="8" t="s">
        <v>820</v>
      </c>
      <c r="B37" s="1">
        <v>30000</v>
      </c>
      <c r="C37" s="1">
        <v>30000</v>
      </c>
    </row>
    <row r="38" spans="1:3" x14ac:dyDescent="0.25">
      <c r="A38" s="192" t="s">
        <v>758</v>
      </c>
      <c r="B38" s="1">
        <v>30000</v>
      </c>
      <c r="C38" s="1">
        <v>30000</v>
      </c>
    </row>
    <row r="39" spans="1:3" x14ac:dyDescent="0.25">
      <c r="A39" s="8" t="s">
        <v>821</v>
      </c>
      <c r="B39" s="1">
        <v>599998</v>
      </c>
      <c r="C39" s="1">
        <v>599998</v>
      </c>
    </row>
    <row r="40" spans="1:3" x14ac:dyDescent="0.25">
      <c r="A40" s="192" t="s">
        <v>758</v>
      </c>
      <c r="B40" s="1">
        <v>599998</v>
      </c>
      <c r="C40" s="1">
        <v>599998</v>
      </c>
    </row>
    <row r="41" spans="1:3" x14ac:dyDescent="0.25">
      <c r="A41" s="8" t="s">
        <v>822</v>
      </c>
      <c r="B41" s="1">
        <v>849999</v>
      </c>
      <c r="C41" s="1">
        <v>849999</v>
      </c>
    </row>
    <row r="42" spans="1:3" x14ac:dyDescent="0.25">
      <c r="A42" s="192" t="s">
        <v>758</v>
      </c>
      <c r="B42" s="1">
        <v>849999</v>
      </c>
      <c r="C42" s="1">
        <v>849999</v>
      </c>
    </row>
    <row r="43" spans="1:3" x14ac:dyDescent="0.25">
      <c r="A43" s="8" t="s">
        <v>823</v>
      </c>
      <c r="B43" s="1">
        <v>50004</v>
      </c>
      <c r="C43" s="1">
        <v>50004</v>
      </c>
    </row>
    <row r="44" spans="1:3" x14ac:dyDescent="0.25">
      <c r="A44" s="192" t="s">
        <v>758</v>
      </c>
      <c r="B44" s="1">
        <v>50004</v>
      </c>
      <c r="C44" s="1">
        <v>50004</v>
      </c>
    </row>
    <row r="45" spans="1:3" x14ac:dyDescent="0.25">
      <c r="A45" s="8" t="s">
        <v>824</v>
      </c>
      <c r="B45" s="1">
        <v>200004</v>
      </c>
      <c r="C45" s="1">
        <v>200004</v>
      </c>
    </row>
    <row r="46" spans="1:3" x14ac:dyDescent="0.25">
      <c r="A46" s="192" t="s">
        <v>758</v>
      </c>
      <c r="B46" s="1">
        <v>200004</v>
      </c>
      <c r="C46" s="1">
        <v>200004</v>
      </c>
    </row>
    <row r="47" spans="1:3" x14ac:dyDescent="0.25">
      <c r="A47" s="8" t="s">
        <v>825</v>
      </c>
      <c r="B47" s="1">
        <v>9996</v>
      </c>
      <c r="C47" s="1">
        <v>9996</v>
      </c>
    </row>
    <row r="48" spans="1:3" x14ac:dyDescent="0.25">
      <c r="A48" s="192" t="s">
        <v>758</v>
      </c>
      <c r="B48" s="1">
        <v>9996</v>
      </c>
      <c r="C48" s="1">
        <v>9996</v>
      </c>
    </row>
    <row r="49" spans="1:3" x14ac:dyDescent="0.25">
      <c r="A49" s="8" t="s">
        <v>826</v>
      </c>
      <c r="B49" s="1">
        <v>150000</v>
      </c>
      <c r="C49" s="1">
        <v>150000</v>
      </c>
    </row>
    <row r="50" spans="1:3" x14ac:dyDescent="0.25">
      <c r="A50" s="192" t="s">
        <v>758</v>
      </c>
      <c r="B50" s="1">
        <v>150000</v>
      </c>
      <c r="C50" s="1">
        <v>150000</v>
      </c>
    </row>
    <row r="51" spans="1:3" x14ac:dyDescent="0.25">
      <c r="A51" s="8" t="s">
        <v>827</v>
      </c>
      <c r="B51" s="1">
        <v>9996</v>
      </c>
      <c r="C51" s="1">
        <v>9996</v>
      </c>
    </row>
    <row r="52" spans="1:3" x14ac:dyDescent="0.25">
      <c r="A52" s="192" t="s">
        <v>758</v>
      </c>
      <c r="B52" s="1">
        <v>9996</v>
      </c>
      <c r="C52" s="1">
        <v>9996</v>
      </c>
    </row>
    <row r="53" spans="1:3" x14ac:dyDescent="0.25">
      <c r="A53" s="8" t="s">
        <v>828</v>
      </c>
      <c r="B53" s="1">
        <v>50004</v>
      </c>
      <c r="C53" s="1">
        <v>50004</v>
      </c>
    </row>
    <row r="54" spans="1:3" x14ac:dyDescent="0.25">
      <c r="A54" s="192" t="s">
        <v>758</v>
      </c>
      <c r="B54" s="1">
        <v>50004</v>
      </c>
      <c r="C54" s="1">
        <v>50004</v>
      </c>
    </row>
    <row r="55" spans="1:3" x14ac:dyDescent="0.25">
      <c r="A55" s="8" t="s">
        <v>829</v>
      </c>
      <c r="B55" s="1">
        <v>0</v>
      </c>
      <c r="C55" s="1">
        <v>0</v>
      </c>
    </row>
    <row r="56" spans="1:3" x14ac:dyDescent="0.25">
      <c r="A56" s="192" t="s">
        <v>758</v>
      </c>
      <c r="B56" s="1">
        <v>0</v>
      </c>
      <c r="C56" s="1">
        <v>0</v>
      </c>
    </row>
    <row r="57" spans="1:3" x14ac:dyDescent="0.25">
      <c r="A57" s="8" t="s">
        <v>988</v>
      </c>
      <c r="B57" s="1">
        <v>7160284</v>
      </c>
      <c r="C57" s="1">
        <v>7160284</v>
      </c>
    </row>
    <row r="58" spans="1:3" x14ac:dyDescent="0.25">
      <c r="A58" s="192" t="s">
        <v>758</v>
      </c>
      <c r="B58" s="1">
        <v>7160284</v>
      </c>
      <c r="C58" s="1">
        <v>7160284</v>
      </c>
    </row>
    <row r="59" spans="1:3" x14ac:dyDescent="0.25">
      <c r="A59" s="8" t="s">
        <v>989</v>
      </c>
      <c r="B59" s="1">
        <v>3193832</v>
      </c>
      <c r="C59" s="1">
        <v>3193832</v>
      </c>
    </row>
    <row r="60" spans="1:3" x14ac:dyDescent="0.25">
      <c r="A60" s="192" t="s">
        <v>758</v>
      </c>
      <c r="B60" s="1">
        <v>3193832</v>
      </c>
      <c r="C60" s="1">
        <v>3193832</v>
      </c>
    </row>
    <row r="61" spans="1:3" x14ac:dyDescent="0.25">
      <c r="A61" s="8" t="s">
        <v>990</v>
      </c>
      <c r="B61" s="1">
        <v>1293828</v>
      </c>
      <c r="C61" s="1">
        <v>1293828</v>
      </c>
    </row>
    <row r="62" spans="1:3" x14ac:dyDescent="0.25">
      <c r="A62" s="192" t="s">
        <v>758</v>
      </c>
      <c r="B62" s="1">
        <v>1293828</v>
      </c>
      <c r="C62" s="1">
        <v>1293828</v>
      </c>
    </row>
    <row r="63" spans="1:3" x14ac:dyDescent="0.25">
      <c r="A63" s="8" t="s">
        <v>830</v>
      </c>
      <c r="B63" s="1">
        <v>5004</v>
      </c>
      <c r="C63" s="1">
        <v>5004</v>
      </c>
    </row>
    <row r="64" spans="1:3" x14ac:dyDescent="0.25">
      <c r="A64" s="192" t="s">
        <v>758</v>
      </c>
      <c r="B64" s="1">
        <v>5004</v>
      </c>
      <c r="C64" s="1">
        <v>5004</v>
      </c>
    </row>
    <row r="65" spans="1:3" x14ac:dyDescent="0.25">
      <c r="A65" s="8" t="s">
        <v>831</v>
      </c>
      <c r="B65" s="1">
        <v>6999996</v>
      </c>
      <c r="C65" s="1">
        <v>6999996</v>
      </c>
    </row>
    <row r="66" spans="1:3" x14ac:dyDescent="0.25">
      <c r="A66" s="192" t="s">
        <v>758</v>
      </c>
      <c r="B66" s="1">
        <v>6999996</v>
      </c>
      <c r="C66" s="1">
        <v>6999996</v>
      </c>
    </row>
    <row r="67" spans="1:3" x14ac:dyDescent="0.25">
      <c r="A67" s="8" t="s">
        <v>832</v>
      </c>
      <c r="B67" s="1">
        <v>999996</v>
      </c>
      <c r="C67" s="1">
        <v>999996</v>
      </c>
    </row>
    <row r="68" spans="1:3" x14ac:dyDescent="0.25">
      <c r="A68" s="192" t="s">
        <v>758</v>
      </c>
      <c r="B68" s="1">
        <v>999996</v>
      </c>
      <c r="C68" s="1">
        <v>999996</v>
      </c>
    </row>
    <row r="69" spans="1:3" x14ac:dyDescent="0.25">
      <c r="A69" s="8" t="s">
        <v>991</v>
      </c>
      <c r="B69" s="1">
        <v>411111</v>
      </c>
      <c r="C69" s="1">
        <v>411111</v>
      </c>
    </row>
    <row r="70" spans="1:3" x14ac:dyDescent="0.25">
      <c r="A70" s="192" t="s">
        <v>758</v>
      </c>
      <c r="B70" s="1">
        <v>411111</v>
      </c>
      <c r="C70" s="1">
        <v>411111</v>
      </c>
    </row>
    <row r="71" spans="1:3" x14ac:dyDescent="0.25">
      <c r="A71" s="8" t="s">
        <v>833</v>
      </c>
      <c r="B71" s="1">
        <v>500004</v>
      </c>
      <c r="C71" s="1">
        <v>500004</v>
      </c>
    </row>
    <row r="72" spans="1:3" x14ac:dyDescent="0.25">
      <c r="A72" s="192" t="s">
        <v>758</v>
      </c>
      <c r="B72" s="1">
        <v>500004</v>
      </c>
      <c r="C72" s="1">
        <v>500004</v>
      </c>
    </row>
    <row r="73" spans="1:3" x14ac:dyDescent="0.25">
      <c r="A73" s="8" t="s">
        <v>834</v>
      </c>
      <c r="B73" s="1">
        <v>500004</v>
      </c>
      <c r="C73" s="1">
        <v>500004</v>
      </c>
    </row>
    <row r="74" spans="1:3" x14ac:dyDescent="0.25">
      <c r="A74" s="192" t="s">
        <v>758</v>
      </c>
      <c r="B74" s="1">
        <v>500004</v>
      </c>
      <c r="C74" s="1">
        <v>500004</v>
      </c>
    </row>
    <row r="75" spans="1:3" x14ac:dyDescent="0.25">
      <c r="A75" s="8" t="s">
        <v>992</v>
      </c>
      <c r="B75" s="1">
        <v>121107</v>
      </c>
      <c r="C75" s="1">
        <v>121107</v>
      </c>
    </row>
    <row r="76" spans="1:3" x14ac:dyDescent="0.25">
      <c r="A76" s="192" t="s">
        <v>758</v>
      </c>
      <c r="B76" s="1">
        <v>121107</v>
      </c>
      <c r="C76" s="1">
        <v>121107</v>
      </c>
    </row>
    <row r="77" spans="1:3" x14ac:dyDescent="0.25">
      <c r="A77" s="8" t="s">
        <v>835</v>
      </c>
      <c r="B77" s="1">
        <v>20000004</v>
      </c>
      <c r="C77" s="1">
        <v>20000004</v>
      </c>
    </row>
    <row r="78" spans="1:3" x14ac:dyDescent="0.25">
      <c r="A78" s="192" t="s">
        <v>758</v>
      </c>
      <c r="B78" s="1">
        <v>20000004</v>
      </c>
      <c r="C78" s="1">
        <v>20000004</v>
      </c>
    </row>
    <row r="79" spans="1:3" x14ac:dyDescent="0.25">
      <c r="A79" s="8" t="s">
        <v>836</v>
      </c>
      <c r="B79" s="1">
        <v>60000</v>
      </c>
      <c r="C79" s="1">
        <v>60000</v>
      </c>
    </row>
    <row r="80" spans="1:3" x14ac:dyDescent="0.25">
      <c r="A80" s="192" t="s">
        <v>758</v>
      </c>
      <c r="B80" s="1">
        <v>60000</v>
      </c>
      <c r="C80" s="1">
        <v>60000</v>
      </c>
    </row>
    <row r="81" spans="1:3" x14ac:dyDescent="0.25">
      <c r="A81" s="7" t="s">
        <v>383</v>
      </c>
      <c r="B81" s="1">
        <v>5405772</v>
      </c>
      <c r="C81" s="1">
        <v>5405772</v>
      </c>
    </row>
    <row r="82" spans="1:3" x14ac:dyDescent="0.25">
      <c r="A82" s="8" t="s">
        <v>837</v>
      </c>
      <c r="B82" s="1">
        <v>4715772</v>
      </c>
      <c r="C82" s="1">
        <v>4715772</v>
      </c>
    </row>
    <row r="83" spans="1:3" x14ac:dyDescent="0.25">
      <c r="A83" s="192" t="s">
        <v>758</v>
      </c>
      <c r="B83" s="1">
        <v>4715772</v>
      </c>
      <c r="C83" s="1">
        <v>4715772</v>
      </c>
    </row>
    <row r="84" spans="1:3" x14ac:dyDescent="0.25">
      <c r="A84" s="8" t="s">
        <v>838</v>
      </c>
      <c r="B84" s="1">
        <v>590000</v>
      </c>
      <c r="C84" s="1">
        <v>590000</v>
      </c>
    </row>
    <row r="85" spans="1:3" x14ac:dyDescent="0.25">
      <c r="A85" s="192" t="s">
        <v>758</v>
      </c>
      <c r="B85" s="1">
        <v>590000</v>
      </c>
      <c r="C85" s="1">
        <v>590000</v>
      </c>
    </row>
    <row r="86" spans="1:3" x14ac:dyDescent="0.25">
      <c r="A86" s="8" t="s">
        <v>839</v>
      </c>
      <c r="B86" s="1">
        <v>0</v>
      </c>
      <c r="C86" s="1">
        <v>0</v>
      </c>
    </row>
    <row r="87" spans="1:3" x14ac:dyDescent="0.25">
      <c r="A87" s="192" t="s">
        <v>758</v>
      </c>
      <c r="B87" s="1">
        <v>0</v>
      </c>
      <c r="C87" s="1">
        <v>0</v>
      </c>
    </row>
    <row r="88" spans="1:3" x14ac:dyDescent="0.25">
      <c r="A88" s="8" t="s">
        <v>840</v>
      </c>
      <c r="B88" s="1">
        <v>100000</v>
      </c>
      <c r="C88" s="1">
        <v>100000</v>
      </c>
    </row>
    <row r="89" spans="1:3" x14ac:dyDescent="0.25">
      <c r="A89" s="192" t="s">
        <v>758</v>
      </c>
      <c r="B89" s="1">
        <v>100000</v>
      </c>
      <c r="C89" s="1">
        <v>100000</v>
      </c>
    </row>
    <row r="90" spans="1:3" x14ac:dyDescent="0.25">
      <c r="A90" s="7" t="s">
        <v>384</v>
      </c>
      <c r="B90" s="1">
        <v>14727208</v>
      </c>
      <c r="C90" s="1">
        <v>14727208</v>
      </c>
    </row>
    <row r="91" spans="1:3" x14ac:dyDescent="0.25">
      <c r="A91" s="8" t="s">
        <v>385</v>
      </c>
      <c r="B91" s="1">
        <v>2250996</v>
      </c>
      <c r="C91" s="1">
        <v>2250996</v>
      </c>
    </row>
    <row r="92" spans="1:3" x14ac:dyDescent="0.25">
      <c r="A92" s="192" t="s">
        <v>758</v>
      </c>
      <c r="B92" s="1">
        <v>2250996</v>
      </c>
      <c r="C92" s="1">
        <v>2250996</v>
      </c>
    </row>
    <row r="93" spans="1:3" x14ac:dyDescent="0.25">
      <c r="A93" s="8" t="s">
        <v>386</v>
      </c>
      <c r="B93" s="1">
        <v>826056</v>
      </c>
      <c r="C93" s="1">
        <v>826056</v>
      </c>
    </row>
    <row r="94" spans="1:3" x14ac:dyDescent="0.25">
      <c r="A94" s="192" t="s">
        <v>758</v>
      </c>
      <c r="B94" s="1">
        <v>826056</v>
      </c>
      <c r="C94" s="1">
        <v>826056</v>
      </c>
    </row>
    <row r="95" spans="1:3" x14ac:dyDescent="0.25">
      <c r="A95" s="8" t="s">
        <v>457</v>
      </c>
      <c r="B95" s="1">
        <v>782500</v>
      </c>
      <c r="C95" s="1">
        <v>782500</v>
      </c>
    </row>
    <row r="96" spans="1:3" x14ac:dyDescent="0.25">
      <c r="A96" s="192" t="s">
        <v>758</v>
      </c>
      <c r="B96" s="1">
        <v>782500</v>
      </c>
      <c r="C96" s="1">
        <v>782500</v>
      </c>
    </row>
    <row r="97" spans="1:3" x14ac:dyDescent="0.25">
      <c r="A97" s="8" t="s">
        <v>387</v>
      </c>
      <c r="B97" s="1">
        <v>8000004</v>
      </c>
      <c r="C97" s="1">
        <v>8000004</v>
      </c>
    </row>
    <row r="98" spans="1:3" x14ac:dyDescent="0.25">
      <c r="A98" s="192" t="s">
        <v>758</v>
      </c>
      <c r="B98" s="1">
        <v>8000004</v>
      </c>
      <c r="C98" s="1">
        <v>8000004</v>
      </c>
    </row>
    <row r="99" spans="1:3" x14ac:dyDescent="0.25">
      <c r="A99" s="8" t="s">
        <v>388</v>
      </c>
      <c r="B99" s="1">
        <v>1115100</v>
      </c>
      <c r="C99" s="1">
        <v>1115100</v>
      </c>
    </row>
    <row r="100" spans="1:3" x14ac:dyDescent="0.25">
      <c r="A100" s="192" t="s">
        <v>758</v>
      </c>
      <c r="B100" s="1">
        <v>1115100</v>
      </c>
      <c r="C100" s="1">
        <v>1115100</v>
      </c>
    </row>
    <row r="101" spans="1:3" x14ac:dyDescent="0.25">
      <c r="A101" s="8" t="s">
        <v>458</v>
      </c>
      <c r="B101" s="1">
        <v>48000</v>
      </c>
      <c r="C101" s="1">
        <v>48000</v>
      </c>
    </row>
    <row r="102" spans="1:3" x14ac:dyDescent="0.25">
      <c r="A102" s="192" t="s">
        <v>758</v>
      </c>
      <c r="B102" s="1">
        <v>48000</v>
      </c>
      <c r="C102" s="1">
        <v>48000</v>
      </c>
    </row>
    <row r="103" spans="1:3" x14ac:dyDescent="0.25">
      <c r="A103" s="8" t="s">
        <v>459</v>
      </c>
      <c r="B103" s="1">
        <v>48000</v>
      </c>
      <c r="C103" s="1">
        <v>48000</v>
      </c>
    </row>
    <row r="104" spans="1:3" x14ac:dyDescent="0.25">
      <c r="A104" s="192" t="s">
        <v>758</v>
      </c>
      <c r="B104" s="1">
        <v>48000</v>
      </c>
      <c r="C104" s="1">
        <v>48000</v>
      </c>
    </row>
    <row r="105" spans="1:3" x14ac:dyDescent="0.25">
      <c r="A105" s="8" t="s">
        <v>460</v>
      </c>
      <c r="B105" s="1">
        <v>48000</v>
      </c>
      <c r="C105" s="1">
        <v>48000</v>
      </c>
    </row>
    <row r="106" spans="1:3" x14ac:dyDescent="0.25">
      <c r="A106" s="192" t="s">
        <v>758</v>
      </c>
      <c r="B106" s="1">
        <v>48000</v>
      </c>
      <c r="C106" s="1">
        <v>48000</v>
      </c>
    </row>
    <row r="107" spans="1:3" x14ac:dyDescent="0.25">
      <c r="A107" s="8" t="s">
        <v>461</v>
      </c>
      <c r="B107" s="1">
        <v>48000</v>
      </c>
      <c r="C107" s="1">
        <v>48000</v>
      </c>
    </row>
    <row r="108" spans="1:3" x14ac:dyDescent="0.25">
      <c r="A108" s="192" t="s">
        <v>758</v>
      </c>
      <c r="B108" s="1">
        <v>48000</v>
      </c>
      <c r="C108" s="1">
        <v>48000</v>
      </c>
    </row>
    <row r="109" spans="1:3" x14ac:dyDescent="0.25">
      <c r="A109" s="8" t="s">
        <v>462</v>
      </c>
      <c r="B109" s="1">
        <v>48000</v>
      </c>
      <c r="C109" s="1">
        <v>48000</v>
      </c>
    </row>
    <row r="110" spans="1:3" x14ac:dyDescent="0.25">
      <c r="A110" s="192" t="s">
        <v>758</v>
      </c>
      <c r="B110" s="1">
        <v>48000</v>
      </c>
      <c r="C110" s="1">
        <v>48000</v>
      </c>
    </row>
    <row r="111" spans="1:3" x14ac:dyDescent="0.25">
      <c r="A111" s="8" t="s">
        <v>463</v>
      </c>
      <c r="B111" s="1">
        <v>48000</v>
      </c>
      <c r="C111" s="1">
        <v>48000</v>
      </c>
    </row>
    <row r="112" spans="1:3" x14ac:dyDescent="0.25">
      <c r="A112" s="192" t="s">
        <v>758</v>
      </c>
      <c r="B112" s="1">
        <v>48000</v>
      </c>
      <c r="C112" s="1">
        <v>48000</v>
      </c>
    </row>
    <row r="113" spans="1:3" x14ac:dyDescent="0.25">
      <c r="A113" s="8" t="s">
        <v>464</v>
      </c>
      <c r="B113" s="1">
        <v>48000</v>
      </c>
      <c r="C113" s="1">
        <v>48000</v>
      </c>
    </row>
    <row r="114" spans="1:3" x14ac:dyDescent="0.25">
      <c r="A114" s="192" t="s">
        <v>758</v>
      </c>
      <c r="B114" s="1">
        <v>48000</v>
      </c>
      <c r="C114" s="1">
        <v>48000</v>
      </c>
    </row>
    <row r="115" spans="1:3" x14ac:dyDescent="0.25">
      <c r="A115" s="8" t="s">
        <v>465</v>
      </c>
      <c r="B115" s="1">
        <v>48000</v>
      </c>
      <c r="C115" s="1">
        <v>48000</v>
      </c>
    </row>
    <row r="116" spans="1:3" x14ac:dyDescent="0.25">
      <c r="A116" s="192" t="s">
        <v>758</v>
      </c>
      <c r="B116" s="1">
        <v>48000</v>
      </c>
      <c r="C116" s="1">
        <v>48000</v>
      </c>
    </row>
    <row r="117" spans="1:3" x14ac:dyDescent="0.25">
      <c r="A117" s="8" t="s">
        <v>466</v>
      </c>
      <c r="B117" s="1">
        <v>48000</v>
      </c>
      <c r="C117" s="1">
        <v>48000</v>
      </c>
    </row>
    <row r="118" spans="1:3" x14ac:dyDescent="0.25">
      <c r="A118" s="192" t="s">
        <v>758</v>
      </c>
      <c r="B118" s="1">
        <v>48000</v>
      </c>
      <c r="C118" s="1">
        <v>48000</v>
      </c>
    </row>
    <row r="119" spans="1:3" x14ac:dyDescent="0.25">
      <c r="A119" s="8" t="s">
        <v>467</v>
      </c>
      <c r="B119" s="1">
        <v>48000</v>
      </c>
      <c r="C119" s="1">
        <v>48000</v>
      </c>
    </row>
    <row r="120" spans="1:3" x14ac:dyDescent="0.25">
      <c r="A120" s="192" t="s">
        <v>758</v>
      </c>
      <c r="B120" s="1">
        <v>48000</v>
      </c>
      <c r="C120" s="1">
        <v>48000</v>
      </c>
    </row>
    <row r="121" spans="1:3" x14ac:dyDescent="0.25">
      <c r="A121" s="8" t="s">
        <v>468</v>
      </c>
      <c r="B121" s="1">
        <v>48000</v>
      </c>
      <c r="C121" s="1">
        <v>48000</v>
      </c>
    </row>
    <row r="122" spans="1:3" x14ac:dyDescent="0.25">
      <c r="A122" s="192" t="s">
        <v>758</v>
      </c>
      <c r="B122" s="1">
        <v>48000</v>
      </c>
      <c r="C122" s="1">
        <v>48000</v>
      </c>
    </row>
    <row r="123" spans="1:3" x14ac:dyDescent="0.25">
      <c r="A123" s="8" t="s">
        <v>469</v>
      </c>
      <c r="B123" s="1">
        <v>48000</v>
      </c>
      <c r="C123" s="1">
        <v>48000</v>
      </c>
    </row>
    <row r="124" spans="1:3" x14ac:dyDescent="0.25">
      <c r="A124" s="192" t="s">
        <v>758</v>
      </c>
      <c r="B124" s="1">
        <v>48000</v>
      </c>
      <c r="C124" s="1">
        <v>48000</v>
      </c>
    </row>
    <row r="125" spans="1:3" x14ac:dyDescent="0.25">
      <c r="A125" s="8" t="s">
        <v>470</v>
      </c>
      <c r="B125" s="1">
        <v>48000</v>
      </c>
      <c r="C125" s="1">
        <v>48000</v>
      </c>
    </row>
    <row r="126" spans="1:3" x14ac:dyDescent="0.25">
      <c r="A126" s="192" t="s">
        <v>758</v>
      </c>
      <c r="B126" s="1">
        <v>48000</v>
      </c>
      <c r="C126" s="1">
        <v>48000</v>
      </c>
    </row>
    <row r="127" spans="1:3" x14ac:dyDescent="0.25">
      <c r="A127" s="8" t="s">
        <v>471</v>
      </c>
      <c r="B127" s="1">
        <v>48000</v>
      </c>
      <c r="C127" s="1">
        <v>48000</v>
      </c>
    </row>
    <row r="128" spans="1:3" x14ac:dyDescent="0.25">
      <c r="A128" s="192" t="s">
        <v>758</v>
      </c>
      <c r="B128" s="1">
        <v>48000</v>
      </c>
      <c r="C128" s="1">
        <v>48000</v>
      </c>
    </row>
    <row r="129" spans="1:3" x14ac:dyDescent="0.25">
      <c r="A129" s="8" t="s">
        <v>472</v>
      </c>
      <c r="B129" s="1">
        <v>48000</v>
      </c>
      <c r="C129" s="1">
        <v>48000</v>
      </c>
    </row>
    <row r="130" spans="1:3" x14ac:dyDescent="0.25">
      <c r="A130" s="192" t="s">
        <v>758</v>
      </c>
      <c r="B130" s="1">
        <v>48000</v>
      </c>
      <c r="C130" s="1">
        <v>48000</v>
      </c>
    </row>
    <row r="131" spans="1:3" x14ac:dyDescent="0.25">
      <c r="A131" s="8" t="s">
        <v>389</v>
      </c>
      <c r="B131" s="1">
        <v>41256</v>
      </c>
      <c r="C131" s="1">
        <v>41256</v>
      </c>
    </row>
    <row r="132" spans="1:3" x14ac:dyDescent="0.25">
      <c r="A132" s="192" t="s">
        <v>758</v>
      </c>
      <c r="B132" s="1">
        <v>41256</v>
      </c>
      <c r="C132" s="1">
        <v>41256</v>
      </c>
    </row>
    <row r="133" spans="1:3" x14ac:dyDescent="0.25">
      <c r="A133" s="8" t="s">
        <v>390</v>
      </c>
      <c r="B133" s="1">
        <v>901296</v>
      </c>
      <c r="C133" s="1">
        <v>901296</v>
      </c>
    </row>
    <row r="134" spans="1:3" x14ac:dyDescent="0.25">
      <c r="A134" s="192" t="s">
        <v>758</v>
      </c>
      <c r="B134" s="1">
        <v>901296</v>
      </c>
      <c r="C134" s="1">
        <v>901296</v>
      </c>
    </row>
    <row r="135" spans="1:3" x14ac:dyDescent="0.25">
      <c r="A135" s="8" t="s">
        <v>391</v>
      </c>
      <c r="B135" s="1">
        <v>90000</v>
      </c>
      <c r="C135" s="1">
        <v>90000</v>
      </c>
    </row>
    <row r="136" spans="1:3" x14ac:dyDescent="0.25">
      <c r="A136" s="192" t="s">
        <v>758</v>
      </c>
      <c r="B136" s="1">
        <v>90000</v>
      </c>
      <c r="C136" s="1">
        <v>90000</v>
      </c>
    </row>
    <row r="137" spans="1:3" x14ac:dyDescent="0.25">
      <c r="A137" s="7" t="s">
        <v>392</v>
      </c>
      <c r="B137" s="1">
        <v>240424089</v>
      </c>
      <c r="C137" s="1">
        <v>240424089</v>
      </c>
    </row>
    <row r="138" spans="1:3" x14ac:dyDescent="0.25">
      <c r="A138" s="8" t="s">
        <v>393</v>
      </c>
      <c r="B138" s="1">
        <v>233206681</v>
      </c>
      <c r="C138" s="1">
        <v>233206681</v>
      </c>
    </row>
    <row r="139" spans="1:3" x14ac:dyDescent="0.25">
      <c r="A139" s="192" t="s">
        <v>758</v>
      </c>
      <c r="B139" s="1">
        <v>233206681</v>
      </c>
      <c r="C139" s="1">
        <v>233206681</v>
      </c>
    </row>
    <row r="140" spans="1:3" x14ac:dyDescent="0.25">
      <c r="A140" s="8" t="s">
        <v>394</v>
      </c>
      <c r="B140" s="1">
        <v>919808</v>
      </c>
      <c r="C140" s="1">
        <v>919808</v>
      </c>
    </row>
    <row r="141" spans="1:3" x14ac:dyDescent="0.25">
      <c r="A141" s="192" t="s">
        <v>758</v>
      </c>
      <c r="B141" s="1">
        <v>919808</v>
      </c>
      <c r="C141" s="1">
        <v>919808</v>
      </c>
    </row>
    <row r="142" spans="1:3" x14ac:dyDescent="0.25">
      <c r="A142" s="8" t="s">
        <v>395</v>
      </c>
      <c r="B142" s="1">
        <v>0</v>
      </c>
      <c r="C142" s="1">
        <v>0</v>
      </c>
    </row>
    <row r="143" spans="1:3" x14ac:dyDescent="0.25">
      <c r="A143" s="192" t="s">
        <v>758</v>
      </c>
      <c r="B143" s="1">
        <v>0</v>
      </c>
      <c r="C143" s="1">
        <v>0</v>
      </c>
    </row>
    <row r="144" spans="1:3" x14ac:dyDescent="0.25">
      <c r="A144" s="8" t="s">
        <v>845</v>
      </c>
      <c r="B144" s="1">
        <v>6147600</v>
      </c>
      <c r="C144" s="1">
        <v>6147600</v>
      </c>
    </row>
    <row r="145" spans="1:3" x14ac:dyDescent="0.25">
      <c r="A145" s="192" t="s">
        <v>758</v>
      </c>
      <c r="B145" s="1">
        <v>6147600</v>
      </c>
      <c r="C145" s="1">
        <v>6147600</v>
      </c>
    </row>
    <row r="146" spans="1:3" x14ac:dyDescent="0.25">
      <c r="A146" s="8" t="s">
        <v>396</v>
      </c>
      <c r="B146" s="1">
        <v>150000</v>
      </c>
      <c r="C146" s="1">
        <v>150000</v>
      </c>
    </row>
    <row r="147" spans="1:3" x14ac:dyDescent="0.25">
      <c r="A147" s="192" t="s">
        <v>758</v>
      </c>
      <c r="B147" s="1">
        <v>150000</v>
      </c>
      <c r="C147" s="1">
        <v>150000</v>
      </c>
    </row>
    <row r="148" spans="1:3" x14ac:dyDescent="0.25">
      <c r="A148" s="7" t="s">
        <v>243</v>
      </c>
      <c r="B148" s="1">
        <v>54229630</v>
      </c>
      <c r="C148" s="1">
        <v>54229630</v>
      </c>
    </row>
    <row r="149" spans="1:3" x14ac:dyDescent="0.25">
      <c r="A149" s="8" t="s">
        <v>237</v>
      </c>
      <c r="B149" s="1">
        <v>16675146</v>
      </c>
      <c r="C149" s="1">
        <v>16675146</v>
      </c>
    </row>
    <row r="150" spans="1:3" x14ac:dyDescent="0.25">
      <c r="A150" s="192" t="s">
        <v>758</v>
      </c>
      <c r="B150" s="1">
        <v>16675146</v>
      </c>
      <c r="C150" s="1">
        <v>16675146</v>
      </c>
    </row>
    <row r="151" spans="1:3" x14ac:dyDescent="0.25">
      <c r="A151" s="8" t="s">
        <v>397</v>
      </c>
      <c r="B151" s="1">
        <v>1463417</v>
      </c>
      <c r="C151" s="1">
        <v>1463417</v>
      </c>
    </row>
    <row r="152" spans="1:3" x14ac:dyDescent="0.25">
      <c r="A152" s="192" t="s">
        <v>758</v>
      </c>
      <c r="B152" s="1">
        <v>1463417</v>
      </c>
      <c r="C152" s="1">
        <v>1463417</v>
      </c>
    </row>
    <row r="153" spans="1:3" x14ac:dyDescent="0.25">
      <c r="A153" s="8" t="s">
        <v>557</v>
      </c>
      <c r="B153" s="1">
        <v>1069656</v>
      </c>
      <c r="C153" s="1">
        <v>1069656</v>
      </c>
    </row>
    <row r="154" spans="1:3" x14ac:dyDescent="0.25">
      <c r="A154" s="192" t="s">
        <v>758</v>
      </c>
      <c r="B154" s="1">
        <v>1069656</v>
      </c>
      <c r="C154" s="1">
        <v>1069656</v>
      </c>
    </row>
    <row r="155" spans="1:3" x14ac:dyDescent="0.25">
      <c r="A155" s="8" t="s">
        <v>559</v>
      </c>
      <c r="B155" s="1">
        <v>4715772</v>
      </c>
      <c r="C155" s="1">
        <v>4715772</v>
      </c>
    </row>
    <row r="156" spans="1:3" x14ac:dyDescent="0.25">
      <c r="A156" s="192" t="s">
        <v>758</v>
      </c>
      <c r="B156" s="1">
        <v>4715772</v>
      </c>
      <c r="C156" s="1">
        <v>4715772</v>
      </c>
    </row>
    <row r="157" spans="1:3" x14ac:dyDescent="0.25">
      <c r="A157" s="8" t="s">
        <v>398</v>
      </c>
      <c r="B157" s="1">
        <v>2086272</v>
      </c>
      <c r="C157" s="1">
        <v>2086272</v>
      </c>
    </row>
    <row r="158" spans="1:3" x14ac:dyDescent="0.25">
      <c r="A158" s="192" t="s">
        <v>758</v>
      </c>
      <c r="B158" s="1">
        <v>2086272</v>
      </c>
      <c r="C158" s="1">
        <v>2086272</v>
      </c>
    </row>
    <row r="159" spans="1:3" x14ac:dyDescent="0.25">
      <c r="A159" s="8" t="s">
        <v>399</v>
      </c>
      <c r="B159" s="1">
        <v>1728744</v>
      </c>
      <c r="C159" s="1">
        <v>1728744</v>
      </c>
    </row>
    <row r="160" spans="1:3" x14ac:dyDescent="0.25">
      <c r="A160" s="192" t="s">
        <v>758</v>
      </c>
      <c r="B160" s="1">
        <v>1728744</v>
      </c>
      <c r="C160" s="1">
        <v>1728744</v>
      </c>
    </row>
    <row r="161" spans="1:3" x14ac:dyDescent="0.25">
      <c r="A161" s="8" t="s">
        <v>298</v>
      </c>
      <c r="B161" s="1">
        <v>23272470</v>
      </c>
      <c r="C161" s="1">
        <v>23272470</v>
      </c>
    </row>
    <row r="162" spans="1:3" x14ac:dyDescent="0.25">
      <c r="A162" s="192" t="s">
        <v>758</v>
      </c>
      <c r="B162" s="1">
        <v>23272470</v>
      </c>
      <c r="C162" s="1">
        <v>23272470</v>
      </c>
    </row>
    <row r="163" spans="1:3" x14ac:dyDescent="0.25">
      <c r="A163" s="8" t="s">
        <v>328</v>
      </c>
      <c r="B163" s="1">
        <v>2993897</v>
      </c>
      <c r="C163" s="1">
        <v>2993897</v>
      </c>
    </row>
    <row r="164" spans="1:3" x14ac:dyDescent="0.25">
      <c r="A164" s="192" t="s">
        <v>758</v>
      </c>
      <c r="B164" s="1">
        <v>2993897</v>
      </c>
      <c r="C164" s="1">
        <v>2993897</v>
      </c>
    </row>
    <row r="165" spans="1:3" x14ac:dyDescent="0.25">
      <c r="A165" s="8" t="s">
        <v>400</v>
      </c>
      <c r="B165" s="1">
        <v>205920</v>
      </c>
      <c r="C165" s="1">
        <v>205920</v>
      </c>
    </row>
    <row r="166" spans="1:3" x14ac:dyDescent="0.25">
      <c r="A166" s="192" t="s">
        <v>758</v>
      </c>
      <c r="B166" s="1">
        <v>205920</v>
      </c>
      <c r="C166" s="1">
        <v>205920</v>
      </c>
    </row>
    <row r="167" spans="1:3" x14ac:dyDescent="0.25">
      <c r="A167" s="8" t="s">
        <v>401</v>
      </c>
      <c r="B167" s="1">
        <v>18336</v>
      </c>
      <c r="C167" s="1">
        <v>18336</v>
      </c>
    </row>
    <row r="168" spans="1:3" x14ac:dyDescent="0.25">
      <c r="A168" s="192" t="s">
        <v>758</v>
      </c>
      <c r="B168" s="1">
        <v>18336</v>
      </c>
      <c r="C168" s="1">
        <v>18336</v>
      </c>
    </row>
    <row r="169" spans="1:3" x14ac:dyDescent="0.25">
      <c r="A169" s="7" t="s">
        <v>402</v>
      </c>
      <c r="B169" s="1">
        <v>55457659</v>
      </c>
      <c r="C169" s="1">
        <v>55457659</v>
      </c>
    </row>
    <row r="170" spans="1:3" x14ac:dyDescent="0.25">
      <c r="A170" s="8" t="s">
        <v>403</v>
      </c>
      <c r="B170" s="1">
        <v>1800</v>
      </c>
      <c r="C170" s="1">
        <v>1800</v>
      </c>
    </row>
    <row r="171" spans="1:3" x14ac:dyDescent="0.25">
      <c r="A171" s="192" t="s">
        <v>758</v>
      </c>
      <c r="B171" s="1">
        <v>1800</v>
      </c>
      <c r="C171" s="1">
        <v>1800</v>
      </c>
    </row>
    <row r="172" spans="1:3" x14ac:dyDescent="0.25">
      <c r="A172" s="8" t="s">
        <v>473</v>
      </c>
      <c r="B172" s="1">
        <v>100000</v>
      </c>
      <c r="C172" s="1">
        <v>100000</v>
      </c>
    </row>
    <row r="173" spans="1:3" x14ac:dyDescent="0.25">
      <c r="A173" s="192" t="s">
        <v>758</v>
      </c>
      <c r="B173" s="1">
        <v>100000</v>
      </c>
      <c r="C173" s="1">
        <v>100000</v>
      </c>
    </row>
    <row r="174" spans="1:3" x14ac:dyDescent="0.25">
      <c r="A174" s="8" t="s">
        <v>404</v>
      </c>
      <c r="B174" s="1">
        <v>3900000</v>
      </c>
      <c r="C174" s="1">
        <v>3900000</v>
      </c>
    </row>
    <row r="175" spans="1:3" x14ac:dyDescent="0.25">
      <c r="A175" s="192" t="s">
        <v>758</v>
      </c>
      <c r="B175" s="1">
        <v>3900000</v>
      </c>
      <c r="C175" s="1">
        <v>3900000</v>
      </c>
    </row>
    <row r="176" spans="1:3" x14ac:dyDescent="0.25">
      <c r="A176" s="8" t="s">
        <v>405</v>
      </c>
      <c r="B176" s="1">
        <v>1574400</v>
      </c>
      <c r="C176" s="1">
        <v>1574400</v>
      </c>
    </row>
    <row r="177" spans="1:3" x14ac:dyDescent="0.25">
      <c r="A177" s="192" t="s">
        <v>758</v>
      </c>
      <c r="B177" s="1">
        <v>1574400</v>
      </c>
      <c r="C177" s="1">
        <v>1574400</v>
      </c>
    </row>
    <row r="178" spans="1:3" x14ac:dyDescent="0.25">
      <c r="A178" s="8" t="s">
        <v>406</v>
      </c>
      <c r="B178" s="1">
        <v>2220000</v>
      </c>
      <c r="C178" s="1">
        <v>2220000</v>
      </c>
    </row>
    <row r="179" spans="1:3" x14ac:dyDescent="0.25">
      <c r="A179" s="192" t="s">
        <v>758</v>
      </c>
      <c r="B179" s="1">
        <v>2220000</v>
      </c>
      <c r="C179" s="1">
        <v>2220000</v>
      </c>
    </row>
    <row r="180" spans="1:3" x14ac:dyDescent="0.25">
      <c r="A180" s="8" t="s">
        <v>407</v>
      </c>
      <c r="B180" s="1">
        <v>954000</v>
      </c>
      <c r="C180" s="1">
        <v>954000</v>
      </c>
    </row>
    <row r="181" spans="1:3" x14ac:dyDescent="0.25">
      <c r="A181" s="192" t="s">
        <v>758</v>
      </c>
      <c r="B181" s="1">
        <v>954000</v>
      </c>
      <c r="C181" s="1">
        <v>954000</v>
      </c>
    </row>
    <row r="182" spans="1:3" x14ac:dyDescent="0.25">
      <c r="A182" s="8" t="s">
        <v>606</v>
      </c>
      <c r="B182" s="1">
        <v>1242000</v>
      </c>
      <c r="C182" s="1">
        <v>1242000</v>
      </c>
    </row>
    <row r="183" spans="1:3" x14ac:dyDescent="0.25">
      <c r="A183" s="192" t="s">
        <v>758</v>
      </c>
      <c r="B183" s="1">
        <v>1242000</v>
      </c>
      <c r="C183" s="1">
        <v>1242000</v>
      </c>
    </row>
    <row r="184" spans="1:3" x14ac:dyDescent="0.25">
      <c r="A184" s="8" t="s">
        <v>474</v>
      </c>
      <c r="B184" s="1">
        <v>0</v>
      </c>
      <c r="C184" s="1">
        <v>0</v>
      </c>
    </row>
    <row r="185" spans="1:3" x14ac:dyDescent="0.25">
      <c r="A185" s="192" t="s">
        <v>758</v>
      </c>
      <c r="B185" s="1">
        <v>0</v>
      </c>
      <c r="C185" s="1">
        <v>0</v>
      </c>
    </row>
    <row r="186" spans="1:3" x14ac:dyDescent="0.25">
      <c r="A186" s="8" t="s">
        <v>408</v>
      </c>
      <c r="B186" s="1">
        <v>1500000</v>
      </c>
      <c r="C186" s="1">
        <v>1500000</v>
      </c>
    </row>
    <row r="187" spans="1:3" x14ac:dyDescent="0.25">
      <c r="A187" s="192" t="s">
        <v>758</v>
      </c>
      <c r="B187" s="1">
        <v>1500000</v>
      </c>
      <c r="C187" s="1">
        <v>1500000</v>
      </c>
    </row>
    <row r="188" spans="1:3" x14ac:dyDescent="0.25">
      <c r="A188" s="8" t="s">
        <v>409</v>
      </c>
      <c r="B188" s="1">
        <v>5851200</v>
      </c>
      <c r="C188" s="1">
        <v>5851200</v>
      </c>
    </row>
    <row r="189" spans="1:3" x14ac:dyDescent="0.25">
      <c r="A189" s="192" t="s">
        <v>758</v>
      </c>
      <c r="B189" s="1">
        <v>5851200</v>
      </c>
      <c r="C189" s="1">
        <v>5851200</v>
      </c>
    </row>
    <row r="190" spans="1:3" x14ac:dyDescent="0.25">
      <c r="A190" s="8" t="s">
        <v>410</v>
      </c>
      <c r="B190" s="1">
        <v>5950200</v>
      </c>
      <c r="C190" s="1">
        <v>5950200</v>
      </c>
    </row>
    <row r="191" spans="1:3" x14ac:dyDescent="0.25">
      <c r="A191" s="192" t="s">
        <v>758</v>
      </c>
      <c r="B191" s="1">
        <v>5950200</v>
      </c>
      <c r="C191" s="1">
        <v>5950200</v>
      </c>
    </row>
    <row r="192" spans="1:3" x14ac:dyDescent="0.25">
      <c r="A192" s="8" t="s">
        <v>475</v>
      </c>
      <c r="B192" s="1">
        <v>1100000</v>
      </c>
      <c r="C192" s="1">
        <v>1100000</v>
      </c>
    </row>
    <row r="193" spans="1:3" x14ac:dyDescent="0.25">
      <c r="A193" s="192" t="s">
        <v>758</v>
      </c>
      <c r="B193" s="1">
        <v>1100000</v>
      </c>
      <c r="C193" s="1">
        <v>1100000</v>
      </c>
    </row>
    <row r="194" spans="1:3" x14ac:dyDescent="0.25">
      <c r="A194" s="8" t="s">
        <v>411</v>
      </c>
      <c r="B194" s="1">
        <v>1620144</v>
      </c>
      <c r="C194" s="1">
        <v>1620144</v>
      </c>
    </row>
    <row r="195" spans="1:3" x14ac:dyDescent="0.25">
      <c r="A195" s="192" t="s">
        <v>758</v>
      </c>
      <c r="B195" s="1">
        <v>1620144</v>
      </c>
      <c r="C195" s="1">
        <v>1620144</v>
      </c>
    </row>
    <row r="196" spans="1:3" x14ac:dyDescent="0.25">
      <c r="A196" s="8" t="s">
        <v>476</v>
      </c>
      <c r="B196" s="1">
        <v>835920</v>
      </c>
      <c r="C196" s="1">
        <v>835920</v>
      </c>
    </row>
    <row r="197" spans="1:3" x14ac:dyDescent="0.25">
      <c r="A197" s="192" t="s">
        <v>758</v>
      </c>
      <c r="B197" s="1">
        <v>835920</v>
      </c>
      <c r="C197" s="1">
        <v>835920</v>
      </c>
    </row>
    <row r="198" spans="1:3" x14ac:dyDescent="0.25">
      <c r="A198" s="8" t="s">
        <v>412</v>
      </c>
      <c r="B198" s="1">
        <v>246000</v>
      </c>
      <c r="C198" s="1">
        <v>246000</v>
      </c>
    </row>
    <row r="199" spans="1:3" x14ac:dyDescent="0.25">
      <c r="A199" s="192" t="s">
        <v>758</v>
      </c>
      <c r="B199" s="1">
        <v>246000</v>
      </c>
      <c r="C199" s="1">
        <v>246000</v>
      </c>
    </row>
    <row r="200" spans="1:3" x14ac:dyDescent="0.25">
      <c r="A200" s="8" t="s">
        <v>413</v>
      </c>
      <c r="B200" s="1">
        <v>420000</v>
      </c>
      <c r="C200" s="1">
        <v>420000</v>
      </c>
    </row>
    <row r="201" spans="1:3" x14ac:dyDescent="0.25">
      <c r="A201" s="192" t="s">
        <v>758</v>
      </c>
      <c r="B201" s="1">
        <v>420000</v>
      </c>
      <c r="C201" s="1">
        <v>420000</v>
      </c>
    </row>
    <row r="202" spans="1:3" x14ac:dyDescent="0.25">
      <c r="A202" s="8" t="s">
        <v>414</v>
      </c>
      <c r="B202" s="1">
        <v>78000</v>
      </c>
      <c r="C202" s="1">
        <v>78000</v>
      </c>
    </row>
    <row r="203" spans="1:3" x14ac:dyDescent="0.25">
      <c r="A203" s="192" t="s">
        <v>758</v>
      </c>
      <c r="B203" s="1">
        <v>78000</v>
      </c>
      <c r="C203" s="1">
        <v>78000</v>
      </c>
    </row>
    <row r="204" spans="1:3" x14ac:dyDescent="0.25">
      <c r="A204" s="8" t="s">
        <v>415</v>
      </c>
      <c r="B204" s="1">
        <v>8400</v>
      </c>
      <c r="C204" s="1">
        <v>8400</v>
      </c>
    </row>
    <row r="205" spans="1:3" x14ac:dyDescent="0.25">
      <c r="A205" s="192" t="s">
        <v>758</v>
      </c>
      <c r="B205" s="1">
        <v>8400</v>
      </c>
      <c r="C205" s="1">
        <v>8400</v>
      </c>
    </row>
    <row r="206" spans="1:3" x14ac:dyDescent="0.25">
      <c r="A206" s="8" t="s">
        <v>416</v>
      </c>
      <c r="B206" s="1">
        <v>145600</v>
      </c>
      <c r="C206" s="1">
        <v>145600</v>
      </c>
    </row>
    <row r="207" spans="1:3" x14ac:dyDescent="0.25">
      <c r="A207" s="192" t="s">
        <v>758</v>
      </c>
      <c r="B207" s="1">
        <v>145600</v>
      </c>
      <c r="C207" s="1">
        <v>145600</v>
      </c>
    </row>
    <row r="208" spans="1:3" x14ac:dyDescent="0.25">
      <c r="A208" s="8" t="s">
        <v>417</v>
      </c>
      <c r="B208" s="1">
        <v>578000</v>
      </c>
      <c r="C208" s="1">
        <v>578000</v>
      </c>
    </row>
    <row r="209" spans="1:3" x14ac:dyDescent="0.25">
      <c r="A209" s="192" t="s">
        <v>758</v>
      </c>
      <c r="B209" s="1">
        <v>578000</v>
      </c>
      <c r="C209" s="1">
        <v>578000</v>
      </c>
    </row>
    <row r="210" spans="1:3" x14ac:dyDescent="0.25">
      <c r="A210" s="8" t="s">
        <v>418</v>
      </c>
      <c r="B210" s="1">
        <v>48000</v>
      </c>
      <c r="C210" s="1">
        <v>48000</v>
      </c>
    </row>
    <row r="211" spans="1:3" x14ac:dyDescent="0.25">
      <c r="A211" s="192" t="s">
        <v>758</v>
      </c>
      <c r="B211" s="1">
        <v>48000</v>
      </c>
      <c r="C211" s="1">
        <v>48000</v>
      </c>
    </row>
    <row r="212" spans="1:3" x14ac:dyDescent="0.25">
      <c r="A212" s="8" t="s">
        <v>419</v>
      </c>
      <c r="B212" s="1">
        <v>450000</v>
      </c>
      <c r="C212" s="1">
        <v>450000</v>
      </c>
    </row>
    <row r="213" spans="1:3" x14ac:dyDescent="0.25">
      <c r="A213" s="192" t="s">
        <v>758</v>
      </c>
      <c r="B213" s="1">
        <v>450000</v>
      </c>
      <c r="C213" s="1">
        <v>450000</v>
      </c>
    </row>
    <row r="214" spans="1:3" x14ac:dyDescent="0.25">
      <c r="A214" s="8" t="s">
        <v>420</v>
      </c>
      <c r="B214" s="1">
        <v>18504</v>
      </c>
      <c r="C214" s="1">
        <v>18504</v>
      </c>
    </row>
    <row r="215" spans="1:3" x14ac:dyDescent="0.25">
      <c r="A215" s="192" t="s">
        <v>758</v>
      </c>
      <c r="B215" s="1">
        <v>18504</v>
      </c>
      <c r="C215" s="1">
        <v>18504</v>
      </c>
    </row>
    <row r="216" spans="1:3" x14ac:dyDescent="0.25">
      <c r="A216" s="8" t="s">
        <v>421</v>
      </c>
      <c r="B216" s="1">
        <v>300000</v>
      </c>
      <c r="C216" s="1">
        <v>300000</v>
      </c>
    </row>
    <row r="217" spans="1:3" x14ac:dyDescent="0.25">
      <c r="A217" s="192" t="s">
        <v>758</v>
      </c>
      <c r="B217" s="1">
        <v>300000</v>
      </c>
      <c r="C217" s="1">
        <v>300000</v>
      </c>
    </row>
    <row r="218" spans="1:3" x14ac:dyDescent="0.25">
      <c r="A218" s="8" t="s">
        <v>422</v>
      </c>
      <c r="B218" s="1">
        <v>1260000</v>
      </c>
      <c r="C218" s="1">
        <v>1260000</v>
      </c>
    </row>
    <row r="219" spans="1:3" x14ac:dyDescent="0.25">
      <c r="A219" s="192" t="s">
        <v>758</v>
      </c>
      <c r="B219" s="1">
        <v>1260000</v>
      </c>
      <c r="C219" s="1">
        <v>1260000</v>
      </c>
    </row>
    <row r="220" spans="1:3" x14ac:dyDescent="0.25">
      <c r="A220" s="8" t="s">
        <v>423</v>
      </c>
      <c r="B220" s="1">
        <v>6636876</v>
      </c>
      <c r="C220" s="1">
        <v>6636876</v>
      </c>
    </row>
    <row r="221" spans="1:3" x14ac:dyDescent="0.25">
      <c r="A221" s="192" t="s">
        <v>758</v>
      </c>
      <c r="B221" s="1">
        <v>6636876</v>
      </c>
      <c r="C221" s="1">
        <v>6636876</v>
      </c>
    </row>
    <row r="222" spans="1:3" x14ac:dyDescent="0.25">
      <c r="A222" s="8" t="s">
        <v>424</v>
      </c>
      <c r="B222" s="1">
        <v>0</v>
      </c>
      <c r="C222" s="1">
        <v>0</v>
      </c>
    </row>
    <row r="223" spans="1:3" x14ac:dyDescent="0.25">
      <c r="A223" s="192" t="s">
        <v>758</v>
      </c>
      <c r="B223" s="1">
        <v>0</v>
      </c>
      <c r="C223" s="1">
        <v>0</v>
      </c>
    </row>
    <row r="224" spans="1:3" x14ac:dyDescent="0.25">
      <c r="A224" s="8" t="s">
        <v>425</v>
      </c>
      <c r="B224" s="1">
        <v>390000</v>
      </c>
      <c r="C224" s="1">
        <v>390000</v>
      </c>
    </row>
    <row r="225" spans="1:3" x14ac:dyDescent="0.25">
      <c r="A225" s="192" t="s">
        <v>758</v>
      </c>
      <c r="B225" s="1">
        <v>390000</v>
      </c>
      <c r="C225" s="1">
        <v>390000</v>
      </c>
    </row>
    <row r="226" spans="1:3" x14ac:dyDescent="0.25">
      <c r="A226" s="8" t="s">
        <v>426</v>
      </c>
      <c r="B226" s="1">
        <v>30000</v>
      </c>
      <c r="C226" s="1">
        <v>30000</v>
      </c>
    </row>
    <row r="227" spans="1:3" x14ac:dyDescent="0.25">
      <c r="A227" s="192" t="s">
        <v>758</v>
      </c>
      <c r="B227" s="1">
        <v>30000</v>
      </c>
      <c r="C227" s="1">
        <v>30000</v>
      </c>
    </row>
    <row r="228" spans="1:3" x14ac:dyDescent="0.25">
      <c r="A228" s="8" t="s">
        <v>427</v>
      </c>
      <c r="B228" s="1">
        <v>740004</v>
      </c>
      <c r="C228" s="1">
        <v>740004</v>
      </c>
    </row>
    <row r="229" spans="1:3" x14ac:dyDescent="0.25">
      <c r="A229" s="192" t="s">
        <v>758</v>
      </c>
      <c r="B229" s="1">
        <v>740004</v>
      </c>
      <c r="C229" s="1">
        <v>740004</v>
      </c>
    </row>
    <row r="230" spans="1:3" x14ac:dyDescent="0.25">
      <c r="A230" s="8" t="s">
        <v>428</v>
      </c>
      <c r="B230" s="1">
        <v>55000</v>
      </c>
      <c r="C230" s="1">
        <v>55000</v>
      </c>
    </row>
    <row r="231" spans="1:3" x14ac:dyDescent="0.25">
      <c r="A231" s="192" t="s">
        <v>758</v>
      </c>
      <c r="B231" s="1">
        <v>55000</v>
      </c>
      <c r="C231" s="1">
        <v>55000</v>
      </c>
    </row>
    <row r="232" spans="1:3" x14ac:dyDescent="0.25">
      <c r="A232" s="8" t="s">
        <v>429</v>
      </c>
      <c r="B232" s="1">
        <v>699996</v>
      </c>
      <c r="C232" s="1">
        <v>699996</v>
      </c>
    </row>
    <row r="233" spans="1:3" x14ac:dyDescent="0.25">
      <c r="A233" s="192" t="s">
        <v>758</v>
      </c>
      <c r="B233" s="1">
        <v>699996</v>
      </c>
      <c r="C233" s="1">
        <v>699996</v>
      </c>
    </row>
    <row r="234" spans="1:3" x14ac:dyDescent="0.25">
      <c r="A234" s="8" t="s">
        <v>430</v>
      </c>
      <c r="B234" s="1">
        <v>0</v>
      </c>
      <c r="C234" s="1">
        <v>0</v>
      </c>
    </row>
    <row r="235" spans="1:3" x14ac:dyDescent="0.25">
      <c r="A235" s="192" t="s">
        <v>758</v>
      </c>
      <c r="B235" s="1">
        <v>0</v>
      </c>
      <c r="C235" s="1">
        <v>0</v>
      </c>
    </row>
    <row r="236" spans="1:3" x14ac:dyDescent="0.25">
      <c r="A236" s="8" t="s">
        <v>431</v>
      </c>
      <c r="B236" s="1">
        <v>769524</v>
      </c>
      <c r="C236" s="1">
        <v>769524</v>
      </c>
    </row>
    <row r="237" spans="1:3" x14ac:dyDescent="0.25">
      <c r="A237" s="192" t="s">
        <v>758</v>
      </c>
      <c r="B237" s="1">
        <v>769524</v>
      </c>
      <c r="C237" s="1">
        <v>769524</v>
      </c>
    </row>
    <row r="238" spans="1:3" x14ac:dyDescent="0.25">
      <c r="A238" s="8" t="s">
        <v>432</v>
      </c>
      <c r="B238" s="1">
        <v>639996</v>
      </c>
      <c r="C238" s="1">
        <v>639996</v>
      </c>
    </row>
    <row r="239" spans="1:3" x14ac:dyDescent="0.25">
      <c r="A239" s="192" t="s">
        <v>758</v>
      </c>
      <c r="B239" s="1">
        <v>639996</v>
      </c>
      <c r="C239" s="1">
        <v>639996</v>
      </c>
    </row>
    <row r="240" spans="1:3" x14ac:dyDescent="0.25">
      <c r="A240" s="8" t="s">
        <v>433</v>
      </c>
      <c r="B240" s="1">
        <v>718552</v>
      </c>
      <c r="C240" s="1">
        <v>718552</v>
      </c>
    </row>
    <row r="241" spans="1:3" x14ac:dyDescent="0.25">
      <c r="A241" s="192" t="s">
        <v>758</v>
      </c>
      <c r="B241" s="1">
        <v>718552</v>
      </c>
      <c r="C241" s="1">
        <v>718552</v>
      </c>
    </row>
    <row r="242" spans="1:3" x14ac:dyDescent="0.25">
      <c r="A242" s="8" t="s">
        <v>434</v>
      </c>
      <c r="B242" s="1">
        <v>120080</v>
      </c>
      <c r="C242" s="1">
        <v>120080</v>
      </c>
    </row>
    <row r="243" spans="1:3" x14ac:dyDescent="0.25">
      <c r="A243" s="192" t="s">
        <v>758</v>
      </c>
      <c r="B243" s="1">
        <v>120080</v>
      </c>
      <c r="C243" s="1">
        <v>120080</v>
      </c>
    </row>
    <row r="244" spans="1:3" x14ac:dyDescent="0.25">
      <c r="A244" s="8" t="s">
        <v>435</v>
      </c>
      <c r="B244" s="1">
        <v>794065</v>
      </c>
      <c r="C244" s="1">
        <v>794065</v>
      </c>
    </row>
    <row r="245" spans="1:3" x14ac:dyDescent="0.25">
      <c r="A245" s="192" t="s">
        <v>758</v>
      </c>
      <c r="B245" s="1">
        <v>794065</v>
      </c>
      <c r="C245" s="1">
        <v>794065</v>
      </c>
    </row>
    <row r="246" spans="1:3" x14ac:dyDescent="0.25">
      <c r="A246" s="8" t="s">
        <v>436</v>
      </c>
      <c r="B246" s="1">
        <v>188853</v>
      </c>
      <c r="C246" s="1">
        <v>188853</v>
      </c>
    </row>
    <row r="247" spans="1:3" x14ac:dyDescent="0.25">
      <c r="A247" s="192" t="s">
        <v>758</v>
      </c>
      <c r="B247" s="1">
        <v>188853</v>
      </c>
      <c r="C247" s="1">
        <v>188853</v>
      </c>
    </row>
    <row r="248" spans="1:3" x14ac:dyDescent="0.25">
      <c r="A248" s="8" t="s">
        <v>437</v>
      </c>
      <c r="B248" s="1">
        <v>30245</v>
      </c>
      <c r="C248" s="1">
        <v>30245</v>
      </c>
    </row>
    <row r="249" spans="1:3" x14ac:dyDescent="0.25">
      <c r="A249" s="192" t="s">
        <v>758</v>
      </c>
      <c r="B249" s="1">
        <v>30245</v>
      </c>
      <c r="C249" s="1">
        <v>30245</v>
      </c>
    </row>
    <row r="250" spans="1:3" x14ac:dyDescent="0.25">
      <c r="A250" s="8" t="s">
        <v>438</v>
      </c>
      <c r="B250" s="1">
        <v>18000</v>
      </c>
      <c r="C250" s="1">
        <v>18000</v>
      </c>
    </row>
    <row r="251" spans="1:3" x14ac:dyDescent="0.25">
      <c r="A251" s="192" t="s">
        <v>758</v>
      </c>
      <c r="B251" s="1">
        <v>18000</v>
      </c>
      <c r="C251" s="1">
        <v>18000</v>
      </c>
    </row>
    <row r="252" spans="1:3" x14ac:dyDescent="0.25">
      <c r="A252" s="8" t="s">
        <v>439</v>
      </c>
      <c r="B252" s="1">
        <v>254256</v>
      </c>
      <c r="C252" s="1">
        <v>254256</v>
      </c>
    </row>
    <row r="253" spans="1:3" x14ac:dyDescent="0.25">
      <c r="A253" s="192" t="s">
        <v>758</v>
      </c>
      <c r="B253" s="1">
        <v>254256</v>
      </c>
      <c r="C253" s="1">
        <v>254256</v>
      </c>
    </row>
    <row r="254" spans="1:3" x14ac:dyDescent="0.25">
      <c r="A254" s="8" t="s">
        <v>440</v>
      </c>
      <c r="B254" s="1">
        <v>1172920</v>
      </c>
      <c r="C254" s="1">
        <v>1172920</v>
      </c>
    </row>
    <row r="255" spans="1:3" x14ac:dyDescent="0.25">
      <c r="A255" s="192" t="s">
        <v>758</v>
      </c>
      <c r="B255" s="1">
        <v>1172920</v>
      </c>
      <c r="C255" s="1">
        <v>1172920</v>
      </c>
    </row>
    <row r="256" spans="1:3" x14ac:dyDescent="0.25">
      <c r="A256" s="8" t="s">
        <v>441</v>
      </c>
      <c r="B256" s="1">
        <v>400248</v>
      </c>
      <c r="C256" s="1">
        <v>400248</v>
      </c>
    </row>
    <row r="257" spans="1:3" x14ac:dyDescent="0.25">
      <c r="A257" s="192" t="s">
        <v>758</v>
      </c>
      <c r="B257" s="1">
        <v>400248</v>
      </c>
      <c r="C257" s="1">
        <v>400248</v>
      </c>
    </row>
    <row r="258" spans="1:3" x14ac:dyDescent="0.25">
      <c r="A258" s="8" t="s">
        <v>442</v>
      </c>
      <c r="B258" s="1">
        <v>220000</v>
      </c>
      <c r="C258" s="1">
        <v>220000</v>
      </c>
    </row>
    <row r="259" spans="1:3" x14ac:dyDescent="0.25">
      <c r="A259" s="192" t="s">
        <v>758</v>
      </c>
      <c r="B259" s="1">
        <v>220000</v>
      </c>
      <c r="C259" s="1">
        <v>220000</v>
      </c>
    </row>
    <row r="260" spans="1:3" x14ac:dyDescent="0.25">
      <c r="A260" s="8" t="s">
        <v>443</v>
      </c>
      <c r="B260" s="1">
        <v>138000</v>
      </c>
      <c r="C260" s="1">
        <v>138000</v>
      </c>
    </row>
    <row r="261" spans="1:3" x14ac:dyDescent="0.25">
      <c r="A261" s="192" t="s">
        <v>758</v>
      </c>
      <c r="B261" s="1">
        <v>138000</v>
      </c>
      <c r="C261" s="1">
        <v>138000</v>
      </c>
    </row>
    <row r="262" spans="1:3" x14ac:dyDescent="0.25">
      <c r="A262" s="8" t="s">
        <v>444</v>
      </c>
      <c r="B262" s="1">
        <v>893100</v>
      </c>
      <c r="C262" s="1">
        <v>893100</v>
      </c>
    </row>
    <row r="263" spans="1:3" x14ac:dyDescent="0.25">
      <c r="A263" s="192" t="s">
        <v>758</v>
      </c>
      <c r="B263" s="1">
        <v>893100</v>
      </c>
      <c r="C263" s="1">
        <v>893100</v>
      </c>
    </row>
    <row r="264" spans="1:3" x14ac:dyDescent="0.25">
      <c r="A264" s="8" t="s">
        <v>445</v>
      </c>
      <c r="B264" s="1">
        <v>1917972</v>
      </c>
      <c r="C264" s="1">
        <v>1917972</v>
      </c>
    </row>
    <row r="265" spans="1:3" x14ac:dyDescent="0.25">
      <c r="A265" s="192" t="s">
        <v>758</v>
      </c>
      <c r="B265" s="1">
        <v>1917972</v>
      </c>
      <c r="C265" s="1">
        <v>1917972</v>
      </c>
    </row>
    <row r="266" spans="1:3" x14ac:dyDescent="0.25">
      <c r="A266" s="8" t="s">
        <v>446</v>
      </c>
      <c r="B266" s="1">
        <v>5900004</v>
      </c>
      <c r="C266" s="1">
        <v>5900004</v>
      </c>
    </row>
    <row r="267" spans="1:3" x14ac:dyDescent="0.25">
      <c r="A267" s="192" t="s">
        <v>758</v>
      </c>
      <c r="B267" s="1">
        <v>5900004</v>
      </c>
      <c r="C267" s="1">
        <v>5900004</v>
      </c>
    </row>
    <row r="268" spans="1:3" x14ac:dyDescent="0.25">
      <c r="A268" s="8" t="s">
        <v>447</v>
      </c>
      <c r="B268" s="1">
        <v>624996</v>
      </c>
      <c r="C268" s="1">
        <v>624996</v>
      </c>
    </row>
    <row r="269" spans="1:3" x14ac:dyDescent="0.25">
      <c r="A269" s="192" t="s">
        <v>758</v>
      </c>
      <c r="B269" s="1">
        <v>624996</v>
      </c>
      <c r="C269" s="1">
        <v>624996</v>
      </c>
    </row>
    <row r="270" spans="1:3" x14ac:dyDescent="0.25">
      <c r="A270" s="8" t="s">
        <v>448</v>
      </c>
      <c r="B270" s="1">
        <v>416604</v>
      </c>
      <c r="C270" s="1">
        <v>416604</v>
      </c>
    </row>
    <row r="271" spans="1:3" x14ac:dyDescent="0.25">
      <c r="A271" s="192" t="s">
        <v>758</v>
      </c>
      <c r="B271" s="1">
        <v>416604</v>
      </c>
      <c r="C271" s="1">
        <v>416604</v>
      </c>
    </row>
    <row r="272" spans="1:3" x14ac:dyDescent="0.25">
      <c r="A272" s="8" t="s">
        <v>449</v>
      </c>
      <c r="B272" s="1">
        <v>250000</v>
      </c>
      <c r="C272" s="1">
        <v>250000</v>
      </c>
    </row>
    <row r="273" spans="1:3" x14ac:dyDescent="0.25">
      <c r="A273" s="192" t="s">
        <v>758</v>
      </c>
      <c r="B273" s="1">
        <v>250000</v>
      </c>
      <c r="C273" s="1">
        <v>250000</v>
      </c>
    </row>
    <row r="274" spans="1:3" x14ac:dyDescent="0.25">
      <c r="A274" s="8" t="s">
        <v>450</v>
      </c>
      <c r="B274" s="1">
        <v>24504</v>
      </c>
      <c r="C274" s="1">
        <v>24504</v>
      </c>
    </row>
    <row r="275" spans="1:3" x14ac:dyDescent="0.25">
      <c r="A275" s="192" t="s">
        <v>758</v>
      </c>
      <c r="B275" s="1">
        <v>24504</v>
      </c>
      <c r="C275" s="1">
        <v>24504</v>
      </c>
    </row>
    <row r="276" spans="1:3" x14ac:dyDescent="0.25">
      <c r="A276" s="8" t="s">
        <v>451</v>
      </c>
      <c r="B276" s="1">
        <v>88656</v>
      </c>
      <c r="C276" s="1">
        <v>88656</v>
      </c>
    </row>
    <row r="277" spans="1:3" x14ac:dyDescent="0.25">
      <c r="A277" s="192" t="s">
        <v>758</v>
      </c>
      <c r="B277" s="1">
        <v>88656</v>
      </c>
      <c r="C277" s="1">
        <v>88656</v>
      </c>
    </row>
    <row r="278" spans="1:3" x14ac:dyDescent="0.25">
      <c r="A278" s="8" t="s">
        <v>452</v>
      </c>
      <c r="B278" s="1">
        <v>400500</v>
      </c>
      <c r="C278" s="1">
        <v>400500</v>
      </c>
    </row>
    <row r="279" spans="1:3" x14ac:dyDescent="0.25">
      <c r="A279" s="192" t="s">
        <v>758</v>
      </c>
      <c r="B279" s="1">
        <v>400500</v>
      </c>
      <c r="C279" s="1">
        <v>400500</v>
      </c>
    </row>
    <row r="280" spans="1:3" x14ac:dyDescent="0.25">
      <c r="A280" s="8" t="s">
        <v>453</v>
      </c>
      <c r="B280" s="1">
        <v>137544</v>
      </c>
      <c r="C280" s="1">
        <v>137544</v>
      </c>
    </row>
    <row r="281" spans="1:3" x14ac:dyDescent="0.25">
      <c r="A281" s="192" t="s">
        <v>758</v>
      </c>
      <c r="B281" s="1">
        <v>137544</v>
      </c>
      <c r="C281" s="1">
        <v>137544</v>
      </c>
    </row>
    <row r="282" spans="1:3" x14ac:dyDescent="0.25">
      <c r="A282" s="8" t="s">
        <v>477</v>
      </c>
      <c r="B282" s="1">
        <v>60000</v>
      </c>
      <c r="C282" s="1">
        <v>60000</v>
      </c>
    </row>
    <row r="283" spans="1:3" x14ac:dyDescent="0.25">
      <c r="A283" s="192" t="s">
        <v>758</v>
      </c>
      <c r="B283" s="1">
        <v>60000</v>
      </c>
      <c r="C283" s="1">
        <v>60000</v>
      </c>
    </row>
    <row r="284" spans="1:3" x14ac:dyDescent="0.25">
      <c r="A284" s="8" t="s">
        <v>454</v>
      </c>
      <c r="B284" s="1">
        <v>24996</v>
      </c>
      <c r="C284" s="1">
        <v>24996</v>
      </c>
    </row>
    <row r="285" spans="1:3" x14ac:dyDescent="0.25">
      <c r="A285" s="192" t="s">
        <v>758</v>
      </c>
      <c r="B285" s="1">
        <v>24996</v>
      </c>
      <c r="C285" s="1">
        <v>24996</v>
      </c>
    </row>
    <row r="286" spans="1:3" x14ac:dyDescent="0.25">
      <c r="A286" s="8" t="s">
        <v>455</v>
      </c>
      <c r="B286" s="1">
        <v>300000</v>
      </c>
      <c r="C286" s="1">
        <v>300000</v>
      </c>
    </row>
    <row r="287" spans="1:3" x14ac:dyDescent="0.25">
      <c r="A287" s="192" t="s">
        <v>758</v>
      </c>
      <c r="B287" s="1">
        <v>300000</v>
      </c>
      <c r="C287" s="1">
        <v>300000</v>
      </c>
    </row>
    <row r="288" spans="1:3" x14ac:dyDescent="0.25">
      <c r="A288" s="7" t="s">
        <v>456</v>
      </c>
      <c r="B288" s="1">
        <v>12000</v>
      </c>
      <c r="C288" s="1">
        <v>12000</v>
      </c>
    </row>
    <row r="289" spans="1:3" x14ac:dyDescent="0.25">
      <c r="A289" s="8" t="s">
        <v>841</v>
      </c>
      <c r="B289" s="1">
        <v>0</v>
      </c>
      <c r="C289" s="1">
        <v>0</v>
      </c>
    </row>
    <row r="290" spans="1:3" x14ac:dyDescent="0.25">
      <c r="A290" s="192" t="s">
        <v>758</v>
      </c>
      <c r="B290" s="1">
        <v>0</v>
      </c>
      <c r="C290" s="1">
        <v>0</v>
      </c>
    </row>
    <row r="291" spans="1:3" x14ac:dyDescent="0.25">
      <c r="A291" s="8" t="s">
        <v>842</v>
      </c>
      <c r="B291" s="1">
        <v>0</v>
      </c>
      <c r="C291" s="1">
        <v>0</v>
      </c>
    </row>
    <row r="292" spans="1:3" x14ac:dyDescent="0.25">
      <c r="A292" s="192" t="s">
        <v>758</v>
      </c>
      <c r="B292" s="1">
        <v>0</v>
      </c>
      <c r="C292" s="1">
        <v>0</v>
      </c>
    </row>
    <row r="293" spans="1:3" x14ac:dyDescent="0.25">
      <c r="A293" s="8" t="s">
        <v>843</v>
      </c>
      <c r="B293" s="1">
        <v>6000</v>
      </c>
      <c r="C293" s="1">
        <v>6000</v>
      </c>
    </row>
    <row r="294" spans="1:3" x14ac:dyDescent="0.25">
      <c r="A294" s="192" t="s">
        <v>758</v>
      </c>
      <c r="B294" s="1">
        <v>6000</v>
      </c>
      <c r="C294" s="1">
        <v>6000</v>
      </c>
    </row>
    <row r="295" spans="1:3" x14ac:dyDescent="0.25">
      <c r="A295" s="8" t="s">
        <v>844</v>
      </c>
      <c r="B295" s="1">
        <v>6000</v>
      </c>
      <c r="C295" s="1">
        <v>6000</v>
      </c>
    </row>
    <row r="296" spans="1:3" x14ac:dyDescent="0.25">
      <c r="A296" s="192" t="s">
        <v>758</v>
      </c>
      <c r="B296" s="1">
        <v>6000</v>
      </c>
      <c r="C296" s="1">
        <v>6000</v>
      </c>
    </row>
    <row r="297" spans="1:3" x14ac:dyDescent="0.25">
      <c r="A297" s="7" t="s">
        <v>478</v>
      </c>
      <c r="B297" s="1">
        <v>85000</v>
      </c>
      <c r="C297" s="1">
        <v>85000</v>
      </c>
    </row>
    <row r="298" spans="1:3" x14ac:dyDescent="0.25">
      <c r="A298" s="8" t="s">
        <v>479</v>
      </c>
      <c r="B298" s="1">
        <v>80000</v>
      </c>
      <c r="C298" s="1">
        <v>80000</v>
      </c>
    </row>
    <row r="299" spans="1:3" x14ac:dyDescent="0.25">
      <c r="A299" s="192" t="s">
        <v>758</v>
      </c>
      <c r="B299" s="1">
        <v>80000</v>
      </c>
      <c r="C299" s="1">
        <v>80000</v>
      </c>
    </row>
    <row r="300" spans="1:3" x14ac:dyDescent="0.25">
      <c r="A300" s="8" t="s">
        <v>480</v>
      </c>
      <c r="B300" s="1">
        <v>5000</v>
      </c>
      <c r="C300" s="1">
        <v>5000</v>
      </c>
    </row>
    <row r="301" spans="1:3" x14ac:dyDescent="0.25">
      <c r="A301" s="192" t="s">
        <v>758</v>
      </c>
      <c r="B301" s="1">
        <v>5000</v>
      </c>
      <c r="C301" s="1">
        <v>5000</v>
      </c>
    </row>
    <row r="302" spans="1:3" x14ac:dyDescent="0.25">
      <c r="A302" s="191" t="s">
        <v>138</v>
      </c>
      <c r="B302" s="1">
        <v>731402631</v>
      </c>
      <c r="C302" s="1">
        <v>731402631</v>
      </c>
    </row>
    <row r="303" spans="1:3" x14ac:dyDescent="0.25">
      <c r="A303"/>
    </row>
    <row r="304" spans="1:3"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sheetData>
  <pageMargins left="0.7" right="0.7" top="0.75" bottom="0.75" header="0.3" footer="0.3"/>
  <pageSetup scale="48"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2:K140"/>
  <sheetViews>
    <sheetView workbookViewId="0">
      <selection activeCell="C145" sqref="C145"/>
    </sheetView>
  </sheetViews>
  <sheetFormatPr defaultRowHeight="15" x14ac:dyDescent="0.25"/>
  <cols>
    <col min="1" max="1" width="13.140625" bestFit="1" customWidth="1"/>
    <col min="2" max="2" width="16.28515625" bestFit="1" customWidth="1"/>
    <col min="3" max="10" width="10.140625" bestFit="1" customWidth="1"/>
    <col min="11" max="11" width="11.28515625" bestFit="1" customWidth="1"/>
    <col min="12" max="13" width="10.85546875" bestFit="1" customWidth="1"/>
    <col min="14" max="14" width="11.8554687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2" spans="1:11" x14ac:dyDescent="0.25">
      <c r="A2" s="4" t="s">
        <v>152</v>
      </c>
      <c r="B2" t="s" vm="143">
        <v>303</v>
      </c>
    </row>
    <row r="3" spans="1:11" x14ac:dyDescent="0.25">
      <c r="A3" s="4" t="s">
        <v>151</v>
      </c>
      <c r="B3" t="s" vm="140">
        <v>163</v>
      </c>
    </row>
    <row r="5" spans="1:11" x14ac:dyDescent="0.25">
      <c r="A5" s="4" t="s">
        <v>136</v>
      </c>
      <c r="B5" s="4" t="s">
        <v>137</v>
      </c>
    </row>
    <row r="6" spans="1:11" x14ac:dyDescent="0.25">
      <c r="A6" s="4" t="s">
        <v>242</v>
      </c>
      <c r="B6" t="s">
        <v>140</v>
      </c>
      <c r="C6" t="s">
        <v>141</v>
      </c>
      <c r="D6" t="s">
        <v>142</v>
      </c>
      <c r="E6" t="s">
        <v>143</v>
      </c>
      <c r="F6" t="s">
        <v>144</v>
      </c>
      <c r="G6" t="s">
        <v>145</v>
      </c>
      <c r="H6" t="s">
        <v>146</v>
      </c>
      <c r="I6" t="s">
        <v>147</v>
      </c>
      <c r="J6" t="s">
        <v>148</v>
      </c>
      <c r="K6" t="s">
        <v>138</v>
      </c>
    </row>
    <row r="7" spans="1:11" x14ac:dyDescent="0.25">
      <c r="A7" s="7" t="s">
        <v>385</v>
      </c>
      <c r="B7" s="1">
        <v>208016</v>
      </c>
      <c r="C7" s="1">
        <v>204388</v>
      </c>
      <c r="D7" s="1">
        <v>73520</v>
      </c>
      <c r="E7" s="1">
        <v>130952</v>
      </c>
      <c r="F7" s="1">
        <v>90108</v>
      </c>
      <c r="G7" s="1">
        <v>9878</v>
      </c>
      <c r="H7" s="1">
        <v>157096</v>
      </c>
      <c r="I7" s="1">
        <v>123</v>
      </c>
      <c r="J7" s="1">
        <v>91515</v>
      </c>
      <c r="K7" s="1">
        <v>965596</v>
      </c>
    </row>
    <row r="8" spans="1:11" x14ac:dyDescent="0.25">
      <c r="A8" s="7" t="s">
        <v>957</v>
      </c>
      <c r="B8" s="1">
        <v>0</v>
      </c>
      <c r="C8" s="1">
        <v>0</v>
      </c>
      <c r="D8" s="1">
        <v>0</v>
      </c>
      <c r="E8" s="1">
        <v>0</v>
      </c>
      <c r="F8" s="1">
        <v>0</v>
      </c>
      <c r="G8" s="1">
        <v>0</v>
      </c>
      <c r="H8" s="1">
        <v>0</v>
      </c>
      <c r="I8" s="1">
        <v>0</v>
      </c>
      <c r="J8" s="1">
        <v>0</v>
      </c>
      <c r="K8" s="1">
        <v>0</v>
      </c>
    </row>
    <row r="9" spans="1:11" x14ac:dyDescent="0.25">
      <c r="A9" s="7" t="s">
        <v>386</v>
      </c>
      <c r="B9" s="1">
        <v>50932</v>
      </c>
      <c r="C9" s="1">
        <v>55408</v>
      </c>
      <c r="D9" s="1">
        <v>18109</v>
      </c>
      <c r="E9" s="1">
        <v>24551</v>
      </c>
      <c r="F9" s="1">
        <v>7100</v>
      </c>
      <c r="G9" s="1">
        <v>18044</v>
      </c>
      <c r="H9" s="1">
        <v>14165</v>
      </c>
      <c r="I9" s="1">
        <v>0</v>
      </c>
      <c r="J9" s="1">
        <v>53960</v>
      </c>
      <c r="K9" s="1">
        <v>242269</v>
      </c>
    </row>
    <row r="10" spans="1:11" x14ac:dyDescent="0.25">
      <c r="A10" s="7" t="s">
        <v>457</v>
      </c>
      <c r="B10" s="1">
        <v>0</v>
      </c>
      <c r="C10" s="1">
        <v>0</v>
      </c>
      <c r="D10" s="1">
        <v>0</v>
      </c>
      <c r="E10" s="1">
        <v>0</v>
      </c>
      <c r="F10" s="1">
        <v>0</v>
      </c>
      <c r="G10" s="1">
        <v>0</v>
      </c>
      <c r="H10" s="1">
        <v>0</v>
      </c>
      <c r="I10" s="1">
        <v>0</v>
      </c>
      <c r="J10" s="1">
        <v>0</v>
      </c>
      <c r="K10" s="1">
        <v>0</v>
      </c>
    </row>
    <row r="11" spans="1:11" x14ac:dyDescent="0.25">
      <c r="A11" s="7" t="s">
        <v>958</v>
      </c>
      <c r="B11" s="1">
        <v>0</v>
      </c>
      <c r="C11" s="1">
        <v>0</v>
      </c>
      <c r="D11" s="1">
        <v>0</v>
      </c>
      <c r="E11" s="1">
        <v>0</v>
      </c>
      <c r="F11" s="1">
        <v>0</v>
      </c>
      <c r="G11" s="1">
        <v>0</v>
      </c>
      <c r="H11" s="1">
        <v>0</v>
      </c>
      <c r="I11" s="1">
        <v>0</v>
      </c>
      <c r="J11" s="1">
        <v>0</v>
      </c>
      <c r="K11" s="1">
        <v>0</v>
      </c>
    </row>
    <row r="12" spans="1:11" x14ac:dyDescent="0.25">
      <c r="A12" s="7" t="s">
        <v>387</v>
      </c>
      <c r="B12" s="1">
        <v>0</v>
      </c>
      <c r="C12" s="1">
        <v>504911</v>
      </c>
      <c r="D12" s="1">
        <v>408490</v>
      </c>
      <c r="E12" s="1">
        <v>331108</v>
      </c>
      <c r="F12" s="1">
        <v>290459</v>
      </c>
      <c r="G12" s="1">
        <v>230969</v>
      </c>
      <c r="H12" s="1">
        <v>185108</v>
      </c>
      <c r="I12" s="1">
        <v>199260</v>
      </c>
      <c r="J12" s="1">
        <v>204245</v>
      </c>
      <c r="K12" s="1">
        <v>2354550</v>
      </c>
    </row>
    <row r="13" spans="1:11" x14ac:dyDescent="0.25">
      <c r="A13" s="7" t="s">
        <v>388</v>
      </c>
      <c r="B13" s="1">
        <v>454446</v>
      </c>
      <c r="C13" s="1">
        <v>302462</v>
      </c>
      <c r="D13" s="1">
        <v>0</v>
      </c>
      <c r="E13" s="1">
        <v>0</v>
      </c>
      <c r="F13" s="1">
        <v>0</v>
      </c>
      <c r="G13" s="1">
        <v>0</v>
      </c>
      <c r="H13" s="1">
        <v>0</v>
      </c>
      <c r="I13" s="1">
        <v>0</v>
      </c>
      <c r="J13" s="1">
        <v>0</v>
      </c>
      <c r="K13" s="1">
        <v>756908</v>
      </c>
    </row>
    <row r="14" spans="1:11" x14ac:dyDescent="0.25">
      <c r="A14" s="7" t="s">
        <v>959</v>
      </c>
      <c r="B14" s="1">
        <v>0</v>
      </c>
      <c r="C14" s="1">
        <v>0</v>
      </c>
      <c r="D14" s="1">
        <v>0</v>
      </c>
      <c r="E14" s="1">
        <v>0</v>
      </c>
      <c r="F14" s="1">
        <v>0</v>
      </c>
      <c r="G14" s="1">
        <v>0</v>
      </c>
      <c r="H14" s="1">
        <v>0</v>
      </c>
      <c r="I14" s="1">
        <v>0</v>
      </c>
      <c r="J14" s="1">
        <v>0</v>
      </c>
      <c r="K14" s="1">
        <v>0</v>
      </c>
    </row>
    <row r="15" spans="1:11" x14ac:dyDescent="0.25">
      <c r="A15" s="7" t="s">
        <v>960</v>
      </c>
      <c r="B15" s="1">
        <v>0</v>
      </c>
      <c r="C15" s="1">
        <v>0</v>
      </c>
      <c r="D15" s="1">
        <v>0</v>
      </c>
      <c r="E15" s="1">
        <v>0</v>
      </c>
      <c r="F15" s="1">
        <v>0</v>
      </c>
      <c r="G15" s="1">
        <v>0</v>
      </c>
      <c r="H15" s="1">
        <v>0</v>
      </c>
      <c r="I15" s="1">
        <v>0</v>
      </c>
      <c r="J15" s="1">
        <v>0</v>
      </c>
      <c r="K15" s="1">
        <v>0</v>
      </c>
    </row>
    <row r="16" spans="1:11" x14ac:dyDescent="0.25">
      <c r="A16" s="7" t="s">
        <v>458</v>
      </c>
      <c r="B16" s="1">
        <v>0</v>
      </c>
      <c r="C16" s="1">
        <v>4463</v>
      </c>
      <c r="D16" s="1">
        <v>4462</v>
      </c>
      <c r="E16" s="1">
        <v>4202</v>
      </c>
      <c r="F16" s="1">
        <v>2328</v>
      </c>
      <c r="G16" s="1">
        <v>9964</v>
      </c>
      <c r="H16" s="1">
        <v>2328</v>
      </c>
      <c r="I16" s="1">
        <v>4948</v>
      </c>
      <c r="J16" s="1">
        <v>0</v>
      </c>
      <c r="K16" s="1">
        <v>32695</v>
      </c>
    </row>
    <row r="17" spans="1:11" x14ac:dyDescent="0.25">
      <c r="A17" s="7" t="s">
        <v>459</v>
      </c>
      <c r="B17" s="1">
        <v>0</v>
      </c>
      <c r="C17" s="1">
        <v>4753</v>
      </c>
      <c r="D17" s="1">
        <v>2813</v>
      </c>
      <c r="E17" s="1">
        <v>7721</v>
      </c>
      <c r="F17" s="1">
        <v>7686</v>
      </c>
      <c r="G17" s="1">
        <v>9721</v>
      </c>
      <c r="H17" s="1">
        <v>9459</v>
      </c>
      <c r="I17" s="1">
        <v>5918</v>
      </c>
      <c r="J17" s="1">
        <v>0</v>
      </c>
      <c r="K17" s="1">
        <v>48071</v>
      </c>
    </row>
    <row r="18" spans="1:11" x14ac:dyDescent="0.25">
      <c r="A18" s="7" t="s">
        <v>460</v>
      </c>
      <c r="B18" s="1">
        <v>0</v>
      </c>
      <c r="C18" s="1">
        <v>0</v>
      </c>
      <c r="D18" s="1">
        <v>3153</v>
      </c>
      <c r="E18" s="1">
        <v>0</v>
      </c>
      <c r="F18" s="1">
        <v>6261</v>
      </c>
      <c r="G18" s="1">
        <v>0</v>
      </c>
      <c r="H18" s="1">
        <v>0</v>
      </c>
      <c r="I18" s="1">
        <v>10542</v>
      </c>
      <c r="J18" s="1">
        <v>3396</v>
      </c>
      <c r="K18" s="1">
        <v>23352</v>
      </c>
    </row>
    <row r="19" spans="1:11" x14ac:dyDescent="0.25">
      <c r="A19" s="7" t="s">
        <v>461</v>
      </c>
      <c r="B19" s="1">
        <v>0</v>
      </c>
      <c r="C19" s="1">
        <v>7401</v>
      </c>
      <c r="D19" s="1">
        <v>13190</v>
      </c>
      <c r="E19" s="1">
        <v>17714</v>
      </c>
      <c r="F19" s="1">
        <v>11031</v>
      </c>
      <c r="G19" s="1">
        <v>10614</v>
      </c>
      <c r="H19" s="1">
        <v>19987</v>
      </c>
      <c r="I19" s="1">
        <v>13552</v>
      </c>
      <c r="J19" s="1">
        <v>12475</v>
      </c>
      <c r="K19" s="1">
        <v>105964</v>
      </c>
    </row>
    <row r="20" spans="1:11" x14ac:dyDescent="0.25">
      <c r="A20" s="7" t="s">
        <v>961</v>
      </c>
      <c r="B20" s="1">
        <v>0</v>
      </c>
      <c r="C20" s="1">
        <v>0</v>
      </c>
      <c r="D20" s="1">
        <v>0</v>
      </c>
      <c r="E20" s="1">
        <v>0</v>
      </c>
      <c r="F20" s="1">
        <v>0</v>
      </c>
      <c r="G20" s="1">
        <v>0</v>
      </c>
      <c r="H20" s="1">
        <v>0</v>
      </c>
      <c r="I20" s="1">
        <v>0</v>
      </c>
      <c r="J20" s="1">
        <v>0</v>
      </c>
      <c r="K20" s="1">
        <v>0</v>
      </c>
    </row>
    <row r="21" spans="1:11" x14ac:dyDescent="0.25">
      <c r="A21" s="7" t="s">
        <v>962</v>
      </c>
      <c r="B21" s="1">
        <v>0</v>
      </c>
      <c r="C21" s="1">
        <v>0</v>
      </c>
      <c r="D21" s="1">
        <v>0</v>
      </c>
      <c r="E21" s="1">
        <v>0</v>
      </c>
      <c r="F21" s="1">
        <v>0</v>
      </c>
      <c r="G21" s="1">
        <v>0</v>
      </c>
      <c r="H21" s="1">
        <v>0</v>
      </c>
      <c r="I21" s="1">
        <v>0</v>
      </c>
      <c r="J21" s="1">
        <v>0</v>
      </c>
      <c r="K21" s="1">
        <v>0</v>
      </c>
    </row>
    <row r="22" spans="1:11" x14ac:dyDescent="0.25">
      <c r="A22" s="7" t="s">
        <v>462</v>
      </c>
      <c r="B22" s="1">
        <v>0</v>
      </c>
      <c r="C22" s="1">
        <v>2872</v>
      </c>
      <c r="D22" s="1">
        <v>3007</v>
      </c>
      <c r="E22" s="1">
        <v>5916</v>
      </c>
      <c r="F22" s="1">
        <v>5675</v>
      </c>
      <c r="G22" s="1">
        <v>5962</v>
      </c>
      <c r="H22" s="1">
        <v>3143</v>
      </c>
      <c r="I22" s="1">
        <v>0</v>
      </c>
      <c r="J22" s="1">
        <v>0</v>
      </c>
      <c r="K22" s="1">
        <v>26575</v>
      </c>
    </row>
    <row r="23" spans="1:11" x14ac:dyDescent="0.25">
      <c r="A23" s="7" t="s">
        <v>463</v>
      </c>
      <c r="B23" s="1">
        <v>0</v>
      </c>
      <c r="C23" s="1">
        <v>0</v>
      </c>
      <c r="D23" s="1">
        <v>3832</v>
      </c>
      <c r="E23" s="1">
        <v>0</v>
      </c>
      <c r="F23" s="1">
        <v>2134</v>
      </c>
      <c r="G23" s="1">
        <v>2163</v>
      </c>
      <c r="H23" s="1">
        <v>2163</v>
      </c>
      <c r="I23" s="1">
        <v>2232</v>
      </c>
      <c r="J23" s="1">
        <v>0</v>
      </c>
      <c r="K23" s="1">
        <v>12524</v>
      </c>
    </row>
    <row r="24" spans="1:11" x14ac:dyDescent="0.25">
      <c r="A24" s="7" t="s">
        <v>464</v>
      </c>
      <c r="B24" s="1">
        <v>0</v>
      </c>
      <c r="C24" s="1">
        <v>0</v>
      </c>
      <c r="D24" s="1">
        <v>0</v>
      </c>
      <c r="E24" s="1">
        <v>0</v>
      </c>
      <c r="F24" s="1">
        <v>0</v>
      </c>
      <c r="G24" s="1">
        <v>0</v>
      </c>
      <c r="H24" s="1">
        <v>1650</v>
      </c>
      <c r="I24" s="1">
        <v>0</v>
      </c>
      <c r="J24" s="1">
        <v>0</v>
      </c>
      <c r="K24" s="1">
        <v>1650</v>
      </c>
    </row>
    <row r="25" spans="1:11" x14ac:dyDescent="0.25">
      <c r="A25" s="7" t="s">
        <v>465</v>
      </c>
      <c r="B25" s="1">
        <v>0</v>
      </c>
      <c r="C25" s="1">
        <v>0</v>
      </c>
      <c r="D25" s="1">
        <v>0</v>
      </c>
      <c r="E25" s="1">
        <v>0</v>
      </c>
      <c r="F25" s="1">
        <v>2328</v>
      </c>
      <c r="G25" s="1">
        <v>0</v>
      </c>
      <c r="H25" s="1">
        <v>1794</v>
      </c>
      <c r="I25" s="1">
        <v>2100</v>
      </c>
      <c r="J25" s="1">
        <v>0</v>
      </c>
      <c r="K25" s="1">
        <v>6222</v>
      </c>
    </row>
    <row r="26" spans="1:11" x14ac:dyDescent="0.25">
      <c r="A26" s="7" t="s">
        <v>466</v>
      </c>
      <c r="B26" s="1">
        <v>0</v>
      </c>
      <c r="C26" s="1">
        <v>0</v>
      </c>
      <c r="D26" s="1">
        <v>0</v>
      </c>
      <c r="E26" s="1">
        <v>2186</v>
      </c>
      <c r="F26" s="1">
        <v>1012</v>
      </c>
      <c r="G26" s="1">
        <v>2135</v>
      </c>
      <c r="H26" s="1">
        <v>2154</v>
      </c>
      <c r="I26" s="1">
        <v>0</v>
      </c>
      <c r="J26" s="1">
        <v>3543</v>
      </c>
      <c r="K26" s="1">
        <v>11030</v>
      </c>
    </row>
    <row r="27" spans="1:11" x14ac:dyDescent="0.25">
      <c r="A27" s="7" t="s">
        <v>467</v>
      </c>
      <c r="B27" s="1">
        <v>0</v>
      </c>
      <c r="C27" s="1">
        <v>0</v>
      </c>
      <c r="D27" s="1">
        <v>2085</v>
      </c>
      <c r="E27" s="1">
        <v>0</v>
      </c>
      <c r="F27" s="1">
        <v>2402</v>
      </c>
      <c r="G27" s="1">
        <v>2233</v>
      </c>
      <c r="H27" s="1">
        <v>0</v>
      </c>
      <c r="I27" s="1">
        <v>0</v>
      </c>
      <c r="J27" s="1">
        <v>1650</v>
      </c>
      <c r="K27" s="1">
        <v>8370</v>
      </c>
    </row>
    <row r="28" spans="1:11" x14ac:dyDescent="0.25">
      <c r="A28" s="7" t="s">
        <v>468</v>
      </c>
      <c r="B28" s="1">
        <v>0</v>
      </c>
      <c r="C28" s="1">
        <v>0</v>
      </c>
      <c r="D28" s="1">
        <v>3812</v>
      </c>
      <c r="E28" s="1">
        <v>0</v>
      </c>
      <c r="F28" s="1">
        <v>3638</v>
      </c>
      <c r="G28" s="1">
        <v>6158</v>
      </c>
      <c r="H28" s="1">
        <v>2249</v>
      </c>
      <c r="I28" s="1">
        <v>3249</v>
      </c>
      <c r="J28" s="1">
        <v>2067</v>
      </c>
      <c r="K28" s="1">
        <v>21173</v>
      </c>
    </row>
    <row r="29" spans="1:11" x14ac:dyDescent="0.25">
      <c r="A29" s="7" t="s">
        <v>469</v>
      </c>
      <c r="B29" s="1">
        <v>0</v>
      </c>
      <c r="C29" s="1">
        <v>1747</v>
      </c>
      <c r="D29" s="1">
        <v>1600</v>
      </c>
      <c r="E29" s="1">
        <v>1872</v>
      </c>
      <c r="F29" s="1">
        <v>1683</v>
      </c>
      <c r="G29" s="1">
        <v>2232</v>
      </c>
      <c r="H29" s="1">
        <v>1620</v>
      </c>
      <c r="I29" s="1">
        <v>2134</v>
      </c>
      <c r="J29" s="1">
        <v>1746</v>
      </c>
      <c r="K29" s="1">
        <v>14634</v>
      </c>
    </row>
    <row r="30" spans="1:11" x14ac:dyDescent="0.25">
      <c r="A30" s="7" t="s">
        <v>470</v>
      </c>
      <c r="B30" s="1">
        <v>0</v>
      </c>
      <c r="C30" s="1">
        <v>0</v>
      </c>
      <c r="D30" s="1">
        <v>0</v>
      </c>
      <c r="E30" s="1">
        <v>0</v>
      </c>
      <c r="F30" s="1">
        <v>1592</v>
      </c>
      <c r="G30" s="1">
        <v>3784</v>
      </c>
      <c r="H30" s="1">
        <v>3634</v>
      </c>
      <c r="I30" s="1">
        <v>2280</v>
      </c>
      <c r="J30" s="1">
        <v>6034</v>
      </c>
      <c r="K30" s="1">
        <v>17324</v>
      </c>
    </row>
    <row r="31" spans="1:11" x14ac:dyDescent="0.25">
      <c r="A31" s="7" t="s">
        <v>471</v>
      </c>
      <c r="B31" s="1">
        <v>0</v>
      </c>
      <c r="C31" s="1">
        <v>0</v>
      </c>
      <c r="D31" s="1">
        <v>1844</v>
      </c>
      <c r="E31" s="1">
        <v>2086</v>
      </c>
      <c r="F31" s="1">
        <v>1406</v>
      </c>
      <c r="G31" s="1">
        <v>2086</v>
      </c>
      <c r="H31" s="1">
        <v>2038</v>
      </c>
      <c r="I31" s="1">
        <v>0</v>
      </c>
      <c r="J31" s="1">
        <v>2232</v>
      </c>
      <c r="K31" s="1">
        <v>11692</v>
      </c>
    </row>
    <row r="32" spans="1:11" x14ac:dyDescent="0.25">
      <c r="A32" s="7" t="s">
        <v>472</v>
      </c>
      <c r="B32" s="1">
        <v>0</v>
      </c>
      <c r="C32" s="1">
        <v>0</v>
      </c>
      <c r="D32" s="1">
        <v>1941</v>
      </c>
      <c r="E32" s="1">
        <v>3407</v>
      </c>
      <c r="F32" s="1">
        <v>4228</v>
      </c>
      <c r="G32" s="1">
        <v>2037</v>
      </c>
      <c r="H32" s="1">
        <v>2182</v>
      </c>
      <c r="I32" s="1">
        <v>4543</v>
      </c>
      <c r="J32" s="1">
        <v>2144</v>
      </c>
      <c r="K32" s="1">
        <v>20482</v>
      </c>
    </row>
    <row r="33" spans="1:11" x14ac:dyDescent="0.25">
      <c r="A33" s="7" t="s">
        <v>389</v>
      </c>
      <c r="B33" s="1">
        <v>4833</v>
      </c>
      <c r="C33" s="1">
        <v>7820</v>
      </c>
      <c r="D33" s="1">
        <v>8879</v>
      </c>
      <c r="E33" s="1">
        <v>400</v>
      </c>
      <c r="F33" s="1">
        <v>5960</v>
      </c>
      <c r="G33" s="1">
        <v>4618</v>
      </c>
      <c r="H33" s="1">
        <v>53424</v>
      </c>
      <c r="I33" s="1">
        <v>2608</v>
      </c>
      <c r="J33" s="1">
        <v>185</v>
      </c>
      <c r="K33" s="1">
        <v>88727</v>
      </c>
    </row>
    <row r="34" spans="1:11" x14ac:dyDescent="0.25">
      <c r="A34" s="7" t="s">
        <v>963</v>
      </c>
      <c r="B34" s="1">
        <v>0</v>
      </c>
      <c r="C34" s="1">
        <v>0</v>
      </c>
      <c r="D34" s="1">
        <v>0</v>
      </c>
      <c r="E34" s="1">
        <v>0</v>
      </c>
      <c r="F34" s="1">
        <v>0</v>
      </c>
      <c r="G34" s="1">
        <v>0</v>
      </c>
      <c r="H34" s="1">
        <v>0</v>
      </c>
      <c r="I34" s="1">
        <v>0</v>
      </c>
      <c r="J34" s="1">
        <v>0</v>
      </c>
      <c r="K34" s="1">
        <v>0</v>
      </c>
    </row>
    <row r="35" spans="1:11" x14ac:dyDescent="0.25">
      <c r="A35" s="7" t="s">
        <v>390</v>
      </c>
      <c r="B35" s="1">
        <v>28835</v>
      </c>
      <c r="C35" s="1">
        <v>7056</v>
      </c>
      <c r="D35" s="1">
        <v>4785</v>
      </c>
      <c r="E35" s="1">
        <v>1381200</v>
      </c>
      <c r="F35" s="1">
        <v>156</v>
      </c>
      <c r="G35" s="1">
        <v>6889</v>
      </c>
      <c r="H35" s="1">
        <v>0</v>
      </c>
      <c r="I35" s="1">
        <v>156</v>
      </c>
      <c r="J35" s="1">
        <v>4960</v>
      </c>
      <c r="K35" s="1">
        <v>1434037</v>
      </c>
    </row>
    <row r="36" spans="1:11" x14ac:dyDescent="0.25">
      <c r="A36" s="7" t="s">
        <v>391</v>
      </c>
      <c r="B36" s="1">
        <v>0</v>
      </c>
      <c r="C36" s="1">
        <v>0</v>
      </c>
      <c r="D36" s="1">
        <v>0</v>
      </c>
      <c r="E36" s="1">
        <v>0</v>
      </c>
      <c r="F36" s="1">
        <v>0</v>
      </c>
      <c r="G36" s="1">
        <v>0</v>
      </c>
      <c r="H36" s="1">
        <v>0</v>
      </c>
      <c r="I36" s="1">
        <v>0</v>
      </c>
      <c r="J36" s="1">
        <v>0</v>
      </c>
      <c r="K36" s="1">
        <v>0</v>
      </c>
    </row>
    <row r="37" spans="1:11" x14ac:dyDescent="0.25">
      <c r="A37" s="7" t="s">
        <v>403</v>
      </c>
      <c r="B37" s="1">
        <v>0</v>
      </c>
      <c r="C37" s="1">
        <v>0</v>
      </c>
      <c r="D37" s="1">
        <v>0</v>
      </c>
      <c r="E37" s="1">
        <v>428</v>
      </c>
      <c r="F37" s="1">
        <v>172</v>
      </c>
      <c r="G37" s="1">
        <v>0</v>
      </c>
      <c r="H37" s="1">
        <v>0</v>
      </c>
      <c r="I37" s="1">
        <v>0</v>
      </c>
      <c r="J37" s="1">
        <v>0</v>
      </c>
      <c r="K37" s="1">
        <v>600</v>
      </c>
    </row>
    <row r="38" spans="1:11" x14ac:dyDescent="0.25">
      <c r="A38" s="7" t="s">
        <v>473</v>
      </c>
      <c r="B38" s="1">
        <v>0</v>
      </c>
      <c r="C38" s="1">
        <v>0</v>
      </c>
      <c r="D38" s="1">
        <v>0</v>
      </c>
      <c r="E38" s="1">
        <v>0</v>
      </c>
      <c r="F38" s="1">
        <v>0</v>
      </c>
      <c r="G38" s="1">
        <v>0</v>
      </c>
      <c r="H38" s="1">
        <v>0</v>
      </c>
      <c r="I38" s="1">
        <v>0</v>
      </c>
      <c r="J38" s="1">
        <v>0</v>
      </c>
      <c r="K38" s="1">
        <v>0</v>
      </c>
    </row>
    <row r="39" spans="1:11" x14ac:dyDescent="0.25">
      <c r="A39" s="7" t="s">
        <v>404</v>
      </c>
      <c r="B39" s="1">
        <v>0</v>
      </c>
      <c r="C39" s="1">
        <v>-24468</v>
      </c>
      <c r="D39" s="1">
        <v>30472</v>
      </c>
      <c r="E39" s="1">
        <v>753533</v>
      </c>
      <c r="F39" s="1">
        <v>354248</v>
      </c>
      <c r="G39" s="1">
        <v>30276</v>
      </c>
      <c r="H39" s="1">
        <v>710473</v>
      </c>
      <c r="I39" s="1">
        <v>29829</v>
      </c>
      <c r="J39" s="1">
        <v>0</v>
      </c>
      <c r="K39" s="1">
        <v>1884363</v>
      </c>
    </row>
    <row r="40" spans="1:11" x14ac:dyDescent="0.25">
      <c r="A40" s="7" t="s">
        <v>405</v>
      </c>
      <c r="B40" s="1">
        <v>0</v>
      </c>
      <c r="C40" s="1">
        <v>0</v>
      </c>
      <c r="D40" s="1">
        <v>24798</v>
      </c>
      <c r="E40" s="1">
        <v>22698</v>
      </c>
      <c r="F40" s="1">
        <v>-10484</v>
      </c>
      <c r="G40" s="1">
        <v>430774</v>
      </c>
      <c r="H40" s="1">
        <v>78625</v>
      </c>
      <c r="I40" s="1">
        <v>122071</v>
      </c>
      <c r="J40" s="1">
        <v>91570</v>
      </c>
      <c r="K40" s="1">
        <v>760052</v>
      </c>
    </row>
    <row r="41" spans="1:11" x14ac:dyDescent="0.25">
      <c r="A41" s="7" t="s">
        <v>406</v>
      </c>
      <c r="B41" s="1">
        <v>0</v>
      </c>
      <c r="C41" s="1">
        <v>187308</v>
      </c>
      <c r="D41" s="1">
        <v>163953</v>
      </c>
      <c r="E41" s="1">
        <v>199673</v>
      </c>
      <c r="F41" s="1">
        <v>185254</v>
      </c>
      <c r="G41" s="1">
        <v>-58577</v>
      </c>
      <c r="H41" s="1">
        <v>408408</v>
      </c>
      <c r="I41" s="1">
        <v>170166</v>
      </c>
      <c r="J41" s="1">
        <v>161578</v>
      </c>
      <c r="K41" s="1">
        <v>1417763</v>
      </c>
    </row>
    <row r="42" spans="1:11" x14ac:dyDescent="0.25">
      <c r="A42" s="7" t="s">
        <v>407</v>
      </c>
      <c r="B42" s="1">
        <v>474</v>
      </c>
      <c r="C42" s="1">
        <v>70992</v>
      </c>
      <c r="D42" s="1">
        <v>64843</v>
      </c>
      <c r="E42" s="1">
        <v>100384</v>
      </c>
      <c r="F42" s="1">
        <v>75168</v>
      </c>
      <c r="G42" s="1">
        <v>69983</v>
      </c>
      <c r="H42" s="1">
        <v>119954</v>
      </c>
      <c r="I42" s="1">
        <v>68133</v>
      </c>
      <c r="J42" s="1">
        <v>46568</v>
      </c>
      <c r="K42" s="1">
        <v>616499</v>
      </c>
    </row>
    <row r="43" spans="1:11" x14ac:dyDescent="0.25">
      <c r="A43" s="7" t="s">
        <v>606</v>
      </c>
      <c r="B43" s="1">
        <v>0</v>
      </c>
      <c r="C43" s="1">
        <v>0</v>
      </c>
      <c r="D43" s="1">
        <v>0</v>
      </c>
      <c r="E43" s="1">
        <v>0</v>
      </c>
      <c r="F43" s="1">
        <v>0</v>
      </c>
      <c r="G43" s="1">
        <v>0</v>
      </c>
      <c r="H43" s="1">
        <v>0</v>
      </c>
      <c r="I43" s="1">
        <v>0</v>
      </c>
      <c r="J43" s="1">
        <v>0</v>
      </c>
      <c r="K43" s="1">
        <v>0</v>
      </c>
    </row>
    <row r="44" spans="1:11" x14ac:dyDescent="0.25">
      <c r="A44" s="7" t="s">
        <v>474</v>
      </c>
      <c r="B44" s="1">
        <v>0</v>
      </c>
      <c r="C44" s="1">
        <v>0</v>
      </c>
      <c r="D44" s="1">
        <v>0</v>
      </c>
      <c r="E44" s="1">
        <v>0</v>
      </c>
      <c r="F44" s="1">
        <v>0</v>
      </c>
      <c r="G44" s="1">
        <v>0</v>
      </c>
      <c r="H44" s="1">
        <v>0</v>
      </c>
      <c r="I44" s="1">
        <v>16800</v>
      </c>
      <c r="J44" s="1">
        <v>0</v>
      </c>
      <c r="K44" s="1">
        <v>16800</v>
      </c>
    </row>
    <row r="45" spans="1:11" x14ac:dyDescent="0.25">
      <c r="A45" s="7" t="s">
        <v>964</v>
      </c>
      <c r="B45" s="1">
        <v>0</v>
      </c>
      <c r="C45" s="1">
        <v>0</v>
      </c>
      <c r="D45" s="1">
        <v>360</v>
      </c>
      <c r="E45" s="1">
        <v>7962</v>
      </c>
      <c r="F45" s="1">
        <v>11123289</v>
      </c>
      <c r="G45" s="1">
        <v>0</v>
      </c>
      <c r="H45" s="1">
        <v>0</v>
      </c>
      <c r="I45" s="1">
        <v>0</v>
      </c>
      <c r="J45" s="1">
        <v>0</v>
      </c>
      <c r="K45" s="1">
        <v>11131611</v>
      </c>
    </row>
    <row r="46" spans="1:11" x14ac:dyDescent="0.25">
      <c r="A46" s="7" t="s">
        <v>965</v>
      </c>
      <c r="B46" s="1">
        <v>0</v>
      </c>
      <c r="C46" s="1">
        <v>0</v>
      </c>
      <c r="D46" s="1">
        <v>0</v>
      </c>
      <c r="E46" s="1">
        <v>0</v>
      </c>
      <c r="F46" s="1">
        <v>0</v>
      </c>
      <c r="G46" s="1">
        <v>0</v>
      </c>
      <c r="H46" s="1">
        <v>0</v>
      </c>
      <c r="I46" s="1">
        <v>0</v>
      </c>
      <c r="J46" s="1">
        <v>0</v>
      </c>
      <c r="K46" s="1">
        <v>0</v>
      </c>
    </row>
    <row r="47" spans="1:11" x14ac:dyDescent="0.25">
      <c r="A47" s="7" t="s">
        <v>966</v>
      </c>
      <c r="B47" s="1">
        <v>0</v>
      </c>
      <c r="C47" s="1">
        <v>0</v>
      </c>
      <c r="D47" s="1">
        <v>0</v>
      </c>
      <c r="E47" s="1">
        <v>0</v>
      </c>
      <c r="F47" s="1">
        <v>0</v>
      </c>
      <c r="G47" s="1">
        <v>0</v>
      </c>
      <c r="H47" s="1">
        <v>0</v>
      </c>
      <c r="I47" s="1">
        <v>0</v>
      </c>
      <c r="J47" s="1">
        <v>0</v>
      </c>
      <c r="K47" s="1">
        <v>0</v>
      </c>
    </row>
    <row r="48" spans="1:11" x14ac:dyDescent="0.25">
      <c r="A48" s="7" t="s">
        <v>967</v>
      </c>
      <c r="B48" s="1">
        <v>0</v>
      </c>
      <c r="C48" s="1">
        <v>0</v>
      </c>
      <c r="D48" s="1">
        <v>0</v>
      </c>
      <c r="E48" s="1">
        <v>0</v>
      </c>
      <c r="F48" s="1">
        <v>0</v>
      </c>
      <c r="G48" s="1">
        <v>0</v>
      </c>
      <c r="H48" s="1">
        <v>0</v>
      </c>
      <c r="I48" s="1">
        <v>0</v>
      </c>
      <c r="J48" s="1">
        <v>0</v>
      </c>
      <c r="K48" s="1">
        <v>0</v>
      </c>
    </row>
    <row r="49" spans="1:11" x14ac:dyDescent="0.25">
      <c r="A49" s="7" t="s">
        <v>408</v>
      </c>
      <c r="B49" s="1">
        <v>17936</v>
      </c>
      <c r="C49" s="1">
        <v>457593</v>
      </c>
      <c r="D49" s="1">
        <v>26800</v>
      </c>
      <c r="E49" s="1">
        <v>3540</v>
      </c>
      <c r="F49" s="1">
        <v>0</v>
      </c>
      <c r="G49" s="1">
        <v>0</v>
      </c>
      <c r="H49" s="1">
        <v>0</v>
      </c>
      <c r="I49" s="1">
        <v>0</v>
      </c>
      <c r="J49" s="1">
        <v>0</v>
      </c>
      <c r="K49" s="1">
        <v>505869</v>
      </c>
    </row>
    <row r="50" spans="1:11" x14ac:dyDescent="0.25">
      <c r="A50" s="7" t="s">
        <v>409</v>
      </c>
      <c r="B50" s="1">
        <v>3920</v>
      </c>
      <c r="C50" s="1">
        <v>970773</v>
      </c>
      <c r="D50" s="1">
        <v>340266</v>
      </c>
      <c r="E50" s="1">
        <v>427139</v>
      </c>
      <c r="F50" s="1">
        <v>373287</v>
      </c>
      <c r="G50" s="1">
        <v>476848</v>
      </c>
      <c r="H50" s="1">
        <v>322829</v>
      </c>
      <c r="I50" s="1">
        <v>430804</v>
      </c>
      <c r="J50" s="1">
        <v>411034</v>
      </c>
      <c r="K50" s="1">
        <v>3756900</v>
      </c>
    </row>
    <row r="51" spans="1:11" x14ac:dyDescent="0.25">
      <c r="A51" s="7" t="s">
        <v>410</v>
      </c>
      <c r="B51" s="1">
        <v>16000</v>
      </c>
      <c r="C51" s="1">
        <v>427185</v>
      </c>
      <c r="D51" s="1">
        <v>441984</v>
      </c>
      <c r="E51" s="1">
        <v>427185</v>
      </c>
      <c r="F51" s="1">
        <v>459074</v>
      </c>
      <c r="G51" s="1">
        <v>451665</v>
      </c>
      <c r="H51" s="1">
        <v>434265</v>
      </c>
      <c r="I51" s="1">
        <v>43870</v>
      </c>
      <c r="J51" s="1">
        <v>46456</v>
      </c>
      <c r="K51" s="1">
        <v>2747684</v>
      </c>
    </row>
    <row r="52" spans="1:11" x14ac:dyDescent="0.25">
      <c r="A52" s="7" t="s">
        <v>475</v>
      </c>
      <c r="B52" s="1">
        <v>0</v>
      </c>
      <c r="C52" s="1">
        <v>0</v>
      </c>
      <c r="D52" s="1">
        <v>0</v>
      </c>
      <c r="E52" s="1">
        <v>0</v>
      </c>
      <c r="F52" s="1">
        <v>0</v>
      </c>
      <c r="G52" s="1">
        <v>487512</v>
      </c>
      <c r="H52" s="1">
        <v>331488</v>
      </c>
      <c r="I52" s="1">
        <v>0</v>
      </c>
      <c r="J52" s="1">
        <v>0</v>
      </c>
      <c r="K52" s="1">
        <v>819000</v>
      </c>
    </row>
    <row r="53" spans="1:11" x14ac:dyDescent="0.25">
      <c r="A53" s="7" t="s">
        <v>411</v>
      </c>
      <c r="B53" s="1">
        <v>0</v>
      </c>
      <c r="C53" s="1">
        <v>75438</v>
      </c>
      <c r="D53" s="1">
        <v>75438</v>
      </c>
      <c r="E53" s="1">
        <v>75438</v>
      </c>
      <c r="F53" s="1">
        <v>60000</v>
      </c>
      <c r="G53" s="1">
        <v>146396</v>
      </c>
      <c r="H53" s="1">
        <v>75438</v>
      </c>
      <c r="I53" s="1">
        <v>74821</v>
      </c>
      <c r="J53" s="1">
        <v>0</v>
      </c>
      <c r="K53" s="1">
        <v>582969</v>
      </c>
    </row>
    <row r="54" spans="1:11" x14ac:dyDescent="0.25">
      <c r="A54" s="7" t="s">
        <v>968</v>
      </c>
      <c r="B54" s="1">
        <v>0</v>
      </c>
      <c r="C54" s="1">
        <v>0</v>
      </c>
      <c r="D54" s="1">
        <v>0</v>
      </c>
      <c r="E54" s="1">
        <v>0</v>
      </c>
      <c r="F54" s="1">
        <v>0</v>
      </c>
      <c r="G54" s="1">
        <v>0</v>
      </c>
      <c r="H54" s="1">
        <v>0</v>
      </c>
      <c r="I54" s="1">
        <v>0</v>
      </c>
      <c r="J54" s="1">
        <v>0</v>
      </c>
      <c r="K54" s="1">
        <v>0</v>
      </c>
    </row>
    <row r="55" spans="1:11" x14ac:dyDescent="0.25">
      <c r="A55" s="7" t="s">
        <v>476</v>
      </c>
      <c r="B55" s="1">
        <v>0</v>
      </c>
      <c r="C55" s="1">
        <v>0</v>
      </c>
      <c r="D55" s="1">
        <v>0</v>
      </c>
      <c r="E55" s="1">
        <v>0</v>
      </c>
      <c r="F55" s="1">
        <v>0</v>
      </c>
      <c r="G55" s="1">
        <v>0</v>
      </c>
      <c r="H55" s="1">
        <v>0</v>
      </c>
      <c r="I55" s="1">
        <v>0</v>
      </c>
      <c r="J55" s="1">
        <v>0</v>
      </c>
      <c r="K55" s="1">
        <v>0</v>
      </c>
    </row>
    <row r="56" spans="1:11" x14ac:dyDescent="0.25">
      <c r="A56" s="7" t="s">
        <v>412</v>
      </c>
      <c r="B56" s="1">
        <v>0</v>
      </c>
      <c r="C56" s="1">
        <v>3540</v>
      </c>
      <c r="D56" s="1">
        <v>0</v>
      </c>
      <c r="E56" s="1">
        <v>10620</v>
      </c>
      <c r="F56" s="1">
        <v>0</v>
      </c>
      <c r="G56" s="1">
        <v>56480</v>
      </c>
      <c r="H56" s="1">
        <v>0</v>
      </c>
      <c r="I56" s="1">
        <v>0</v>
      </c>
      <c r="J56" s="1">
        <v>0</v>
      </c>
      <c r="K56" s="1">
        <v>70640</v>
      </c>
    </row>
    <row r="57" spans="1:11" x14ac:dyDescent="0.25">
      <c r="A57" s="7" t="s">
        <v>969</v>
      </c>
      <c r="B57" s="1">
        <v>0</v>
      </c>
      <c r="C57" s="1">
        <v>0</v>
      </c>
      <c r="D57" s="1">
        <v>0</v>
      </c>
      <c r="E57" s="1">
        <v>0</v>
      </c>
      <c r="F57" s="1">
        <v>0</v>
      </c>
      <c r="G57" s="1">
        <v>0</v>
      </c>
      <c r="H57" s="1">
        <v>0</v>
      </c>
      <c r="I57" s="1">
        <v>0</v>
      </c>
      <c r="J57" s="1">
        <v>0</v>
      </c>
      <c r="K57" s="1">
        <v>0</v>
      </c>
    </row>
    <row r="58" spans="1:11" x14ac:dyDescent="0.25">
      <c r="A58" s="7" t="s">
        <v>413</v>
      </c>
      <c r="B58" s="1">
        <v>0</v>
      </c>
      <c r="C58" s="1">
        <v>38624</v>
      </c>
      <c r="D58" s="1">
        <v>24846</v>
      </c>
      <c r="E58" s="1">
        <v>26612</v>
      </c>
      <c r="F58" s="1">
        <v>25663</v>
      </c>
      <c r="G58" s="1">
        <v>25123</v>
      </c>
      <c r="H58" s="1">
        <v>25505</v>
      </c>
      <c r="I58" s="1">
        <v>28892</v>
      </c>
      <c r="J58" s="1">
        <v>27817</v>
      </c>
      <c r="K58" s="1">
        <v>223082</v>
      </c>
    </row>
    <row r="59" spans="1:11" x14ac:dyDescent="0.25">
      <c r="A59" s="7" t="s">
        <v>414</v>
      </c>
      <c r="B59" s="1">
        <v>0</v>
      </c>
      <c r="C59" s="1">
        <v>7544</v>
      </c>
      <c r="D59" s="1">
        <v>6406</v>
      </c>
      <c r="E59" s="1">
        <v>6276</v>
      </c>
      <c r="F59" s="1">
        <v>7069</v>
      </c>
      <c r="G59" s="1">
        <v>4548</v>
      </c>
      <c r="H59" s="1">
        <v>8406</v>
      </c>
      <c r="I59" s="1">
        <v>6289</v>
      </c>
      <c r="J59" s="1">
        <v>5782</v>
      </c>
      <c r="K59" s="1">
        <v>52320</v>
      </c>
    </row>
    <row r="60" spans="1:11" x14ac:dyDescent="0.25">
      <c r="A60" s="7" t="s">
        <v>415</v>
      </c>
      <c r="B60" s="1">
        <v>0</v>
      </c>
      <c r="C60" s="1">
        <v>495</v>
      </c>
      <c r="D60" s="1">
        <v>495</v>
      </c>
      <c r="E60" s="1">
        <v>495</v>
      </c>
      <c r="F60" s="1">
        <v>495</v>
      </c>
      <c r="G60" s="1">
        <v>495</v>
      </c>
      <c r="H60" s="1">
        <v>495</v>
      </c>
      <c r="I60" s="1">
        <v>495</v>
      </c>
      <c r="J60" s="1">
        <v>495</v>
      </c>
      <c r="K60" s="1">
        <v>3960</v>
      </c>
    </row>
    <row r="61" spans="1:11" x14ac:dyDescent="0.25">
      <c r="A61" s="7" t="s">
        <v>416</v>
      </c>
      <c r="B61" s="1">
        <v>4230</v>
      </c>
      <c r="C61" s="1">
        <v>13680</v>
      </c>
      <c r="D61" s="1">
        <v>0</v>
      </c>
      <c r="E61" s="1">
        <v>0</v>
      </c>
      <c r="F61" s="1">
        <v>160</v>
      </c>
      <c r="G61" s="1">
        <v>60</v>
      </c>
      <c r="H61" s="1">
        <v>30</v>
      </c>
      <c r="I61" s="1">
        <v>200</v>
      </c>
      <c r="J61" s="1">
        <v>80</v>
      </c>
      <c r="K61" s="1">
        <v>18440</v>
      </c>
    </row>
    <row r="62" spans="1:11" x14ac:dyDescent="0.25">
      <c r="A62" s="7" t="s">
        <v>970</v>
      </c>
      <c r="B62" s="1">
        <v>0</v>
      </c>
      <c r="C62" s="1">
        <v>0</v>
      </c>
      <c r="D62" s="1">
        <v>0</v>
      </c>
      <c r="E62" s="1">
        <v>0</v>
      </c>
      <c r="F62" s="1">
        <v>0</v>
      </c>
      <c r="G62" s="1">
        <v>0</v>
      </c>
      <c r="H62" s="1">
        <v>0</v>
      </c>
      <c r="I62" s="1">
        <v>0</v>
      </c>
      <c r="J62" s="1">
        <v>0</v>
      </c>
      <c r="K62" s="1">
        <v>0</v>
      </c>
    </row>
    <row r="63" spans="1:11" x14ac:dyDescent="0.25">
      <c r="A63" s="7" t="s">
        <v>417</v>
      </c>
      <c r="B63" s="1">
        <v>3343</v>
      </c>
      <c r="C63" s="1">
        <v>2596</v>
      </c>
      <c r="D63" s="1">
        <v>0</v>
      </c>
      <c r="E63" s="1">
        <v>4832</v>
      </c>
      <c r="F63" s="1">
        <v>0</v>
      </c>
      <c r="G63" s="1">
        <v>37170</v>
      </c>
      <c r="H63" s="1">
        <v>2313</v>
      </c>
      <c r="I63" s="1">
        <v>0</v>
      </c>
      <c r="J63" s="1">
        <v>0</v>
      </c>
      <c r="K63" s="1">
        <v>50254</v>
      </c>
    </row>
    <row r="64" spans="1:11" x14ac:dyDescent="0.25">
      <c r="A64" s="7" t="s">
        <v>418</v>
      </c>
      <c r="B64" s="1">
        <v>0</v>
      </c>
      <c r="C64" s="1">
        <v>0</v>
      </c>
      <c r="D64" s="1">
        <v>0</v>
      </c>
      <c r="E64" s="1">
        <v>0</v>
      </c>
      <c r="F64" s="1">
        <v>0</v>
      </c>
      <c r="G64" s="1">
        <v>0</v>
      </c>
      <c r="H64" s="1">
        <v>0</v>
      </c>
      <c r="I64" s="1">
        <v>0</v>
      </c>
      <c r="J64" s="1">
        <v>0</v>
      </c>
      <c r="K64" s="1">
        <v>0</v>
      </c>
    </row>
    <row r="65" spans="1:11" x14ac:dyDescent="0.25">
      <c r="A65" s="7" t="s">
        <v>419</v>
      </c>
      <c r="B65" s="1">
        <v>10048</v>
      </c>
      <c r="C65" s="1">
        <v>73505</v>
      </c>
      <c r="D65" s="1">
        <v>17464</v>
      </c>
      <c r="E65" s="1">
        <v>45804</v>
      </c>
      <c r="F65" s="1">
        <v>32536</v>
      </c>
      <c r="G65" s="1">
        <v>12500</v>
      </c>
      <c r="H65" s="1">
        <v>13740</v>
      </c>
      <c r="I65" s="1">
        <v>10000</v>
      </c>
      <c r="J65" s="1">
        <v>18516</v>
      </c>
      <c r="K65" s="1">
        <v>234113</v>
      </c>
    </row>
    <row r="66" spans="1:11" x14ac:dyDescent="0.25">
      <c r="A66" s="7" t="s">
        <v>971</v>
      </c>
      <c r="B66" s="1">
        <v>0</v>
      </c>
      <c r="C66" s="1">
        <v>0</v>
      </c>
      <c r="D66" s="1">
        <v>0</v>
      </c>
      <c r="E66" s="1">
        <v>0</v>
      </c>
      <c r="F66" s="1">
        <v>0</v>
      </c>
      <c r="G66" s="1">
        <v>0</v>
      </c>
      <c r="H66" s="1">
        <v>0</v>
      </c>
      <c r="I66" s="1">
        <v>0</v>
      </c>
      <c r="J66" s="1">
        <v>0</v>
      </c>
      <c r="K66" s="1">
        <v>0</v>
      </c>
    </row>
    <row r="67" spans="1:11" x14ac:dyDescent="0.25">
      <c r="A67" s="7" t="s">
        <v>420</v>
      </c>
      <c r="B67" s="1">
        <v>10530</v>
      </c>
      <c r="C67" s="1">
        <v>5000</v>
      </c>
      <c r="D67" s="1">
        <v>0</v>
      </c>
      <c r="E67" s="1">
        <v>0</v>
      </c>
      <c r="F67" s="1">
        <v>0</v>
      </c>
      <c r="G67" s="1">
        <v>0</v>
      </c>
      <c r="H67" s="1">
        <v>0</v>
      </c>
      <c r="I67" s="1">
        <v>0</v>
      </c>
      <c r="J67" s="1">
        <v>0</v>
      </c>
      <c r="K67" s="1">
        <v>15530</v>
      </c>
    </row>
    <row r="68" spans="1:11" x14ac:dyDescent="0.25">
      <c r="A68" s="7" t="s">
        <v>421</v>
      </c>
      <c r="B68" s="1">
        <v>45725</v>
      </c>
      <c r="C68" s="1">
        <v>97581</v>
      </c>
      <c r="D68" s="1">
        <v>94850</v>
      </c>
      <c r="E68" s="1">
        <v>14148</v>
      </c>
      <c r="F68" s="1">
        <v>45020</v>
      </c>
      <c r="G68" s="1">
        <v>14986</v>
      </c>
      <c r="H68" s="1">
        <v>8260</v>
      </c>
      <c r="I68" s="1">
        <v>8260</v>
      </c>
      <c r="J68" s="1">
        <v>6000</v>
      </c>
      <c r="K68" s="1">
        <v>334830</v>
      </c>
    </row>
    <row r="69" spans="1:11" x14ac:dyDescent="0.25">
      <c r="A69" s="7" t="s">
        <v>422</v>
      </c>
      <c r="B69" s="1">
        <v>0</v>
      </c>
      <c r="C69" s="1">
        <v>0</v>
      </c>
      <c r="D69" s="1">
        <v>0</v>
      </c>
      <c r="E69" s="1">
        <v>0</v>
      </c>
      <c r="F69" s="1">
        <v>0</v>
      </c>
      <c r="G69" s="1">
        <v>0</v>
      </c>
      <c r="H69" s="1">
        <v>0</v>
      </c>
      <c r="I69" s="1">
        <v>0</v>
      </c>
      <c r="J69" s="1">
        <v>0</v>
      </c>
      <c r="K69" s="1">
        <v>0</v>
      </c>
    </row>
    <row r="70" spans="1:11" x14ac:dyDescent="0.25">
      <c r="A70" s="7" t="s">
        <v>423</v>
      </c>
      <c r="B70" s="1">
        <v>0</v>
      </c>
      <c r="C70" s="1">
        <v>0</v>
      </c>
      <c r="D70" s="1">
        <v>0</v>
      </c>
      <c r="E70" s="1">
        <v>0</v>
      </c>
      <c r="F70" s="1">
        <v>637200</v>
      </c>
      <c r="G70" s="1">
        <v>318600</v>
      </c>
      <c r="H70" s="1">
        <v>0</v>
      </c>
      <c r="I70" s="1">
        <v>637200</v>
      </c>
      <c r="J70" s="1">
        <v>318600</v>
      </c>
      <c r="K70" s="1">
        <v>1911600</v>
      </c>
    </row>
    <row r="71" spans="1:11" x14ac:dyDescent="0.25">
      <c r="A71" s="7" t="s">
        <v>424</v>
      </c>
      <c r="B71" s="1">
        <v>0</v>
      </c>
      <c r="C71" s="1">
        <v>0</v>
      </c>
      <c r="D71" s="1">
        <v>0</v>
      </c>
      <c r="E71" s="1">
        <v>0</v>
      </c>
      <c r="F71" s="1">
        <v>0</v>
      </c>
      <c r="G71" s="1">
        <v>0</v>
      </c>
      <c r="H71" s="1">
        <v>0</v>
      </c>
      <c r="I71" s="1">
        <v>0</v>
      </c>
      <c r="J71" s="1">
        <v>0</v>
      </c>
      <c r="K71" s="1">
        <v>0</v>
      </c>
    </row>
    <row r="72" spans="1:11" x14ac:dyDescent="0.25">
      <c r="A72" s="7" t="s">
        <v>393</v>
      </c>
      <c r="B72" s="1">
        <v>18388419</v>
      </c>
      <c r="C72" s="1">
        <v>18451040</v>
      </c>
      <c r="D72" s="1">
        <v>18486605</v>
      </c>
      <c r="E72" s="1">
        <v>18839376</v>
      </c>
      <c r="F72" s="1">
        <v>18756189</v>
      </c>
      <c r="G72" s="1">
        <v>18816904</v>
      </c>
      <c r="H72" s="1">
        <v>18661555</v>
      </c>
      <c r="I72" s="1">
        <v>18403250</v>
      </c>
      <c r="J72" s="1">
        <v>18315750</v>
      </c>
      <c r="K72" s="1">
        <v>167119088</v>
      </c>
    </row>
    <row r="73" spans="1:11" x14ac:dyDescent="0.25">
      <c r="A73" s="7" t="s">
        <v>972</v>
      </c>
      <c r="B73" s="1">
        <v>0</v>
      </c>
      <c r="C73" s="1">
        <v>0</v>
      </c>
      <c r="D73" s="1">
        <v>0</v>
      </c>
      <c r="E73" s="1">
        <v>0</v>
      </c>
      <c r="F73" s="1">
        <v>0</v>
      </c>
      <c r="G73" s="1">
        <v>0</v>
      </c>
      <c r="H73" s="1">
        <v>0</v>
      </c>
      <c r="I73" s="1">
        <v>0</v>
      </c>
      <c r="J73" s="1">
        <v>0</v>
      </c>
      <c r="K73" s="1">
        <v>0</v>
      </c>
    </row>
    <row r="74" spans="1:11" x14ac:dyDescent="0.25">
      <c r="A74" s="7" t="s">
        <v>394</v>
      </c>
      <c r="B74" s="1">
        <v>48920</v>
      </c>
      <c r="C74" s="1">
        <v>49144</v>
      </c>
      <c r="D74" s="1">
        <v>0</v>
      </c>
      <c r="E74" s="1">
        <v>50096</v>
      </c>
      <c r="F74" s="1">
        <v>0</v>
      </c>
      <c r="G74" s="1">
        <v>0</v>
      </c>
      <c r="H74" s="1">
        <v>146954</v>
      </c>
      <c r="I74" s="1">
        <v>0</v>
      </c>
      <c r="J74" s="1">
        <v>0</v>
      </c>
      <c r="K74" s="1">
        <v>295114</v>
      </c>
    </row>
    <row r="75" spans="1:11" x14ac:dyDescent="0.25">
      <c r="A75" s="7" t="s">
        <v>395</v>
      </c>
      <c r="B75" s="1">
        <v>0</v>
      </c>
      <c r="C75" s="1">
        <v>0</v>
      </c>
      <c r="D75" s="1">
        <v>0</v>
      </c>
      <c r="E75" s="1">
        <v>0</v>
      </c>
      <c r="F75" s="1">
        <v>0</v>
      </c>
      <c r="G75" s="1">
        <v>0</v>
      </c>
      <c r="H75" s="1">
        <v>0</v>
      </c>
      <c r="I75" s="1">
        <v>0</v>
      </c>
      <c r="J75" s="1">
        <v>0</v>
      </c>
      <c r="K75" s="1">
        <v>0</v>
      </c>
    </row>
    <row r="76" spans="1:11" x14ac:dyDescent="0.25">
      <c r="A76" s="7" t="s">
        <v>845</v>
      </c>
      <c r="B76" s="1">
        <v>0</v>
      </c>
      <c r="C76" s="1">
        <v>0</v>
      </c>
      <c r="D76" s="1">
        <v>0</v>
      </c>
      <c r="E76" s="1">
        <v>0</v>
      </c>
      <c r="F76" s="1">
        <v>0</v>
      </c>
      <c r="G76" s="1">
        <v>0</v>
      </c>
      <c r="H76" s="1">
        <v>4911300</v>
      </c>
      <c r="I76" s="1">
        <v>43332</v>
      </c>
      <c r="J76" s="1">
        <v>0</v>
      </c>
      <c r="K76" s="1">
        <v>4954632</v>
      </c>
    </row>
    <row r="77" spans="1:11" x14ac:dyDescent="0.25">
      <c r="A77" s="7" t="s">
        <v>396</v>
      </c>
      <c r="B77" s="1">
        <v>0</v>
      </c>
      <c r="C77" s="1">
        <v>0</v>
      </c>
      <c r="D77" s="1">
        <v>0</v>
      </c>
      <c r="E77" s="1">
        <v>0</v>
      </c>
      <c r="F77" s="1">
        <v>0</v>
      </c>
      <c r="G77" s="1">
        <v>0</v>
      </c>
      <c r="H77" s="1">
        <v>49044</v>
      </c>
      <c r="I77" s="1">
        <v>0</v>
      </c>
      <c r="J77" s="1">
        <v>50174</v>
      </c>
      <c r="K77" s="1">
        <v>99218</v>
      </c>
    </row>
    <row r="78" spans="1:11" x14ac:dyDescent="0.25">
      <c r="A78" s="7" t="s">
        <v>973</v>
      </c>
      <c r="B78" s="1">
        <v>0</v>
      </c>
      <c r="C78" s="1">
        <v>0</v>
      </c>
      <c r="D78" s="1">
        <v>0</v>
      </c>
      <c r="E78" s="1">
        <v>0</v>
      </c>
      <c r="F78" s="1">
        <v>0</v>
      </c>
      <c r="G78" s="1">
        <v>0</v>
      </c>
      <c r="H78" s="1">
        <v>0</v>
      </c>
      <c r="I78" s="1">
        <v>0</v>
      </c>
      <c r="J78" s="1">
        <v>0</v>
      </c>
      <c r="K78" s="1">
        <v>0</v>
      </c>
    </row>
    <row r="79" spans="1:11" x14ac:dyDescent="0.25">
      <c r="A79" s="7" t="s">
        <v>596</v>
      </c>
      <c r="B79" s="1">
        <v>0</v>
      </c>
      <c r="C79" s="1">
        <v>0</v>
      </c>
      <c r="D79" s="1">
        <v>0</v>
      </c>
      <c r="E79" s="1">
        <v>0</v>
      </c>
      <c r="F79" s="1">
        <v>0</v>
      </c>
      <c r="G79" s="1">
        <v>0</v>
      </c>
      <c r="H79" s="1">
        <v>0</v>
      </c>
      <c r="I79" s="1">
        <v>0</v>
      </c>
      <c r="J79" s="1">
        <v>0</v>
      </c>
      <c r="K79" s="1">
        <v>0</v>
      </c>
    </row>
    <row r="80" spans="1:11" x14ac:dyDescent="0.25">
      <c r="A80" s="7" t="s">
        <v>237</v>
      </c>
      <c r="B80" s="1">
        <v>828409</v>
      </c>
      <c r="C80" s="1">
        <v>828409</v>
      </c>
      <c r="D80" s="1">
        <v>828409</v>
      </c>
      <c r="E80" s="1">
        <v>828409</v>
      </c>
      <c r="F80" s="1">
        <v>813926</v>
      </c>
      <c r="G80" s="1">
        <v>631198</v>
      </c>
      <c r="H80" s="1">
        <v>572544</v>
      </c>
      <c r="I80" s="1">
        <v>525001</v>
      </c>
      <c r="J80" s="1">
        <v>525001</v>
      </c>
      <c r="K80" s="1">
        <v>6381306</v>
      </c>
    </row>
    <row r="81" spans="1:11" x14ac:dyDescent="0.25">
      <c r="A81" s="7" t="s">
        <v>397</v>
      </c>
      <c r="B81" s="1">
        <v>23906</v>
      </c>
      <c r="C81" s="1">
        <v>23906</v>
      </c>
      <c r="D81" s="1">
        <v>23906</v>
      </c>
      <c r="E81" s="1">
        <v>23906</v>
      </c>
      <c r="F81" s="1">
        <v>23906</v>
      </c>
      <c r="G81" s="1">
        <v>23906</v>
      </c>
      <c r="H81" s="1">
        <v>23906</v>
      </c>
      <c r="I81" s="1">
        <v>23906</v>
      </c>
      <c r="J81" s="1">
        <v>23906</v>
      </c>
      <c r="K81" s="1">
        <v>215154</v>
      </c>
    </row>
    <row r="82" spans="1:11" x14ac:dyDescent="0.25">
      <c r="A82" s="7" t="s">
        <v>557</v>
      </c>
      <c r="B82" s="1">
        <v>84971</v>
      </c>
      <c r="C82" s="1">
        <v>84971</v>
      </c>
      <c r="D82" s="1">
        <v>84971</v>
      </c>
      <c r="E82" s="1">
        <v>84971</v>
      </c>
      <c r="F82" s="1">
        <v>84971</v>
      </c>
      <c r="G82" s="1">
        <v>84971</v>
      </c>
      <c r="H82" s="1">
        <v>84971</v>
      </c>
      <c r="I82" s="1">
        <v>84971</v>
      </c>
      <c r="J82" s="1">
        <v>84971</v>
      </c>
      <c r="K82" s="1">
        <v>764739</v>
      </c>
    </row>
    <row r="83" spans="1:11" x14ac:dyDescent="0.25">
      <c r="A83" s="7" t="s">
        <v>559</v>
      </c>
      <c r="B83" s="1">
        <v>392981</v>
      </c>
      <c r="C83" s="1">
        <v>392981</v>
      </c>
      <c r="D83" s="1">
        <v>392981</v>
      </c>
      <c r="E83" s="1">
        <v>392981</v>
      </c>
      <c r="F83" s="1">
        <v>392981</v>
      </c>
      <c r="G83" s="1">
        <v>392981</v>
      </c>
      <c r="H83" s="1">
        <v>392981</v>
      </c>
      <c r="I83" s="1">
        <v>392981</v>
      </c>
      <c r="J83" s="1">
        <v>392981</v>
      </c>
      <c r="K83" s="1">
        <v>3536829</v>
      </c>
    </row>
    <row r="84" spans="1:11" x14ac:dyDescent="0.25">
      <c r="A84" s="7" t="s">
        <v>398</v>
      </c>
      <c r="B84" s="1">
        <v>249468</v>
      </c>
      <c r="C84" s="1">
        <v>249468</v>
      </c>
      <c r="D84" s="1">
        <v>249468</v>
      </c>
      <c r="E84" s="1">
        <v>249468</v>
      </c>
      <c r="F84" s="1">
        <v>249468</v>
      </c>
      <c r="G84" s="1">
        <v>237535</v>
      </c>
      <c r="H84" s="1">
        <v>194211</v>
      </c>
      <c r="I84" s="1">
        <v>194211</v>
      </c>
      <c r="J84" s="1">
        <v>194211</v>
      </c>
      <c r="K84" s="1">
        <v>2067508</v>
      </c>
    </row>
    <row r="85" spans="1:11" x14ac:dyDescent="0.25">
      <c r="A85" s="7" t="s">
        <v>399</v>
      </c>
      <c r="B85" s="1">
        <v>10325</v>
      </c>
      <c r="C85" s="1">
        <v>10325</v>
      </c>
      <c r="D85" s="1">
        <v>10325</v>
      </c>
      <c r="E85" s="1">
        <v>10325</v>
      </c>
      <c r="F85" s="1">
        <v>10325</v>
      </c>
      <c r="G85" s="1">
        <v>10325</v>
      </c>
      <c r="H85" s="1">
        <v>10325</v>
      </c>
      <c r="I85" s="1">
        <v>10325</v>
      </c>
      <c r="J85" s="1">
        <v>10325</v>
      </c>
      <c r="K85" s="1">
        <v>92925</v>
      </c>
    </row>
    <row r="86" spans="1:11" x14ac:dyDescent="0.25">
      <c r="A86" s="7" t="s">
        <v>298</v>
      </c>
      <c r="B86" s="1">
        <v>1314745</v>
      </c>
      <c r="C86" s="1">
        <v>1323117</v>
      </c>
      <c r="D86" s="1">
        <v>1005662</v>
      </c>
      <c r="E86" s="1">
        <v>846851</v>
      </c>
      <c r="F86" s="1">
        <v>846851</v>
      </c>
      <c r="G86" s="1">
        <v>846851</v>
      </c>
      <c r="H86" s="1">
        <v>846851</v>
      </c>
      <c r="I86" s="1">
        <v>873757</v>
      </c>
      <c r="J86" s="1">
        <v>873918</v>
      </c>
      <c r="K86" s="1">
        <v>8778603</v>
      </c>
    </row>
    <row r="87" spans="1:11" x14ac:dyDescent="0.25">
      <c r="A87" s="7" t="s">
        <v>328</v>
      </c>
      <c r="B87" s="1">
        <v>38384</v>
      </c>
      <c r="C87" s="1">
        <v>38384</v>
      </c>
      <c r="D87" s="1">
        <v>38384</v>
      </c>
      <c r="E87" s="1">
        <v>51206</v>
      </c>
      <c r="F87" s="1">
        <v>50736</v>
      </c>
      <c r="G87" s="1">
        <v>50736</v>
      </c>
      <c r="H87" s="1">
        <v>50736</v>
      </c>
      <c r="I87" s="1">
        <v>50736</v>
      </c>
      <c r="J87" s="1">
        <v>17445</v>
      </c>
      <c r="K87" s="1">
        <v>386747</v>
      </c>
    </row>
    <row r="88" spans="1:11" x14ac:dyDescent="0.25">
      <c r="A88" s="7" t="s">
        <v>400</v>
      </c>
      <c r="B88" s="1">
        <v>17160</v>
      </c>
      <c r="C88" s="1">
        <v>17160</v>
      </c>
      <c r="D88" s="1">
        <v>17160</v>
      </c>
      <c r="E88" s="1">
        <v>17160</v>
      </c>
      <c r="F88" s="1">
        <v>17160</v>
      </c>
      <c r="G88" s="1">
        <v>17160</v>
      </c>
      <c r="H88" s="1">
        <v>17160</v>
      </c>
      <c r="I88" s="1">
        <v>17160</v>
      </c>
      <c r="J88" s="1">
        <v>17160</v>
      </c>
      <c r="K88" s="1">
        <v>154440</v>
      </c>
    </row>
    <row r="89" spans="1:11" x14ac:dyDescent="0.25">
      <c r="A89" s="7" t="s">
        <v>401</v>
      </c>
      <c r="B89" s="1">
        <v>1528</v>
      </c>
      <c r="C89" s="1">
        <v>1528</v>
      </c>
      <c r="D89" s="1">
        <v>1528</v>
      </c>
      <c r="E89" s="1">
        <v>1528</v>
      </c>
      <c r="F89" s="1">
        <v>1528</v>
      </c>
      <c r="G89" s="1">
        <v>1528</v>
      </c>
      <c r="H89" s="1">
        <v>1528</v>
      </c>
      <c r="I89" s="1">
        <v>1528</v>
      </c>
      <c r="J89" s="1">
        <v>1528</v>
      </c>
      <c r="K89" s="1">
        <v>13752</v>
      </c>
    </row>
    <row r="90" spans="1:11" x14ac:dyDescent="0.25">
      <c r="A90" s="7" t="s">
        <v>974</v>
      </c>
      <c r="B90" s="1">
        <v>0</v>
      </c>
      <c r="C90" s="1">
        <v>0</v>
      </c>
      <c r="D90" s="1">
        <v>0</v>
      </c>
      <c r="E90" s="1">
        <v>0</v>
      </c>
      <c r="F90" s="1">
        <v>0</v>
      </c>
      <c r="G90" s="1">
        <v>0</v>
      </c>
      <c r="H90" s="1">
        <v>0</v>
      </c>
      <c r="I90" s="1">
        <v>0</v>
      </c>
      <c r="J90" s="1">
        <v>0</v>
      </c>
      <c r="K90" s="1">
        <v>0</v>
      </c>
    </row>
    <row r="91" spans="1:11" x14ac:dyDescent="0.25">
      <c r="A91" s="7" t="s">
        <v>425</v>
      </c>
      <c r="B91" s="1">
        <v>25458</v>
      </c>
      <c r="C91" s="1">
        <v>18705</v>
      </c>
      <c r="D91" s="1">
        <v>2583</v>
      </c>
      <c r="E91" s="1">
        <v>29456</v>
      </c>
      <c r="F91" s="1">
        <v>0</v>
      </c>
      <c r="G91" s="1">
        <v>107830</v>
      </c>
      <c r="H91" s="1">
        <v>26286</v>
      </c>
      <c r="I91" s="1">
        <v>0</v>
      </c>
      <c r="J91" s="1">
        <v>15465</v>
      </c>
      <c r="K91" s="1">
        <v>225783</v>
      </c>
    </row>
    <row r="92" spans="1:11" x14ac:dyDescent="0.25">
      <c r="A92" s="7" t="s">
        <v>426</v>
      </c>
      <c r="B92" s="1">
        <v>3990</v>
      </c>
      <c r="C92" s="1">
        <v>8680</v>
      </c>
      <c r="D92" s="1">
        <v>8120</v>
      </c>
      <c r="E92" s="1">
        <v>9820</v>
      </c>
      <c r="F92" s="1">
        <v>16940</v>
      </c>
      <c r="G92" s="1">
        <v>9730</v>
      </c>
      <c r="H92" s="1">
        <v>5040</v>
      </c>
      <c r="I92" s="1">
        <v>7300</v>
      </c>
      <c r="J92" s="1">
        <v>5640</v>
      </c>
      <c r="K92" s="1">
        <v>75260</v>
      </c>
    </row>
    <row r="93" spans="1:11" x14ac:dyDescent="0.25">
      <c r="A93" s="7" t="s">
        <v>427</v>
      </c>
      <c r="B93" s="1">
        <v>39576</v>
      </c>
      <c r="C93" s="1">
        <v>51444</v>
      </c>
      <c r="D93" s="1">
        <v>269170</v>
      </c>
      <c r="E93" s="1">
        <v>40342</v>
      </c>
      <c r="F93" s="1">
        <v>48389</v>
      </c>
      <c r="G93" s="1">
        <v>1199</v>
      </c>
      <c r="H93" s="1">
        <v>0</v>
      </c>
      <c r="I93" s="1">
        <v>0</v>
      </c>
      <c r="J93" s="1">
        <v>47943</v>
      </c>
      <c r="K93" s="1">
        <v>498063</v>
      </c>
    </row>
    <row r="94" spans="1:11" x14ac:dyDescent="0.25">
      <c r="A94" s="7" t="s">
        <v>428</v>
      </c>
      <c r="B94" s="1">
        <v>0</v>
      </c>
      <c r="C94" s="1">
        <v>0</v>
      </c>
      <c r="D94" s="1">
        <v>9808</v>
      </c>
      <c r="E94" s="1">
        <v>0</v>
      </c>
      <c r="F94" s="1">
        <v>0</v>
      </c>
      <c r="G94" s="1">
        <v>0</v>
      </c>
      <c r="H94" s="1">
        <v>0</v>
      </c>
      <c r="I94" s="1">
        <v>0</v>
      </c>
      <c r="J94" s="1">
        <v>0</v>
      </c>
      <c r="K94" s="1">
        <v>9808</v>
      </c>
    </row>
    <row r="95" spans="1:11" x14ac:dyDescent="0.25">
      <c r="A95" s="7" t="s">
        <v>975</v>
      </c>
      <c r="B95" s="1">
        <v>0</v>
      </c>
      <c r="C95" s="1">
        <v>0</v>
      </c>
      <c r="D95" s="1">
        <v>0</v>
      </c>
      <c r="E95" s="1">
        <v>0</v>
      </c>
      <c r="F95" s="1">
        <v>0</v>
      </c>
      <c r="G95" s="1">
        <v>0</v>
      </c>
      <c r="H95" s="1">
        <v>0</v>
      </c>
      <c r="I95" s="1">
        <v>0</v>
      </c>
      <c r="J95" s="1">
        <v>0</v>
      </c>
      <c r="K95" s="1">
        <v>0</v>
      </c>
    </row>
    <row r="96" spans="1:11" x14ac:dyDescent="0.25">
      <c r="A96" s="7" t="s">
        <v>429</v>
      </c>
      <c r="B96" s="1">
        <v>1043</v>
      </c>
      <c r="C96" s="1">
        <v>0</v>
      </c>
      <c r="D96" s="1">
        <v>34441</v>
      </c>
      <c r="E96" s="1">
        <v>0</v>
      </c>
      <c r="F96" s="1">
        <v>150973</v>
      </c>
      <c r="G96" s="1">
        <v>82812</v>
      </c>
      <c r="H96" s="1">
        <v>17442</v>
      </c>
      <c r="I96" s="1">
        <v>0</v>
      </c>
      <c r="J96" s="1">
        <v>84868</v>
      </c>
      <c r="K96" s="1">
        <v>371579</v>
      </c>
    </row>
    <row r="97" spans="1:11" x14ac:dyDescent="0.25">
      <c r="A97" s="7" t="s">
        <v>976</v>
      </c>
      <c r="B97" s="1">
        <v>0</v>
      </c>
      <c r="C97" s="1">
        <v>0</v>
      </c>
      <c r="D97" s="1">
        <v>0</v>
      </c>
      <c r="E97" s="1">
        <v>0</v>
      </c>
      <c r="F97" s="1">
        <v>0</v>
      </c>
      <c r="G97" s="1">
        <v>0</v>
      </c>
      <c r="H97" s="1">
        <v>0</v>
      </c>
      <c r="I97" s="1">
        <v>0</v>
      </c>
      <c r="J97" s="1">
        <v>0</v>
      </c>
      <c r="K97" s="1">
        <v>0</v>
      </c>
    </row>
    <row r="98" spans="1:11" x14ac:dyDescent="0.25">
      <c r="A98" s="7" t="s">
        <v>430</v>
      </c>
      <c r="B98" s="1">
        <v>7200</v>
      </c>
      <c r="C98" s="1">
        <v>0</v>
      </c>
      <c r="D98" s="1">
        <v>0</v>
      </c>
      <c r="E98" s="1">
        <v>7200</v>
      </c>
      <c r="F98" s="1">
        <v>14400</v>
      </c>
      <c r="G98" s="1">
        <v>5400</v>
      </c>
      <c r="H98" s="1">
        <v>0</v>
      </c>
      <c r="I98" s="1">
        <v>16200</v>
      </c>
      <c r="J98" s="1">
        <v>0</v>
      </c>
      <c r="K98" s="1">
        <v>50400</v>
      </c>
    </row>
    <row r="99" spans="1:11" x14ac:dyDescent="0.25">
      <c r="A99" s="7" t="s">
        <v>977</v>
      </c>
      <c r="B99" s="1">
        <v>0</v>
      </c>
      <c r="C99" s="1">
        <v>0</v>
      </c>
      <c r="D99" s="1">
        <v>0</v>
      </c>
      <c r="E99" s="1">
        <v>0</v>
      </c>
      <c r="F99" s="1">
        <v>0</v>
      </c>
      <c r="G99" s="1">
        <v>0</v>
      </c>
      <c r="H99" s="1">
        <v>0</v>
      </c>
      <c r="I99" s="1">
        <v>0</v>
      </c>
      <c r="J99" s="1">
        <v>0</v>
      </c>
      <c r="K99" s="1">
        <v>0</v>
      </c>
    </row>
    <row r="100" spans="1:11" x14ac:dyDescent="0.25">
      <c r="A100" s="7" t="s">
        <v>431</v>
      </c>
      <c r="B100" s="1">
        <v>0</v>
      </c>
      <c r="C100" s="1">
        <v>53334</v>
      </c>
      <c r="D100" s="1">
        <v>56724</v>
      </c>
      <c r="E100" s="1">
        <v>64729</v>
      </c>
      <c r="F100" s="1">
        <v>57777</v>
      </c>
      <c r="G100" s="1">
        <v>57777</v>
      </c>
      <c r="H100" s="1">
        <v>72156</v>
      </c>
      <c r="I100" s="1">
        <v>57777</v>
      </c>
      <c r="J100" s="1">
        <v>64993</v>
      </c>
      <c r="K100" s="1">
        <v>485267</v>
      </c>
    </row>
    <row r="101" spans="1:11" x14ac:dyDescent="0.25">
      <c r="A101" s="7" t="s">
        <v>432</v>
      </c>
      <c r="B101" s="1">
        <v>0</v>
      </c>
      <c r="C101" s="1">
        <v>34445</v>
      </c>
      <c r="D101" s="1">
        <v>34445</v>
      </c>
      <c r="E101" s="1">
        <v>34445</v>
      </c>
      <c r="F101" s="1">
        <v>34445</v>
      </c>
      <c r="G101" s="1">
        <v>34445</v>
      </c>
      <c r="H101" s="1">
        <v>34445</v>
      </c>
      <c r="I101" s="1">
        <v>34445</v>
      </c>
      <c r="J101" s="1">
        <v>34445</v>
      </c>
      <c r="K101" s="1">
        <v>275560</v>
      </c>
    </row>
    <row r="102" spans="1:11" x14ac:dyDescent="0.25">
      <c r="A102" s="7" t="s">
        <v>978</v>
      </c>
      <c r="B102" s="1">
        <v>0</v>
      </c>
      <c r="C102" s="1">
        <v>0</v>
      </c>
      <c r="D102" s="1">
        <v>0</v>
      </c>
      <c r="E102" s="1">
        <v>0</v>
      </c>
      <c r="F102" s="1">
        <v>0</v>
      </c>
      <c r="G102" s="1">
        <v>0</v>
      </c>
      <c r="H102" s="1">
        <v>0</v>
      </c>
      <c r="I102" s="1">
        <v>0</v>
      </c>
      <c r="J102" s="1">
        <v>0</v>
      </c>
      <c r="K102" s="1">
        <v>0</v>
      </c>
    </row>
    <row r="103" spans="1:11" x14ac:dyDescent="0.25">
      <c r="A103" s="7" t="s">
        <v>433</v>
      </c>
      <c r="B103" s="1">
        <v>29932</v>
      </c>
      <c r="C103" s="1">
        <v>25201</v>
      </c>
      <c r="D103" s="1">
        <v>0</v>
      </c>
      <c r="E103" s="1">
        <v>8193</v>
      </c>
      <c r="F103" s="1">
        <v>32456</v>
      </c>
      <c r="G103" s="1">
        <v>18167</v>
      </c>
      <c r="H103" s="1">
        <v>47810</v>
      </c>
      <c r="I103" s="1">
        <v>29866</v>
      </c>
      <c r="J103" s="1">
        <v>25736</v>
      </c>
      <c r="K103" s="1">
        <v>217361</v>
      </c>
    </row>
    <row r="104" spans="1:11" x14ac:dyDescent="0.25">
      <c r="A104" s="7" t="s">
        <v>434</v>
      </c>
      <c r="B104" s="1">
        <v>0</v>
      </c>
      <c r="C104" s="1">
        <v>0</v>
      </c>
      <c r="D104" s="1">
        <v>0</v>
      </c>
      <c r="E104" s="1">
        <v>0</v>
      </c>
      <c r="F104" s="1">
        <v>40345</v>
      </c>
      <c r="G104" s="1">
        <v>0</v>
      </c>
      <c r="H104" s="1">
        <v>0</v>
      </c>
      <c r="I104" s="1">
        <v>0</v>
      </c>
      <c r="J104" s="1">
        <v>0</v>
      </c>
      <c r="K104" s="1">
        <v>40345</v>
      </c>
    </row>
    <row r="105" spans="1:11" x14ac:dyDescent="0.25">
      <c r="A105" s="7" t="s">
        <v>435</v>
      </c>
      <c r="B105" s="1">
        <v>0</v>
      </c>
      <c r="C105" s="1">
        <v>0</v>
      </c>
      <c r="D105" s="1">
        <v>0</v>
      </c>
      <c r="E105" s="1">
        <v>0</v>
      </c>
      <c r="F105" s="1">
        <v>24372</v>
      </c>
      <c r="G105" s="1">
        <v>22158</v>
      </c>
      <c r="H105" s="1">
        <v>0</v>
      </c>
      <c r="I105" s="1">
        <v>36499</v>
      </c>
      <c r="J105" s="1">
        <v>52664</v>
      </c>
      <c r="K105" s="1">
        <v>135693</v>
      </c>
    </row>
    <row r="106" spans="1:11" x14ac:dyDescent="0.25">
      <c r="A106" s="7" t="s">
        <v>436</v>
      </c>
      <c r="B106" s="1">
        <v>0</v>
      </c>
      <c r="C106" s="1">
        <v>0</v>
      </c>
      <c r="D106" s="1">
        <v>0</v>
      </c>
      <c r="E106" s="1">
        <v>0</v>
      </c>
      <c r="F106" s="1">
        <v>122187</v>
      </c>
      <c r="G106" s="1">
        <v>0</v>
      </c>
      <c r="H106" s="1">
        <v>0</v>
      </c>
      <c r="I106" s="1">
        <v>0</v>
      </c>
      <c r="J106" s="1">
        <v>0</v>
      </c>
      <c r="K106" s="1">
        <v>122187</v>
      </c>
    </row>
    <row r="107" spans="1:11" x14ac:dyDescent="0.25">
      <c r="A107" s="7" t="s">
        <v>437</v>
      </c>
      <c r="B107" s="1">
        <v>0</v>
      </c>
      <c r="C107" s="1">
        <v>0</v>
      </c>
      <c r="D107" s="1">
        <v>0</v>
      </c>
      <c r="E107" s="1">
        <v>0</v>
      </c>
      <c r="F107" s="1">
        <v>47864</v>
      </c>
      <c r="G107" s="1">
        <v>0</v>
      </c>
      <c r="H107" s="1">
        <v>0</v>
      </c>
      <c r="I107" s="1">
        <v>0</v>
      </c>
      <c r="J107" s="1">
        <v>0</v>
      </c>
      <c r="K107" s="1">
        <v>47864</v>
      </c>
    </row>
    <row r="108" spans="1:11" x14ac:dyDescent="0.25">
      <c r="A108" s="7" t="s">
        <v>438</v>
      </c>
      <c r="B108" s="1">
        <v>492</v>
      </c>
      <c r="C108" s="1">
        <v>262</v>
      </c>
      <c r="D108" s="1">
        <v>0</v>
      </c>
      <c r="E108" s="1">
        <v>0</v>
      </c>
      <c r="F108" s="1">
        <v>12123</v>
      </c>
      <c r="G108" s="1">
        <v>556</v>
      </c>
      <c r="H108" s="1">
        <v>229</v>
      </c>
      <c r="I108" s="1">
        <v>0</v>
      </c>
      <c r="J108" s="1">
        <v>0</v>
      </c>
      <c r="K108" s="1">
        <v>13662</v>
      </c>
    </row>
    <row r="109" spans="1:11" x14ac:dyDescent="0.25">
      <c r="A109" s="7" t="s">
        <v>439</v>
      </c>
      <c r="B109" s="1">
        <v>20477</v>
      </c>
      <c r="C109" s="1">
        <v>21416</v>
      </c>
      <c r="D109" s="1">
        <v>20650</v>
      </c>
      <c r="E109" s="1">
        <v>24877</v>
      </c>
      <c r="F109" s="1">
        <v>27950</v>
      </c>
      <c r="G109" s="1">
        <v>18636</v>
      </c>
      <c r="H109" s="1">
        <v>47615</v>
      </c>
      <c r="I109" s="1">
        <v>26351</v>
      </c>
      <c r="J109" s="1">
        <v>19972</v>
      </c>
      <c r="K109" s="1">
        <v>227944</v>
      </c>
    </row>
    <row r="110" spans="1:11" x14ac:dyDescent="0.25">
      <c r="A110" s="7" t="s">
        <v>440</v>
      </c>
      <c r="B110" s="1">
        <v>35592</v>
      </c>
      <c r="C110" s="1">
        <v>0</v>
      </c>
      <c r="D110" s="1">
        <v>108346</v>
      </c>
      <c r="E110" s="1">
        <v>48822</v>
      </c>
      <c r="F110" s="1">
        <v>31430</v>
      </c>
      <c r="G110" s="1">
        <v>0</v>
      </c>
      <c r="H110" s="1">
        <v>0</v>
      </c>
      <c r="I110" s="1">
        <v>739200</v>
      </c>
      <c r="J110" s="1">
        <v>0</v>
      </c>
      <c r="K110" s="1">
        <v>963390</v>
      </c>
    </row>
    <row r="111" spans="1:11" x14ac:dyDescent="0.25">
      <c r="A111" s="7" t="s">
        <v>979</v>
      </c>
      <c r="B111" s="1">
        <v>0</v>
      </c>
      <c r="C111" s="1">
        <v>0</v>
      </c>
      <c r="D111" s="1">
        <v>0</v>
      </c>
      <c r="E111" s="1">
        <v>0</v>
      </c>
      <c r="F111" s="1">
        <v>0</v>
      </c>
      <c r="G111" s="1">
        <v>0</v>
      </c>
      <c r="H111" s="1">
        <v>0</v>
      </c>
      <c r="I111" s="1">
        <v>0</v>
      </c>
      <c r="J111" s="1">
        <v>0</v>
      </c>
      <c r="K111" s="1">
        <v>0</v>
      </c>
    </row>
    <row r="112" spans="1:11" x14ac:dyDescent="0.25">
      <c r="A112" s="7" t="s">
        <v>441</v>
      </c>
      <c r="B112" s="1">
        <v>23600</v>
      </c>
      <c r="C112" s="1">
        <v>65478</v>
      </c>
      <c r="D112" s="1">
        <v>34488</v>
      </c>
      <c r="E112" s="1">
        <v>30182</v>
      </c>
      <c r="F112" s="1">
        <v>92108</v>
      </c>
      <c r="G112" s="1">
        <v>62256</v>
      </c>
      <c r="H112" s="1">
        <v>23600</v>
      </c>
      <c r="I112" s="1">
        <v>34338</v>
      </c>
      <c r="J112" s="1">
        <v>27444</v>
      </c>
      <c r="K112" s="1">
        <v>393494</v>
      </c>
    </row>
    <row r="113" spans="1:11" x14ac:dyDescent="0.25">
      <c r="A113" s="7" t="s">
        <v>442</v>
      </c>
      <c r="B113" s="1">
        <v>0</v>
      </c>
      <c r="C113" s="1">
        <v>0</v>
      </c>
      <c r="D113" s="1">
        <v>0</v>
      </c>
      <c r="E113" s="1">
        <v>0</v>
      </c>
      <c r="F113" s="1">
        <v>0</v>
      </c>
      <c r="G113" s="1">
        <v>149860</v>
      </c>
      <c r="H113" s="1">
        <v>0</v>
      </c>
      <c r="I113" s="1">
        <v>0</v>
      </c>
      <c r="J113" s="1">
        <v>0</v>
      </c>
      <c r="K113" s="1">
        <v>149860</v>
      </c>
    </row>
    <row r="114" spans="1:11" x14ac:dyDescent="0.25">
      <c r="A114" s="7" t="s">
        <v>443</v>
      </c>
      <c r="B114" s="1">
        <v>0</v>
      </c>
      <c r="C114" s="1">
        <v>35990</v>
      </c>
      <c r="D114" s="1">
        <v>0</v>
      </c>
      <c r="E114" s="1">
        <v>0</v>
      </c>
      <c r="F114" s="1">
        <v>0</v>
      </c>
      <c r="G114" s="1">
        <v>0</v>
      </c>
      <c r="H114" s="1">
        <v>0</v>
      </c>
      <c r="I114" s="1">
        <v>0</v>
      </c>
      <c r="J114" s="1">
        <v>0</v>
      </c>
      <c r="K114" s="1">
        <v>35990</v>
      </c>
    </row>
    <row r="115" spans="1:11" x14ac:dyDescent="0.25">
      <c r="A115" s="7" t="s">
        <v>980</v>
      </c>
      <c r="B115" s="1">
        <v>0</v>
      </c>
      <c r="C115" s="1">
        <v>0</v>
      </c>
      <c r="D115" s="1">
        <v>0</v>
      </c>
      <c r="E115" s="1">
        <v>0</v>
      </c>
      <c r="F115" s="1">
        <v>0</v>
      </c>
      <c r="G115" s="1">
        <v>0</v>
      </c>
      <c r="H115" s="1">
        <v>0</v>
      </c>
      <c r="I115" s="1">
        <v>0</v>
      </c>
      <c r="J115" s="1">
        <v>0</v>
      </c>
      <c r="K115" s="1">
        <v>0</v>
      </c>
    </row>
    <row r="116" spans="1:11" x14ac:dyDescent="0.25">
      <c r="A116" s="7" t="s">
        <v>444</v>
      </c>
      <c r="B116" s="1">
        <v>0</v>
      </c>
      <c r="C116" s="1">
        <v>50150</v>
      </c>
      <c r="D116" s="1">
        <v>149163</v>
      </c>
      <c r="E116" s="1">
        <v>90429</v>
      </c>
      <c r="F116" s="1">
        <v>54107</v>
      </c>
      <c r="G116" s="1">
        <v>50150</v>
      </c>
      <c r="H116" s="1">
        <v>50150</v>
      </c>
      <c r="I116" s="1">
        <v>58064</v>
      </c>
      <c r="J116" s="1">
        <v>35400</v>
      </c>
      <c r="K116" s="1">
        <v>537613</v>
      </c>
    </row>
    <row r="117" spans="1:11" x14ac:dyDescent="0.25">
      <c r="A117" s="7" t="s">
        <v>445</v>
      </c>
      <c r="B117" s="1">
        <v>0</v>
      </c>
      <c r="C117" s="1">
        <v>0</v>
      </c>
      <c r="D117" s="1">
        <v>0</v>
      </c>
      <c r="E117" s="1">
        <v>0</v>
      </c>
      <c r="F117" s="1">
        <v>0</v>
      </c>
      <c r="G117" s="1">
        <v>0</v>
      </c>
      <c r="H117" s="1">
        <v>0</v>
      </c>
      <c r="I117" s="1">
        <v>0</v>
      </c>
      <c r="J117" s="1">
        <v>174512</v>
      </c>
      <c r="K117" s="1">
        <v>174512</v>
      </c>
    </row>
    <row r="118" spans="1:11" x14ac:dyDescent="0.25">
      <c r="A118" s="7" t="s">
        <v>446</v>
      </c>
      <c r="B118" s="1">
        <v>0</v>
      </c>
      <c r="C118" s="1">
        <v>453348</v>
      </c>
      <c r="D118" s="1">
        <v>328366</v>
      </c>
      <c r="E118" s="1">
        <v>577540</v>
      </c>
      <c r="F118" s="1">
        <v>439736</v>
      </c>
      <c r="G118" s="1">
        <v>305399</v>
      </c>
      <c r="H118" s="1">
        <v>356273</v>
      </c>
      <c r="I118" s="1">
        <v>344457</v>
      </c>
      <c r="J118" s="1">
        <v>288421</v>
      </c>
      <c r="K118" s="1">
        <v>3093540</v>
      </c>
    </row>
    <row r="119" spans="1:11" x14ac:dyDescent="0.25">
      <c r="A119" s="7" t="s">
        <v>447</v>
      </c>
      <c r="B119" s="1">
        <v>59558</v>
      </c>
      <c r="C119" s="1">
        <v>60669</v>
      </c>
      <c r="D119" s="1">
        <v>159557</v>
      </c>
      <c r="E119" s="1">
        <v>59558</v>
      </c>
      <c r="F119" s="1">
        <v>59558</v>
      </c>
      <c r="G119" s="1">
        <v>159558</v>
      </c>
      <c r="H119" s="1">
        <v>42229</v>
      </c>
      <c r="I119" s="1">
        <v>32909</v>
      </c>
      <c r="J119" s="1">
        <v>0</v>
      </c>
      <c r="K119" s="1">
        <v>633596</v>
      </c>
    </row>
    <row r="120" spans="1:11" x14ac:dyDescent="0.25">
      <c r="A120" s="7" t="s">
        <v>846</v>
      </c>
      <c r="B120" s="1">
        <v>0</v>
      </c>
      <c r="C120" s="1">
        <v>0</v>
      </c>
      <c r="D120" s="1">
        <v>0</v>
      </c>
      <c r="E120" s="1">
        <v>2968290</v>
      </c>
      <c r="F120" s="1">
        <v>0</v>
      </c>
      <c r="G120" s="1">
        <v>0</v>
      </c>
      <c r="H120" s="1">
        <v>0</v>
      </c>
      <c r="I120" s="1">
        <v>0</v>
      </c>
      <c r="J120" s="1">
        <v>0</v>
      </c>
      <c r="K120" s="1">
        <v>2968290</v>
      </c>
    </row>
    <row r="121" spans="1:11" x14ac:dyDescent="0.25">
      <c r="A121" s="7" t="s">
        <v>448</v>
      </c>
      <c r="B121" s="1">
        <v>8780</v>
      </c>
      <c r="C121" s="1">
        <v>0</v>
      </c>
      <c r="D121" s="1">
        <v>170500</v>
      </c>
      <c r="E121" s="1">
        <v>0</v>
      </c>
      <c r="F121" s="1">
        <v>2150</v>
      </c>
      <c r="G121" s="1">
        <v>0</v>
      </c>
      <c r="H121" s="1">
        <v>0</v>
      </c>
      <c r="I121" s="1">
        <v>0</v>
      </c>
      <c r="J121" s="1">
        <v>1500</v>
      </c>
      <c r="K121" s="1">
        <v>182930</v>
      </c>
    </row>
    <row r="122" spans="1:11" x14ac:dyDescent="0.25">
      <c r="A122" s="7" t="s">
        <v>449</v>
      </c>
      <c r="B122" s="1">
        <v>0</v>
      </c>
      <c r="C122" s="1">
        <v>0</v>
      </c>
      <c r="D122" s="1">
        <v>0</v>
      </c>
      <c r="E122" s="1">
        <v>0</v>
      </c>
      <c r="F122" s="1">
        <v>0</v>
      </c>
      <c r="G122" s="1">
        <v>0</v>
      </c>
      <c r="H122" s="1">
        <v>0</v>
      </c>
      <c r="I122" s="1">
        <v>0</v>
      </c>
      <c r="J122" s="1">
        <v>0</v>
      </c>
      <c r="K122" s="1">
        <v>0</v>
      </c>
    </row>
    <row r="123" spans="1:11" x14ac:dyDescent="0.25">
      <c r="A123" s="7" t="s">
        <v>450</v>
      </c>
      <c r="B123" s="1">
        <v>0</v>
      </c>
      <c r="C123" s="1">
        <v>2285</v>
      </c>
      <c r="D123" s="1">
        <v>0</v>
      </c>
      <c r="E123" s="1">
        <v>0</v>
      </c>
      <c r="F123" s="1">
        <v>0</v>
      </c>
      <c r="G123" s="1">
        <v>0</v>
      </c>
      <c r="H123" s="1">
        <v>800</v>
      </c>
      <c r="I123" s="1">
        <v>0</v>
      </c>
      <c r="J123" s="1">
        <v>0</v>
      </c>
      <c r="K123" s="1">
        <v>3085</v>
      </c>
    </row>
    <row r="124" spans="1:11" x14ac:dyDescent="0.25">
      <c r="A124" s="7" t="s">
        <v>451</v>
      </c>
      <c r="B124" s="1">
        <v>0</v>
      </c>
      <c r="C124" s="1">
        <v>0</v>
      </c>
      <c r="D124" s="1">
        <v>0</v>
      </c>
      <c r="E124" s="1">
        <v>0</v>
      </c>
      <c r="F124" s="1">
        <v>3824</v>
      </c>
      <c r="G124" s="1">
        <v>10113</v>
      </c>
      <c r="H124" s="1">
        <v>1514</v>
      </c>
      <c r="I124" s="1">
        <v>34550</v>
      </c>
      <c r="J124" s="1">
        <v>4570</v>
      </c>
      <c r="K124" s="1">
        <v>54571</v>
      </c>
    </row>
    <row r="125" spans="1:11" x14ac:dyDescent="0.25">
      <c r="A125" s="7" t="s">
        <v>452</v>
      </c>
      <c r="B125" s="1">
        <v>0</v>
      </c>
      <c r="C125" s="1">
        <v>0</v>
      </c>
      <c r="D125" s="1">
        <v>27579</v>
      </c>
      <c r="E125" s="1">
        <v>0</v>
      </c>
      <c r="F125" s="1">
        <v>23219</v>
      </c>
      <c r="G125" s="1">
        <v>0</v>
      </c>
      <c r="H125" s="1">
        <v>27072</v>
      </c>
      <c r="I125" s="1">
        <v>0</v>
      </c>
      <c r="J125" s="1">
        <v>0</v>
      </c>
      <c r="K125" s="1">
        <v>77870</v>
      </c>
    </row>
    <row r="126" spans="1:11" x14ac:dyDescent="0.25">
      <c r="A126" s="7" t="s">
        <v>453</v>
      </c>
      <c r="B126" s="1">
        <v>210</v>
      </c>
      <c r="C126" s="1">
        <v>1300</v>
      </c>
      <c r="D126" s="1">
        <v>8074</v>
      </c>
      <c r="E126" s="1">
        <v>1055</v>
      </c>
      <c r="F126" s="1">
        <v>650</v>
      </c>
      <c r="G126" s="1">
        <v>7907</v>
      </c>
      <c r="H126" s="1">
        <v>330</v>
      </c>
      <c r="I126" s="1">
        <v>1890</v>
      </c>
      <c r="J126" s="1">
        <v>1031</v>
      </c>
      <c r="K126" s="1">
        <v>22447</v>
      </c>
    </row>
    <row r="127" spans="1:11" x14ac:dyDescent="0.25">
      <c r="A127" s="7" t="s">
        <v>477</v>
      </c>
      <c r="B127" s="1">
        <v>440</v>
      </c>
      <c r="C127" s="1">
        <v>1160</v>
      </c>
      <c r="D127" s="1">
        <v>3938</v>
      </c>
      <c r="E127" s="1">
        <v>1270</v>
      </c>
      <c r="F127" s="1">
        <v>680</v>
      </c>
      <c r="G127" s="1">
        <v>4777</v>
      </c>
      <c r="H127" s="1">
        <v>3923</v>
      </c>
      <c r="I127" s="1">
        <v>3180</v>
      </c>
      <c r="J127" s="1">
        <v>3410</v>
      </c>
      <c r="K127" s="1">
        <v>22778</v>
      </c>
    </row>
    <row r="128" spans="1:11" x14ac:dyDescent="0.25">
      <c r="A128" s="7" t="s">
        <v>981</v>
      </c>
      <c r="B128" s="1">
        <v>0</v>
      </c>
      <c r="C128" s="1">
        <v>0</v>
      </c>
      <c r="D128" s="1">
        <v>0</v>
      </c>
      <c r="E128" s="1">
        <v>0</v>
      </c>
      <c r="F128" s="1">
        <v>0</v>
      </c>
      <c r="G128" s="1">
        <v>0</v>
      </c>
      <c r="H128" s="1">
        <v>0</v>
      </c>
      <c r="I128" s="1">
        <v>0</v>
      </c>
      <c r="J128" s="1">
        <v>0</v>
      </c>
      <c r="K128" s="1">
        <v>0</v>
      </c>
    </row>
    <row r="129" spans="1:11" x14ac:dyDescent="0.25">
      <c r="A129" s="7" t="s">
        <v>454</v>
      </c>
      <c r="B129" s="1">
        <v>2500</v>
      </c>
      <c r="C129" s="1">
        <v>1500</v>
      </c>
      <c r="D129" s="1">
        <v>11167</v>
      </c>
      <c r="E129" s="1">
        <v>10329</v>
      </c>
      <c r="F129" s="1">
        <v>0</v>
      </c>
      <c r="G129" s="1">
        <v>3024</v>
      </c>
      <c r="H129" s="1">
        <v>0</v>
      </c>
      <c r="I129" s="1">
        <v>23507</v>
      </c>
      <c r="J129" s="1">
        <v>14604</v>
      </c>
      <c r="K129" s="1">
        <v>66631</v>
      </c>
    </row>
    <row r="130" spans="1:11" x14ac:dyDescent="0.25">
      <c r="A130" s="7" t="s">
        <v>455</v>
      </c>
      <c r="B130" s="1">
        <v>0</v>
      </c>
      <c r="C130" s="1">
        <v>0</v>
      </c>
      <c r="D130" s="1">
        <v>0</v>
      </c>
      <c r="E130" s="1">
        <v>0</v>
      </c>
      <c r="F130" s="1">
        <v>58824</v>
      </c>
      <c r="G130" s="1">
        <v>0</v>
      </c>
      <c r="H130" s="1">
        <v>0</v>
      </c>
      <c r="I130" s="1">
        <v>0</v>
      </c>
      <c r="J130" s="1">
        <v>117648</v>
      </c>
      <c r="K130" s="1">
        <v>176472</v>
      </c>
    </row>
    <row r="131" spans="1:11" x14ac:dyDescent="0.25">
      <c r="A131" s="7" t="s">
        <v>982</v>
      </c>
      <c r="B131" s="1">
        <v>0</v>
      </c>
      <c r="C131" s="1">
        <v>0</v>
      </c>
      <c r="D131" s="1">
        <v>0</v>
      </c>
      <c r="E131" s="1">
        <v>0</v>
      </c>
      <c r="F131" s="1">
        <v>0</v>
      </c>
      <c r="G131" s="1">
        <v>0</v>
      </c>
      <c r="H131" s="1">
        <v>0</v>
      </c>
      <c r="I131" s="1">
        <v>0</v>
      </c>
      <c r="J131" s="1">
        <v>0</v>
      </c>
      <c r="K131" s="1">
        <v>0</v>
      </c>
    </row>
    <row r="132" spans="1:11" x14ac:dyDescent="0.25">
      <c r="A132" s="7" t="s">
        <v>983</v>
      </c>
      <c r="B132" s="1">
        <v>0</v>
      </c>
      <c r="C132" s="1">
        <v>0</v>
      </c>
      <c r="D132" s="1">
        <v>0</v>
      </c>
      <c r="E132" s="1">
        <v>0</v>
      </c>
      <c r="F132" s="1">
        <v>0</v>
      </c>
      <c r="G132" s="1">
        <v>0</v>
      </c>
      <c r="H132" s="1">
        <v>0</v>
      </c>
      <c r="I132" s="1">
        <v>0</v>
      </c>
      <c r="J132" s="1">
        <v>0</v>
      </c>
      <c r="K132" s="1">
        <v>0</v>
      </c>
    </row>
    <row r="133" spans="1:11" x14ac:dyDescent="0.25">
      <c r="A133" s="7" t="s">
        <v>984</v>
      </c>
      <c r="B133" s="1">
        <v>0</v>
      </c>
      <c r="C133" s="1">
        <v>0</v>
      </c>
      <c r="D133" s="1">
        <v>0</v>
      </c>
      <c r="E133" s="1">
        <v>0</v>
      </c>
      <c r="F133" s="1">
        <v>0</v>
      </c>
      <c r="G133" s="1">
        <v>0</v>
      </c>
      <c r="H133" s="1">
        <v>0</v>
      </c>
      <c r="I133" s="1">
        <v>0</v>
      </c>
      <c r="J133" s="1">
        <v>0</v>
      </c>
      <c r="K133" s="1">
        <v>0</v>
      </c>
    </row>
    <row r="134" spans="1:11" x14ac:dyDescent="0.25">
      <c r="A134" s="7" t="s">
        <v>985</v>
      </c>
      <c r="B134" s="1">
        <v>0</v>
      </c>
      <c r="C134" s="1">
        <v>0</v>
      </c>
      <c r="D134" s="1">
        <v>0</v>
      </c>
      <c r="E134" s="1">
        <v>0</v>
      </c>
      <c r="F134" s="1">
        <v>0</v>
      </c>
      <c r="G134" s="1">
        <v>0</v>
      </c>
      <c r="H134" s="1">
        <v>0</v>
      </c>
      <c r="I134" s="1">
        <v>0</v>
      </c>
      <c r="J134" s="1">
        <v>0</v>
      </c>
      <c r="K134" s="1">
        <v>0</v>
      </c>
    </row>
    <row r="135" spans="1:11" x14ac:dyDescent="0.25">
      <c r="A135" s="7" t="s">
        <v>986</v>
      </c>
      <c r="B135" s="1">
        <v>0</v>
      </c>
      <c r="C135" s="1">
        <v>0</v>
      </c>
      <c r="D135" s="1">
        <v>0</v>
      </c>
      <c r="E135" s="1">
        <v>0</v>
      </c>
      <c r="F135" s="1">
        <v>0</v>
      </c>
      <c r="G135" s="1">
        <v>0</v>
      </c>
      <c r="H135" s="1">
        <v>0</v>
      </c>
      <c r="I135" s="1">
        <v>0</v>
      </c>
      <c r="J135" s="1">
        <v>0</v>
      </c>
      <c r="K135" s="1">
        <v>0</v>
      </c>
    </row>
    <row r="136" spans="1:11" x14ac:dyDescent="0.25">
      <c r="A136" s="7" t="s">
        <v>479</v>
      </c>
      <c r="B136" s="1">
        <v>0</v>
      </c>
      <c r="C136" s="1">
        <v>0</v>
      </c>
      <c r="D136" s="1">
        <v>0</v>
      </c>
      <c r="E136" s="1">
        <v>0</v>
      </c>
      <c r="F136" s="1">
        <v>57505</v>
      </c>
      <c r="G136" s="1">
        <v>0</v>
      </c>
      <c r="H136" s="1">
        <v>0</v>
      </c>
      <c r="I136" s="1">
        <v>0</v>
      </c>
      <c r="J136" s="1">
        <v>0</v>
      </c>
      <c r="K136" s="1">
        <v>57505</v>
      </c>
    </row>
    <row r="137" spans="1:11" x14ac:dyDescent="0.25">
      <c r="A137" s="7" t="s">
        <v>847</v>
      </c>
      <c r="B137" s="1">
        <v>3425</v>
      </c>
      <c r="C137" s="1">
        <v>0</v>
      </c>
      <c r="D137" s="1">
        <v>0</v>
      </c>
      <c r="E137" s="1">
        <v>0</v>
      </c>
      <c r="F137" s="1">
        <v>0</v>
      </c>
      <c r="G137" s="1">
        <v>0</v>
      </c>
      <c r="H137" s="1">
        <v>0</v>
      </c>
      <c r="I137" s="1">
        <v>0</v>
      </c>
      <c r="J137" s="1">
        <v>0</v>
      </c>
      <c r="K137" s="1">
        <v>3425</v>
      </c>
    </row>
    <row r="138" spans="1:11" x14ac:dyDescent="0.25">
      <c r="A138" s="7" t="s">
        <v>987</v>
      </c>
      <c r="B138" s="1">
        <v>0</v>
      </c>
      <c r="C138" s="1">
        <v>0</v>
      </c>
      <c r="D138" s="1">
        <v>0</v>
      </c>
      <c r="E138" s="1">
        <v>0</v>
      </c>
      <c r="F138" s="1">
        <v>0</v>
      </c>
      <c r="G138" s="1">
        <v>0</v>
      </c>
      <c r="H138" s="1">
        <v>0</v>
      </c>
      <c r="I138" s="1">
        <v>0</v>
      </c>
      <c r="J138" s="1">
        <v>0</v>
      </c>
      <c r="K138" s="1">
        <v>0</v>
      </c>
    </row>
    <row r="139" spans="1:11" x14ac:dyDescent="0.25">
      <c r="A139" s="7" t="s">
        <v>480</v>
      </c>
      <c r="B139" s="1">
        <v>165</v>
      </c>
      <c r="C139" s="1">
        <v>110</v>
      </c>
      <c r="D139" s="1">
        <v>26</v>
      </c>
      <c r="E139" s="1">
        <v>103</v>
      </c>
      <c r="F139" s="1">
        <v>35</v>
      </c>
      <c r="G139" s="1">
        <v>35</v>
      </c>
      <c r="H139" s="1">
        <v>185</v>
      </c>
      <c r="I139" s="1">
        <v>76</v>
      </c>
      <c r="J139" s="1">
        <v>60</v>
      </c>
      <c r="K139" s="1">
        <v>795</v>
      </c>
    </row>
    <row r="140" spans="1:11" x14ac:dyDescent="0.25">
      <c r="A140" s="7" t="s">
        <v>138</v>
      </c>
      <c r="B140" s="1">
        <v>22520922</v>
      </c>
      <c r="C140" s="1">
        <v>25866577</v>
      </c>
      <c r="D140" s="1">
        <v>24445041</v>
      </c>
      <c r="E140" s="1">
        <v>29442999</v>
      </c>
      <c r="F140" s="1">
        <v>36517426</v>
      </c>
      <c r="G140" s="1">
        <v>25060210</v>
      </c>
      <c r="H140" s="1">
        <v>29725588</v>
      </c>
      <c r="I140" s="1">
        <v>24003242</v>
      </c>
      <c r="J140" s="1">
        <v>23052344</v>
      </c>
      <c r="K140" s="1">
        <v>240634349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A1:O363"/>
  <sheetViews>
    <sheetView zoomScale="85" zoomScaleNormal="85" workbookViewId="0">
      <selection activeCell="I14" sqref="I14"/>
    </sheetView>
  </sheetViews>
  <sheetFormatPr defaultRowHeight="15" x14ac:dyDescent="0.25"/>
  <cols>
    <col min="1" max="1" width="36" style="2" customWidth="1"/>
    <col min="2" max="2" width="15.42578125" customWidth="1"/>
    <col min="3" max="3" width="13.42578125" customWidth="1"/>
    <col min="4" max="4" width="12" bestFit="1" customWidth="1"/>
    <col min="5" max="5" width="14.7109375" customWidth="1"/>
    <col min="6" max="6" width="12.7109375" customWidth="1"/>
    <col min="7" max="7" width="11.5703125" bestFit="1" customWidth="1"/>
    <col min="8" max="13" width="10.85546875" bestFit="1" customWidth="1"/>
    <col min="14" max="14" width="13.710937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1" spans="1:14" x14ac:dyDescent="0.25">
      <c r="A1" s="4" t="s">
        <v>152</v>
      </c>
      <c r="B1" t="s" vm="12">
        <v>239</v>
      </c>
    </row>
    <row r="2" spans="1:14" x14ac:dyDescent="0.25">
      <c r="A2" s="4" t="s">
        <v>151</v>
      </c>
      <c r="B2" t="s" vm="3120">
        <v>580</v>
      </c>
    </row>
    <row r="4" spans="1:14" x14ac:dyDescent="0.25">
      <c r="A4" s="4" t="s">
        <v>136</v>
      </c>
      <c r="B4" s="4" t="s">
        <v>137</v>
      </c>
    </row>
    <row r="5" spans="1:14" x14ac:dyDescent="0.25">
      <c r="A5" s="4" t="s">
        <v>242</v>
      </c>
      <c r="B5" t="s">
        <v>140</v>
      </c>
      <c r="C5" t="s">
        <v>141</v>
      </c>
      <c r="D5" t="s">
        <v>142</v>
      </c>
      <c r="E5" t="s">
        <v>143</v>
      </c>
      <c r="F5" t="s">
        <v>144</v>
      </c>
      <c r="G5" t="s">
        <v>145</v>
      </c>
      <c r="H5" t="s">
        <v>146</v>
      </c>
      <c r="I5" t="s">
        <v>147</v>
      </c>
      <c r="J5" t="s">
        <v>148</v>
      </c>
      <c r="K5" t="s">
        <v>149</v>
      </c>
      <c r="L5" t="s">
        <v>150</v>
      </c>
      <c r="M5" t="s">
        <v>162</v>
      </c>
      <c r="N5" t="s">
        <v>138</v>
      </c>
    </row>
    <row r="6" spans="1:14" x14ac:dyDescent="0.25">
      <c r="A6" s="7" t="s">
        <v>385</v>
      </c>
      <c r="B6" s="1">
        <v>187583</v>
      </c>
      <c r="C6" s="1">
        <v>187583</v>
      </c>
      <c r="D6" s="1">
        <v>187583</v>
      </c>
      <c r="E6" s="1">
        <v>187583</v>
      </c>
      <c r="F6" s="1">
        <v>187583</v>
      </c>
      <c r="G6" s="1">
        <v>187583</v>
      </c>
      <c r="H6" s="1">
        <v>187583</v>
      </c>
      <c r="I6" s="1">
        <v>187583</v>
      </c>
      <c r="J6" s="1">
        <v>187583</v>
      </c>
      <c r="K6" s="1">
        <v>187583</v>
      </c>
      <c r="L6" s="1">
        <v>187583</v>
      </c>
      <c r="M6" s="1">
        <v>187583</v>
      </c>
      <c r="N6" s="1">
        <v>2250996</v>
      </c>
    </row>
    <row r="7" spans="1:14" x14ac:dyDescent="0.25">
      <c r="A7" s="7" t="s">
        <v>386</v>
      </c>
      <c r="B7" s="1">
        <v>68838</v>
      </c>
      <c r="C7" s="1">
        <v>68838</v>
      </c>
      <c r="D7" s="1">
        <v>68838</v>
      </c>
      <c r="E7" s="1">
        <v>68838</v>
      </c>
      <c r="F7" s="1">
        <v>68838</v>
      </c>
      <c r="G7" s="1">
        <v>68838</v>
      </c>
      <c r="H7" s="1">
        <v>68838</v>
      </c>
      <c r="I7" s="1">
        <v>68838</v>
      </c>
      <c r="J7" s="1">
        <v>68838</v>
      </c>
      <c r="K7" s="1">
        <v>68838</v>
      </c>
      <c r="L7" s="1">
        <v>68838</v>
      </c>
      <c r="M7" s="1">
        <v>68838</v>
      </c>
      <c r="N7" s="1">
        <v>826056</v>
      </c>
    </row>
    <row r="8" spans="1:14" x14ac:dyDescent="0.25">
      <c r="A8" s="7" t="s">
        <v>457</v>
      </c>
      <c r="B8" s="1"/>
      <c r="C8" s="1"/>
      <c r="D8" s="1">
        <v>782500</v>
      </c>
      <c r="E8" s="1"/>
      <c r="F8" s="1"/>
      <c r="G8" s="1"/>
      <c r="H8" s="1"/>
      <c r="I8" s="1"/>
      <c r="J8" s="1"/>
      <c r="K8" s="1"/>
      <c r="L8" s="1"/>
      <c r="M8" s="1"/>
      <c r="N8" s="1">
        <v>782500</v>
      </c>
    </row>
    <row r="9" spans="1:14" x14ac:dyDescent="0.25">
      <c r="A9" s="7" t="s">
        <v>387</v>
      </c>
      <c r="B9" s="1">
        <v>666667</v>
      </c>
      <c r="C9" s="1">
        <v>666667</v>
      </c>
      <c r="D9" s="1">
        <v>666667</v>
      </c>
      <c r="E9" s="1">
        <v>666667</v>
      </c>
      <c r="F9" s="1">
        <v>666667</v>
      </c>
      <c r="G9" s="1">
        <v>666667</v>
      </c>
      <c r="H9" s="1">
        <v>666667</v>
      </c>
      <c r="I9" s="1">
        <v>666667</v>
      </c>
      <c r="J9" s="1">
        <v>666667</v>
      </c>
      <c r="K9" s="1">
        <v>666667</v>
      </c>
      <c r="L9" s="1">
        <v>666667</v>
      </c>
      <c r="M9" s="1">
        <v>666667</v>
      </c>
      <c r="N9" s="194">
        <v>8000004</v>
      </c>
    </row>
    <row r="10" spans="1:14" x14ac:dyDescent="0.25">
      <c r="A10" s="7" t="s">
        <v>388</v>
      </c>
      <c r="B10" s="1">
        <v>278775</v>
      </c>
      <c r="C10" s="1">
        <v>278775</v>
      </c>
      <c r="D10" s="1">
        <v>278775</v>
      </c>
      <c r="E10" s="1"/>
      <c r="F10" s="1"/>
      <c r="G10" s="1"/>
      <c r="H10" s="1"/>
      <c r="I10" s="1"/>
      <c r="J10" s="1"/>
      <c r="K10" s="1"/>
      <c r="L10" s="1"/>
      <c r="M10" s="1">
        <v>278775</v>
      </c>
      <c r="N10" s="1">
        <v>1115100</v>
      </c>
    </row>
    <row r="11" spans="1:14" x14ac:dyDescent="0.25">
      <c r="A11" s="7" t="s">
        <v>458</v>
      </c>
      <c r="B11" s="1">
        <v>4000</v>
      </c>
      <c r="C11" s="1">
        <v>4000</v>
      </c>
      <c r="D11" s="1">
        <v>4000</v>
      </c>
      <c r="E11" s="1">
        <v>4000</v>
      </c>
      <c r="F11" s="1">
        <v>4000</v>
      </c>
      <c r="G11" s="1">
        <v>4000</v>
      </c>
      <c r="H11" s="1">
        <v>4000</v>
      </c>
      <c r="I11" s="1">
        <v>4000</v>
      </c>
      <c r="J11" s="1">
        <v>4000</v>
      </c>
      <c r="K11" s="1">
        <v>4000</v>
      </c>
      <c r="L11" s="1">
        <v>4000</v>
      </c>
      <c r="M11" s="1">
        <v>4000</v>
      </c>
      <c r="N11" s="1">
        <v>48000</v>
      </c>
    </row>
    <row r="12" spans="1:14" x14ac:dyDescent="0.25">
      <c r="A12" s="7" t="s">
        <v>459</v>
      </c>
      <c r="B12" s="1">
        <v>4000</v>
      </c>
      <c r="C12" s="1">
        <v>4000</v>
      </c>
      <c r="D12" s="1">
        <v>4000</v>
      </c>
      <c r="E12" s="1">
        <v>4000</v>
      </c>
      <c r="F12" s="1">
        <v>4000</v>
      </c>
      <c r="G12" s="1">
        <v>4000</v>
      </c>
      <c r="H12" s="1">
        <v>4000</v>
      </c>
      <c r="I12" s="1">
        <v>4000</v>
      </c>
      <c r="J12" s="1">
        <v>4000</v>
      </c>
      <c r="K12" s="1">
        <v>4000</v>
      </c>
      <c r="L12" s="1">
        <v>4000</v>
      </c>
      <c r="M12" s="1">
        <v>4000</v>
      </c>
      <c r="N12" s="1">
        <v>48000</v>
      </c>
    </row>
    <row r="13" spans="1:14" x14ac:dyDescent="0.25">
      <c r="A13" s="7" t="s">
        <v>460</v>
      </c>
      <c r="B13" s="1">
        <v>4000</v>
      </c>
      <c r="C13" s="1">
        <v>4000</v>
      </c>
      <c r="D13" s="1">
        <v>4000</v>
      </c>
      <c r="E13" s="1">
        <v>4000</v>
      </c>
      <c r="F13" s="1">
        <v>4000</v>
      </c>
      <c r="G13" s="1">
        <v>4000</v>
      </c>
      <c r="H13" s="1">
        <v>4000</v>
      </c>
      <c r="I13" s="1">
        <v>4000</v>
      </c>
      <c r="J13" s="1">
        <v>4000</v>
      </c>
      <c r="K13" s="1">
        <v>4000</v>
      </c>
      <c r="L13" s="1">
        <v>4000</v>
      </c>
      <c r="M13" s="1">
        <v>4000</v>
      </c>
      <c r="N13" s="1">
        <v>48000</v>
      </c>
    </row>
    <row r="14" spans="1:14" x14ac:dyDescent="0.25">
      <c r="A14" s="7" t="s">
        <v>461</v>
      </c>
      <c r="B14" s="1">
        <v>4000</v>
      </c>
      <c r="C14" s="1">
        <v>4000</v>
      </c>
      <c r="D14" s="1">
        <v>4000</v>
      </c>
      <c r="E14" s="1">
        <v>4000</v>
      </c>
      <c r="F14" s="1">
        <v>4000</v>
      </c>
      <c r="G14" s="1">
        <v>4000</v>
      </c>
      <c r="H14" s="1">
        <v>4000</v>
      </c>
      <c r="I14" s="1">
        <v>4000</v>
      </c>
      <c r="J14" s="1">
        <v>4000</v>
      </c>
      <c r="K14" s="1">
        <v>4000</v>
      </c>
      <c r="L14" s="1">
        <v>4000</v>
      </c>
      <c r="M14" s="1">
        <v>4000</v>
      </c>
      <c r="N14" s="1">
        <v>48000</v>
      </c>
    </row>
    <row r="15" spans="1:14" x14ac:dyDescent="0.25">
      <c r="A15" s="7" t="s">
        <v>462</v>
      </c>
      <c r="B15" s="1">
        <v>4000</v>
      </c>
      <c r="C15" s="1">
        <v>4000</v>
      </c>
      <c r="D15" s="1">
        <v>4000</v>
      </c>
      <c r="E15" s="1">
        <v>4000</v>
      </c>
      <c r="F15" s="1">
        <v>4000</v>
      </c>
      <c r="G15" s="1">
        <v>4000</v>
      </c>
      <c r="H15" s="1">
        <v>4000</v>
      </c>
      <c r="I15" s="1">
        <v>4000</v>
      </c>
      <c r="J15" s="1">
        <v>4000</v>
      </c>
      <c r="K15" s="1">
        <v>4000</v>
      </c>
      <c r="L15" s="1">
        <v>4000</v>
      </c>
      <c r="M15" s="1">
        <v>4000</v>
      </c>
      <c r="N15" s="1">
        <v>48000</v>
      </c>
    </row>
    <row r="16" spans="1:14" x14ac:dyDescent="0.25">
      <c r="A16" s="7" t="s">
        <v>463</v>
      </c>
      <c r="B16" s="1">
        <v>4000</v>
      </c>
      <c r="C16" s="1">
        <v>4000</v>
      </c>
      <c r="D16" s="1">
        <v>4000</v>
      </c>
      <c r="E16" s="1">
        <v>4000</v>
      </c>
      <c r="F16" s="1">
        <v>4000</v>
      </c>
      <c r="G16" s="1">
        <v>4000</v>
      </c>
      <c r="H16" s="1">
        <v>4000</v>
      </c>
      <c r="I16" s="1">
        <v>4000</v>
      </c>
      <c r="J16" s="1">
        <v>4000</v>
      </c>
      <c r="K16" s="1">
        <v>4000</v>
      </c>
      <c r="L16" s="1">
        <v>4000</v>
      </c>
      <c r="M16" s="1">
        <v>4000</v>
      </c>
      <c r="N16" s="1">
        <v>48000</v>
      </c>
    </row>
    <row r="17" spans="1:14" x14ac:dyDescent="0.25">
      <c r="A17" s="7" t="s">
        <v>464</v>
      </c>
      <c r="B17" s="1">
        <v>4000</v>
      </c>
      <c r="C17" s="1">
        <v>4000</v>
      </c>
      <c r="D17" s="1">
        <v>4000</v>
      </c>
      <c r="E17" s="1">
        <v>4000</v>
      </c>
      <c r="F17" s="1">
        <v>4000</v>
      </c>
      <c r="G17" s="1">
        <v>4000</v>
      </c>
      <c r="H17" s="1">
        <v>4000</v>
      </c>
      <c r="I17" s="1">
        <v>4000</v>
      </c>
      <c r="J17" s="1">
        <v>4000</v>
      </c>
      <c r="K17" s="1">
        <v>4000</v>
      </c>
      <c r="L17" s="1">
        <v>4000</v>
      </c>
      <c r="M17" s="1">
        <v>4000</v>
      </c>
      <c r="N17" s="1">
        <v>48000</v>
      </c>
    </row>
    <row r="18" spans="1:14" x14ac:dyDescent="0.25">
      <c r="A18" s="7" t="s">
        <v>465</v>
      </c>
      <c r="B18" s="1">
        <v>4000</v>
      </c>
      <c r="C18" s="1">
        <v>4000</v>
      </c>
      <c r="D18" s="1">
        <v>4000</v>
      </c>
      <c r="E18" s="1">
        <v>4000</v>
      </c>
      <c r="F18" s="1">
        <v>4000</v>
      </c>
      <c r="G18" s="1">
        <v>4000</v>
      </c>
      <c r="H18" s="1">
        <v>4000</v>
      </c>
      <c r="I18" s="1">
        <v>4000</v>
      </c>
      <c r="J18" s="1">
        <v>4000</v>
      </c>
      <c r="K18" s="1">
        <v>4000</v>
      </c>
      <c r="L18" s="1">
        <v>4000</v>
      </c>
      <c r="M18" s="1">
        <v>4000</v>
      </c>
      <c r="N18" s="1">
        <v>48000</v>
      </c>
    </row>
    <row r="19" spans="1:14" x14ac:dyDescent="0.25">
      <c r="A19" s="7" t="s">
        <v>466</v>
      </c>
      <c r="B19" s="1">
        <v>4000</v>
      </c>
      <c r="C19" s="1">
        <v>4000</v>
      </c>
      <c r="D19" s="1">
        <v>4000</v>
      </c>
      <c r="E19" s="1">
        <v>4000</v>
      </c>
      <c r="F19" s="1">
        <v>4000</v>
      </c>
      <c r="G19" s="1">
        <v>4000</v>
      </c>
      <c r="H19" s="1">
        <v>4000</v>
      </c>
      <c r="I19" s="1">
        <v>4000</v>
      </c>
      <c r="J19" s="1">
        <v>4000</v>
      </c>
      <c r="K19" s="1">
        <v>4000</v>
      </c>
      <c r="L19" s="1">
        <v>4000</v>
      </c>
      <c r="M19" s="1">
        <v>4000</v>
      </c>
      <c r="N19" s="1">
        <v>48000</v>
      </c>
    </row>
    <row r="20" spans="1:14" x14ac:dyDescent="0.25">
      <c r="A20" s="7" t="s">
        <v>467</v>
      </c>
      <c r="B20" s="1">
        <v>4000</v>
      </c>
      <c r="C20" s="1">
        <v>4000</v>
      </c>
      <c r="D20" s="1">
        <v>4000</v>
      </c>
      <c r="E20" s="1">
        <v>4000</v>
      </c>
      <c r="F20" s="1">
        <v>4000</v>
      </c>
      <c r="G20" s="1">
        <v>4000</v>
      </c>
      <c r="H20" s="1">
        <v>4000</v>
      </c>
      <c r="I20" s="1">
        <v>4000</v>
      </c>
      <c r="J20" s="1">
        <v>4000</v>
      </c>
      <c r="K20" s="1">
        <v>4000</v>
      </c>
      <c r="L20" s="1">
        <v>4000</v>
      </c>
      <c r="M20" s="1">
        <v>4000</v>
      </c>
      <c r="N20" s="1">
        <v>48000</v>
      </c>
    </row>
    <row r="21" spans="1:14" x14ac:dyDescent="0.25">
      <c r="A21" s="7" t="s">
        <v>468</v>
      </c>
      <c r="B21" s="1">
        <v>4000</v>
      </c>
      <c r="C21" s="1">
        <v>4000</v>
      </c>
      <c r="D21" s="1">
        <v>4000</v>
      </c>
      <c r="E21" s="1">
        <v>4000</v>
      </c>
      <c r="F21" s="1">
        <v>4000</v>
      </c>
      <c r="G21" s="1">
        <v>4000</v>
      </c>
      <c r="H21" s="1">
        <v>4000</v>
      </c>
      <c r="I21" s="1">
        <v>4000</v>
      </c>
      <c r="J21" s="1">
        <v>4000</v>
      </c>
      <c r="K21" s="1">
        <v>4000</v>
      </c>
      <c r="L21" s="1">
        <v>4000</v>
      </c>
      <c r="M21" s="1">
        <v>4000</v>
      </c>
      <c r="N21" s="1">
        <v>48000</v>
      </c>
    </row>
    <row r="22" spans="1:14" x14ac:dyDescent="0.25">
      <c r="A22" s="7" t="s">
        <v>469</v>
      </c>
      <c r="B22" s="1">
        <v>4000</v>
      </c>
      <c r="C22" s="1">
        <v>4000</v>
      </c>
      <c r="D22" s="1">
        <v>4000</v>
      </c>
      <c r="E22" s="1">
        <v>4000</v>
      </c>
      <c r="F22" s="1">
        <v>4000</v>
      </c>
      <c r="G22" s="1">
        <v>4000</v>
      </c>
      <c r="H22" s="1">
        <v>4000</v>
      </c>
      <c r="I22" s="1">
        <v>4000</v>
      </c>
      <c r="J22" s="1">
        <v>4000</v>
      </c>
      <c r="K22" s="1">
        <v>4000</v>
      </c>
      <c r="L22" s="1">
        <v>4000</v>
      </c>
      <c r="M22" s="1">
        <v>4000</v>
      </c>
      <c r="N22" s="1">
        <v>48000</v>
      </c>
    </row>
    <row r="23" spans="1:14" x14ac:dyDescent="0.25">
      <c r="A23" s="7" t="s">
        <v>470</v>
      </c>
      <c r="B23" s="1">
        <v>4000</v>
      </c>
      <c r="C23" s="1">
        <v>4000</v>
      </c>
      <c r="D23" s="1">
        <v>4000</v>
      </c>
      <c r="E23" s="1">
        <v>4000</v>
      </c>
      <c r="F23" s="1">
        <v>4000</v>
      </c>
      <c r="G23" s="1">
        <v>4000</v>
      </c>
      <c r="H23" s="1">
        <v>4000</v>
      </c>
      <c r="I23" s="1">
        <v>4000</v>
      </c>
      <c r="J23" s="1">
        <v>4000</v>
      </c>
      <c r="K23" s="1">
        <v>4000</v>
      </c>
      <c r="L23" s="1">
        <v>4000</v>
      </c>
      <c r="M23" s="1">
        <v>4000</v>
      </c>
      <c r="N23" s="1">
        <v>48000</v>
      </c>
    </row>
    <row r="24" spans="1:14" x14ac:dyDescent="0.25">
      <c r="A24" s="7" t="s">
        <v>471</v>
      </c>
      <c r="B24" s="1">
        <v>4000</v>
      </c>
      <c r="C24" s="1">
        <v>4000</v>
      </c>
      <c r="D24" s="1">
        <v>4000</v>
      </c>
      <c r="E24" s="1">
        <v>4000</v>
      </c>
      <c r="F24" s="1">
        <v>4000</v>
      </c>
      <c r="G24" s="1">
        <v>4000</v>
      </c>
      <c r="H24" s="1">
        <v>4000</v>
      </c>
      <c r="I24" s="1">
        <v>4000</v>
      </c>
      <c r="J24" s="1">
        <v>4000</v>
      </c>
      <c r="K24" s="1">
        <v>4000</v>
      </c>
      <c r="L24" s="1">
        <v>4000</v>
      </c>
      <c r="M24" s="1">
        <v>4000</v>
      </c>
      <c r="N24" s="1">
        <v>48000</v>
      </c>
    </row>
    <row r="25" spans="1:14" x14ac:dyDescent="0.25">
      <c r="A25" s="7" t="s">
        <v>472</v>
      </c>
      <c r="B25" s="1">
        <v>4000</v>
      </c>
      <c r="C25" s="1">
        <v>4000</v>
      </c>
      <c r="D25" s="1">
        <v>4000</v>
      </c>
      <c r="E25" s="1">
        <v>4000</v>
      </c>
      <c r="F25" s="1">
        <v>4000</v>
      </c>
      <c r="G25" s="1">
        <v>4000</v>
      </c>
      <c r="H25" s="1">
        <v>4000</v>
      </c>
      <c r="I25" s="1">
        <v>4000</v>
      </c>
      <c r="J25" s="1">
        <v>4000</v>
      </c>
      <c r="K25" s="1">
        <v>4000</v>
      </c>
      <c r="L25" s="1">
        <v>4000</v>
      </c>
      <c r="M25" s="1">
        <v>4000</v>
      </c>
      <c r="N25" s="1">
        <v>48000</v>
      </c>
    </row>
    <row r="26" spans="1:14" x14ac:dyDescent="0.25">
      <c r="A26" s="7" t="s">
        <v>389</v>
      </c>
      <c r="B26" s="1">
        <v>3438</v>
      </c>
      <c r="C26" s="1">
        <v>3438</v>
      </c>
      <c r="D26" s="1">
        <v>3438</v>
      </c>
      <c r="E26" s="1">
        <v>3438</v>
      </c>
      <c r="F26" s="1">
        <v>3438</v>
      </c>
      <c r="G26" s="1">
        <v>3438</v>
      </c>
      <c r="H26" s="1">
        <v>3438</v>
      </c>
      <c r="I26" s="1">
        <v>3438</v>
      </c>
      <c r="J26" s="1">
        <v>3438</v>
      </c>
      <c r="K26" s="1">
        <v>3438</v>
      </c>
      <c r="L26" s="1">
        <v>3438</v>
      </c>
      <c r="M26" s="1">
        <v>3438</v>
      </c>
      <c r="N26" s="1">
        <v>41256</v>
      </c>
    </row>
    <row r="27" spans="1:14" x14ac:dyDescent="0.25">
      <c r="A27" s="7" t="s">
        <v>390</v>
      </c>
      <c r="B27" s="1">
        <v>75108</v>
      </c>
      <c r="C27" s="1">
        <v>75108</v>
      </c>
      <c r="D27" s="1">
        <v>75108</v>
      </c>
      <c r="E27" s="1">
        <v>75108</v>
      </c>
      <c r="F27" s="1">
        <v>75108</v>
      </c>
      <c r="G27" s="1">
        <v>75108</v>
      </c>
      <c r="H27" s="1">
        <v>75108</v>
      </c>
      <c r="I27" s="1">
        <v>75108</v>
      </c>
      <c r="J27" s="1">
        <v>75108</v>
      </c>
      <c r="K27" s="1">
        <v>75108</v>
      </c>
      <c r="L27" s="1">
        <v>75108</v>
      </c>
      <c r="M27" s="1">
        <v>75108</v>
      </c>
      <c r="N27" s="1">
        <v>901296</v>
      </c>
    </row>
    <row r="28" spans="1:14" x14ac:dyDescent="0.25">
      <c r="A28" s="7" t="s">
        <v>391</v>
      </c>
      <c r="B28" s="1"/>
      <c r="C28" s="1"/>
      <c r="D28" s="1">
        <v>0</v>
      </c>
      <c r="E28" s="1"/>
      <c r="F28" s="1">
        <v>45000</v>
      </c>
      <c r="G28" s="1"/>
      <c r="H28" s="1"/>
      <c r="I28" s="1"/>
      <c r="J28" s="1"/>
      <c r="K28" s="1"/>
      <c r="L28" s="1"/>
      <c r="M28" s="1">
        <v>45000</v>
      </c>
      <c r="N28" s="1">
        <v>90000</v>
      </c>
    </row>
    <row r="29" spans="1:14" x14ac:dyDescent="0.25">
      <c r="A29" s="7" t="s">
        <v>403</v>
      </c>
      <c r="B29" s="1">
        <v>150</v>
      </c>
      <c r="C29" s="1">
        <v>150</v>
      </c>
      <c r="D29" s="1">
        <v>150</v>
      </c>
      <c r="E29" s="1">
        <v>150</v>
      </c>
      <c r="F29" s="1">
        <v>150</v>
      </c>
      <c r="G29" s="1">
        <v>150</v>
      </c>
      <c r="H29" s="1">
        <v>150</v>
      </c>
      <c r="I29" s="1">
        <v>150</v>
      </c>
      <c r="J29" s="1">
        <v>150</v>
      </c>
      <c r="K29" s="1">
        <v>150</v>
      </c>
      <c r="L29" s="1">
        <v>150</v>
      </c>
      <c r="M29" s="1">
        <v>150</v>
      </c>
      <c r="N29" s="1">
        <v>1800</v>
      </c>
    </row>
    <row r="30" spans="1:14" x14ac:dyDescent="0.25">
      <c r="A30" s="7" t="s">
        <v>473</v>
      </c>
      <c r="B30" s="1"/>
      <c r="C30" s="1"/>
      <c r="D30" s="1">
        <v>100000</v>
      </c>
      <c r="E30" s="1"/>
      <c r="F30" s="1"/>
      <c r="G30" s="1"/>
      <c r="H30" s="1"/>
      <c r="I30" s="1"/>
      <c r="J30" s="1"/>
      <c r="K30" s="1"/>
      <c r="L30" s="1"/>
      <c r="M30" s="1"/>
      <c r="N30" s="1">
        <v>100000</v>
      </c>
    </row>
    <row r="31" spans="1:14" x14ac:dyDescent="0.25">
      <c r="A31" s="7" t="s">
        <v>404</v>
      </c>
      <c r="B31" s="1">
        <v>325000</v>
      </c>
      <c r="C31" s="1">
        <v>325000</v>
      </c>
      <c r="D31" s="1">
        <v>325000</v>
      </c>
      <c r="E31" s="1">
        <v>325000</v>
      </c>
      <c r="F31" s="1">
        <v>325000</v>
      </c>
      <c r="G31" s="1">
        <v>325000</v>
      </c>
      <c r="H31" s="1">
        <v>325000</v>
      </c>
      <c r="I31" s="1">
        <v>325000</v>
      </c>
      <c r="J31" s="1">
        <v>325000</v>
      </c>
      <c r="K31" s="1">
        <v>325000</v>
      </c>
      <c r="L31" s="1">
        <v>325000</v>
      </c>
      <c r="M31" s="1">
        <v>325000</v>
      </c>
      <c r="N31" s="1">
        <v>3900000</v>
      </c>
    </row>
    <row r="32" spans="1:14" x14ac:dyDescent="0.25">
      <c r="A32" s="7" t="s">
        <v>405</v>
      </c>
      <c r="B32" s="1">
        <v>131200</v>
      </c>
      <c r="C32" s="1">
        <v>131200</v>
      </c>
      <c r="D32" s="1">
        <v>131200</v>
      </c>
      <c r="E32" s="1">
        <v>131200</v>
      </c>
      <c r="F32" s="1">
        <v>131200</v>
      </c>
      <c r="G32" s="1">
        <v>131200</v>
      </c>
      <c r="H32" s="1">
        <v>131200</v>
      </c>
      <c r="I32" s="1">
        <v>131200</v>
      </c>
      <c r="J32" s="1">
        <v>131200</v>
      </c>
      <c r="K32" s="1">
        <v>131200</v>
      </c>
      <c r="L32" s="1">
        <v>131200</v>
      </c>
      <c r="M32" s="1">
        <v>131200</v>
      </c>
      <c r="N32" s="1">
        <v>1574400</v>
      </c>
    </row>
    <row r="33" spans="1:14" x14ac:dyDescent="0.25">
      <c r="A33" s="7" t="s">
        <v>406</v>
      </c>
      <c r="B33" s="1">
        <v>185000</v>
      </c>
      <c r="C33" s="1">
        <v>185000</v>
      </c>
      <c r="D33" s="1">
        <v>185000</v>
      </c>
      <c r="E33" s="1">
        <v>185000</v>
      </c>
      <c r="F33" s="1">
        <v>185000</v>
      </c>
      <c r="G33" s="1">
        <v>185000</v>
      </c>
      <c r="H33" s="1">
        <v>185000</v>
      </c>
      <c r="I33" s="1">
        <v>185000</v>
      </c>
      <c r="J33" s="1">
        <v>185000</v>
      </c>
      <c r="K33" s="1">
        <v>185000</v>
      </c>
      <c r="L33" s="1">
        <v>185000</v>
      </c>
      <c r="M33" s="1">
        <v>185000</v>
      </c>
      <c r="N33" s="1">
        <v>2220000</v>
      </c>
    </row>
    <row r="34" spans="1:14" x14ac:dyDescent="0.25">
      <c r="A34" s="7" t="s">
        <v>407</v>
      </c>
      <c r="B34" s="1">
        <v>79500</v>
      </c>
      <c r="C34" s="1">
        <v>79500</v>
      </c>
      <c r="D34" s="1">
        <v>79500</v>
      </c>
      <c r="E34" s="1">
        <v>79500</v>
      </c>
      <c r="F34" s="1">
        <v>79500</v>
      </c>
      <c r="G34" s="1">
        <v>79500</v>
      </c>
      <c r="H34" s="1">
        <v>79500</v>
      </c>
      <c r="I34" s="1">
        <v>79500</v>
      </c>
      <c r="J34" s="1">
        <v>79500</v>
      </c>
      <c r="K34" s="1">
        <v>79500</v>
      </c>
      <c r="L34" s="1">
        <v>79500</v>
      </c>
      <c r="M34" s="1">
        <v>79500</v>
      </c>
      <c r="N34" s="1">
        <v>954000</v>
      </c>
    </row>
    <row r="35" spans="1:14" x14ac:dyDescent="0.25">
      <c r="A35" s="7" t="s">
        <v>606</v>
      </c>
      <c r="B35" s="1">
        <v>103500</v>
      </c>
      <c r="C35" s="1">
        <v>103500</v>
      </c>
      <c r="D35" s="1">
        <v>103500</v>
      </c>
      <c r="E35" s="1">
        <v>103500</v>
      </c>
      <c r="F35" s="1">
        <v>103500</v>
      </c>
      <c r="G35" s="1">
        <v>103500</v>
      </c>
      <c r="H35" s="1">
        <v>103500</v>
      </c>
      <c r="I35" s="1">
        <v>103500</v>
      </c>
      <c r="J35" s="1">
        <v>103500</v>
      </c>
      <c r="K35" s="1">
        <v>103500</v>
      </c>
      <c r="L35" s="1">
        <v>103500</v>
      </c>
      <c r="M35" s="1">
        <v>103500</v>
      </c>
      <c r="N35" s="1">
        <v>1242000</v>
      </c>
    </row>
    <row r="36" spans="1:14" x14ac:dyDescent="0.25">
      <c r="A36" s="7" t="s">
        <v>474</v>
      </c>
      <c r="B36" s="1">
        <v>0</v>
      </c>
      <c r="C36" s="1">
        <v>0</v>
      </c>
      <c r="D36" s="1">
        <v>0</v>
      </c>
      <c r="E36" s="1">
        <v>0</v>
      </c>
      <c r="F36" s="1">
        <v>0</v>
      </c>
      <c r="G36" s="1">
        <v>0</v>
      </c>
      <c r="H36" s="1">
        <v>0</v>
      </c>
      <c r="I36" s="1">
        <v>0</v>
      </c>
      <c r="J36" s="1">
        <v>0</v>
      </c>
      <c r="K36" s="1">
        <v>0</v>
      </c>
      <c r="L36" s="1">
        <v>0</v>
      </c>
      <c r="M36" s="1">
        <v>0</v>
      </c>
      <c r="N36" s="1">
        <v>0</v>
      </c>
    </row>
    <row r="37" spans="1:14" x14ac:dyDescent="0.25">
      <c r="A37" s="7" t="s">
        <v>408</v>
      </c>
      <c r="B37" s="1">
        <v>125000</v>
      </c>
      <c r="C37" s="1">
        <v>125000</v>
      </c>
      <c r="D37" s="1">
        <v>125000</v>
      </c>
      <c r="E37" s="1">
        <v>125000</v>
      </c>
      <c r="F37" s="1">
        <v>125000</v>
      </c>
      <c r="G37" s="1">
        <v>125000</v>
      </c>
      <c r="H37" s="1">
        <v>125000</v>
      </c>
      <c r="I37" s="1">
        <v>125000</v>
      </c>
      <c r="J37" s="1">
        <v>125000</v>
      </c>
      <c r="K37" s="1">
        <v>125000</v>
      </c>
      <c r="L37" s="1">
        <v>125000</v>
      </c>
      <c r="M37" s="1">
        <v>125000</v>
      </c>
      <c r="N37" s="1">
        <v>1500000</v>
      </c>
    </row>
    <row r="38" spans="1:14" x14ac:dyDescent="0.25">
      <c r="A38" s="7" t="s">
        <v>409</v>
      </c>
      <c r="B38" s="1">
        <v>487600</v>
      </c>
      <c r="C38" s="1">
        <v>487600</v>
      </c>
      <c r="D38" s="1">
        <v>487600</v>
      </c>
      <c r="E38" s="1">
        <v>487600</v>
      </c>
      <c r="F38" s="1">
        <v>487600</v>
      </c>
      <c r="G38" s="1">
        <v>487600</v>
      </c>
      <c r="H38" s="1">
        <v>487600</v>
      </c>
      <c r="I38" s="1">
        <v>487600</v>
      </c>
      <c r="J38" s="1">
        <v>487600</v>
      </c>
      <c r="K38" s="1">
        <v>487600</v>
      </c>
      <c r="L38" s="1">
        <v>487600</v>
      </c>
      <c r="M38" s="1">
        <v>487600</v>
      </c>
      <c r="N38" s="1">
        <v>5851200</v>
      </c>
    </row>
    <row r="39" spans="1:14" x14ac:dyDescent="0.25">
      <c r="A39" s="7" t="s">
        <v>410</v>
      </c>
      <c r="B39" s="1">
        <v>495850</v>
      </c>
      <c r="C39" s="1">
        <v>495850</v>
      </c>
      <c r="D39" s="1">
        <v>495850</v>
      </c>
      <c r="E39" s="1">
        <v>495850</v>
      </c>
      <c r="F39" s="1">
        <v>495850</v>
      </c>
      <c r="G39" s="1">
        <v>495850</v>
      </c>
      <c r="H39" s="1">
        <v>495850</v>
      </c>
      <c r="I39" s="1">
        <v>495850</v>
      </c>
      <c r="J39" s="1">
        <v>495850</v>
      </c>
      <c r="K39" s="1">
        <v>495850</v>
      </c>
      <c r="L39" s="1">
        <v>495850</v>
      </c>
      <c r="M39" s="1">
        <v>495850</v>
      </c>
      <c r="N39" s="1">
        <v>5950200</v>
      </c>
    </row>
    <row r="40" spans="1:14" x14ac:dyDescent="0.25">
      <c r="A40" s="7" t="s">
        <v>475</v>
      </c>
      <c r="B40" s="1"/>
      <c r="C40" s="1"/>
      <c r="D40" s="1"/>
      <c r="E40" s="1"/>
      <c r="F40" s="1"/>
      <c r="G40" s="1"/>
      <c r="H40" s="1">
        <v>1100000</v>
      </c>
      <c r="I40" s="1"/>
      <c r="J40" s="1"/>
      <c r="K40" s="1"/>
      <c r="L40" s="1"/>
      <c r="M40" s="1"/>
      <c r="N40" s="1">
        <v>1100000</v>
      </c>
    </row>
    <row r="41" spans="1:14" x14ac:dyDescent="0.25">
      <c r="A41" s="7" t="s">
        <v>411</v>
      </c>
      <c r="B41" s="1">
        <v>135012</v>
      </c>
      <c r="C41" s="1">
        <v>135012</v>
      </c>
      <c r="D41" s="1">
        <v>135012</v>
      </c>
      <c r="E41" s="1">
        <v>135012</v>
      </c>
      <c r="F41" s="1">
        <v>135012</v>
      </c>
      <c r="G41" s="1">
        <v>135012</v>
      </c>
      <c r="H41" s="1">
        <v>135012</v>
      </c>
      <c r="I41" s="1">
        <v>135012</v>
      </c>
      <c r="J41" s="1">
        <v>135012</v>
      </c>
      <c r="K41" s="1">
        <v>135012</v>
      </c>
      <c r="L41" s="1">
        <v>135012</v>
      </c>
      <c r="M41" s="1">
        <v>135012</v>
      </c>
      <c r="N41" s="1">
        <v>1620144</v>
      </c>
    </row>
    <row r="42" spans="1:14" x14ac:dyDescent="0.25">
      <c r="A42" s="7" t="s">
        <v>476</v>
      </c>
      <c r="B42" s="1">
        <v>69660</v>
      </c>
      <c r="C42" s="1">
        <v>69660</v>
      </c>
      <c r="D42" s="1">
        <v>69660</v>
      </c>
      <c r="E42" s="1">
        <v>69660</v>
      </c>
      <c r="F42" s="1">
        <v>69660</v>
      </c>
      <c r="G42" s="1">
        <v>69660</v>
      </c>
      <c r="H42" s="1">
        <v>69660</v>
      </c>
      <c r="I42" s="1">
        <v>69660</v>
      </c>
      <c r="J42" s="1">
        <v>69660</v>
      </c>
      <c r="K42" s="1">
        <v>69660</v>
      </c>
      <c r="L42" s="1">
        <v>69660</v>
      </c>
      <c r="M42" s="1">
        <v>69660</v>
      </c>
      <c r="N42" s="1">
        <v>835920</v>
      </c>
    </row>
    <row r="43" spans="1:14" x14ac:dyDescent="0.25">
      <c r="A43" s="7" t="s">
        <v>412</v>
      </c>
      <c r="B43" s="1">
        <v>18000</v>
      </c>
      <c r="C43" s="1">
        <v>18000</v>
      </c>
      <c r="D43" s="1">
        <v>18000</v>
      </c>
      <c r="E43" s="1">
        <v>18000</v>
      </c>
      <c r="F43" s="1">
        <v>48000</v>
      </c>
      <c r="G43" s="1">
        <v>18000</v>
      </c>
      <c r="H43" s="1">
        <v>18000</v>
      </c>
      <c r="I43" s="1">
        <v>18000</v>
      </c>
      <c r="J43" s="1">
        <v>18000</v>
      </c>
      <c r="K43" s="1">
        <v>18000</v>
      </c>
      <c r="L43" s="1">
        <v>18000</v>
      </c>
      <c r="M43" s="1">
        <v>18000</v>
      </c>
      <c r="N43" s="1">
        <v>246000</v>
      </c>
    </row>
    <row r="44" spans="1:14" x14ac:dyDescent="0.25">
      <c r="A44" s="7" t="s">
        <v>413</v>
      </c>
      <c r="B44" s="1">
        <v>35000</v>
      </c>
      <c r="C44" s="1">
        <v>35000</v>
      </c>
      <c r="D44" s="1">
        <v>35000</v>
      </c>
      <c r="E44" s="1">
        <v>35000</v>
      </c>
      <c r="F44" s="1">
        <v>35000</v>
      </c>
      <c r="G44" s="1">
        <v>35000</v>
      </c>
      <c r="H44" s="1">
        <v>35000</v>
      </c>
      <c r="I44" s="1">
        <v>35000</v>
      </c>
      <c r="J44" s="1">
        <v>35000</v>
      </c>
      <c r="K44" s="1">
        <v>35000</v>
      </c>
      <c r="L44" s="1">
        <v>35000</v>
      </c>
      <c r="M44" s="1">
        <v>35000</v>
      </c>
      <c r="N44" s="1">
        <v>420000</v>
      </c>
    </row>
    <row r="45" spans="1:14" x14ac:dyDescent="0.25">
      <c r="A45" s="7" t="s">
        <v>414</v>
      </c>
      <c r="B45" s="1">
        <v>6500</v>
      </c>
      <c r="C45" s="1">
        <v>6500</v>
      </c>
      <c r="D45" s="1">
        <v>6500</v>
      </c>
      <c r="E45" s="1">
        <v>6500</v>
      </c>
      <c r="F45" s="1">
        <v>6500</v>
      </c>
      <c r="G45" s="1">
        <v>6500</v>
      </c>
      <c r="H45" s="1">
        <v>6500</v>
      </c>
      <c r="I45" s="1">
        <v>6500</v>
      </c>
      <c r="J45" s="1">
        <v>6500</v>
      </c>
      <c r="K45" s="1">
        <v>6500</v>
      </c>
      <c r="L45" s="1">
        <v>6500</v>
      </c>
      <c r="M45" s="1">
        <v>6500</v>
      </c>
      <c r="N45" s="1">
        <v>78000</v>
      </c>
    </row>
    <row r="46" spans="1:14" x14ac:dyDescent="0.25">
      <c r="A46" s="7" t="s">
        <v>415</v>
      </c>
      <c r="B46" s="1">
        <v>700</v>
      </c>
      <c r="C46" s="1">
        <v>700</v>
      </c>
      <c r="D46" s="1">
        <v>700</v>
      </c>
      <c r="E46" s="1">
        <v>700</v>
      </c>
      <c r="F46" s="1">
        <v>700</v>
      </c>
      <c r="G46" s="1">
        <v>700</v>
      </c>
      <c r="H46" s="1">
        <v>700</v>
      </c>
      <c r="I46" s="1">
        <v>700</v>
      </c>
      <c r="J46" s="1">
        <v>700</v>
      </c>
      <c r="K46" s="1">
        <v>700</v>
      </c>
      <c r="L46" s="1">
        <v>700</v>
      </c>
      <c r="M46" s="1">
        <v>700</v>
      </c>
      <c r="N46" s="1">
        <v>8400</v>
      </c>
    </row>
    <row r="47" spans="1:14" x14ac:dyDescent="0.25">
      <c r="A47" s="7" t="s">
        <v>416</v>
      </c>
      <c r="B47" s="1">
        <v>3800</v>
      </c>
      <c r="C47" s="1">
        <v>103800</v>
      </c>
      <c r="D47" s="1">
        <v>3800</v>
      </c>
      <c r="E47" s="1">
        <v>3800</v>
      </c>
      <c r="F47" s="1">
        <v>3800</v>
      </c>
      <c r="G47" s="1">
        <v>3800</v>
      </c>
      <c r="H47" s="1">
        <v>3800</v>
      </c>
      <c r="I47" s="1">
        <v>3800</v>
      </c>
      <c r="J47" s="1">
        <v>3800</v>
      </c>
      <c r="K47" s="1">
        <v>3800</v>
      </c>
      <c r="L47" s="1">
        <v>3800</v>
      </c>
      <c r="M47" s="1">
        <v>3800</v>
      </c>
      <c r="N47" s="1">
        <v>145600</v>
      </c>
    </row>
    <row r="48" spans="1:14" x14ac:dyDescent="0.25">
      <c r="A48" s="7" t="s">
        <v>417</v>
      </c>
      <c r="B48" s="1"/>
      <c r="C48" s="1"/>
      <c r="D48" s="1">
        <v>489500</v>
      </c>
      <c r="E48" s="1"/>
      <c r="F48" s="1">
        <v>88500</v>
      </c>
      <c r="G48" s="1"/>
      <c r="H48" s="1"/>
      <c r="I48" s="1"/>
      <c r="J48" s="1"/>
      <c r="K48" s="1"/>
      <c r="L48" s="1"/>
      <c r="M48" s="1">
        <v>0</v>
      </c>
      <c r="N48" s="1">
        <v>578000</v>
      </c>
    </row>
    <row r="49" spans="1:14" x14ac:dyDescent="0.25">
      <c r="A49" s="7" t="s">
        <v>418</v>
      </c>
      <c r="B49" s="1"/>
      <c r="C49" s="1">
        <v>48000</v>
      </c>
      <c r="D49" s="1"/>
      <c r="E49" s="1"/>
      <c r="F49" s="1"/>
      <c r="G49" s="1"/>
      <c r="H49" s="1"/>
      <c r="I49" s="1"/>
      <c r="J49" s="1"/>
      <c r="K49" s="1"/>
      <c r="L49" s="1"/>
      <c r="M49" s="1"/>
      <c r="N49" s="1">
        <v>48000</v>
      </c>
    </row>
    <row r="50" spans="1:14" x14ac:dyDescent="0.25">
      <c r="A50" s="7" t="s">
        <v>419</v>
      </c>
      <c r="B50" s="1">
        <v>37500</v>
      </c>
      <c r="C50" s="1">
        <v>37500</v>
      </c>
      <c r="D50" s="1">
        <v>37500</v>
      </c>
      <c r="E50" s="1">
        <v>37500</v>
      </c>
      <c r="F50" s="1">
        <v>37500</v>
      </c>
      <c r="G50" s="1">
        <v>37500</v>
      </c>
      <c r="H50" s="1">
        <v>37500</v>
      </c>
      <c r="I50" s="1">
        <v>37500</v>
      </c>
      <c r="J50" s="1">
        <v>37500</v>
      </c>
      <c r="K50" s="1">
        <v>37500</v>
      </c>
      <c r="L50" s="1">
        <v>37500</v>
      </c>
      <c r="M50" s="1">
        <v>37500</v>
      </c>
      <c r="N50" s="1">
        <v>450000</v>
      </c>
    </row>
    <row r="51" spans="1:14" x14ac:dyDescent="0.25">
      <c r="A51" s="7" t="s">
        <v>420</v>
      </c>
      <c r="B51" s="1">
        <v>1542</v>
      </c>
      <c r="C51" s="1">
        <v>1542</v>
      </c>
      <c r="D51" s="1">
        <v>1542</v>
      </c>
      <c r="E51" s="1">
        <v>1542</v>
      </c>
      <c r="F51" s="1">
        <v>1542</v>
      </c>
      <c r="G51" s="1">
        <v>1542</v>
      </c>
      <c r="H51" s="1">
        <v>1542</v>
      </c>
      <c r="I51" s="1">
        <v>1542</v>
      </c>
      <c r="J51" s="1">
        <v>1542</v>
      </c>
      <c r="K51" s="1">
        <v>1542</v>
      </c>
      <c r="L51" s="1">
        <v>1542</v>
      </c>
      <c r="M51" s="1">
        <v>1542</v>
      </c>
      <c r="N51" s="1">
        <v>18504</v>
      </c>
    </row>
    <row r="52" spans="1:14" x14ac:dyDescent="0.25">
      <c r="A52" s="7" t="s">
        <v>421</v>
      </c>
      <c r="B52" s="1">
        <v>25000</v>
      </c>
      <c r="C52" s="1">
        <v>25000</v>
      </c>
      <c r="D52" s="1">
        <v>25000</v>
      </c>
      <c r="E52" s="1">
        <v>25000</v>
      </c>
      <c r="F52" s="1">
        <v>25000</v>
      </c>
      <c r="G52" s="1">
        <v>25000</v>
      </c>
      <c r="H52" s="1">
        <v>25000</v>
      </c>
      <c r="I52" s="1">
        <v>25000</v>
      </c>
      <c r="J52" s="1">
        <v>25000</v>
      </c>
      <c r="K52" s="1">
        <v>25000</v>
      </c>
      <c r="L52" s="1">
        <v>25000</v>
      </c>
      <c r="M52" s="1">
        <v>25000</v>
      </c>
      <c r="N52" s="1">
        <v>300000</v>
      </c>
    </row>
    <row r="53" spans="1:14" x14ac:dyDescent="0.25">
      <c r="A53" s="7" t="s">
        <v>422</v>
      </c>
      <c r="B53" s="1">
        <v>105000</v>
      </c>
      <c r="C53" s="1">
        <v>105000</v>
      </c>
      <c r="D53" s="1">
        <v>105000</v>
      </c>
      <c r="E53" s="1">
        <v>105000</v>
      </c>
      <c r="F53" s="1">
        <v>105000</v>
      </c>
      <c r="G53" s="1">
        <v>105000</v>
      </c>
      <c r="H53" s="1">
        <v>105000</v>
      </c>
      <c r="I53" s="1">
        <v>105000</v>
      </c>
      <c r="J53" s="1">
        <v>105000</v>
      </c>
      <c r="K53" s="1">
        <v>105000</v>
      </c>
      <c r="L53" s="1">
        <v>105000</v>
      </c>
      <c r="M53" s="1">
        <v>105000</v>
      </c>
      <c r="N53" s="1">
        <v>1260000</v>
      </c>
    </row>
    <row r="54" spans="1:14" x14ac:dyDescent="0.25">
      <c r="A54" s="7" t="s">
        <v>423</v>
      </c>
      <c r="B54" s="1">
        <v>553073</v>
      </c>
      <c r="C54" s="1">
        <v>553073</v>
      </c>
      <c r="D54" s="1">
        <v>553073</v>
      </c>
      <c r="E54" s="1">
        <v>553073</v>
      </c>
      <c r="F54" s="1">
        <v>553073</v>
      </c>
      <c r="G54" s="1">
        <v>553073</v>
      </c>
      <c r="H54" s="1">
        <v>553073</v>
      </c>
      <c r="I54" s="1">
        <v>553073</v>
      </c>
      <c r="J54" s="1">
        <v>553073</v>
      </c>
      <c r="K54" s="1">
        <v>553073</v>
      </c>
      <c r="L54" s="1">
        <v>553073</v>
      </c>
      <c r="M54" s="1">
        <v>553073</v>
      </c>
      <c r="N54" s="1">
        <v>6636876</v>
      </c>
    </row>
    <row r="55" spans="1:14" x14ac:dyDescent="0.25">
      <c r="A55" s="7" t="s">
        <v>424</v>
      </c>
      <c r="B55" s="1"/>
      <c r="C55" s="1"/>
      <c r="D55" s="1">
        <v>0</v>
      </c>
      <c r="E55" s="1"/>
      <c r="F55" s="1"/>
      <c r="G55" s="1"/>
      <c r="H55" s="1"/>
      <c r="I55" s="1"/>
      <c r="J55" s="1"/>
      <c r="K55" s="1"/>
      <c r="L55" s="1"/>
      <c r="M55" s="1"/>
      <c r="N55" s="1">
        <v>0</v>
      </c>
    </row>
    <row r="56" spans="1:14" x14ac:dyDescent="0.25">
      <c r="A56" s="7" t="s">
        <v>393</v>
      </c>
      <c r="B56" s="1">
        <v>19995291</v>
      </c>
      <c r="C56" s="1">
        <v>19995291</v>
      </c>
      <c r="D56" s="1">
        <v>19995291</v>
      </c>
      <c r="E56" s="1">
        <v>19995291</v>
      </c>
      <c r="F56" s="1">
        <v>19995291</v>
      </c>
      <c r="G56" s="1">
        <v>19995291</v>
      </c>
      <c r="H56" s="1">
        <v>18174285</v>
      </c>
      <c r="I56" s="1">
        <v>19054852</v>
      </c>
      <c r="J56" s="1">
        <v>18969408</v>
      </c>
      <c r="K56" s="1">
        <v>19012130</v>
      </c>
      <c r="L56" s="1">
        <v>19012130</v>
      </c>
      <c r="M56" s="1">
        <v>19012130</v>
      </c>
      <c r="N56" s="1">
        <v>233206681</v>
      </c>
    </row>
    <row r="57" spans="1:14" x14ac:dyDescent="0.25">
      <c r="A57" s="7" t="s">
        <v>394</v>
      </c>
      <c r="B57" s="1"/>
      <c r="C57" s="1"/>
      <c r="D57" s="1"/>
      <c r="E57" s="1"/>
      <c r="F57" s="1"/>
      <c r="G57" s="1"/>
      <c r="H57" s="1">
        <v>804832</v>
      </c>
      <c r="I57" s="1"/>
      <c r="J57" s="1">
        <v>57488</v>
      </c>
      <c r="K57" s="1"/>
      <c r="L57" s="1">
        <v>57488</v>
      </c>
      <c r="M57" s="1"/>
      <c r="N57" s="1">
        <v>919808</v>
      </c>
    </row>
    <row r="58" spans="1:14" x14ac:dyDescent="0.25">
      <c r="A58" s="7" t="s">
        <v>395</v>
      </c>
      <c r="B58" s="1"/>
      <c r="C58" s="1"/>
      <c r="D58" s="1"/>
      <c r="E58" s="1"/>
      <c r="F58" s="1"/>
      <c r="G58" s="1"/>
      <c r="H58" s="1"/>
      <c r="I58" s="1"/>
      <c r="J58" s="1"/>
      <c r="K58" s="1"/>
      <c r="L58" s="1"/>
      <c r="M58" s="1">
        <v>0</v>
      </c>
      <c r="N58" s="1">
        <v>0</v>
      </c>
    </row>
    <row r="59" spans="1:14" x14ac:dyDescent="0.25">
      <c r="A59" s="7" t="s">
        <v>845</v>
      </c>
      <c r="B59" s="1"/>
      <c r="C59" s="1"/>
      <c r="D59" s="1"/>
      <c r="E59" s="1"/>
      <c r="F59" s="1"/>
      <c r="G59" s="1">
        <v>6147600</v>
      </c>
      <c r="H59" s="1"/>
      <c r="I59" s="1"/>
      <c r="J59" s="1"/>
      <c r="K59" s="1"/>
      <c r="L59" s="1"/>
      <c r="M59" s="1"/>
      <c r="N59" s="1">
        <v>6147600</v>
      </c>
    </row>
    <row r="60" spans="1:14" x14ac:dyDescent="0.25">
      <c r="A60" s="7" t="s">
        <v>396</v>
      </c>
      <c r="B60" s="1">
        <v>12500</v>
      </c>
      <c r="C60" s="1">
        <v>12500</v>
      </c>
      <c r="D60" s="1">
        <v>12500</v>
      </c>
      <c r="E60" s="1">
        <v>12500</v>
      </c>
      <c r="F60" s="1">
        <v>12500</v>
      </c>
      <c r="G60" s="1">
        <v>12500</v>
      </c>
      <c r="H60" s="1">
        <v>12500</v>
      </c>
      <c r="I60" s="1">
        <v>12500</v>
      </c>
      <c r="J60" s="1">
        <v>12500</v>
      </c>
      <c r="K60" s="1">
        <v>12500</v>
      </c>
      <c r="L60" s="1">
        <v>12500</v>
      </c>
      <c r="M60" s="1">
        <v>12500</v>
      </c>
      <c r="N60" s="1">
        <v>150000</v>
      </c>
    </row>
    <row r="61" spans="1:14" x14ac:dyDescent="0.25">
      <c r="A61" s="7" t="s">
        <v>237</v>
      </c>
      <c r="B61" s="1">
        <v>1316658</v>
      </c>
      <c r="C61" s="1">
        <v>1316658</v>
      </c>
      <c r="D61" s="1">
        <v>1316658</v>
      </c>
      <c r="E61" s="1">
        <v>1316658</v>
      </c>
      <c r="F61" s="1">
        <v>1316658</v>
      </c>
      <c r="G61" s="1">
        <v>1346158</v>
      </c>
      <c r="H61" s="1">
        <v>1346158</v>
      </c>
      <c r="I61" s="1">
        <v>1346158</v>
      </c>
      <c r="J61" s="1">
        <v>1346158</v>
      </c>
      <c r="K61" s="1">
        <v>1372408</v>
      </c>
      <c r="L61" s="1">
        <v>1667408</v>
      </c>
      <c r="M61" s="1">
        <v>1667408</v>
      </c>
      <c r="N61" s="1">
        <v>16675146</v>
      </c>
    </row>
    <row r="62" spans="1:14" x14ac:dyDescent="0.25">
      <c r="A62" s="7" t="s">
        <v>397</v>
      </c>
      <c r="B62" s="1">
        <v>30403</v>
      </c>
      <c r="C62" s="1">
        <v>30403</v>
      </c>
      <c r="D62" s="1">
        <v>30403</v>
      </c>
      <c r="E62" s="1">
        <v>54986</v>
      </c>
      <c r="F62" s="1">
        <v>54986</v>
      </c>
      <c r="G62" s="1">
        <v>99236</v>
      </c>
      <c r="H62" s="1">
        <v>99236</v>
      </c>
      <c r="I62" s="1">
        <v>99236</v>
      </c>
      <c r="J62" s="1">
        <v>241132</v>
      </c>
      <c r="K62" s="1">
        <v>241132</v>
      </c>
      <c r="L62" s="1">
        <v>241132</v>
      </c>
      <c r="M62" s="1">
        <v>241132</v>
      </c>
      <c r="N62" s="1">
        <v>1463417</v>
      </c>
    </row>
    <row r="63" spans="1:14" x14ac:dyDescent="0.25">
      <c r="A63" s="7" t="s">
        <v>557</v>
      </c>
      <c r="B63" s="1">
        <v>89138</v>
      </c>
      <c r="C63" s="1">
        <v>89138</v>
      </c>
      <c r="D63" s="1">
        <v>89138</v>
      </c>
      <c r="E63" s="1">
        <v>89138</v>
      </c>
      <c r="F63" s="1">
        <v>89138</v>
      </c>
      <c r="G63" s="1">
        <v>89138</v>
      </c>
      <c r="H63" s="1">
        <v>89138</v>
      </c>
      <c r="I63" s="1">
        <v>89138</v>
      </c>
      <c r="J63" s="1">
        <v>89138</v>
      </c>
      <c r="K63" s="1">
        <v>89138</v>
      </c>
      <c r="L63" s="1">
        <v>89138</v>
      </c>
      <c r="M63" s="1">
        <v>89138</v>
      </c>
      <c r="N63" s="1">
        <v>1069656</v>
      </c>
    </row>
    <row r="64" spans="1:14" x14ac:dyDescent="0.25">
      <c r="A64" s="7" t="s">
        <v>559</v>
      </c>
      <c r="B64" s="1">
        <v>392981</v>
      </c>
      <c r="C64" s="1">
        <v>392981</v>
      </c>
      <c r="D64" s="1">
        <v>392981</v>
      </c>
      <c r="E64" s="1">
        <v>392981</v>
      </c>
      <c r="F64" s="1">
        <v>392981</v>
      </c>
      <c r="G64" s="1">
        <v>392981</v>
      </c>
      <c r="H64" s="1">
        <v>392981</v>
      </c>
      <c r="I64" s="1">
        <v>392981</v>
      </c>
      <c r="J64" s="1">
        <v>392981</v>
      </c>
      <c r="K64" s="1">
        <v>392981</v>
      </c>
      <c r="L64" s="1">
        <v>392981</v>
      </c>
      <c r="M64" s="1">
        <v>392981</v>
      </c>
      <c r="N64" s="1">
        <v>4715772</v>
      </c>
    </row>
    <row r="65" spans="1:14" x14ac:dyDescent="0.25">
      <c r="A65" s="7" t="s">
        <v>398</v>
      </c>
      <c r="B65" s="1">
        <v>173856</v>
      </c>
      <c r="C65" s="1">
        <v>173856</v>
      </c>
      <c r="D65" s="1">
        <v>173856</v>
      </c>
      <c r="E65" s="1">
        <v>173856</v>
      </c>
      <c r="F65" s="1">
        <v>173856</v>
      </c>
      <c r="G65" s="1">
        <v>173856</v>
      </c>
      <c r="H65" s="1">
        <v>173856</v>
      </c>
      <c r="I65" s="1">
        <v>173856</v>
      </c>
      <c r="J65" s="1">
        <v>173856</v>
      </c>
      <c r="K65" s="1">
        <v>173856</v>
      </c>
      <c r="L65" s="1">
        <v>173856</v>
      </c>
      <c r="M65" s="1">
        <v>173856</v>
      </c>
      <c r="N65" s="1">
        <v>2086272</v>
      </c>
    </row>
    <row r="66" spans="1:14" x14ac:dyDescent="0.25">
      <c r="A66" s="7" t="s">
        <v>399</v>
      </c>
      <c r="B66" s="1">
        <v>144062</v>
      </c>
      <c r="C66" s="1">
        <v>144062</v>
      </c>
      <c r="D66" s="1">
        <v>144062</v>
      </c>
      <c r="E66" s="1">
        <v>144062</v>
      </c>
      <c r="F66" s="1">
        <v>144062</v>
      </c>
      <c r="G66" s="1">
        <v>144062</v>
      </c>
      <c r="H66" s="1">
        <v>144062</v>
      </c>
      <c r="I66" s="1">
        <v>144062</v>
      </c>
      <c r="J66" s="1">
        <v>144062</v>
      </c>
      <c r="K66" s="1">
        <v>144062</v>
      </c>
      <c r="L66" s="1">
        <v>144062</v>
      </c>
      <c r="M66" s="1">
        <v>144062</v>
      </c>
      <c r="N66" s="1">
        <v>1728744</v>
      </c>
    </row>
    <row r="67" spans="1:14" x14ac:dyDescent="0.25">
      <c r="A67" s="7" t="s">
        <v>298</v>
      </c>
      <c r="B67" s="1">
        <v>1767854</v>
      </c>
      <c r="C67" s="1">
        <v>1767854</v>
      </c>
      <c r="D67" s="1">
        <v>1767854</v>
      </c>
      <c r="E67" s="1">
        <v>1700252</v>
      </c>
      <c r="F67" s="1">
        <v>1984628</v>
      </c>
      <c r="G67" s="1">
        <v>2060888</v>
      </c>
      <c r="H67" s="1">
        <v>2060888</v>
      </c>
      <c r="I67" s="1">
        <v>1918700</v>
      </c>
      <c r="J67" s="1">
        <v>2060888</v>
      </c>
      <c r="K67" s="1">
        <v>2060888</v>
      </c>
      <c r="L67" s="1">
        <v>2060888</v>
      </c>
      <c r="M67" s="1">
        <v>2060888</v>
      </c>
      <c r="N67" s="1">
        <v>23272470</v>
      </c>
    </row>
    <row r="68" spans="1:14" x14ac:dyDescent="0.25">
      <c r="A68" s="7" t="s">
        <v>328</v>
      </c>
      <c r="B68" s="1">
        <v>205394</v>
      </c>
      <c r="C68" s="1">
        <v>205394</v>
      </c>
      <c r="D68" s="1">
        <v>205394</v>
      </c>
      <c r="E68" s="1">
        <v>205394</v>
      </c>
      <c r="F68" s="1">
        <v>205394</v>
      </c>
      <c r="G68" s="1">
        <v>259561</v>
      </c>
      <c r="H68" s="1">
        <v>284561</v>
      </c>
      <c r="I68" s="1">
        <v>284561</v>
      </c>
      <c r="J68" s="1">
        <v>284561</v>
      </c>
      <c r="K68" s="1">
        <v>284561</v>
      </c>
      <c r="L68" s="1">
        <v>284561</v>
      </c>
      <c r="M68" s="1">
        <v>284561</v>
      </c>
      <c r="N68" s="1">
        <v>2993897</v>
      </c>
    </row>
    <row r="69" spans="1:14" x14ac:dyDescent="0.25">
      <c r="A69" s="7" t="s">
        <v>400</v>
      </c>
      <c r="B69" s="1">
        <v>17160</v>
      </c>
      <c r="C69" s="1">
        <v>17160</v>
      </c>
      <c r="D69" s="1">
        <v>17160</v>
      </c>
      <c r="E69" s="1">
        <v>17160</v>
      </c>
      <c r="F69" s="1">
        <v>17160</v>
      </c>
      <c r="G69" s="1">
        <v>17160</v>
      </c>
      <c r="H69" s="1">
        <v>17160</v>
      </c>
      <c r="I69" s="1">
        <v>17160</v>
      </c>
      <c r="J69" s="1">
        <v>17160</v>
      </c>
      <c r="K69" s="1">
        <v>17160</v>
      </c>
      <c r="L69" s="1">
        <v>17160</v>
      </c>
      <c r="M69" s="1">
        <v>17160</v>
      </c>
      <c r="N69" s="1">
        <v>205920</v>
      </c>
    </row>
    <row r="70" spans="1:14" x14ac:dyDescent="0.25">
      <c r="A70" s="7" t="s">
        <v>401</v>
      </c>
      <c r="B70" s="1">
        <v>1528</v>
      </c>
      <c r="C70" s="1">
        <v>1528</v>
      </c>
      <c r="D70" s="1">
        <v>1528</v>
      </c>
      <c r="E70" s="1">
        <v>1528</v>
      </c>
      <c r="F70" s="1">
        <v>1528</v>
      </c>
      <c r="G70" s="1">
        <v>1528</v>
      </c>
      <c r="H70" s="1">
        <v>1528</v>
      </c>
      <c r="I70" s="1">
        <v>1528</v>
      </c>
      <c r="J70" s="1">
        <v>1528</v>
      </c>
      <c r="K70" s="1">
        <v>1528</v>
      </c>
      <c r="L70" s="1">
        <v>1528</v>
      </c>
      <c r="M70" s="1">
        <v>1528</v>
      </c>
      <c r="N70" s="1">
        <v>18336</v>
      </c>
    </row>
    <row r="71" spans="1:14" x14ac:dyDescent="0.25">
      <c r="A71" s="7" t="s">
        <v>425</v>
      </c>
      <c r="B71" s="1">
        <v>32500</v>
      </c>
      <c r="C71" s="1">
        <v>32500</v>
      </c>
      <c r="D71" s="1">
        <v>32500</v>
      </c>
      <c r="E71" s="1">
        <v>32500</v>
      </c>
      <c r="F71" s="1">
        <v>32500</v>
      </c>
      <c r="G71" s="1">
        <v>32500</v>
      </c>
      <c r="H71" s="1">
        <v>32500</v>
      </c>
      <c r="I71" s="1">
        <v>32500</v>
      </c>
      <c r="J71" s="1">
        <v>32500</v>
      </c>
      <c r="K71" s="1">
        <v>32500</v>
      </c>
      <c r="L71" s="1">
        <v>32500</v>
      </c>
      <c r="M71" s="1">
        <v>32500</v>
      </c>
      <c r="N71" s="1">
        <v>390000</v>
      </c>
    </row>
    <row r="72" spans="1:14" x14ac:dyDescent="0.25">
      <c r="A72" s="7" t="s">
        <v>426</v>
      </c>
      <c r="B72" s="1">
        <v>2500</v>
      </c>
      <c r="C72" s="1">
        <v>2500</v>
      </c>
      <c r="D72" s="1">
        <v>2500</v>
      </c>
      <c r="E72" s="1">
        <v>2500</v>
      </c>
      <c r="F72" s="1">
        <v>2500</v>
      </c>
      <c r="G72" s="1">
        <v>2500</v>
      </c>
      <c r="H72" s="1">
        <v>2500</v>
      </c>
      <c r="I72" s="1">
        <v>2500</v>
      </c>
      <c r="J72" s="1">
        <v>2500</v>
      </c>
      <c r="K72" s="1">
        <v>2500</v>
      </c>
      <c r="L72" s="1">
        <v>2500</v>
      </c>
      <c r="M72" s="1">
        <v>2500</v>
      </c>
      <c r="N72" s="1">
        <v>30000</v>
      </c>
    </row>
    <row r="73" spans="1:14" x14ac:dyDescent="0.25">
      <c r="A73" s="7" t="s">
        <v>427</v>
      </c>
      <c r="B73" s="1">
        <v>61667</v>
      </c>
      <c r="C73" s="1">
        <v>61667</v>
      </c>
      <c r="D73" s="1">
        <v>61667</v>
      </c>
      <c r="E73" s="1">
        <v>61667</v>
      </c>
      <c r="F73" s="1">
        <v>61667</v>
      </c>
      <c r="G73" s="1">
        <v>61667</v>
      </c>
      <c r="H73" s="1">
        <v>61667</v>
      </c>
      <c r="I73" s="1">
        <v>61667</v>
      </c>
      <c r="J73" s="1">
        <v>61667</v>
      </c>
      <c r="K73" s="1">
        <v>61667</v>
      </c>
      <c r="L73" s="1">
        <v>61667</v>
      </c>
      <c r="M73" s="1">
        <v>61667</v>
      </c>
      <c r="N73" s="1">
        <v>740004</v>
      </c>
    </row>
    <row r="74" spans="1:14" x14ac:dyDescent="0.25">
      <c r="A74" s="7" t="s">
        <v>428</v>
      </c>
      <c r="B74" s="1"/>
      <c r="C74" s="1"/>
      <c r="D74" s="1"/>
      <c r="E74" s="1"/>
      <c r="F74" s="1"/>
      <c r="G74" s="1"/>
      <c r="H74" s="1"/>
      <c r="I74" s="1"/>
      <c r="J74" s="1"/>
      <c r="K74" s="1"/>
      <c r="L74" s="1"/>
      <c r="M74" s="1">
        <v>55000</v>
      </c>
      <c r="N74" s="1">
        <v>55000</v>
      </c>
    </row>
    <row r="75" spans="1:14" x14ac:dyDescent="0.25">
      <c r="A75" s="7" t="s">
        <v>429</v>
      </c>
      <c r="B75" s="1">
        <v>58333</v>
      </c>
      <c r="C75" s="1">
        <v>58333</v>
      </c>
      <c r="D75" s="1">
        <v>58333</v>
      </c>
      <c r="E75" s="1">
        <v>58333</v>
      </c>
      <c r="F75" s="1">
        <v>58333</v>
      </c>
      <c r="G75" s="1">
        <v>58333</v>
      </c>
      <c r="H75" s="1">
        <v>58333</v>
      </c>
      <c r="I75" s="1">
        <v>58333</v>
      </c>
      <c r="J75" s="1">
        <v>58333</v>
      </c>
      <c r="K75" s="1">
        <v>58333</v>
      </c>
      <c r="L75" s="1">
        <v>58333</v>
      </c>
      <c r="M75" s="1">
        <v>58333</v>
      </c>
      <c r="N75" s="1">
        <v>699996</v>
      </c>
    </row>
    <row r="76" spans="1:14" x14ac:dyDescent="0.25">
      <c r="A76" s="7" t="s">
        <v>430</v>
      </c>
      <c r="B76" s="1">
        <v>0</v>
      </c>
      <c r="C76" s="1">
        <v>0</v>
      </c>
      <c r="D76" s="1">
        <v>0</v>
      </c>
      <c r="E76" s="1">
        <v>0</v>
      </c>
      <c r="F76" s="1">
        <v>0</v>
      </c>
      <c r="G76" s="1">
        <v>0</v>
      </c>
      <c r="H76" s="1">
        <v>0</v>
      </c>
      <c r="I76" s="1">
        <v>0</v>
      </c>
      <c r="J76" s="1"/>
      <c r="K76" s="1">
        <v>0</v>
      </c>
      <c r="L76" s="1">
        <v>0</v>
      </c>
      <c r="M76" s="1">
        <v>0</v>
      </c>
      <c r="N76" s="1">
        <v>0</v>
      </c>
    </row>
    <row r="77" spans="1:14" x14ac:dyDescent="0.25">
      <c r="A77" s="7" t="s">
        <v>431</v>
      </c>
      <c r="B77" s="1">
        <v>64127</v>
      </c>
      <c r="C77" s="1">
        <v>64127</v>
      </c>
      <c r="D77" s="1">
        <v>64127</v>
      </c>
      <c r="E77" s="1">
        <v>64127</v>
      </c>
      <c r="F77" s="1">
        <v>64127</v>
      </c>
      <c r="G77" s="1">
        <v>64127</v>
      </c>
      <c r="H77" s="1">
        <v>64127</v>
      </c>
      <c r="I77" s="1">
        <v>64127</v>
      </c>
      <c r="J77" s="1">
        <v>64127</v>
      </c>
      <c r="K77" s="1">
        <v>64127</v>
      </c>
      <c r="L77" s="1">
        <v>64127</v>
      </c>
      <c r="M77" s="1">
        <v>64127</v>
      </c>
      <c r="N77" s="1">
        <v>769524</v>
      </c>
    </row>
    <row r="78" spans="1:14" x14ac:dyDescent="0.25">
      <c r="A78" s="7" t="s">
        <v>432</v>
      </c>
      <c r="B78" s="1">
        <v>53333</v>
      </c>
      <c r="C78" s="1">
        <v>53333</v>
      </c>
      <c r="D78" s="1">
        <v>53333</v>
      </c>
      <c r="E78" s="1">
        <v>53333</v>
      </c>
      <c r="F78" s="1">
        <v>53333</v>
      </c>
      <c r="G78" s="1">
        <v>53333</v>
      </c>
      <c r="H78" s="1">
        <v>53333</v>
      </c>
      <c r="I78" s="1">
        <v>53333</v>
      </c>
      <c r="J78" s="1">
        <v>53333</v>
      </c>
      <c r="K78" s="1">
        <v>53333</v>
      </c>
      <c r="L78" s="1">
        <v>53333</v>
      </c>
      <c r="M78" s="1">
        <v>53333</v>
      </c>
      <c r="N78" s="1">
        <v>639996</v>
      </c>
    </row>
    <row r="79" spans="1:14" x14ac:dyDescent="0.25">
      <c r="A79" s="7" t="s">
        <v>433</v>
      </c>
      <c r="B79" s="1">
        <v>51546</v>
      </c>
      <c r="C79" s="1">
        <v>51546</v>
      </c>
      <c r="D79" s="1">
        <v>51546</v>
      </c>
      <c r="E79" s="1">
        <v>151546</v>
      </c>
      <c r="F79" s="1">
        <v>51546</v>
      </c>
      <c r="G79" s="1">
        <v>51546</v>
      </c>
      <c r="H79" s="1">
        <v>51546</v>
      </c>
      <c r="I79" s="1">
        <v>51546</v>
      </c>
      <c r="J79" s="1">
        <v>51546</v>
      </c>
      <c r="K79" s="1">
        <v>51546</v>
      </c>
      <c r="L79" s="1">
        <v>51546</v>
      </c>
      <c r="M79" s="1">
        <v>51546</v>
      </c>
      <c r="N79" s="1">
        <v>718552</v>
      </c>
    </row>
    <row r="80" spans="1:14" x14ac:dyDescent="0.25">
      <c r="A80" s="7" t="s">
        <v>434</v>
      </c>
      <c r="B80" s="1"/>
      <c r="C80" s="1"/>
      <c r="D80" s="1"/>
      <c r="E80" s="1"/>
      <c r="F80" s="1">
        <v>120080</v>
      </c>
      <c r="G80" s="1"/>
      <c r="H80" s="1"/>
      <c r="I80" s="1"/>
      <c r="J80" s="1"/>
      <c r="K80" s="1"/>
      <c r="L80" s="1"/>
      <c r="M80" s="1"/>
      <c r="N80" s="1">
        <v>120080</v>
      </c>
    </row>
    <row r="81" spans="1:14" x14ac:dyDescent="0.25">
      <c r="A81" s="7" t="s">
        <v>435</v>
      </c>
      <c r="B81" s="1"/>
      <c r="C81" s="1"/>
      <c r="D81" s="1"/>
      <c r="E81" s="1"/>
      <c r="F81" s="1">
        <v>794065</v>
      </c>
      <c r="G81" s="1"/>
      <c r="H81" s="1"/>
      <c r="I81" s="1"/>
      <c r="J81" s="1"/>
      <c r="K81" s="1"/>
      <c r="L81" s="1"/>
      <c r="M81" s="1"/>
      <c r="N81" s="1">
        <v>794065</v>
      </c>
    </row>
    <row r="82" spans="1:14" x14ac:dyDescent="0.25">
      <c r="A82" s="7" t="s">
        <v>436</v>
      </c>
      <c r="B82" s="1"/>
      <c r="C82" s="1"/>
      <c r="D82" s="1"/>
      <c r="E82" s="1"/>
      <c r="F82" s="1">
        <v>188853</v>
      </c>
      <c r="G82" s="1"/>
      <c r="H82" s="1"/>
      <c r="I82" s="1"/>
      <c r="J82" s="1"/>
      <c r="K82" s="1"/>
      <c r="L82" s="1"/>
      <c r="M82" s="1"/>
      <c r="N82" s="1">
        <v>188853</v>
      </c>
    </row>
    <row r="83" spans="1:14" x14ac:dyDescent="0.25">
      <c r="A83" s="7" t="s">
        <v>437</v>
      </c>
      <c r="B83" s="1"/>
      <c r="C83" s="1"/>
      <c r="D83" s="1"/>
      <c r="E83" s="1"/>
      <c r="F83" s="1">
        <v>30245</v>
      </c>
      <c r="G83" s="1"/>
      <c r="H83" s="1"/>
      <c r="I83" s="1"/>
      <c r="J83" s="1"/>
      <c r="K83" s="1"/>
      <c r="L83" s="1"/>
      <c r="M83" s="1"/>
      <c r="N83" s="1">
        <v>30245</v>
      </c>
    </row>
    <row r="84" spans="1:14" x14ac:dyDescent="0.25">
      <c r="A84" s="7" t="s">
        <v>438</v>
      </c>
      <c r="B84" s="1"/>
      <c r="C84" s="1"/>
      <c r="D84" s="1"/>
      <c r="E84" s="1"/>
      <c r="F84" s="1">
        <v>18000</v>
      </c>
      <c r="G84" s="1"/>
      <c r="H84" s="1"/>
      <c r="I84" s="1"/>
      <c r="J84" s="1"/>
      <c r="K84" s="1"/>
      <c r="L84" s="1"/>
      <c r="M84" s="1"/>
      <c r="N84" s="1">
        <v>18000</v>
      </c>
    </row>
    <row r="85" spans="1:14" x14ac:dyDescent="0.25">
      <c r="A85" s="7" t="s">
        <v>439</v>
      </c>
      <c r="B85" s="1">
        <v>21188</v>
      </c>
      <c r="C85" s="1">
        <v>21188</v>
      </c>
      <c r="D85" s="1">
        <v>21188</v>
      </c>
      <c r="E85" s="1">
        <v>21188</v>
      </c>
      <c r="F85" s="1">
        <v>21188</v>
      </c>
      <c r="G85" s="1">
        <v>21188</v>
      </c>
      <c r="H85" s="1">
        <v>21188</v>
      </c>
      <c r="I85" s="1">
        <v>21188</v>
      </c>
      <c r="J85" s="1">
        <v>21188</v>
      </c>
      <c r="K85" s="1">
        <v>21188</v>
      </c>
      <c r="L85" s="1">
        <v>21188</v>
      </c>
      <c r="M85" s="1">
        <v>21188</v>
      </c>
      <c r="N85" s="194">
        <v>254256</v>
      </c>
    </row>
    <row r="86" spans="1:14" x14ac:dyDescent="0.25">
      <c r="A86" s="7" t="s">
        <v>440</v>
      </c>
      <c r="B86" s="1">
        <v>28320</v>
      </c>
      <c r="C86" s="1"/>
      <c r="D86" s="1"/>
      <c r="E86" s="1"/>
      <c r="F86" s="1">
        <v>118000</v>
      </c>
      <c r="G86" s="1"/>
      <c r="H86" s="1"/>
      <c r="I86" s="1"/>
      <c r="J86" s="1"/>
      <c r="K86" s="1"/>
      <c r="L86" s="1">
        <v>1026600</v>
      </c>
      <c r="M86" s="1"/>
      <c r="N86" s="1">
        <v>1172920</v>
      </c>
    </row>
    <row r="87" spans="1:14" x14ac:dyDescent="0.25">
      <c r="A87" s="7" t="s">
        <v>441</v>
      </c>
      <c r="B87" s="1">
        <v>33354</v>
      </c>
      <c r="C87" s="1">
        <v>33354</v>
      </c>
      <c r="D87" s="1">
        <v>33354</v>
      </c>
      <c r="E87" s="1">
        <v>33354</v>
      </c>
      <c r="F87" s="1">
        <v>33354</v>
      </c>
      <c r="G87" s="1">
        <v>33354</v>
      </c>
      <c r="H87" s="1">
        <v>33354</v>
      </c>
      <c r="I87" s="1">
        <v>33354</v>
      </c>
      <c r="J87" s="1">
        <v>33354</v>
      </c>
      <c r="K87" s="1">
        <v>33354</v>
      </c>
      <c r="L87" s="1">
        <v>33354</v>
      </c>
      <c r="M87" s="1">
        <v>33354</v>
      </c>
      <c r="N87" s="1">
        <v>400248</v>
      </c>
    </row>
    <row r="88" spans="1:14" x14ac:dyDescent="0.25">
      <c r="A88" s="7" t="s">
        <v>442</v>
      </c>
      <c r="B88" s="1"/>
      <c r="C88" s="1">
        <v>220000</v>
      </c>
      <c r="D88" s="1"/>
      <c r="E88" s="1"/>
      <c r="F88" s="1"/>
      <c r="G88" s="1"/>
      <c r="H88" s="1"/>
      <c r="I88" s="1"/>
      <c r="J88" s="1"/>
      <c r="K88" s="1"/>
      <c r="L88" s="1"/>
      <c r="M88" s="1"/>
      <c r="N88" s="1">
        <v>220000</v>
      </c>
    </row>
    <row r="89" spans="1:14" x14ac:dyDescent="0.25">
      <c r="A89" s="7" t="s">
        <v>443</v>
      </c>
      <c r="B89" s="1">
        <v>11500</v>
      </c>
      <c r="C89" s="1">
        <v>11500</v>
      </c>
      <c r="D89" s="1">
        <v>11500</v>
      </c>
      <c r="E89" s="1">
        <v>11500</v>
      </c>
      <c r="F89" s="1">
        <v>11500</v>
      </c>
      <c r="G89" s="1">
        <v>11500</v>
      </c>
      <c r="H89" s="1">
        <v>11500</v>
      </c>
      <c r="I89" s="1">
        <v>11500</v>
      </c>
      <c r="J89" s="1">
        <v>11500</v>
      </c>
      <c r="K89" s="1">
        <v>11500</v>
      </c>
      <c r="L89" s="1">
        <v>11500</v>
      </c>
      <c r="M89" s="1">
        <v>11500</v>
      </c>
      <c r="N89" s="1">
        <v>138000</v>
      </c>
    </row>
    <row r="90" spans="1:14" x14ac:dyDescent="0.25">
      <c r="A90" s="7" t="s">
        <v>444</v>
      </c>
      <c r="B90" s="1">
        <v>74425</v>
      </c>
      <c r="C90" s="1">
        <v>74425</v>
      </c>
      <c r="D90" s="1">
        <v>74425</v>
      </c>
      <c r="E90" s="1">
        <v>74425</v>
      </c>
      <c r="F90" s="1">
        <v>74425</v>
      </c>
      <c r="G90" s="1">
        <v>74425</v>
      </c>
      <c r="H90" s="1">
        <v>74425</v>
      </c>
      <c r="I90" s="1">
        <v>74425</v>
      </c>
      <c r="J90" s="1">
        <v>74425</v>
      </c>
      <c r="K90" s="1">
        <v>74425</v>
      </c>
      <c r="L90" s="1">
        <v>74425</v>
      </c>
      <c r="M90" s="1">
        <v>74425</v>
      </c>
      <c r="N90" s="1">
        <v>893100</v>
      </c>
    </row>
    <row r="91" spans="1:14" x14ac:dyDescent="0.25">
      <c r="A91" s="7" t="s">
        <v>445</v>
      </c>
      <c r="B91" s="1">
        <v>319662</v>
      </c>
      <c r="C91" s="1">
        <v>319662</v>
      </c>
      <c r="D91" s="1">
        <v>319662</v>
      </c>
      <c r="E91" s="1">
        <v>319662</v>
      </c>
      <c r="F91" s="1">
        <v>319662</v>
      </c>
      <c r="G91" s="1">
        <v>319662</v>
      </c>
      <c r="H91" s="1">
        <v>0</v>
      </c>
      <c r="I91" s="1">
        <v>0</v>
      </c>
      <c r="J91" s="1">
        <v>0</v>
      </c>
      <c r="K91" s="1">
        <v>0</v>
      </c>
      <c r="L91" s="1">
        <v>0</v>
      </c>
      <c r="M91" s="1">
        <v>0</v>
      </c>
      <c r="N91" s="1">
        <v>1917972</v>
      </c>
    </row>
    <row r="92" spans="1:14" x14ac:dyDescent="0.25">
      <c r="A92" s="7" t="s">
        <v>446</v>
      </c>
      <c r="B92" s="1">
        <v>491667</v>
      </c>
      <c r="C92" s="1">
        <v>491667</v>
      </c>
      <c r="D92" s="1">
        <v>491667</v>
      </c>
      <c r="E92" s="1">
        <v>491667</v>
      </c>
      <c r="F92" s="1">
        <v>491667</v>
      </c>
      <c r="G92" s="1">
        <v>491667</v>
      </c>
      <c r="H92" s="1">
        <v>491667</v>
      </c>
      <c r="I92" s="1">
        <v>491667</v>
      </c>
      <c r="J92" s="1">
        <v>491667</v>
      </c>
      <c r="K92" s="1">
        <v>491667</v>
      </c>
      <c r="L92" s="1">
        <v>491667</v>
      </c>
      <c r="M92" s="1">
        <v>491667</v>
      </c>
      <c r="N92" s="1">
        <v>5900004</v>
      </c>
    </row>
    <row r="93" spans="1:14" x14ac:dyDescent="0.25">
      <c r="A93" s="7" t="s">
        <v>447</v>
      </c>
      <c r="B93" s="1">
        <v>52083</v>
      </c>
      <c r="C93" s="1">
        <v>52083</v>
      </c>
      <c r="D93" s="1">
        <v>52083</v>
      </c>
      <c r="E93" s="1">
        <v>52083</v>
      </c>
      <c r="F93" s="1">
        <v>52083</v>
      </c>
      <c r="G93" s="1">
        <v>52083</v>
      </c>
      <c r="H93" s="1">
        <v>52083</v>
      </c>
      <c r="I93" s="1">
        <v>52083</v>
      </c>
      <c r="J93" s="1">
        <v>52083</v>
      </c>
      <c r="K93" s="1">
        <v>52083</v>
      </c>
      <c r="L93" s="1">
        <v>52083</v>
      </c>
      <c r="M93" s="1">
        <v>52083</v>
      </c>
      <c r="N93" s="1">
        <v>624996</v>
      </c>
    </row>
    <row r="94" spans="1:14" x14ac:dyDescent="0.25">
      <c r="A94" s="7" t="s">
        <v>448</v>
      </c>
      <c r="B94" s="1">
        <v>34717</v>
      </c>
      <c r="C94" s="1">
        <v>34717</v>
      </c>
      <c r="D94" s="1">
        <v>34717</v>
      </c>
      <c r="E94" s="1">
        <v>34717</v>
      </c>
      <c r="F94" s="1">
        <v>34717</v>
      </c>
      <c r="G94" s="1">
        <v>34717</v>
      </c>
      <c r="H94" s="1">
        <v>34717</v>
      </c>
      <c r="I94" s="1">
        <v>34717</v>
      </c>
      <c r="J94" s="1">
        <v>34717</v>
      </c>
      <c r="K94" s="1">
        <v>34717</v>
      </c>
      <c r="L94" s="1">
        <v>34717</v>
      </c>
      <c r="M94" s="1">
        <v>34717</v>
      </c>
      <c r="N94" s="194">
        <v>416604</v>
      </c>
    </row>
    <row r="95" spans="1:14" x14ac:dyDescent="0.25">
      <c r="A95" s="7" t="s">
        <v>449</v>
      </c>
      <c r="B95" s="1"/>
      <c r="C95" s="1"/>
      <c r="D95" s="1"/>
      <c r="E95" s="1"/>
      <c r="F95" s="1"/>
      <c r="G95" s="1"/>
      <c r="H95" s="1"/>
      <c r="I95" s="1"/>
      <c r="J95" s="1">
        <v>250000</v>
      </c>
      <c r="K95" s="1"/>
      <c r="L95" s="1"/>
      <c r="M95" s="1"/>
      <c r="N95" s="194">
        <v>250000</v>
      </c>
    </row>
    <row r="96" spans="1:14" x14ac:dyDescent="0.25">
      <c r="A96" s="7" t="s">
        <v>450</v>
      </c>
      <c r="B96" s="1">
        <v>2042</v>
      </c>
      <c r="C96" s="1">
        <v>2042</v>
      </c>
      <c r="D96" s="1">
        <v>2042</v>
      </c>
      <c r="E96" s="1">
        <v>2042</v>
      </c>
      <c r="F96" s="1">
        <v>2042</v>
      </c>
      <c r="G96" s="1">
        <v>2042</v>
      </c>
      <c r="H96" s="1">
        <v>2042</v>
      </c>
      <c r="I96" s="1">
        <v>2042</v>
      </c>
      <c r="J96" s="1">
        <v>2042</v>
      </c>
      <c r="K96" s="1">
        <v>2042</v>
      </c>
      <c r="L96" s="1">
        <v>2042</v>
      </c>
      <c r="M96" s="1">
        <v>2042</v>
      </c>
      <c r="N96" s="1">
        <v>24504</v>
      </c>
    </row>
    <row r="97" spans="1:14" x14ac:dyDescent="0.25">
      <c r="A97" s="7" t="s">
        <v>451</v>
      </c>
      <c r="B97" s="1">
        <v>7388</v>
      </c>
      <c r="C97" s="1">
        <v>7388</v>
      </c>
      <c r="D97" s="1">
        <v>7388</v>
      </c>
      <c r="E97" s="1">
        <v>7388</v>
      </c>
      <c r="F97" s="1">
        <v>7388</v>
      </c>
      <c r="G97" s="1">
        <v>7388</v>
      </c>
      <c r="H97" s="1">
        <v>7388</v>
      </c>
      <c r="I97" s="1">
        <v>7388</v>
      </c>
      <c r="J97" s="1">
        <v>7388</v>
      </c>
      <c r="K97" s="1">
        <v>7388</v>
      </c>
      <c r="L97" s="1">
        <v>7388</v>
      </c>
      <c r="M97" s="1">
        <v>7388</v>
      </c>
      <c r="N97" s="1">
        <v>88656</v>
      </c>
    </row>
    <row r="98" spans="1:14" x14ac:dyDescent="0.25">
      <c r="A98" s="7" t="s">
        <v>452</v>
      </c>
      <c r="B98" s="1">
        <v>33375</v>
      </c>
      <c r="C98" s="1">
        <v>33375</v>
      </c>
      <c r="D98" s="1">
        <v>33375</v>
      </c>
      <c r="E98" s="1">
        <v>33375</v>
      </c>
      <c r="F98" s="1">
        <v>33375</v>
      </c>
      <c r="G98" s="1">
        <v>33375</v>
      </c>
      <c r="H98" s="1">
        <v>33375</v>
      </c>
      <c r="I98" s="1">
        <v>33375</v>
      </c>
      <c r="J98" s="1">
        <v>33375</v>
      </c>
      <c r="K98" s="1">
        <v>33375</v>
      </c>
      <c r="L98" s="1">
        <v>33375</v>
      </c>
      <c r="M98" s="1">
        <v>33375</v>
      </c>
      <c r="N98" s="1">
        <v>400500</v>
      </c>
    </row>
    <row r="99" spans="1:14" x14ac:dyDescent="0.25">
      <c r="A99" s="7" t="s">
        <v>453</v>
      </c>
      <c r="B99" s="1">
        <v>11462</v>
      </c>
      <c r="C99" s="1">
        <v>11462</v>
      </c>
      <c r="D99" s="1">
        <v>11462</v>
      </c>
      <c r="E99" s="1">
        <v>11462</v>
      </c>
      <c r="F99" s="1">
        <v>11462</v>
      </c>
      <c r="G99" s="1">
        <v>11462</v>
      </c>
      <c r="H99" s="1">
        <v>11462</v>
      </c>
      <c r="I99" s="1">
        <v>11462</v>
      </c>
      <c r="J99" s="1">
        <v>11462</v>
      </c>
      <c r="K99" s="1">
        <v>11462</v>
      </c>
      <c r="L99" s="1">
        <v>11462</v>
      </c>
      <c r="M99" s="1">
        <v>11462</v>
      </c>
      <c r="N99" s="1">
        <v>137544</v>
      </c>
    </row>
    <row r="100" spans="1:14" x14ac:dyDescent="0.25">
      <c r="A100" s="7" t="s">
        <v>477</v>
      </c>
      <c r="B100" s="1">
        <v>5000</v>
      </c>
      <c r="C100" s="1">
        <v>5000</v>
      </c>
      <c r="D100" s="1">
        <v>5000</v>
      </c>
      <c r="E100" s="1">
        <v>5000</v>
      </c>
      <c r="F100" s="1">
        <v>5000</v>
      </c>
      <c r="G100" s="1">
        <v>5000</v>
      </c>
      <c r="H100" s="1">
        <v>5000</v>
      </c>
      <c r="I100" s="1">
        <v>5000</v>
      </c>
      <c r="J100" s="1">
        <v>5000</v>
      </c>
      <c r="K100" s="1">
        <v>5000</v>
      </c>
      <c r="L100" s="1">
        <v>5000</v>
      </c>
      <c r="M100" s="1">
        <v>5000</v>
      </c>
      <c r="N100" s="1">
        <v>60000</v>
      </c>
    </row>
    <row r="101" spans="1:14" x14ac:dyDescent="0.25">
      <c r="A101" s="7" t="s">
        <v>454</v>
      </c>
      <c r="B101" s="1">
        <v>2083</v>
      </c>
      <c r="C101" s="1">
        <v>2083</v>
      </c>
      <c r="D101" s="1">
        <v>2083</v>
      </c>
      <c r="E101" s="1">
        <v>2083</v>
      </c>
      <c r="F101" s="1">
        <v>2083</v>
      </c>
      <c r="G101" s="1">
        <v>2083</v>
      </c>
      <c r="H101" s="1">
        <v>2083</v>
      </c>
      <c r="I101" s="1">
        <v>2083</v>
      </c>
      <c r="J101" s="1">
        <v>2083</v>
      </c>
      <c r="K101" s="1">
        <v>2083</v>
      </c>
      <c r="L101" s="1">
        <v>2083</v>
      </c>
      <c r="M101" s="1">
        <v>2083</v>
      </c>
      <c r="N101" s="1">
        <v>24996</v>
      </c>
    </row>
    <row r="102" spans="1:14" x14ac:dyDescent="0.25">
      <c r="A102" s="7" t="s">
        <v>455</v>
      </c>
      <c r="B102" s="1">
        <v>25000</v>
      </c>
      <c r="C102" s="1">
        <v>25000</v>
      </c>
      <c r="D102" s="1">
        <v>25000</v>
      </c>
      <c r="E102" s="1">
        <v>25000</v>
      </c>
      <c r="F102" s="1">
        <v>25000</v>
      </c>
      <c r="G102" s="1">
        <v>25000</v>
      </c>
      <c r="H102" s="1">
        <v>25000</v>
      </c>
      <c r="I102" s="1">
        <v>25000</v>
      </c>
      <c r="J102" s="1">
        <v>25000</v>
      </c>
      <c r="K102" s="1">
        <v>25000</v>
      </c>
      <c r="L102" s="1">
        <v>25000</v>
      </c>
      <c r="M102" s="1">
        <v>25000</v>
      </c>
      <c r="N102" s="1">
        <v>300000</v>
      </c>
    </row>
    <row r="103" spans="1:14" x14ac:dyDescent="0.25">
      <c r="A103" s="7" t="s">
        <v>479</v>
      </c>
      <c r="B103" s="1"/>
      <c r="C103" s="1"/>
      <c r="D103" s="1"/>
      <c r="E103" s="1"/>
      <c r="F103" s="1"/>
      <c r="G103" s="1"/>
      <c r="H103" s="1"/>
      <c r="I103" s="1"/>
      <c r="J103" s="1"/>
      <c r="K103" s="1"/>
      <c r="L103" s="1"/>
      <c r="M103" s="1">
        <v>80000</v>
      </c>
      <c r="N103" s="1">
        <v>80000</v>
      </c>
    </row>
    <row r="104" spans="1:14" x14ac:dyDescent="0.25">
      <c r="A104" s="7" t="s">
        <v>480</v>
      </c>
      <c r="B104" s="1"/>
      <c r="C104" s="1"/>
      <c r="D104" s="1"/>
      <c r="E104" s="1"/>
      <c r="F104" s="1"/>
      <c r="G104" s="1"/>
      <c r="H104" s="1"/>
      <c r="I104" s="1"/>
      <c r="J104" s="1"/>
      <c r="K104" s="1"/>
      <c r="L104" s="1"/>
      <c r="M104" s="1">
        <v>5000</v>
      </c>
      <c r="N104" s="1">
        <v>5000</v>
      </c>
    </row>
    <row r="105" spans="1:14" x14ac:dyDescent="0.25">
      <c r="A105" s="7" t="s">
        <v>805</v>
      </c>
      <c r="B105" s="1">
        <v>128538</v>
      </c>
      <c r="C105" s="1">
        <v>166090</v>
      </c>
      <c r="D105" s="1">
        <v>171872</v>
      </c>
      <c r="E105" s="1">
        <v>59842</v>
      </c>
      <c r="F105" s="1">
        <v>87816</v>
      </c>
      <c r="G105" s="1">
        <v>104105</v>
      </c>
      <c r="H105" s="1">
        <v>102860</v>
      </c>
      <c r="I105" s="1">
        <v>82733</v>
      </c>
      <c r="J105" s="1">
        <v>91076</v>
      </c>
      <c r="K105" s="1">
        <v>89941</v>
      </c>
      <c r="L105" s="1">
        <v>85341</v>
      </c>
      <c r="M105" s="1">
        <v>129786</v>
      </c>
      <c r="N105" s="1">
        <v>1300000</v>
      </c>
    </row>
    <row r="106" spans="1:14" x14ac:dyDescent="0.25">
      <c r="A106" s="7" t="s">
        <v>806</v>
      </c>
      <c r="B106" s="1">
        <v>12798</v>
      </c>
      <c r="C106" s="1">
        <v>20205</v>
      </c>
      <c r="D106" s="1">
        <v>10276</v>
      </c>
      <c r="E106" s="1">
        <v>11783</v>
      </c>
      <c r="F106" s="1">
        <v>6734</v>
      </c>
      <c r="G106" s="1">
        <v>9933</v>
      </c>
      <c r="H106" s="1">
        <v>14276</v>
      </c>
      <c r="I106" s="1">
        <v>9768</v>
      </c>
      <c r="J106" s="1">
        <v>18252</v>
      </c>
      <c r="K106" s="1">
        <v>16494</v>
      </c>
      <c r="L106" s="1">
        <v>15390</v>
      </c>
      <c r="M106" s="1">
        <v>24089</v>
      </c>
      <c r="N106" s="1">
        <v>169998</v>
      </c>
    </row>
    <row r="107" spans="1:14" x14ac:dyDescent="0.25">
      <c r="A107" s="7" t="s">
        <v>807</v>
      </c>
      <c r="B107" s="1">
        <v>69232</v>
      </c>
      <c r="C107" s="1">
        <v>88410</v>
      </c>
      <c r="D107" s="1">
        <v>95088</v>
      </c>
      <c r="E107" s="1">
        <v>35154</v>
      </c>
      <c r="F107" s="1">
        <v>57201</v>
      </c>
      <c r="G107" s="1">
        <v>52564</v>
      </c>
      <c r="H107" s="1">
        <v>56398</v>
      </c>
      <c r="I107" s="1">
        <v>49863</v>
      </c>
      <c r="J107" s="1">
        <v>59295</v>
      </c>
      <c r="K107" s="1">
        <v>58489</v>
      </c>
      <c r="L107" s="1">
        <v>48740</v>
      </c>
      <c r="M107" s="1">
        <v>59567</v>
      </c>
      <c r="N107" s="1">
        <v>730001</v>
      </c>
    </row>
    <row r="108" spans="1:14" x14ac:dyDescent="0.25">
      <c r="A108" s="7" t="s">
        <v>808</v>
      </c>
      <c r="B108" s="1">
        <v>8333</v>
      </c>
      <c r="C108" s="1">
        <v>8333</v>
      </c>
      <c r="D108" s="1">
        <v>8333</v>
      </c>
      <c r="E108" s="1">
        <v>8333</v>
      </c>
      <c r="F108" s="1">
        <v>8333</v>
      </c>
      <c r="G108" s="1">
        <v>8333</v>
      </c>
      <c r="H108" s="1">
        <v>8333</v>
      </c>
      <c r="I108" s="1">
        <v>8333</v>
      </c>
      <c r="J108" s="1">
        <v>8333</v>
      </c>
      <c r="K108" s="1">
        <v>8333</v>
      </c>
      <c r="L108" s="1">
        <v>8333</v>
      </c>
      <c r="M108" s="1">
        <v>8333</v>
      </c>
      <c r="N108" s="1">
        <v>99996</v>
      </c>
    </row>
    <row r="109" spans="1:14" x14ac:dyDescent="0.25">
      <c r="A109" s="7" t="s">
        <v>809</v>
      </c>
      <c r="B109" s="1">
        <v>4167</v>
      </c>
      <c r="C109" s="1">
        <v>4167</v>
      </c>
      <c r="D109" s="1">
        <v>4167</v>
      </c>
      <c r="E109" s="1">
        <v>4167</v>
      </c>
      <c r="F109" s="1">
        <v>4167</v>
      </c>
      <c r="G109" s="1">
        <v>4167</v>
      </c>
      <c r="H109" s="1">
        <v>4167</v>
      </c>
      <c r="I109" s="1">
        <v>4167</v>
      </c>
      <c r="J109" s="1">
        <v>4167</v>
      </c>
      <c r="K109" s="1">
        <v>4167</v>
      </c>
      <c r="L109" s="1">
        <v>4167</v>
      </c>
      <c r="M109" s="1">
        <v>4167</v>
      </c>
      <c r="N109" s="1">
        <v>50004</v>
      </c>
    </row>
    <row r="110" spans="1:14" x14ac:dyDescent="0.25">
      <c r="A110" s="7" t="s">
        <v>810</v>
      </c>
      <c r="B110" s="1">
        <v>527079</v>
      </c>
      <c r="C110" s="1">
        <v>670021</v>
      </c>
      <c r="D110" s="1">
        <v>711085</v>
      </c>
      <c r="E110" s="1">
        <v>592240</v>
      </c>
      <c r="F110" s="1">
        <v>652365</v>
      </c>
      <c r="G110" s="1">
        <v>777214</v>
      </c>
      <c r="H110" s="1">
        <v>610916</v>
      </c>
      <c r="I110" s="1">
        <v>418171</v>
      </c>
      <c r="J110" s="1">
        <v>570886</v>
      </c>
      <c r="K110" s="1">
        <v>547996</v>
      </c>
      <c r="L110" s="1">
        <v>603812</v>
      </c>
      <c r="M110" s="1">
        <v>518214</v>
      </c>
      <c r="N110" s="1">
        <v>7199999</v>
      </c>
    </row>
    <row r="111" spans="1:14" x14ac:dyDescent="0.25">
      <c r="A111" s="7" t="s">
        <v>811</v>
      </c>
      <c r="B111" s="1">
        <v>1880261</v>
      </c>
      <c r="C111" s="1">
        <v>95747561</v>
      </c>
      <c r="D111" s="1">
        <v>44519329</v>
      </c>
      <c r="E111" s="1">
        <v>1366505</v>
      </c>
      <c r="F111" s="1">
        <v>1123478</v>
      </c>
      <c r="G111" s="1">
        <v>631016</v>
      </c>
      <c r="H111" s="1">
        <v>88564</v>
      </c>
      <c r="I111" s="1">
        <v>151049</v>
      </c>
      <c r="J111" s="1">
        <v>176895</v>
      </c>
      <c r="K111" s="1">
        <v>131660</v>
      </c>
      <c r="L111" s="1">
        <v>190336</v>
      </c>
      <c r="M111" s="1">
        <v>993346</v>
      </c>
      <c r="N111" s="1">
        <v>147000000</v>
      </c>
    </row>
    <row r="112" spans="1:14" x14ac:dyDescent="0.25">
      <c r="A112" s="7" t="s">
        <v>812</v>
      </c>
      <c r="B112" s="1">
        <v>470307</v>
      </c>
      <c r="C112" s="1">
        <v>495250</v>
      </c>
      <c r="D112" s="1">
        <v>876940</v>
      </c>
      <c r="E112" s="1">
        <v>4849600</v>
      </c>
      <c r="F112" s="1">
        <v>1439126</v>
      </c>
      <c r="G112" s="1">
        <v>667357</v>
      </c>
      <c r="H112" s="1">
        <v>660554</v>
      </c>
      <c r="I112" s="1">
        <v>501351</v>
      </c>
      <c r="J112" s="1">
        <v>581344</v>
      </c>
      <c r="K112" s="1">
        <v>633586</v>
      </c>
      <c r="L112" s="1">
        <v>517713</v>
      </c>
      <c r="M112" s="1">
        <v>1306872</v>
      </c>
      <c r="N112" s="1">
        <v>13000000</v>
      </c>
    </row>
    <row r="113" spans="1:14" x14ac:dyDescent="0.25">
      <c r="A113" s="7" t="s">
        <v>813</v>
      </c>
      <c r="B113" s="1">
        <v>8333</v>
      </c>
      <c r="C113" s="1">
        <v>8333</v>
      </c>
      <c r="D113" s="1">
        <v>8333</v>
      </c>
      <c r="E113" s="1">
        <v>8333</v>
      </c>
      <c r="F113" s="1">
        <v>8333</v>
      </c>
      <c r="G113" s="1">
        <v>8333</v>
      </c>
      <c r="H113" s="1">
        <v>8333</v>
      </c>
      <c r="I113" s="1">
        <v>8333</v>
      </c>
      <c r="J113" s="1">
        <v>8333</v>
      </c>
      <c r="K113" s="1">
        <v>8333</v>
      </c>
      <c r="L113" s="1">
        <v>8333</v>
      </c>
      <c r="M113" s="1">
        <v>8333</v>
      </c>
      <c r="N113" s="1">
        <v>99996</v>
      </c>
    </row>
    <row r="114" spans="1:14" x14ac:dyDescent="0.25">
      <c r="A114" s="7" t="s">
        <v>814</v>
      </c>
      <c r="B114" s="1">
        <v>595845</v>
      </c>
      <c r="C114" s="1">
        <v>644695</v>
      </c>
      <c r="D114" s="1">
        <v>592057</v>
      </c>
      <c r="E114" s="1">
        <v>411276</v>
      </c>
      <c r="F114" s="1">
        <v>456136</v>
      </c>
      <c r="G114" s="1">
        <v>487211</v>
      </c>
      <c r="H114" s="1">
        <v>492206</v>
      </c>
      <c r="I114" s="1">
        <v>481720</v>
      </c>
      <c r="J114" s="1">
        <v>696195</v>
      </c>
      <c r="K114" s="1">
        <v>547605</v>
      </c>
      <c r="L114" s="1">
        <v>569596</v>
      </c>
      <c r="M114" s="1">
        <v>625458</v>
      </c>
      <c r="N114" s="1">
        <v>6600000</v>
      </c>
    </row>
    <row r="115" spans="1:14" x14ac:dyDescent="0.25">
      <c r="A115" s="7" t="s">
        <v>815</v>
      </c>
      <c r="B115" s="1">
        <v>5504097</v>
      </c>
      <c r="C115" s="1">
        <v>3956415</v>
      </c>
      <c r="D115" s="1">
        <v>3634547</v>
      </c>
      <c r="E115" s="1">
        <v>2727917</v>
      </c>
      <c r="F115" s="1">
        <v>3628169</v>
      </c>
      <c r="G115" s="1">
        <v>5646550</v>
      </c>
      <c r="H115" s="1">
        <v>6674794</v>
      </c>
      <c r="I115" s="1">
        <v>5130275</v>
      </c>
      <c r="J115" s="1">
        <v>6917345</v>
      </c>
      <c r="K115" s="1">
        <v>5836543</v>
      </c>
      <c r="L115" s="1">
        <v>5928620</v>
      </c>
      <c r="M115" s="1">
        <v>6014729</v>
      </c>
      <c r="N115" s="1">
        <v>61600001</v>
      </c>
    </row>
    <row r="116" spans="1:14" x14ac:dyDescent="0.25">
      <c r="A116" s="7" t="s">
        <v>816</v>
      </c>
      <c r="B116" s="1">
        <v>587076</v>
      </c>
      <c r="C116" s="1">
        <v>655826</v>
      </c>
      <c r="D116" s="1">
        <v>700285</v>
      </c>
      <c r="E116" s="1">
        <v>387766</v>
      </c>
      <c r="F116" s="1">
        <v>506284</v>
      </c>
      <c r="G116" s="1">
        <v>569536</v>
      </c>
      <c r="H116" s="1">
        <v>617517</v>
      </c>
      <c r="I116" s="1">
        <v>499160</v>
      </c>
      <c r="J116" s="1">
        <v>585784</v>
      </c>
      <c r="K116" s="1">
        <v>649100</v>
      </c>
      <c r="L116" s="1">
        <v>619645</v>
      </c>
      <c r="M116" s="1">
        <v>722021</v>
      </c>
      <c r="N116" s="1">
        <v>7100000</v>
      </c>
    </row>
    <row r="117" spans="1:14" x14ac:dyDescent="0.25">
      <c r="A117" s="7" t="s">
        <v>817</v>
      </c>
      <c r="B117" s="1">
        <v>1655996</v>
      </c>
      <c r="C117" s="1">
        <v>1733680</v>
      </c>
      <c r="D117" s="1">
        <v>1424476</v>
      </c>
      <c r="E117" s="1">
        <v>682536</v>
      </c>
      <c r="F117" s="1">
        <v>698534</v>
      </c>
      <c r="G117" s="1">
        <v>949745</v>
      </c>
      <c r="H117" s="1">
        <v>963593</v>
      </c>
      <c r="I117" s="1">
        <v>661278</v>
      </c>
      <c r="J117" s="1">
        <v>924091</v>
      </c>
      <c r="K117" s="1">
        <v>1100213</v>
      </c>
      <c r="L117" s="1">
        <v>1295221</v>
      </c>
      <c r="M117" s="1">
        <v>1410638</v>
      </c>
      <c r="N117" s="1">
        <v>13500001</v>
      </c>
    </row>
    <row r="118" spans="1:14" x14ac:dyDescent="0.25">
      <c r="A118" s="7" t="s">
        <v>818</v>
      </c>
      <c r="B118" s="1">
        <v>3004371</v>
      </c>
      <c r="C118" s="1">
        <v>2909574</v>
      </c>
      <c r="D118" s="1">
        <v>4259591</v>
      </c>
      <c r="E118" s="1">
        <v>2583268</v>
      </c>
      <c r="F118" s="1">
        <v>2102763</v>
      </c>
      <c r="G118" s="1">
        <v>2748275</v>
      </c>
      <c r="H118" s="1">
        <v>2628471</v>
      </c>
      <c r="I118" s="1">
        <v>2197725</v>
      </c>
      <c r="J118" s="1">
        <v>3472775</v>
      </c>
      <c r="K118" s="1">
        <v>1753737</v>
      </c>
      <c r="L118" s="1">
        <v>2930352</v>
      </c>
      <c r="M118" s="1">
        <v>355204</v>
      </c>
      <c r="N118" s="1">
        <v>30946106</v>
      </c>
    </row>
    <row r="119" spans="1:14" x14ac:dyDescent="0.25">
      <c r="A119" s="7" t="s">
        <v>819</v>
      </c>
      <c r="B119" s="1">
        <v>6564570</v>
      </c>
      <c r="C119" s="1">
        <v>3460619</v>
      </c>
      <c r="D119" s="1">
        <v>2855178</v>
      </c>
      <c r="E119" s="1">
        <v>1610534</v>
      </c>
      <c r="F119" s="1">
        <v>2882480</v>
      </c>
      <c r="G119" s="1">
        <v>1303432</v>
      </c>
      <c r="H119" s="1">
        <v>2124513</v>
      </c>
      <c r="I119" s="1">
        <v>827217</v>
      </c>
      <c r="J119" s="1">
        <v>979632</v>
      </c>
      <c r="K119" s="1">
        <v>1143028</v>
      </c>
      <c r="L119" s="1">
        <v>3748420</v>
      </c>
      <c r="M119" s="1">
        <v>970377</v>
      </c>
      <c r="N119" s="1">
        <v>28470000</v>
      </c>
    </row>
    <row r="120" spans="1:14" x14ac:dyDescent="0.25">
      <c r="A120" s="7" t="s">
        <v>820</v>
      </c>
      <c r="B120" s="1">
        <v>2500</v>
      </c>
      <c r="C120" s="1">
        <v>2500</v>
      </c>
      <c r="D120" s="1">
        <v>2500</v>
      </c>
      <c r="E120" s="1">
        <v>2500</v>
      </c>
      <c r="F120" s="1">
        <v>2500</v>
      </c>
      <c r="G120" s="1">
        <v>2500</v>
      </c>
      <c r="H120" s="1">
        <v>2500</v>
      </c>
      <c r="I120" s="1">
        <v>2500</v>
      </c>
      <c r="J120" s="1">
        <v>2500</v>
      </c>
      <c r="K120" s="1">
        <v>2500</v>
      </c>
      <c r="L120" s="1">
        <v>2500</v>
      </c>
      <c r="M120" s="1">
        <v>2500</v>
      </c>
      <c r="N120" s="1">
        <v>30000</v>
      </c>
    </row>
    <row r="121" spans="1:14" x14ac:dyDescent="0.25">
      <c r="A121" s="7" t="s">
        <v>821</v>
      </c>
      <c r="B121" s="1">
        <v>45328</v>
      </c>
      <c r="C121" s="1">
        <v>56183</v>
      </c>
      <c r="D121" s="1">
        <v>78992</v>
      </c>
      <c r="E121" s="1">
        <v>29647</v>
      </c>
      <c r="F121" s="1">
        <v>32571</v>
      </c>
      <c r="G121" s="1">
        <v>42558</v>
      </c>
      <c r="H121" s="1">
        <v>50134</v>
      </c>
      <c r="I121" s="1">
        <v>31446</v>
      </c>
      <c r="J121" s="1">
        <v>60913</v>
      </c>
      <c r="K121" s="1">
        <v>55121</v>
      </c>
      <c r="L121" s="1">
        <v>50470</v>
      </c>
      <c r="M121" s="1">
        <v>66635</v>
      </c>
      <c r="N121" s="1">
        <v>599998</v>
      </c>
    </row>
    <row r="122" spans="1:14" x14ac:dyDescent="0.25">
      <c r="A122" s="7" t="s">
        <v>822</v>
      </c>
      <c r="B122" s="1">
        <v>77795</v>
      </c>
      <c r="C122" s="1">
        <v>101222</v>
      </c>
      <c r="D122" s="1">
        <v>88846</v>
      </c>
      <c r="E122" s="1">
        <v>31383</v>
      </c>
      <c r="F122" s="1">
        <v>41108</v>
      </c>
      <c r="G122" s="1">
        <v>53926</v>
      </c>
      <c r="H122" s="1">
        <v>95918</v>
      </c>
      <c r="I122" s="1">
        <v>86193</v>
      </c>
      <c r="J122" s="1">
        <v>81331</v>
      </c>
      <c r="K122" s="1">
        <v>70281</v>
      </c>
      <c r="L122" s="1">
        <v>60998</v>
      </c>
      <c r="M122" s="1">
        <v>60998</v>
      </c>
      <c r="N122" s="1">
        <v>849999</v>
      </c>
    </row>
    <row r="123" spans="1:14" x14ac:dyDescent="0.25">
      <c r="A123" s="7" t="s">
        <v>823</v>
      </c>
      <c r="B123" s="1">
        <v>4167</v>
      </c>
      <c r="C123" s="1">
        <v>4167</v>
      </c>
      <c r="D123" s="1">
        <v>4167</v>
      </c>
      <c r="E123" s="1">
        <v>4167</v>
      </c>
      <c r="F123" s="1">
        <v>4167</v>
      </c>
      <c r="G123" s="1">
        <v>4167</v>
      </c>
      <c r="H123" s="1">
        <v>4167</v>
      </c>
      <c r="I123" s="1">
        <v>4167</v>
      </c>
      <c r="J123" s="1">
        <v>4167</v>
      </c>
      <c r="K123" s="1">
        <v>4167</v>
      </c>
      <c r="L123" s="1">
        <v>4167</v>
      </c>
      <c r="M123" s="1">
        <v>4167</v>
      </c>
      <c r="N123" s="1">
        <v>50004</v>
      </c>
    </row>
    <row r="124" spans="1:14" x14ac:dyDescent="0.25">
      <c r="A124" s="7" t="s">
        <v>824</v>
      </c>
      <c r="B124" s="1">
        <v>16667</v>
      </c>
      <c r="C124" s="1">
        <v>16667</v>
      </c>
      <c r="D124" s="1">
        <v>16667</v>
      </c>
      <c r="E124" s="1">
        <v>16667</v>
      </c>
      <c r="F124" s="1">
        <v>16667</v>
      </c>
      <c r="G124" s="1">
        <v>16667</v>
      </c>
      <c r="H124" s="1">
        <v>16667</v>
      </c>
      <c r="I124" s="1">
        <v>16667</v>
      </c>
      <c r="J124" s="1">
        <v>16667</v>
      </c>
      <c r="K124" s="1">
        <v>16667</v>
      </c>
      <c r="L124" s="1">
        <v>16667</v>
      </c>
      <c r="M124" s="1">
        <v>16667</v>
      </c>
      <c r="N124" s="1">
        <v>200004</v>
      </c>
    </row>
    <row r="125" spans="1:14" x14ac:dyDescent="0.25">
      <c r="A125" s="7" t="s">
        <v>825</v>
      </c>
      <c r="B125" s="1">
        <v>833</v>
      </c>
      <c r="C125" s="1">
        <v>833</v>
      </c>
      <c r="D125" s="1">
        <v>833</v>
      </c>
      <c r="E125" s="1">
        <v>833</v>
      </c>
      <c r="F125" s="1">
        <v>833</v>
      </c>
      <c r="G125" s="1">
        <v>833</v>
      </c>
      <c r="H125" s="1">
        <v>833</v>
      </c>
      <c r="I125" s="1">
        <v>833</v>
      </c>
      <c r="J125" s="1">
        <v>833</v>
      </c>
      <c r="K125" s="1">
        <v>833</v>
      </c>
      <c r="L125" s="1">
        <v>833</v>
      </c>
      <c r="M125" s="1">
        <v>833</v>
      </c>
      <c r="N125" s="1">
        <v>9996</v>
      </c>
    </row>
    <row r="126" spans="1:14" x14ac:dyDescent="0.25">
      <c r="A126" s="7" t="s">
        <v>826</v>
      </c>
      <c r="B126" s="1">
        <v>12500</v>
      </c>
      <c r="C126" s="1">
        <v>12500</v>
      </c>
      <c r="D126" s="1">
        <v>12500</v>
      </c>
      <c r="E126" s="1">
        <v>12500</v>
      </c>
      <c r="F126" s="1">
        <v>12500</v>
      </c>
      <c r="G126" s="1">
        <v>12500</v>
      </c>
      <c r="H126" s="1">
        <v>12500</v>
      </c>
      <c r="I126" s="1">
        <v>12500</v>
      </c>
      <c r="J126" s="1">
        <v>12500</v>
      </c>
      <c r="K126" s="1">
        <v>12500</v>
      </c>
      <c r="L126" s="1">
        <v>12500</v>
      </c>
      <c r="M126" s="1">
        <v>12500</v>
      </c>
      <c r="N126" s="1">
        <v>150000</v>
      </c>
    </row>
    <row r="127" spans="1:14" x14ac:dyDescent="0.25">
      <c r="A127" s="7" t="s">
        <v>827</v>
      </c>
      <c r="B127" s="1">
        <v>833</v>
      </c>
      <c r="C127" s="1">
        <v>833</v>
      </c>
      <c r="D127" s="1">
        <v>833</v>
      </c>
      <c r="E127" s="1">
        <v>833</v>
      </c>
      <c r="F127" s="1">
        <v>833</v>
      </c>
      <c r="G127" s="1">
        <v>833</v>
      </c>
      <c r="H127" s="1">
        <v>833</v>
      </c>
      <c r="I127" s="1">
        <v>833</v>
      </c>
      <c r="J127" s="1">
        <v>833</v>
      </c>
      <c r="K127" s="1">
        <v>833</v>
      </c>
      <c r="L127" s="1">
        <v>833</v>
      </c>
      <c r="M127" s="1">
        <v>833</v>
      </c>
      <c r="N127" s="1">
        <v>9996</v>
      </c>
    </row>
    <row r="128" spans="1:14" x14ac:dyDescent="0.25">
      <c r="A128" s="7" t="s">
        <v>828</v>
      </c>
      <c r="B128" s="1">
        <v>4167</v>
      </c>
      <c r="C128" s="1">
        <v>4167</v>
      </c>
      <c r="D128" s="1">
        <v>4167</v>
      </c>
      <c r="E128" s="1">
        <v>4167</v>
      </c>
      <c r="F128" s="1">
        <v>4167</v>
      </c>
      <c r="G128" s="1">
        <v>4167</v>
      </c>
      <c r="H128" s="1">
        <v>4167</v>
      </c>
      <c r="I128" s="1">
        <v>4167</v>
      </c>
      <c r="J128" s="1">
        <v>4167</v>
      </c>
      <c r="K128" s="1">
        <v>4167</v>
      </c>
      <c r="L128" s="1">
        <v>4167</v>
      </c>
      <c r="M128" s="1">
        <v>4167</v>
      </c>
      <c r="N128" s="1">
        <v>50004</v>
      </c>
    </row>
    <row r="129" spans="1:14" x14ac:dyDescent="0.25">
      <c r="A129" s="7" t="s">
        <v>829</v>
      </c>
      <c r="B129" s="1"/>
      <c r="C129" s="1">
        <v>0</v>
      </c>
      <c r="D129" s="1"/>
      <c r="E129" s="1"/>
      <c r="F129" s="1"/>
      <c r="G129" s="1"/>
      <c r="H129" s="1"/>
      <c r="I129" s="1"/>
      <c r="J129" s="1"/>
      <c r="K129" s="1"/>
      <c r="L129" s="1"/>
      <c r="M129" s="1"/>
      <c r="N129" s="1">
        <v>0</v>
      </c>
    </row>
    <row r="130" spans="1:14" x14ac:dyDescent="0.25">
      <c r="A130" s="7" t="s">
        <v>988</v>
      </c>
      <c r="B130" s="1">
        <v>-626029</v>
      </c>
      <c r="C130" s="1">
        <v>626029</v>
      </c>
      <c r="D130" s="1">
        <v>626029</v>
      </c>
      <c r="E130" s="1">
        <v>692695</v>
      </c>
      <c r="F130" s="1">
        <v>692695</v>
      </c>
      <c r="G130" s="1">
        <v>692695</v>
      </c>
      <c r="H130" s="1">
        <v>692695</v>
      </c>
      <c r="I130" s="1">
        <v>692695</v>
      </c>
      <c r="J130" s="1">
        <v>692695</v>
      </c>
      <c r="K130" s="1">
        <v>792695</v>
      </c>
      <c r="L130" s="1">
        <v>792695</v>
      </c>
      <c r="M130" s="1">
        <v>792695</v>
      </c>
      <c r="N130" s="1">
        <v>7160284</v>
      </c>
    </row>
    <row r="131" spans="1:14" x14ac:dyDescent="0.25">
      <c r="A131" s="7" t="s">
        <v>989</v>
      </c>
      <c r="B131" s="1">
        <v>266160</v>
      </c>
      <c r="C131" s="1">
        <v>266152</v>
      </c>
      <c r="D131" s="1">
        <v>266152</v>
      </c>
      <c r="E131" s="1">
        <v>266152</v>
      </c>
      <c r="F131" s="1">
        <v>266152</v>
      </c>
      <c r="G131" s="1">
        <v>266152</v>
      </c>
      <c r="H131" s="1">
        <v>266152</v>
      </c>
      <c r="I131" s="1">
        <v>266152</v>
      </c>
      <c r="J131" s="1">
        <v>266152</v>
      </c>
      <c r="K131" s="1">
        <v>266152</v>
      </c>
      <c r="L131" s="1">
        <v>266152</v>
      </c>
      <c r="M131" s="1">
        <v>266152</v>
      </c>
      <c r="N131" s="1">
        <v>3193832</v>
      </c>
    </row>
    <row r="132" spans="1:14" x14ac:dyDescent="0.25">
      <c r="A132" s="7" t="s">
        <v>990</v>
      </c>
      <c r="B132" s="1">
        <v>107819</v>
      </c>
      <c r="C132" s="1">
        <v>107819</v>
      </c>
      <c r="D132" s="1">
        <v>107819</v>
      </c>
      <c r="E132" s="1">
        <v>107819</v>
      </c>
      <c r="F132" s="1">
        <v>107819</v>
      </c>
      <c r="G132" s="1">
        <v>107819</v>
      </c>
      <c r="H132" s="1">
        <v>107819</v>
      </c>
      <c r="I132" s="1">
        <v>107819</v>
      </c>
      <c r="J132" s="1">
        <v>107819</v>
      </c>
      <c r="K132" s="1">
        <v>107819</v>
      </c>
      <c r="L132" s="1">
        <v>107819</v>
      </c>
      <c r="M132" s="1">
        <v>107819</v>
      </c>
      <c r="N132" s="1">
        <v>1293828</v>
      </c>
    </row>
    <row r="133" spans="1:14" x14ac:dyDescent="0.25">
      <c r="A133" s="7" t="s">
        <v>830</v>
      </c>
      <c r="B133" s="1">
        <v>417</v>
      </c>
      <c r="C133" s="1">
        <v>417</v>
      </c>
      <c r="D133" s="1">
        <v>417</v>
      </c>
      <c r="E133" s="1">
        <v>417</v>
      </c>
      <c r="F133" s="1">
        <v>417</v>
      </c>
      <c r="G133" s="1">
        <v>417</v>
      </c>
      <c r="H133" s="1">
        <v>417</v>
      </c>
      <c r="I133" s="1">
        <v>417</v>
      </c>
      <c r="J133" s="1">
        <v>417</v>
      </c>
      <c r="K133" s="1">
        <v>417</v>
      </c>
      <c r="L133" s="1">
        <v>417</v>
      </c>
      <c r="M133" s="1">
        <v>417</v>
      </c>
      <c r="N133" s="1">
        <v>5004</v>
      </c>
    </row>
    <row r="134" spans="1:14" x14ac:dyDescent="0.25">
      <c r="A134" s="7" t="s">
        <v>831</v>
      </c>
      <c r="B134" s="1">
        <v>583333</v>
      </c>
      <c r="C134" s="1">
        <v>583333</v>
      </c>
      <c r="D134" s="1">
        <v>583333</v>
      </c>
      <c r="E134" s="1">
        <v>583333</v>
      </c>
      <c r="F134" s="1">
        <v>583333</v>
      </c>
      <c r="G134" s="1">
        <v>583333</v>
      </c>
      <c r="H134" s="1">
        <v>583333</v>
      </c>
      <c r="I134" s="1">
        <v>583333</v>
      </c>
      <c r="J134" s="1">
        <v>583333</v>
      </c>
      <c r="K134" s="1">
        <v>583333</v>
      </c>
      <c r="L134" s="1">
        <v>583333</v>
      </c>
      <c r="M134" s="1">
        <v>583333</v>
      </c>
      <c r="N134" s="1">
        <v>6999996</v>
      </c>
    </row>
    <row r="135" spans="1:14" x14ac:dyDescent="0.25">
      <c r="A135" s="7" t="s">
        <v>832</v>
      </c>
      <c r="B135" s="1">
        <v>83333</v>
      </c>
      <c r="C135" s="1">
        <v>83333</v>
      </c>
      <c r="D135" s="1">
        <v>83333</v>
      </c>
      <c r="E135" s="1">
        <v>83333</v>
      </c>
      <c r="F135" s="1">
        <v>83333</v>
      </c>
      <c r="G135" s="1">
        <v>83333</v>
      </c>
      <c r="H135" s="1">
        <v>83333</v>
      </c>
      <c r="I135" s="1">
        <v>83333</v>
      </c>
      <c r="J135" s="1">
        <v>83333</v>
      </c>
      <c r="K135" s="1">
        <v>83333</v>
      </c>
      <c r="L135" s="1">
        <v>83333</v>
      </c>
      <c r="M135" s="1">
        <v>83333</v>
      </c>
      <c r="N135" s="1">
        <v>999996</v>
      </c>
    </row>
    <row r="136" spans="1:14" x14ac:dyDescent="0.25">
      <c r="A136" s="7" t="s">
        <v>991</v>
      </c>
      <c r="B136" s="1">
        <v>25000</v>
      </c>
      <c r="C136" s="1">
        <v>25000</v>
      </c>
      <c r="D136" s="1">
        <v>25000</v>
      </c>
      <c r="E136" s="1">
        <v>25000</v>
      </c>
      <c r="F136" s="1">
        <v>25000</v>
      </c>
      <c r="G136" s="1">
        <v>25000</v>
      </c>
      <c r="H136" s="1">
        <v>25000</v>
      </c>
      <c r="I136" s="1">
        <v>25000</v>
      </c>
      <c r="J136" s="1">
        <v>25000</v>
      </c>
      <c r="K136" s="1">
        <v>25000</v>
      </c>
      <c r="L136" s="1">
        <v>25000</v>
      </c>
      <c r="M136" s="1">
        <v>136111</v>
      </c>
      <c r="N136" s="1">
        <v>411111</v>
      </c>
    </row>
    <row r="137" spans="1:14" x14ac:dyDescent="0.25">
      <c r="A137" s="7" t="s">
        <v>833</v>
      </c>
      <c r="B137" s="1">
        <v>41667</v>
      </c>
      <c r="C137" s="1">
        <v>41667</v>
      </c>
      <c r="D137" s="1">
        <v>41667</v>
      </c>
      <c r="E137" s="1">
        <v>41667</v>
      </c>
      <c r="F137" s="1">
        <v>41667</v>
      </c>
      <c r="G137" s="1">
        <v>41667</v>
      </c>
      <c r="H137" s="1">
        <v>41667</v>
      </c>
      <c r="I137" s="1">
        <v>41667</v>
      </c>
      <c r="J137" s="1">
        <v>41667</v>
      </c>
      <c r="K137" s="1">
        <v>41667</v>
      </c>
      <c r="L137" s="1">
        <v>41667</v>
      </c>
      <c r="M137" s="1">
        <v>41667</v>
      </c>
      <c r="N137" s="1">
        <v>500004</v>
      </c>
    </row>
    <row r="138" spans="1:14" x14ac:dyDescent="0.25">
      <c r="A138" s="7" t="s">
        <v>834</v>
      </c>
      <c r="B138" s="1">
        <v>41667</v>
      </c>
      <c r="C138" s="1">
        <v>41667</v>
      </c>
      <c r="D138" s="1">
        <v>41667</v>
      </c>
      <c r="E138" s="1">
        <v>41667</v>
      </c>
      <c r="F138" s="1">
        <v>41667</v>
      </c>
      <c r="G138" s="1">
        <v>41667</v>
      </c>
      <c r="H138" s="1">
        <v>41667</v>
      </c>
      <c r="I138" s="1">
        <v>41667</v>
      </c>
      <c r="J138" s="1">
        <v>41667</v>
      </c>
      <c r="K138" s="1">
        <v>41667</v>
      </c>
      <c r="L138" s="1">
        <v>41667</v>
      </c>
      <c r="M138" s="1">
        <v>41667</v>
      </c>
      <c r="N138" s="1">
        <v>500004</v>
      </c>
    </row>
    <row r="139" spans="1:14" x14ac:dyDescent="0.25">
      <c r="A139" s="7" t="s">
        <v>992</v>
      </c>
      <c r="B139" s="1">
        <v>833</v>
      </c>
      <c r="C139" s="1">
        <v>833</v>
      </c>
      <c r="D139" s="1">
        <v>833</v>
      </c>
      <c r="E139" s="1">
        <v>833</v>
      </c>
      <c r="F139" s="1">
        <v>833</v>
      </c>
      <c r="G139" s="1">
        <v>833</v>
      </c>
      <c r="H139" s="1">
        <v>833</v>
      </c>
      <c r="I139" s="1">
        <v>833</v>
      </c>
      <c r="J139" s="1">
        <v>833</v>
      </c>
      <c r="K139" s="1">
        <v>833</v>
      </c>
      <c r="L139" s="1">
        <v>833</v>
      </c>
      <c r="M139" s="1">
        <v>111944</v>
      </c>
      <c r="N139" s="1">
        <v>121107</v>
      </c>
    </row>
    <row r="140" spans="1:14" x14ac:dyDescent="0.25">
      <c r="A140" s="7" t="s">
        <v>835</v>
      </c>
      <c r="B140" s="1">
        <v>1666667</v>
      </c>
      <c r="C140" s="1">
        <v>1666667</v>
      </c>
      <c r="D140" s="1">
        <v>1666667</v>
      </c>
      <c r="E140" s="1">
        <v>1666667</v>
      </c>
      <c r="F140" s="1">
        <v>1666667</v>
      </c>
      <c r="G140" s="1">
        <v>1666667</v>
      </c>
      <c r="H140" s="1">
        <v>1666667</v>
      </c>
      <c r="I140" s="1">
        <v>1666667</v>
      </c>
      <c r="J140" s="1">
        <v>1666667</v>
      </c>
      <c r="K140" s="1">
        <v>1666667</v>
      </c>
      <c r="L140" s="1">
        <v>1666667</v>
      </c>
      <c r="M140" s="1">
        <v>1666667</v>
      </c>
      <c r="N140" s="1">
        <v>20000004</v>
      </c>
    </row>
    <row r="141" spans="1:14" x14ac:dyDescent="0.25">
      <c r="A141" s="7" t="s">
        <v>836</v>
      </c>
      <c r="B141" s="1">
        <v>5000</v>
      </c>
      <c r="C141" s="1">
        <v>5000</v>
      </c>
      <c r="D141" s="1">
        <v>5000</v>
      </c>
      <c r="E141" s="1">
        <v>5000</v>
      </c>
      <c r="F141" s="1">
        <v>5000</v>
      </c>
      <c r="G141" s="1">
        <v>5000</v>
      </c>
      <c r="H141" s="1">
        <v>5000</v>
      </c>
      <c r="I141" s="1">
        <v>5000</v>
      </c>
      <c r="J141" s="1">
        <v>5000</v>
      </c>
      <c r="K141" s="1">
        <v>5000</v>
      </c>
      <c r="L141" s="1">
        <v>5000</v>
      </c>
      <c r="M141" s="1">
        <v>5000</v>
      </c>
      <c r="N141" s="1">
        <v>60000</v>
      </c>
    </row>
    <row r="142" spans="1:14" x14ac:dyDescent="0.25">
      <c r="A142" s="7" t="s">
        <v>837</v>
      </c>
      <c r="B142" s="1">
        <v>392981</v>
      </c>
      <c r="C142" s="1">
        <v>392981</v>
      </c>
      <c r="D142" s="1">
        <v>392981</v>
      </c>
      <c r="E142" s="1">
        <v>392981</v>
      </c>
      <c r="F142" s="1">
        <v>392981</v>
      </c>
      <c r="G142" s="1">
        <v>392981</v>
      </c>
      <c r="H142" s="1">
        <v>392981</v>
      </c>
      <c r="I142" s="1">
        <v>392981</v>
      </c>
      <c r="J142" s="1">
        <v>392981</v>
      </c>
      <c r="K142" s="1">
        <v>392981</v>
      </c>
      <c r="L142" s="1">
        <v>392981</v>
      </c>
      <c r="M142" s="1">
        <v>392981</v>
      </c>
      <c r="N142" s="1">
        <v>4715772</v>
      </c>
    </row>
    <row r="143" spans="1:14" x14ac:dyDescent="0.25">
      <c r="A143" s="7" t="s">
        <v>838</v>
      </c>
      <c r="B143" s="1">
        <v>0</v>
      </c>
      <c r="C143" s="1"/>
      <c r="D143" s="1">
        <v>0</v>
      </c>
      <c r="E143" s="1">
        <v>0</v>
      </c>
      <c r="F143" s="1">
        <v>0</v>
      </c>
      <c r="G143" s="1">
        <v>0</v>
      </c>
      <c r="H143" s="1">
        <v>0</v>
      </c>
      <c r="I143" s="1">
        <v>0</v>
      </c>
      <c r="J143" s="1">
        <v>0</v>
      </c>
      <c r="K143" s="1">
        <v>0</v>
      </c>
      <c r="L143" s="1">
        <v>295000</v>
      </c>
      <c r="M143" s="1">
        <v>295000</v>
      </c>
      <c r="N143" s="1">
        <v>590000</v>
      </c>
    </row>
    <row r="144" spans="1:14" x14ac:dyDescent="0.25">
      <c r="A144" s="7" t="s">
        <v>839</v>
      </c>
      <c r="B144" s="1">
        <v>0</v>
      </c>
      <c r="C144" s="1">
        <v>0</v>
      </c>
      <c r="D144" s="1">
        <v>0</v>
      </c>
      <c r="E144" s="1">
        <v>0</v>
      </c>
      <c r="F144" s="1">
        <v>0</v>
      </c>
      <c r="G144" s="1">
        <v>0</v>
      </c>
      <c r="H144" s="1">
        <v>0</v>
      </c>
      <c r="I144" s="1">
        <v>0</v>
      </c>
      <c r="J144" s="1">
        <v>0</v>
      </c>
      <c r="K144" s="1">
        <v>0</v>
      </c>
      <c r="L144" s="1">
        <v>0</v>
      </c>
      <c r="M144" s="1">
        <v>0</v>
      </c>
      <c r="N144" s="1">
        <v>0</v>
      </c>
    </row>
    <row r="145" spans="1:15" x14ac:dyDescent="0.25">
      <c r="A145" s="7" t="s">
        <v>841</v>
      </c>
      <c r="B145" s="1">
        <v>0</v>
      </c>
      <c r="C145" s="1">
        <v>0</v>
      </c>
      <c r="D145" s="1">
        <v>0</v>
      </c>
      <c r="E145" s="1">
        <v>0</v>
      </c>
      <c r="F145" s="1">
        <v>0</v>
      </c>
      <c r="G145" s="1">
        <v>0</v>
      </c>
      <c r="H145" s="1">
        <v>0</v>
      </c>
      <c r="I145" s="1">
        <v>0</v>
      </c>
      <c r="J145" s="1">
        <v>0</v>
      </c>
      <c r="K145" s="1">
        <v>0</v>
      </c>
      <c r="L145" s="1">
        <v>0</v>
      </c>
      <c r="M145" s="1">
        <v>0</v>
      </c>
      <c r="N145" s="1">
        <v>0</v>
      </c>
    </row>
    <row r="146" spans="1:15" x14ac:dyDescent="0.25">
      <c r="A146" s="7" t="s">
        <v>842</v>
      </c>
      <c r="B146" s="1">
        <v>0</v>
      </c>
      <c r="C146" s="1">
        <v>0</v>
      </c>
      <c r="D146" s="1">
        <v>0</v>
      </c>
      <c r="E146" s="1">
        <v>0</v>
      </c>
      <c r="F146" s="1">
        <v>0</v>
      </c>
      <c r="G146" s="1">
        <v>0</v>
      </c>
      <c r="H146" s="1">
        <v>0</v>
      </c>
      <c r="I146" s="1">
        <v>0</v>
      </c>
      <c r="J146" s="1">
        <v>0</v>
      </c>
      <c r="K146" s="1">
        <v>0</v>
      </c>
      <c r="L146" s="1">
        <v>0</v>
      </c>
      <c r="M146" s="1">
        <v>0</v>
      </c>
      <c r="N146" s="1">
        <v>0</v>
      </c>
    </row>
    <row r="147" spans="1:15" x14ac:dyDescent="0.25">
      <c r="A147" s="7" t="s">
        <v>843</v>
      </c>
      <c r="B147" s="1">
        <v>500</v>
      </c>
      <c r="C147" s="1">
        <v>500</v>
      </c>
      <c r="D147" s="1">
        <v>500</v>
      </c>
      <c r="E147" s="1">
        <v>500</v>
      </c>
      <c r="F147" s="1">
        <v>500</v>
      </c>
      <c r="G147" s="1">
        <v>500</v>
      </c>
      <c r="H147" s="1">
        <v>500</v>
      </c>
      <c r="I147" s="1">
        <v>500</v>
      </c>
      <c r="J147" s="1">
        <v>500</v>
      </c>
      <c r="K147" s="1">
        <v>500</v>
      </c>
      <c r="L147" s="1">
        <v>500</v>
      </c>
      <c r="M147" s="1">
        <v>500</v>
      </c>
      <c r="N147" s="1">
        <v>6000</v>
      </c>
    </row>
    <row r="148" spans="1:15" x14ac:dyDescent="0.25">
      <c r="A148" s="7" t="s">
        <v>844</v>
      </c>
      <c r="B148" s="1">
        <v>500</v>
      </c>
      <c r="C148" s="1">
        <v>500</v>
      </c>
      <c r="D148" s="1">
        <v>500</v>
      </c>
      <c r="E148" s="1">
        <v>500</v>
      </c>
      <c r="F148" s="1">
        <v>500</v>
      </c>
      <c r="G148" s="1">
        <v>500</v>
      </c>
      <c r="H148" s="1">
        <v>500</v>
      </c>
      <c r="I148" s="1">
        <v>500</v>
      </c>
      <c r="J148" s="1">
        <v>500</v>
      </c>
      <c r="K148" s="1">
        <v>500</v>
      </c>
      <c r="L148" s="1">
        <v>500</v>
      </c>
      <c r="M148" s="1">
        <v>500</v>
      </c>
      <c r="N148" s="1">
        <v>6000</v>
      </c>
    </row>
    <row r="149" spans="1:15" x14ac:dyDescent="0.25">
      <c r="A149" s="7" t="s">
        <v>840</v>
      </c>
      <c r="B149" s="1">
        <v>100000</v>
      </c>
      <c r="C149" s="1">
        <v>0</v>
      </c>
      <c r="D149" s="1">
        <v>0</v>
      </c>
      <c r="E149" s="1">
        <v>0</v>
      </c>
      <c r="F149" s="1">
        <v>0</v>
      </c>
      <c r="G149" s="1">
        <v>0</v>
      </c>
      <c r="H149" s="1">
        <v>0</v>
      </c>
      <c r="I149" s="1">
        <v>0</v>
      </c>
      <c r="J149" s="1">
        <v>0</v>
      </c>
      <c r="K149" s="1">
        <v>0</v>
      </c>
      <c r="L149" s="1">
        <v>0</v>
      </c>
      <c r="M149" s="1">
        <v>0</v>
      </c>
      <c r="N149" s="1">
        <v>100000</v>
      </c>
      <c r="O149">
        <f>GETPIVOTDATA("[Measures].[Sum of Износ]",$A$4,"[fActualAndBudget].[Конто]","[fActualAndBudget].[Конто].&amp;[41111]")/2</f>
        <v>621000</v>
      </c>
    </row>
    <row r="150" spans="1:15" x14ac:dyDescent="0.25">
      <c r="A150" s="191" t="s">
        <v>138</v>
      </c>
      <c r="B150" s="1">
        <v>53763734</v>
      </c>
      <c r="C150" s="1">
        <v>144837922</v>
      </c>
      <c r="D150" s="1">
        <v>95154733</v>
      </c>
      <c r="E150" s="1">
        <v>48988494</v>
      </c>
      <c r="F150" s="1">
        <v>48940927</v>
      </c>
      <c r="G150" s="1">
        <v>54188618</v>
      </c>
      <c r="H150" s="1">
        <v>48967474</v>
      </c>
      <c r="I150" s="1">
        <v>43748256</v>
      </c>
      <c r="J150" s="1">
        <v>48342249</v>
      </c>
      <c r="K150" s="1">
        <v>45621713</v>
      </c>
      <c r="L150" s="1">
        <v>51326661</v>
      </c>
      <c r="M150" s="1">
        <v>47521850</v>
      </c>
      <c r="N150" s="1">
        <v>731402631</v>
      </c>
    </row>
    <row r="151" spans="1:15" x14ac:dyDescent="0.25">
      <c r="A151"/>
    </row>
    <row r="152" spans="1:15" x14ac:dyDescent="0.25">
      <c r="A152"/>
    </row>
    <row r="153" spans="1:15" x14ac:dyDescent="0.25">
      <c r="A153"/>
    </row>
    <row r="154" spans="1:15" x14ac:dyDescent="0.25">
      <c r="A154"/>
    </row>
    <row r="155" spans="1:15" x14ac:dyDescent="0.25">
      <c r="A155"/>
    </row>
    <row r="156" spans="1:15" x14ac:dyDescent="0.25">
      <c r="A156"/>
    </row>
    <row r="157" spans="1:15" x14ac:dyDescent="0.25">
      <c r="A157"/>
    </row>
    <row r="158" spans="1:15" x14ac:dyDescent="0.25">
      <c r="A158"/>
    </row>
    <row r="159" spans="1:15" x14ac:dyDescent="0.25">
      <c r="A159"/>
    </row>
    <row r="160" spans="1:15"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sheetData>
  <pageMargins left="0.7" right="0.7" top="0.75" bottom="0.75" header="0.3" footer="0.3"/>
  <pageSetup scale="48"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39997558519241921"/>
  </sheetPr>
  <dimension ref="A3:FP266"/>
  <sheetViews>
    <sheetView zoomScale="86" workbookViewId="0">
      <selection activeCell="B55" sqref="B55"/>
    </sheetView>
  </sheetViews>
  <sheetFormatPr defaultRowHeight="15" x14ac:dyDescent="0.25"/>
  <cols>
    <col min="2" max="2" width="66.85546875" customWidth="1"/>
    <col min="3" max="3" width="16.85546875" hidden="1" customWidth="1"/>
    <col min="4" max="4" width="12.5703125" hidden="1" customWidth="1"/>
    <col min="5" max="5" width="13.42578125" customWidth="1"/>
    <col min="6" max="6" width="10.140625" hidden="1" customWidth="1"/>
    <col min="7" max="7" width="11.140625" style="14" hidden="1" customWidth="1"/>
    <col min="8" max="8" width="10.140625" hidden="1" customWidth="1"/>
    <col min="9" max="9" width="5.85546875" hidden="1" customWidth="1"/>
    <col min="10" max="10" width="16" customWidth="1"/>
    <col min="11" max="11" width="10.140625" hidden="1" customWidth="1"/>
    <col min="12" max="12" width="13.140625" hidden="1" customWidth="1"/>
    <col min="13" max="13" width="11.140625" hidden="1" customWidth="1"/>
    <col min="14" max="14" width="17.28515625" customWidth="1"/>
    <col min="15" max="15" width="10.140625" hidden="1" customWidth="1"/>
    <col min="16" max="16" width="13.140625" hidden="1" customWidth="1"/>
    <col min="17" max="17" width="10.28515625" bestFit="1" customWidth="1"/>
    <col min="18" max="19" width="10.140625" bestFit="1" customWidth="1"/>
    <col min="20" max="20" width="13.140625" bestFit="1" customWidth="1"/>
    <col min="21" max="21" width="10.28515625" bestFit="1" customWidth="1"/>
    <col min="22" max="23" width="10.140625" bestFit="1" customWidth="1"/>
    <col min="24" max="24" width="13.140625" bestFit="1" customWidth="1"/>
    <col min="25" max="25" width="10.28515625" bestFit="1" customWidth="1"/>
    <col min="26" max="27" width="10.140625" bestFit="1" customWidth="1"/>
    <col min="28" max="28" width="13.140625" bestFit="1" customWidth="1"/>
    <col min="29" max="29" width="11.140625" bestFit="1" customWidth="1"/>
    <col min="30" max="30" width="13.140625" bestFit="1" customWidth="1"/>
    <col min="31" max="31" width="12.7109375" bestFit="1" customWidth="1"/>
    <col min="32" max="32" width="9" bestFit="1" customWidth="1"/>
    <col min="33" max="36" width="11" bestFit="1" customWidth="1"/>
  </cols>
  <sheetData>
    <row r="3" spans="2:16" x14ac:dyDescent="0.25">
      <c r="B3" s="4" t="s">
        <v>244</v>
      </c>
      <c r="C3" t="s" vm="13">
        <v>245</v>
      </c>
    </row>
    <row r="5" spans="2:16" x14ac:dyDescent="0.25">
      <c r="B5" s="4" t="s">
        <v>136</v>
      </c>
      <c r="C5" s="4" t="s">
        <v>137</v>
      </c>
      <c r="G5"/>
      <c r="H5" s="14"/>
    </row>
    <row r="6" spans="2:16" x14ac:dyDescent="0.25">
      <c r="C6" t="s">
        <v>303</v>
      </c>
      <c r="D6" t="s">
        <v>303</v>
      </c>
      <c r="E6" t="s">
        <v>303</v>
      </c>
      <c r="F6" t="s">
        <v>1028</v>
      </c>
      <c r="G6" t="s">
        <v>239</v>
      </c>
      <c r="H6" t="s">
        <v>239</v>
      </c>
      <c r="I6" t="s">
        <v>239</v>
      </c>
      <c r="J6" t="s">
        <v>239</v>
      </c>
      <c r="K6" t="s">
        <v>1029</v>
      </c>
      <c r="L6" t="s">
        <v>248</v>
      </c>
      <c r="M6" t="s">
        <v>248</v>
      </c>
      <c r="N6" t="s">
        <v>248</v>
      </c>
      <c r="O6" t="s">
        <v>326</v>
      </c>
      <c r="P6" s="14" t="s">
        <v>138</v>
      </c>
    </row>
    <row r="7" spans="2:16" x14ac:dyDescent="0.25">
      <c r="B7" s="4" t="s">
        <v>242</v>
      </c>
      <c r="C7">
        <v>2018</v>
      </c>
      <c r="D7">
        <v>2019</v>
      </c>
      <c r="E7">
        <v>2020</v>
      </c>
      <c r="G7">
        <v>2019</v>
      </c>
      <c r="H7">
        <v>2020</v>
      </c>
      <c r="I7">
        <v>2021</v>
      </c>
      <c r="J7">
        <v>2022</v>
      </c>
      <c r="L7">
        <v>2019</v>
      </c>
      <c r="M7">
        <v>2020</v>
      </c>
      <c r="N7">
        <v>2021</v>
      </c>
      <c r="P7" s="14"/>
    </row>
    <row r="8" spans="2:16" x14ac:dyDescent="0.25">
      <c r="B8" s="7" t="s">
        <v>382</v>
      </c>
      <c r="C8" s="1">
        <v>0</v>
      </c>
      <c r="D8" s="1">
        <v>312451912</v>
      </c>
      <c r="E8" s="1">
        <v>315148617</v>
      </c>
      <c r="F8" s="1">
        <v>627600529</v>
      </c>
      <c r="G8" s="1">
        <v>0</v>
      </c>
      <c r="H8" s="1">
        <v>350082758</v>
      </c>
      <c r="I8" s="1">
        <v>328690231</v>
      </c>
      <c r="J8" s="1">
        <v>361061273</v>
      </c>
      <c r="K8" s="1">
        <v>1039834262</v>
      </c>
      <c r="L8" s="1">
        <v>0</v>
      </c>
      <c r="M8" s="1">
        <v>0</v>
      </c>
      <c r="N8" s="1">
        <v>354054178</v>
      </c>
      <c r="O8" s="1">
        <v>354054178</v>
      </c>
      <c r="P8" s="10">
        <v>2021488969</v>
      </c>
    </row>
    <row r="9" spans="2:16" x14ac:dyDescent="0.25">
      <c r="B9" s="8" t="s">
        <v>1031</v>
      </c>
      <c r="C9" s="1">
        <v>0</v>
      </c>
      <c r="D9" s="1">
        <v>2410221</v>
      </c>
      <c r="E9" s="1">
        <v>2247849</v>
      </c>
      <c r="F9" s="1">
        <v>4658070</v>
      </c>
      <c r="G9" s="1">
        <v>0</v>
      </c>
      <c r="H9" s="1">
        <v>1919284</v>
      </c>
      <c r="I9" s="1">
        <v>2474236</v>
      </c>
      <c r="J9" s="1">
        <v>2299995</v>
      </c>
      <c r="K9" s="1">
        <v>6693515</v>
      </c>
      <c r="L9" s="1">
        <v>0</v>
      </c>
      <c r="M9" s="1">
        <v>0</v>
      </c>
      <c r="N9" s="1">
        <v>1975200</v>
      </c>
      <c r="O9" s="1">
        <v>1975200</v>
      </c>
      <c r="P9" s="10">
        <v>13326785</v>
      </c>
    </row>
    <row r="10" spans="2:16" x14ac:dyDescent="0.25">
      <c r="B10" s="8" t="s">
        <v>1032</v>
      </c>
      <c r="C10" s="1"/>
      <c r="D10" s="1"/>
      <c r="E10" s="1"/>
      <c r="F10" s="1"/>
      <c r="G10" s="1">
        <v>0</v>
      </c>
      <c r="H10" s="1">
        <v>9428570</v>
      </c>
      <c r="I10" s="1">
        <v>7624000</v>
      </c>
      <c r="J10" s="1"/>
      <c r="K10" s="1">
        <v>17052570</v>
      </c>
      <c r="L10" s="1"/>
      <c r="M10" s="1"/>
      <c r="N10" s="1"/>
      <c r="O10" s="1"/>
      <c r="P10" s="10">
        <v>17052570</v>
      </c>
    </row>
    <row r="11" spans="2:16" x14ac:dyDescent="0.25">
      <c r="B11" s="8" t="s">
        <v>1033</v>
      </c>
      <c r="C11" s="1">
        <v>0</v>
      </c>
      <c r="D11" s="1">
        <v>0</v>
      </c>
      <c r="E11" s="1">
        <v>0</v>
      </c>
      <c r="F11" s="1">
        <v>0</v>
      </c>
      <c r="G11" s="1">
        <v>0</v>
      </c>
      <c r="H11" s="1">
        <v>0</v>
      </c>
      <c r="I11" s="1">
        <v>0</v>
      </c>
      <c r="J11" s="1">
        <v>0</v>
      </c>
      <c r="K11" s="1">
        <v>0</v>
      </c>
      <c r="L11" s="1">
        <v>0</v>
      </c>
      <c r="M11" s="1">
        <v>0</v>
      </c>
      <c r="N11" s="1">
        <v>0</v>
      </c>
      <c r="O11" s="1">
        <v>0</v>
      </c>
      <c r="P11" s="10">
        <v>0</v>
      </c>
    </row>
    <row r="12" spans="2:16" x14ac:dyDescent="0.25">
      <c r="B12" s="8" t="s">
        <v>1034</v>
      </c>
      <c r="C12" s="1">
        <v>0</v>
      </c>
      <c r="D12" s="1">
        <v>10757390</v>
      </c>
      <c r="E12" s="1">
        <v>9819066</v>
      </c>
      <c r="F12" s="1">
        <v>20576456</v>
      </c>
      <c r="G12" s="1">
        <v>0</v>
      </c>
      <c r="H12" s="1">
        <v>11094063</v>
      </c>
      <c r="I12" s="1">
        <v>10150753</v>
      </c>
      <c r="J12" s="1">
        <v>20000004</v>
      </c>
      <c r="K12" s="1">
        <v>41244820</v>
      </c>
      <c r="L12" s="1">
        <v>0</v>
      </c>
      <c r="M12" s="1">
        <v>0</v>
      </c>
      <c r="N12" s="1">
        <v>18323581</v>
      </c>
      <c r="O12" s="1">
        <v>18323581</v>
      </c>
      <c r="P12" s="10">
        <v>80144857</v>
      </c>
    </row>
    <row r="13" spans="2:16" x14ac:dyDescent="0.25">
      <c r="B13" s="8" t="s">
        <v>1035</v>
      </c>
      <c r="C13" s="1">
        <v>0</v>
      </c>
      <c r="D13" s="1">
        <v>75224</v>
      </c>
      <c r="E13" s="1">
        <v>139623</v>
      </c>
      <c r="F13" s="1">
        <v>214847</v>
      </c>
      <c r="G13" s="1">
        <v>0</v>
      </c>
      <c r="H13" s="1">
        <v>71887</v>
      </c>
      <c r="I13" s="1">
        <v>59430</v>
      </c>
      <c r="J13" s="1">
        <v>60000</v>
      </c>
      <c r="K13" s="1">
        <v>191317</v>
      </c>
      <c r="L13" s="1">
        <v>0</v>
      </c>
      <c r="M13" s="1">
        <v>0</v>
      </c>
      <c r="N13" s="1">
        <v>106386</v>
      </c>
      <c r="O13" s="1">
        <v>106386</v>
      </c>
      <c r="P13" s="10">
        <v>512550</v>
      </c>
    </row>
    <row r="14" spans="2:16" x14ac:dyDescent="0.25">
      <c r="B14" s="8" t="s">
        <v>1036</v>
      </c>
      <c r="C14" s="1">
        <v>0</v>
      </c>
      <c r="D14" s="1">
        <v>0</v>
      </c>
      <c r="E14" s="1">
        <v>0</v>
      </c>
      <c r="F14" s="1">
        <v>0</v>
      </c>
      <c r="G14" s="1"/>
      <c r="H14" s="1"/>
      <c r="I14" s="1"/>
      <c r="J14" s="1">
        <v>121107</v>
      </c>
      <c r="K14" s="1">
        <v>121107</v>
      </c>
      <c r="L14" s="1">
        <v>0</v>
      </c>
      <c r="M14" s="1">
        <v>0</v>
      </c>
      <c r="N14" s="1">
        <v>0</v>
      </c>
      <c r="O14" s="1">
        <v>0</v>
      </c>
      <c r="P14" s="10">
        <v>121107</v>
      </c>
    </row>
    <row r="15" spans="2:16" x14ac:dyDescent="0.25">
      <c r="B15" s="8" t="s">
        <v>1037</v>
      </c>
      <c r="C15" s="1">
        <v>0</v>
      </c>
      <c r="D15" s="1">
        <v>172072257</v>
      </c>
      <c r="E15" s="1">
        <v>176082377</v>
      </c>
      <c r="F15" s="1">
        <v>348154634</v>
      </c>
      <c r="G15" s="1">
        <v>0</v>
      </c>
      <c r="H15" s="1">
        <v>188191194</v>
      </c>
      <c r="I15" s="1">
        <v>175035695</v>
      </c>
      <c r="J15" s="1">
        <v>167299995</v>
      </c>
      <c r="K15" s="1">
        <v>530526884</v>
      </c>
      <c r="L15" s="1">
        <v>0</v>
      </c>
      <c r="M15" s="1">
        <v>0</v>
      </c>
      <c r="N15" s="1">
        <v>157458441</v>
      </c>
      <c r="O15" s="1">
        <v>157458441</v>
      </c>
      <c r="P15" s="10">
        <v>1036139959</v>
      </c>
    </row>
    <row r="16" spans="2:16" x14ac:dyDescent="0.25">
      <c r="B16" s="8" t="s">
        <v>1038</v>
      </c>
      <c r="C16" s="1">
        <v>0</v>
      </c>
      <c r="D16" s="1">
        <v>184037</v>
      </c>
      <c r="E16" s="1">
        <v>149531</v>
      </c>
      <c r="F16" s="1">
        <v>333568</v>
      </c>
      <c r="G16" s="1">
        <v>0</v>
      </c>
      <c r="H16" s="1">
        <v>179594</v>
      </c>
      <c r="I16" s="1">
        <v>169698</v>
      </c>
      <c r="J16" s="1">
        <v>210000</v>
      </c>
      <c r="K16" s="1">
        <v>559292</v>
      </c>
      <c r="L16" s="1">
        <v>0</v>
      </c>
      <c r="M16" s="1">
        <v>0</v>
      </c>
      <c r="N16" s="1">
        <v>188354</v>
      </c>
      <c r="O16" s="1">
        <v>188354</v>
      </c>
      <c r="P16" s="10">
        <v>1081214</v>
      </c>
    </row>
    <row r="17" spans="2:16" x14ac:dyDescent="0.25">
      <c r="B17" s="8" t="s">
        <v>1039</v>
      </c>
      <c r="C17" s="1">
        <v>0</v>
      </c>
      <c r="D17" s="1">
        <v>1278211</v>
      </c>
      <c r="E17" s="1">
        <v>1054180</v>
      </c>
      <c r="F17" s="1">
        <v>2332391</v>
      </c>
      <c r="G17" s="1">
        <v>0</v>
      </c>
      <c r="H17" s="1">
        <v>1340046</v>
      </c>
      <c r="I17" s="1">
        <v>1229150</v>
      </c>
      <c r="J17" s="1">
        <v>1110003</v>
      </c>
      <c r="K17" s="1">
        <v>3679199</v>
      </c>
      <c r="L17" s="1">
        <v>0</v>
      </c>
      <c r="M17" s="1">
        <v>0</v>
      </c>
      <c r="N17" s="1">
        <v>861232</v>
      </c>
      <c r="O17" s="1">
        <v>861232</v>
      </c>
      <c r="P17" s="10">
        <v>6872822</v>
      </c>
    </row>
    <row r="18" spans="2:16" x14ac:dyDescent="0.25">
      <c r="B18" s="8" t="s">
        <v>1040</v>
      </c>
      <c r="C18" s="1">
        <v>0</v>
      </c>
      <c r="D18" s="1">
        <v>127231</v>
      </c>
      <c r="E18" s="1">
        <v>39196</v>
      </c>
      <c r="F18" s="1">
        <v>166427</v>
      </c>
      <c r="G18" s="1">
        <v>0</v>
      </c>
      <c r="H18" s="1">
        <v>140166</v>
      </c>
      <c r="I18" s="1">
        <v>88818</v>
      </c>
      <c r="J18" s="1">
        <v>50004</v>
      </c>
      <c r="K18" s="1">
        <v>278988</v>
      </c>
      <c r="L18" s="1">
        <v>0</v>
      </c>
      <c r="M18" s="1">
        <v>0</v>
      </c>
      <c r="N18" s="1">
        <v>40617</v>
      </c>
      <c r="O18" s="1">
        <v>40617</v>
      </c>
      <c r="P18" s="10">
        <v>486032</v>
      </c>
    </row>
    <row r="19" spans="2:16" x14ac:dyDescent="0.25">
      <c r="B19" s="8" t="s">
        <v>1187</v>
      </c>
      <c r="C19" s="1"/>
      <c r="D19" s="1"/>
      <c r="E19" s="1"/>
      <c r="F19" s="1"/>
      <c r="G19" s="1"/>
      <c r="H19" s="1"/>
      <c r="I19" s="1"/>
      <c r="J19" s="1">
        <v>11647944</v>
      </c>
      <c r="K19" s="1">
        <v>11647944</v>
      </c>
      <c r="L19" s="1"/>
      <c r="M19" s="1"/>
      <c r="N19" s="1">
        <v>17834372</v>
      </c>
      <c r="O19" s="1">
        <v>17834372</v>
      </c>
      <c r="P19" s="10">
        <v>29482316</v>
      </c>
    </row>
    <row r="20" spans="2:16" x14ac:dyDescent="0.25">
      <c r="B20" s="8" t="s">
        <v>1041</v>
      </c>
      <c r="C20" s="1">
        <v>0</v>
      </c>
      <c r="D20" s="1">
        <v>110406299</v>
      </c>
      <c r="E20" s="1">
        <v>112844829</v>
      </c>
      <c r="F20" s="1">
        <v>223251128</v>
      </c>
      <c r="G20" s="1">
        <v>0</v>
      </c>
      <c r="H20" s="1">
        <v>121033450</v>
      </c>
      <c r="I20" s="1">
        <v>118249449</v>
      </c>
      <c r="J20" s="1">
        <v>143762212</v>
      </c>
      <c r="K20" s="1">
        <v>383045111</v>
      </c>
      <c r="L20" s="1">
        <v>0</v>
      </c>
      <c r="M20" s="1">
        <v>0</v>
      </c>
      <c r="N20" s="1">
        <v>142887601</v>
      </c>
      <c r="O20" s="1">
        <v>142887601</v>
      </c>
      <c r="P20" s="10">
        <v>749183840</v>
      </c>
    </row>
    <row r="21" spans="2:16" x14ac:dyDescent="0.25">
      <c r="B21" s="8" t="s">
        <v>1042</v>
      </c>
      <c r="C21" s="1">
        <v>0</v>
      </c>
      <c r="D21" s="1">
        <v>1230953</v>
      </c>
      <c r="E21" s="1">
        <v>1000581</v>
      </c>
      <c r="F21" s="1">
        <v>2231534</v>
      </c>
      <c r="G21" s="1">
        <v>0</v>
      </c>
      <c r="H21" s="1">
        <v>1119922</v>
      </c>
      <c r="I21" s="1">
        <v>1241397</v>
      </c>
      <c r="J21" s="1">
        <v>1000008</v>
      </c>
      <c r="K21" s="1">
        <v>3361327</v>
      </c>
      <c r="L21" s="1">
        <v>0</v>
      </c>
      <c r="M21" s="1">
        <v>0</v>
      </c>
      <c r="N21" s="1">
        <v>922368</v>
      </c>
      <c r="O21" s="1">
        <v>922368</v>
      </c>
      <c r="P21" s="10">
        <v>6515229</v>
      </c>
    </row>
    <row r="22" spans="2:16" x14ac:dyDescent="0.25">
      <c r="B22" s="8" t="s">
        <v>1043</v>
      </c>
      <c r="C22" s="1">
        <v>0</v>
      </c>
      <c r="D22" s="1">
        <v>13910089</v>
      </c>
      <c r="E22" s="1">
        <v>11771385</v>
      </c>
      <c r="F22" s="1">
        <v>25681474</v>
      </c>
      <c r="G22" s="1">
        <v>0</v>
      </c>
      <c r="H22" s="1">
        <v>15564582</v>
      </c>
      <c r="I22" s="1">
        <v>12367605</v>
      </c>
      <c r="J22" s="1">
        <v>13500001</v>
      </c>
      <c r="K22" s="1">
        <v>41432188</v>
      </c>
      <c r="L22" s="1">
        <v>0</v>
      </c>
      <c r="M22" s="1">
        <v>0</v>
      </c>
      <c r="N22" s="1">
        <v>13456026</v>
      </c>
      <c r="O22" s="1">
        <v>13456026</v>
      </c>
      <c r="P22" s="10">
        <v>80569688</v>
      </c>
    </row>
    <row r="23" spans="2:16" x14ac:dyDescent="0.25">
      <c r="B23" s="7" t="s">
        <v>383</v>
      </c>
      <c r="C23" s="1">
        <v>0</v>
      </c>
      <c r="D23" s="1">
        <v>15590659</v>
      </c>
      <c r="E23" s="1">
        <v>4743915</v>
      </c>
      <c r="F23" s="1">
        <v>20334574</v>
      </c>
      <c r="G23" s="1">
        <v>0</v>
      </c>
      <c r="H23" s="1">
        <v>5001416</v>
      </c>
      <c r="I23" s="1">
        <v>5530918</v>
      </c>
      <c r="J23" s="1">
        <v>5405772</v>
      </c>
      <c r="K23" s="1">
        <v>15938106</v>
      </c>
      <c r="L23" s="1">
        <v>0</v>
      </c>
      <c r="M23" s="1">
        <v>0</v>
      </c>
      <c r="N23" s="1">
        <v>6321653</v>
      </c>
      <c r="O23" s="1">
        <v>6321653</v>
      </c>
      <c r="P23" s="10">
        <v>42594333</v>
      </c>
    </row>
    <row r="24" spans="2:16" x14ac:dyDescent="0.25">
      <c r="B24" s="8" t="s">
        <v>1047</v>
      </c>
      <c r="C24" s="1">
        <v>0</v>
      </c>
      <c r="D24" s="1">
        <v>136257</v>
      </c>
      <c r="E24" s="1">
        <v>28143</v>
      </c>
      <c r="F24" s="1">
        <v>164400</v>
      </c>
      <c r="G24" s="1">
        <v>0</v>
      </c>
      <c r="H24" s="1">
        <v>285644</v>
      </c>
      <c r="I24" s="1">
        <v>146</v>
      </c>
      <c r="J24" s="1">
        <v>100000</v>
      </c>
      <c r="K24" s="1">
        <v>385790</v>
      </c>
      <c r="L24" s="1">
        <v>0</v>
      </c>
      <c r="M24" s="1">
        <v>0</v>
      </c>
      <c r="N24" s="1">
        <v>1591572</v>
      </c>
      <c r="O24" s="1">
        <v>1591572</v>
      </c>
      <c r="P24" s="10">
        <v>2141762</v>
      </c>
    </row>
    <row r="25" spans="2:16" x14ac:dyDescent="0.25">
      <c r="B25" s="8" t="s">
        <v>1048</v>
      </c>
      <c r="C25" s="1"/>
      <c r="D25" s="1"/>
      <c r="E25" s="1"/>
      <c r="F25" s="1"/>
      <c r="G25" s="1">
        <v>0</v>
      </c>
      <c r="H25" s="1"/>
      <c r="I25" s="1"/>
      <c r="J25" s="1"/>
      <c r="K25" s="1">
        <v>0</v>
      </c>
      <c r="L25" s="1"/>
      <c r="M25" s="1"/>
      <c r="N25" s="1"/>
      <c r="O25" s="1"/>
      <c r="P25" s="10">
        <v>0</v>
      </c>
    </row>
    <row r="26" spans="2:16" x14ac:dyDescent="0.25">
      <c r="B26" s="8" t="s">
        <v>1049</v>
      </c>
      <c r="C26" s="1">
        <v>0</v>
      </c>
      <c r="D26" s="1">
        <v>15454402</v>
      </c>
      <c r="E26" s="1">
        <v>4715772</v>
      </c>
      <c r="F26" s="1">
        <v>20170174</v>
      </c>
      <c r="G26" s="1">
        <v>0</v>
      </c>
      <c r="H26" s="1">
        <v>4715772</v>
      </c>
      <c r="I26" s="1">
        <v>5530772</v>
      </c>
      <c r="J26" s="1">
        <v>5305772</v>
      </c>
      <c r="K26" s="1">
        <v>15552316</v>
      </c>
      <c r="L26" s="1">
        <v>0</v>
      </c>
      <c r="M26" s="1">
        <v>0</v>
      </c>
      <c r="N26" s="1">
        <v>4715772</v>
      </c>
      <c r="O26" s="1">
        <v>4715772</v>
      </c>
      <c r="P26" s="10">
        <v>40438262</v>
      </c>
    </row>
    <row r="27" spans="2:16" x14ac:dyDescent="0.25">
      <c r="B27" s="8" t="s">
        <v>1050</v>
      </c>
      <c r="C27" s="1">
        <v>0</v>
      </c>
      <c r="D27" s="1">
        <v>0</v>
      </c>
      <c r="E27" s="1">
        <v>0</v>
      </c>
      <c r="F27" s="1">
        <v>0</v>
      </c>
      <c r="G27" s="1"/>
      <c r="H27" s="1"/>
      <c r="I27" s="1"/>
      <c r="J27" s="1"/>
      <c r="K27" s="1"/>
      <c r="L27" s="1">
        <v>0</v>
      </c>
      <c r="M27" s="1">
        <v>0</v>
      </c>
      <c r="N27" s="1">
        <v>0</v>
      </c>
      <c r="O27" s="1">
        <v>0</v>
      </c>
      <c r="P27" s="10">
        <v>0</v>
      </c>
    </row>
    <row r="28" spans="2:16" x14ac:dyDescent="0.25">
      <c r="B28" s="8" t="s">
        <v>1051</v>
      </c>
      <c r="C28" s="1"/>
      <c r="D28" s="1"/>
      <c r="E28" s="1"/>
      <c r="F28" s="1"/>
      <c r="G28" s="1">
        <v>0</v>
      </c>
      <c r="H28" s="1"/>
      <c r="I28" s="1"/>
      <c r="J28" s="1"/>
      <c r="K28" s="1">
        <v>0</v>
      </c>
      <c r="L28" s="1"/>
      <c r="M28" s="1"/>
      <c r="N28" s="1"/>
      <c r="O28" s="1"/>
      <c r="P28" s="10">
        <v>0</v>
      </c>
    </row>
    <row r="29" spans="2:16" x14ac:dyDescent="0.25">
      <c r="B29" s="8" t="s">
        <v>1052</v>
      </c>
      <c r="C29" s="1">
        <v>0</v>
      </c>
      <c r="D29" s="1">
        <v>0</v>
      </c>
      <c r="E29" s="1">
        <v>0</v>
      </c>
      <c r="F29" s="1">
        <v>0</v>
      </c>
      <c r="G29" s="1"/>
      <c r="H29" s="1"/>
      <c r="I29" s="1"/>
      <c r="J29" s="1"/>
      <c r="K29" s="1"/>
      <c r="L29" s="1">
        <v>0</v>
      </c>
      <c r="M29" s="1">
        <v>0</v>
      </c>
      <c r="N29" s="1">
        <v>14309</v>
      </c>
      <c r="O29" s="1">
        <v>14309</v>
      </c>
      <c r="P29" s="10">
        <v>14309</v>
      </c>
    </row>
    <row r="30" spans="2:16" x14ac:dyDescent="0.25">
      <c r="B30" s="7" t="s">
        <v>384</v>
      </c>
      <c r="C30" s="1">
        <v>0</v>
      </c>
      <c r="D30" s="1">
        <v>8461990</v>
      </c>
      <c r="E30" s="1">
        <v>8793652</v>
      </c>
      <c r="F30" s="1">
        <v>17255642</v>
      </c>
      <c r="G30" s="1">
        <v>0</v>
      </c>
      <c r="H30" s="1">
        <v>10452486</v>
      </c>
      <c r="I30" s="1">
        <v>9182796</v>
      </c>
      <c r="J30" s="1">
        <v>14727208</v>
      </c>
      <c r="K30" s="1">
        <v>34362490</v>
      </c>
      <c r="L30" s="1">
        <v>0</v>
      </c>
      <c r="M30" s="1">
        <v>0</v>
      </c>
      <c r="N30" s="1">
        <v>6312440</v>
      </c>
      <c r="O30" s="1">
        <v>6312440</v>
      </c>
      <c r="P30" s="10">
        <v>57930572</v>
      </c>
    </row>
    <row r="31" spans="2:16" x14ac:dyDescent="0.25">
      <c r="B31" s="8" t="s">
        <v>309</v>
      </c>
      <c r="C31" s="1">
        <v>0</v>
      </c>
      <c r="D31" s="1">
        <v>1648075</v>
      </c>
      <c r="E31" s="1">
        <v>4299624</v>
      </c>
      <c r="F31" s="1">
        <v>5947699</v>
      </c>
      <c r="G31" s="1">
        <v>0</v>
      </c>
      <c r="H31" s="1">
        <v>2966088</v>
      </c>
      <c r="I31" s="1">
        <v>3045468</v>
      </c>
      <c r="J31" s="1">
        <v>3859552</v>
      </c>
      <c r="K31" s="1">
        <v>9871108</v>
      </c>
      <c r="L31" s="1">
        <v>0</v>
      </c>
      <c r="M31" s="1">
        <v>0</v>
      </c>
      <c r="N31" s="1">
        <v>2254739</v>
      </c>
      <c r="O31" s="1">
        <v>2254739</v>
      </c>
      <c r="P31" s="10">
        <v>18073546</v>
      </c>
    </row>
    <row r="32" spans="2:16" x14ac:dyDescent="0.25">
      <c r="B32" s="8" t="s">
        <v>318</v>
      </c>
      <c r="C32" s="1">
        <v>0</v>
      </c>
      <c r="D32" s="1">
        <v>5055476</v>
      </c>
      <c r="E32" s="1">
        <v>4320465</v>
      </c>
      <c r="F32" s="1">
        <v>9375941</v>
      </c>
      <c r="G32" s="1">
        <v>0</v>
      </c>
      <c r="H32" s="1">
        <v>5420052</v>
      </c>
      <c r="I32" s="1">
        <v>5265084</v>
      </c>
      <c r="J32" s="1">
        <v>9835104</v>
      </c>
      <c r="K32" s="1">
        <v>20520240</v>
      </c>
      <c r="L32" s="1">
        <v>0</v>
      </c>
      <c r="M32" s="1">
        <v>0</v>
      </c>
      <c r="N32" s="1">
        <v>3741815</v>
      </c>
      <c r="O32" s="1">
        <v>3741815</v>
      </c>
      <c r="P32" s="10">
        <v>33637996</v>
      </c>
    </row>
    <row r="33" spans="2:16" x14ac:dyDescent="0.25">
      <c r="B33" s="8" t="s">
        <v>319</v>
      </c>
      <c r="C33" s="1">
        <v>0</v>
      </c>
      <c r="D33" s="1">
        <v>88727</v>
      </c>
      <c r="E33" s="1">
        <v>10112</v>
      </c>
      <c r="F33" s="1">
        <v>98839</v>
      </c>
      <c r="G33" s="1">
        <v>0</v>
      </c>
      <c r="H33" s="1">
        <v>122952</v>
      </c>
      <c r="I33" s="1">
        <v>24996</v>
      </c>
      <c r="J33" s="1">
        <v>41256</v>
      </c>
      <c r="K33" s="1">
        <v>189204</v>
      </c>
      <c r="L33" s="1">
        <v>0</v>
      </c>
      <c r="M33" s="1">
        <v>0</v>
      </c>
      <c r="N33" s="1">
        <v>7281</v>
      </c>
      <c r="O33" s="1">
        <v>7281</v>
      </c>
      <c r="P33" s="10">
        <v>295324</v>
      </c>
    </row>
    <row r="34" spans="2:16" x14ac:dyDescent="0.25">
      <c r="B34" s="8" t="s">
        <v>320</v>
      </c>
      <c r="C34" s="1">
        <v>0</v>
      </c>
      <c r="D34" s="1">
        <v>1669712</v>
      </c>
      <c r="E34" s="1">
        <v>163451</v>
      </c>
      <c r="F34" s="1">
        <v>1833163</v>
      </c>
      <c r="G34" s="1">
        <v>0</v>
      </c>
      <c r="H34" s="1">
        <v>1943394</v>
      </c>
      <c r="I34" s="1">
        <v>847248</v>
      </c>
      <c r="J34" s="1">
        <v>991296</v>
      </c>
      <c r="K34" s="1">
        <v>3781938</v>
      </c>
      <c r="L34" s="1">
        <v>0</v>
      </c>
      <c r="M34" s="1">
        <v>0</v>
      </c>
      <c r="N34" s="1">
        <v>308605</v>
      </c>
      <c r="O34" s="1">
        <v>308605</v>
      </c>
      <c r="P34" s="10">
        <v>5923706</v>
      </c>
    </row>
    <row r="35" spans="2:16" x14ac:dyDescent="0.25">
      <c r="B35" s="7" t="s">
        <v>392</v>
      </c>
      <c r="C35" s="1">
        <v>0</v>
      </c>
      <c r="D35" s="1">
        <v>210850023</v>
      </c>
      <c r="E35" s="1">
        <v>230846283</v>
      </c>
      <c r="F35" s="1">
        <v>441696306</v>
      </c>
      <c r="G35" s="1">
        <v>0</v>
      </c>
      <c r="H35" s="1">
        <v>252209220</v>
      </c>
      <c r="I35" s="1">
        <v>234171147</v>
      </c>
      <c r="J35" s="1">
        <v>240424089</v>
      </c>
      <c r="K35" s="1">
        <v>726804456</v>
      </c>
      <c r="L35" s="1">
        <v>0</v>
      </c>
      <c r="M35" s="1">
        <v>0</v>
      </c>
      <c r="N35" s="1">
        <v>230245237</v>
      </c>
      <c r="O35" s="1">
        <v>230245237</v>
      </c>
      <c r="P35" s="10">
        <v>1398745999</v>
      </c>
    </row>
    <row r="36" spans="2:16" x14ac:dyDescent="0.25">
      <c r="B36" s="8" t="s">
        <v>308</v>
      </c>
      <c r="C36" s="1">
        <v>0</v>
      </c>
      <c r="D36" s="1">
        <v>210850023</v>
      </c>
      <c r="E36" s="1">
        <v>230846283</v>
      </c>
      <c r="F36" s="1">
        <v>441696306</v>
      </c>
      <c r="G36" s="1">
        <v>0</v>
      </c>
      <c r="H36" s="1">
        <v>252209220</v>
      </c>
      <c r="I36" s="1">
        <v>234171147</v>
      </c>
      <c r="J36" s="1">
        <v>240424089</v>
      </c>
      <c r="K36" s="1">
        <v>726804456</v>
      </c>
      <c r="L36" s="1">
        <v>0</v>
      </c>
      <c r="M36" s="1">
        <v>0</v>
      </c>
      <c r="N36" s="1">
        <v>230245237</v>
      </c>
      <c r="O36" s="1">
        <v>230245237</v>
      </c>
      <c r="P36" s="10">
        <v>1398745999</v>
      </c>
    </row>
    <row r="37" spans="2:16" x14ac:dyDescent="0.25">
      <c r="B37" s="7" t="s">
        <v>243</v>
      </c>
      <c r="C37" s="1">
        <v>0</v>
      </c>
      <c r="D37" s="1">
        <v>27290932</v>
      </c>
      <c r="E37" s="1">
        <v>34645388</v>
      </c>
      <c r="F37" s="1">
        <v>61936320</v>
      </c>
      <c r="G37" s="1">
        <v>0</v>
      </c>
      <c r="H37" s="1">
        <v>38970368</v>
      </c>
      <c r="I37" s="1">
        <v>36719996</v>
      </c>
      <c r="J37" s="1">
        <v>54229630</v>
      </c>
      <c r="K37" s="1">
        <v>129919994</v>
      </c>
      <c r="L37" s="1">
        <v>0</v>
      </c>
      <c r="M37" s="1">
        <v>0</v>
      </c>
      <c r="N37" s="1">
        <v>41428384</v>
      </c>
      <c r="O37" s="1">
        <v>41428384</v>
      </c>
      <c r="P37" s="10">
        <v>233284698</v>
      </c>
    </row>
    <row r="38" spans="2:16" x14ac:dyDescent="0.25">
      <c r="B38" s="8" t="s">
        <v>310</v>
      </c>
      <c r="C38" s="1">
        <v>0</v>
      </c>
      <c r="D38" s="1">
        <v>27290932</v>
      </c>
      <c r="E38" s="1">
        <v>34645388</v>
      </c>
      <c r="F38" s="1">
        <v>61936320</v>
      </c>
      <c r="G38" s="1">
        <v>0</v>
      </c>
      <c r="H38" s="1">
        <v>38970368</v>
      </c>
      <c r="I38" s="1">
        <v>36719996</v>
      </c>
      <c r="J38" s="1">
        <v>54229630</v>
      </c>
      <c r="K38" s="1">
        <v>129919994</v>
      </c>
      <c r="L38" s="1">
        <v>0</v>
      </c>
      <c r="M38" s="1">
        <v>0</v>
      </c>
      <c r="N38" s="1">
        <v>41428384</v>
      </c>
      <c r="O38" s="1">
        <v>41428384</v>
      </c>
      <c r="P38" s="10">
        <v>233284698</v>
      </c>
    </row>
    <row r="39" spans="2:16" x14ac:dyDescent="0.25">
      <c r="B39" s="7" t="s">
        <v>848</v>
      </c>
      <c r="C39" s="1">
        <v>0</v>
      </c>
      <c r="D39" s="1">
        <v>70027</v>
      </c>
      <c r="E39" s="1">
        <v>92265</v>
      </c>
      <c r="F39" s="1">
        <v>162292</v>
      </c>
      <c r="G39" s="1"/>
      <c r="H39" s="1"/>
      <c r="I39" s="1"/>
      <c r="J39" s="1"/>
      <c r="K39" s="1"/>
      <c r="L39" s="1">
        <v>0</v>
      </c>
      <c r="M39" s="1">
        <v>0</v>
      </c>
      <c r="N39" s="1">
        <v>0</v>
      </c>
      <c r="O39" s="1">
        <v>0</v>
      </c>
      <c r="P39" s="10">
        <v>162292</v>
      </c>
    </row>
    <row r="40" spans="2:16" x14ac:dyDescent="0.25">
      <c r="B40" s="8" t="s">
        <v>1068</v>
      </c>
      <c r="C40" s="1">
        <v>0</v>
      </c>
      <c r="D40" s="1">
        <v>70027</v>
      </c>
      <c r="E40" s="1">
        <v>92265</v>
      </c>
      <c r="F40" s="1">
        <v>162292</v>
      </c>
      <c r="G40" s="1"/>
      <c r="H40" s="1"/>
      <c r="I40" s="1"/>
      <c r="J40" s="1"/>
      <c r="K40" s="1"/>
      <c r="L40" s="1">
        <v>0</v>
      </c>
      <c r="M40" s="1">
        <v>0</v>
      </c>
      <c r="N40" s="1">
        <v>0</v>
      </c>
      <c r="O40" s="1">
        <v>0</v>
      </c>
      <c r="P40" s="10">
        <v>162292</v>
      </c>
    </row>
    <row r="41" spans="2:16" x14ac:dyDescent="0.25">
      <c r="B41" s="7" t="s">
        <v>402</v>
      </c>
      <c r="C41" s="1">
        <v>0</v>
      </c>
      <c r="D41" s="1">
        <v>53075587</v>
      </c>
      <c r="E41" s="1">
        <v>38541998</v>
      </c>
      <c r="F41" s="1">
        <v>91617585</v>
      </c>
      <c r="G41" s="1">
        <v>0</v>
      </c>
      <c r="H41" s="1">
        <v>50864797</v>
      </c>
      <c r="I41" s="1">
        <v>47477978</v>
      </c>
      <c r="J41" s="1">
        <v>55457659</v>
      </c>
      <c r="K41" s="1">
        <v>153800434</v>
      </c>
      <c r="L41" s="1">
        <v>174512</v>
      </c>
      <c r="M41" s="1">
        <v>0</v>
      </c>
      <c r="N41" s="1">
        <v>37074011</v>
      </c>
      <c r="O41" s="1">
        <v>37248523</v>
      </c>
      <c r="P41" s="10">
        <v>282666542</v>
      </c>
    </row>
    <row r="42" spans="2:16" x14ac:dyDescent="0.25">
      <c r="B42" s="8" t="s">
        <v>311</v>
      </c>
      <c r="C42" s="1">
        <v>0</v>
      </c>
      <c r="D42" s="1">
        <v>1420728</v>
      </c>
      <c r="E42" s="1">
        <v>406088</v>
      </c>
      <c r="F42" s="1">
        <v>1826816</v>
      </c>
      <c r="G42" s="1">
        <v>0</v>
      </c>
      <c r="H42" s="1">
        <v>2455812</v>
      </c>
      <c r="I42" s="1">
        <v>1176600</v>
      </c>
      <c r="J42" s="1">
        <v>1915000</v>
      </c>
      <c r="K42" s="1">
        <v>5547412</v>
      </c>
      <c r="L42" s="1">
        <v>0</v>
      </c>
      <c r="M42" s="1">
        <v>0</v>
      </c>
      <c r="N42" s="1">
        <v>101180</v>
      </c>
      <c r="O42" s="1">
        <v>101180</v>
      </c>
      <c r="P42" s="10">
        <v>7475408</v>
      </c>
    </row>
    <row r="43" spans="2:16" x14ac:dyDescent="0.25">
      <c r="B43" s="8" t="s">
        <v>312</v>
      </c>
      <c r="C43" s="1">
        <v>0</v>
      </c>
      <c r="D43" s="1">
        <v>376819</v>
      </c>
      <c r="E43" s="1">
        <v>696289</v>
      </c>
      <c r="F43" s="1">
        <v>1073108</v>
      </c>
      <c r="G43" s="1">
        <v>0</v>
      </c>
      <c r="H43" s="1">
        <v>1004180</v>
      </c>
      <c r="I43" s="1">
        <v>609285</v>
      </c>
      <c r="J43" s="1">
        <v>578000</v>
      </c>
      <c r="K43" s="1">
        <v>2191465</v>
      </c>
      <c r="L43" s="1">
        <v>0</v>
      </c>
      <c r="M43" s="1">
        <v>0</v>
      </c>
      <c r="N43" s="1">
        <v>487058</v>
      </c>
      <c r="O43" s="1">
        <v>487058</v>
      </c>
      <c r="P43" s="10">
        <v>3751631</v>
      </c>
    </row>
    <row r="44" spans="2:16" x14ac:dyDescent="0.25">
      <c r="B44" s="8" t="s">
        <v>313</v>
      </c>
      <c r="C44" s="1">
        <v>0</v>
      </c>
      <c r="D44" s="1">
        <v>366769</v>
      </c>
      <c r="E44" s="1">
        <v>110198</v>
      </c>
      <c r="F44" s="1">
        <v>476967</v>
      </c>
      <c r="G44" s="1">
        <v>0</v>
      </c>
      <c r="H44" s="1">
        <v>1372896</v>
      </c>
      <c r="I44" s="1">
        <v>1000002</v>
      </c>
      <c r="J44" s="1">
        <v>1151243</v>
      </c>
      <c r="K44" s="1">
        <v>3524141</v>
      </c>
      <c r="L44" s="1">
        <v>0</v>
      </c>
      <c r="M44" s="1">
        <v>0</v>
      </c>
      <c r="N44" s="1">
        <v>143505</v>
      </c>
      <c r="O44" s="1">
        <v>143505</v>
      </c>
      <c r="P44" s="10">
        <v>4144613</v>
      </c>
    </row>
    <row r="45" spans="2:16" x14ac:dyDescent="0.25">
      <c r="B45" s="8" t="s">
        <v>314</v>
      </c>
      <c r="C45" s="1">
        <v>0</v>
      </c>
      <c r="D45" s="1">
        <v>866594</v>
      </c>
      <c r="E45" s="1">
        <v>908211</v>
      </c>
      <c r="F45" s="1">
        <v>1774805</v>
      </c>
      <c r="G45" s="1">
        <v>0</v>
      </c>
      <c r="H45" s="1">
        <v>970085</v>
      </c>
      <c r="I45" s="1">
        <v>1172920</v>
      </c>
      <c r="J45" s="1">
        <v>1172920</v>
      </c>
      <c r="K45" s="1">
        <v>3315925</v>
      </c>
      <c r="L45" s="1">
        <v>0</v>
      </c>
      <c r="M45" s="1">
        <v>0</v>
      </c>
      <c r="N45" s="1">
        <v>921566</v>
      </c>
      <c r="O45" s="1">
        <v>921566</v>
      </c>
      <c r="P45" s="10">
        <v>6012296</v>
      </c>
    </row>
    <row r="46" spans="2:16" x14ac:dyDescent="0.25">
      <c r="B46" s="8" t="s">
        <v>315</v>
      </c>
      <c r="C46" s="1">
        <v>0</v>
      </c>
      <c r="D46" s="1">
        <v>279494</v>
      </c>
      <c r="E46" s="1">
        <v>261083</v>
      </c>
      <c r="F46" s="1">
        <v>540577</v>
      </c>
      <c r="G46" s="1">
        <v>0</v>
      </c>
      <c r="H46" s="1">
        <v>300012</v>
      </c>
      <c r="I46" s="1">
        <v>300015</v>
      </c>
      <c r="J46" s="1">
        <v>254256</v>
      </c>
      <c r="K46" s="1">
        <v>854283</v>
      </c>
      <c r="L46" s="1">
        <v>0</v>
      </c>
      <c r="M46" s="1">
        <v>0</v>
      </c>
      <c r="N46" s="1">
        <v>280875</v>
      </c>
      <c r="O46" s="1">
        <v>280875</v>
      </c>
      <c r="P46" s="10">
        <v>1675735</v>
      </c>
    </row>
    <row r="47" spans="2:16" x14ac:dyDescent="0.25">
      <c r="B47" s="8" t="s">
        <v>316</v>
      </c>
      <c r="C47" s="1">
        <v>0</v>
      </c>
      <c r="D47" s="1">
        <v>819000</v>
      </c>
      <c r="E47" s="1">
        <v>0</v>
      </c>
      <c r="F47" s="1">
        <v>819000</v>
      </c>
      <c r="G47" s="1">
        <v>0</v>
      </c>
      <c r="H47" s="1"/>
      <c r="I47" s="1">
        <v>1711000</v>
      </c>
      <c r="J47" s="1">
        <v>1100000</v>
      </c>
      <c r="K47" s="1">
        <v>2811000</v>
      </c>
      <c r="L47" s="1">
        <v>0</v>
      </c>
      <c r="M47" s="1">
        <v>0</v>
      </c>
      <c r="N47" s="1">
        <v>944973</v>
      </c>
      <c r="O47" s="1">
        <v>944973</v>
      </c>
      <c r="P47" s="10">
        <v>4574973</v>
      </c>
    </row>
    <row r="48" spans="2:16" x14ac:dyDescent="0.25">
      <c r="B48" s="8" t="s">
        <v>317</v>
      </c>
      <c r="C48" s="1">
        <v>0</v>
      </c>
      <c r="D48" s="1">
        <v>2230912</v>
      </c>
      <c r="E48" s="1">
        <v>2679804</v>
      </c>
      <c r="F48" s="1">
        <v>4910716</v>
      </c>
      <c r="G48" s="1">
        <v>0</v>
      </c>
      <c r="H48" s="1">
        <v>3517164</v>
      </c>
      <c r="I48" s="1">
        <v>2856456</v>
      </c>
      <c r="J48" s="1">
        <v>2912680</v>
      </c>
      <c r="K48" s="1">
        <v>9286300</v>
      </c>
      <c r="L48" s="1">
        <v>0</v>
      </c>
      <c r="M48" s="1">
        <v>0</v>
      </c>
      <c r="N48" s="1">
        <v>2231760</v>
      </c>
      <c r="O48" s="1">
        <v>2231760</v>
      </c>
      <c r="P48" s="10">
        <v>16428776</v>
      </c>
    </row>
    <row r="49" spans="1:172" x14ac:dyDescent="0.25">
      <c r="B49" s="8" t="s">
        <v>321</v>
      </c>
      <c r="C49" s="1">
        <v>0</v>
      </c>
      <c r="D49" s="1">
        <v>8668898</v>
      </c>
      <c r="E49" s="1">
        <v>8958367</v>
      </c>
      <c r="F49" s="1">
        <v>17627265</v>
      </c>
      <c r="G49" s="1">
        <v>0</v>
      </c>
      <c r="H49" s="1">
        <v>8338104</v>
      </c>
      <c r="I49" s="1">
        <v>9796252</v>
      </c>
      <c r="J49" s="1">
        <v>9992200</v>
      </c>
      <c r="K49" s="1">
        <v>28126556</v>
      </c>
      <c r="L49" s="1">
        <v>0</v>
      </c>
      <c r="M49" s="1">
        <v>0</v>
      </c>
      <c r="N49" s="1">
        <v>10162536</v>
      </c>
      <c r="O49" s="1">
        <v>10162536</v>
      </c>
      <c r="P49" s="10">
        <v>55916357</v>
      </c>
    </row>
    <row r="50" spans="1:172" x14ac:dyDescent="0.25">
      <c r="B50" s="8" t="s">
        <v>322</v>
      </c>
      <c r="C50" s="1">
        <v>0</v>
      </c>
      <c r="D50" s="1">
        <v>11913058</v>
      </c>
      <c r="E50" s="1">
        <v>822747</v>
      </c>
      <c r="F50" s="1">
        <v>12735805</v>
      </c>
      <c r="G50" s="1">
        <v>0</v>
      </c>
      <c r="H50" s="1">
        <v>889852</v>
      </c>
      <c r="I50" s="1">
        <v>810912</v>
      </c>
      <c r="J50" s="1">
        <v>1150000</v>
      </c>
      <c r="K50" s="1">
        <v>2850764</v>
      </c>
      <c r="L50" s="1">
        <v>0</v>
      </c>
      <c r="M50" s="1">
        <v>0</v>
      </c>
      <c r="N50" s="1">
        <v>781442</v>
      </c>
      <c r="O50" s="1">
        <v>781442</v>
      </c>
      <c r="P50" s="10">
        <v>16368011</v>
      </c>
    </row>
    <row r="51" spans="1:172" x14ac:dyDescent="0.25">
      <c r="B51" s="8" t="s">
        <v>323</v>
      </c>
      <c r="C51" s="1">
        <v>0</v>
      </c>
      <c r="D51" s="1">
        <v>12196243</v>
      </c>
      <c r="E51" s="1">
        <v>13487824</v>
      </c>
      <c r="F51" s="1">
        <v>25684067</v>
      </c>
      <c r="G51" s="1">
        <v>0</v>
      </c>
      <c r="H51" s="1">
        <v>16012460</v>
      </c>
      <c r="I51" s="1">
        <v>13850952</v>
      </c>
      <c r="J51" s="1">
        <v>15757464</v>
      </c>
      <c r="K51" s="1">
        <v>45620876</v>
      </c>
      <c r="L51" s="1">
        <v>0</v>
      </c>
      <c r="M51" s="1">
        <v>0</v>
      </c>
      <c r="N51" s="1">
        <v>13250229</v>
      </c>
      <c r="O51" s="1">
        <v>13250229</v>
      </c>
      <c r="P51" s="10">
        <v>84555172</v>
      </c>
    </row>
    <row r="52" spans="1:172" x14ac:dyDescent="0.25">
      <c r="B52" s="8" t="s">
        <v>324</v>
      </c>
      <c r="C52" s="1">
        <v>0</v>
      </c>
      <c r="D52" s="1">
        <v>141440</v>
      </c>
      <c r="E52" s="1">
        <v>57250</v>
      </c>
      <c r="F52" s="1">
        <v>198690</v>
      </c>
      <c r="G52" s="1">
        <v>0</v>
      </c>
      <c r="H52" s="1">
        <v>201780</v>
      </c>
      <c r="I52" s="1">
        <v>60180</v>
      </c>
      <c r="J52" s="1">
        <v>246000</v>
      </c>
      <c r="K52" s="1">
        <v>507960</v>
      </c>
      <c r="L52" s="1">
        <v>0</v>
      </c>
      <c r="M52" s="1">
        <v>0</v>
      </c>
      <c r="N52" s="1">
        <v>0</v>
      </c>
      <c r="O52" s="1">
        <v>0</v>
      </c>
      <c r="P52" s="10">
        <v>706650</v>
      </c>
    </row>
    <row r="53" spans="1:172" x14ac:dyDescent="0.25">
      <c r="B53" s="8" t="s">
        <v>325</v>
      </c>
      <c r="C53" s="1">
        <v>0</v>
      </c>
      <c r="D53" s="1">
        <v>13795632</v>
      </c>
      <c r="E53" s="1">
        <v>10154137</v>
      </c>
      <c r="F53" s="1">
        <v>23949769</v>
      </c>
      <c r="G53" s="1">
        <v>0</v>
      </c>
      <c r="H53" s="1">
        <v>15802452</v>
      </c>
      <c r="I53" s="1">
        <v>14133404</v>
      </c>
      <c r="J53" s="1">
        <v>19227896</v>
      </c>
      <c r="K53" s="1">
        <v>49163752</v>
      </c>
      <c r="L53" s="1">
        <v>174512</v>
      </c>
      <c r="M53" s="1">
        <v>0</v>
      </c>
      <c r="N53" s="1">
        <v>7768506</v>
      </c>
      <c r="O53" s="1">
        <v>7943018</v>
      </c>
      <c r="P53" s="10">
        <v>81056539</v>
      </c>
    </row>
    <row r="54" spans="1:172" x14ac:dyDescent="0.25">
      <c r="B54" s="8" t="s">
        <v>1067</v>
      </c>
      <c r="C54" s="1">
        <v>0</v>
      </c>
      <c r="D54" s="1">
        <v>0</v>
      </c>
      <c r="E54" s="1">
        <v>0</v>
      </c>
      <c r="F54" s="1">
        <v>0</v>
      </c>
      <c r="G54" s="1"/>
      <c r="H54" s="1"/>
      <c r="I54" s="1"/>
      <c r="J54" s="1"/>
      <c r="K54" s="1"/>
      <c r="L54" s="1">
        <v>0</v>
      </c>
      <c r="M54" s="1">
        <v>0</v>
      </c>
      <c r="N54" s="1">
        <v>381</v>
      </c>
      <c r="O54" s="1">
        <v>381</v>
      </c>
      <c r="P54" s="10">
        <v>381</v>
      </c>
    </row>
    <row r="55" spans="1:172" x14ac:dyDescent="0.25">
      <c r="B55" s="7" t="s">
        <v>456</v>
      </c>
      <c r="C55" s="1">
        <v>0</v>
      </c>
      <c r="D55" s="1">
        <v>5768</v>
      </c>
      <c r="E55" s="1">
        <v>2968</v>
      </c>
      <c r="F55" s="1">
        <v>8736</v>
      </c>
      <c r="G55" s="1">
        <v>0</v>
      </c>
      <c r="H55" s="1">
        <v>22969</v>
      </c>
      <c r="I55" s="1">
        <v>4322</v>
      </c>
      <c r="J55" s="1">
        <v>12000</v>
      </c>
      <c r="K55" s="1">
        <v>39291</v>
      </c>
      <c r="L55" s="1">
        <v>0</v>
      </c>
      <c r="M55" s="1">
        <v>0</v>
      </c>
      <c r="N55" s="1">
        <v>6293</v>
      </c>
      <c r="O55" s="1">
        <v>6293</v>
      </c>
      <c r="P55" s="10">
        <v>54320</v>
      </c>
    </row>
    <row r="56" spans="1:172" x14ac:dyDescent="0.25">
      <c r="B56" s="8" t="s">
        <v>1045</v>
      </c>
      <c r="C56" s="1">
        <v>0</v>
      </c>
      <c r="D56" s="1">
        <v>4915</v>
      </c>
      <c r="E56" s="1">
        <v>1831</v>
      </c>
      <c r="F56" s="1">
        <v>6746</v>
      </c>
      <c r="G56" s="1">
        <v>0</v>
      </c>
      <c r="H56" s="1">
        <v>22346</v>
      </c>
      <c r="I56" s="1">
        <v>3164</v>
      </c>
      <c r="J56" s="1">
        <v>6000</v>
      </c>
      <c r="K56" s="1">
        <v>31510</v>
      </c>
      <c r="L56" s="1">
        <v>0</v>
      </c>
      <c r="M56" s="1">
        <v>0</v>
      </c>
      <c r="N56" s="1">
        <v>1976</v>
      </c>
      <c r="O56" s="1">
        <v>1976</v>
      </c>
      <c r="P56" s="10">
        <v>40232</v>
      </c>
    </row>
    <row r="57" spans="1:172" x14ac:dyDescent="0.25">
      <c r="B57" s="8" t="s">
        <v>1046</v>
      </c>
      <c r="C57" s="1">
        <v>0</v>
      </c>
      <c r="D57" s="1">
        <v>853</v>
      </c>
      <c r="E57" s="1">
        <v>1137</v>
      </c>
      <c r="F57" s="1">
        <v>1990</v>
      </c>
      <c r="G57" s="1">
        <v>0</v>
      </c>
      <c r="H57" s="1">
        <v>623</v>
      </c>
      <c r="I57" s="1">
        <v>1158</v>
      </c>
      <c r="J57" s="1">
        <v>6000</v>
      </c>
      <c r="K57" s="1">
        <v>7781</v>
      </c>
      <c r="L57" s="1">
        <v>0</v>
      </c>
      <c r="M57" s="1">
        <v>0</v>
      </c>
      <c r="N57" s="1">
        <v>4317</v>
      </c>
      <c r="O57" s="1">
        <v>4317</v>
      </c>
      <c r="P57" s="10">
        <v>14088</v>
      </c>
    </row>
    <row r="58" spans="1:172" x14ac:dyDescent="0.25">
      <c r="B58" s="7" t="s">
        <v>478</v>
      </c>
      <c r="C58" s="1">
        <v>0</v>
      </c>
      <c r="D58" s="1">
        <v>4582400</v>
      </c>
      <c r="E58" s="1">
        <v>57357</v>
      </c>
      <c r="F58" s="1">
        <v>4639757</v>
      </c>
      <c r="G58" s="1"/>
      <c r="H58" s="1"/>
      <c r="I58" s="1">
        <v>81900</v>
      </c>
      <c r="J58" s="1">
        <v>85000</v>
      </c>
      <c r="K58" s="1">
        <v>166900</v>
      </c>
      <c r="L58" s="1">
        <v>0</v>
      </c>
      <c r="M58" s="1">
        <v>0</v>
      </c>
      <c r="N58" s="1">
        <v>2676511</v>
      </c>
      <c r="O58" s="1">
        <v>2676511</v>
      </c>
      <c r="P58" s="10">
        <v>7483168</v>
      </c>
    </row>
    <row r="59" spans="1:172" x14ac:dyDescent="0.25">
      <c r="B59" s="8" t="s">
        <v>1069</v>
      </c>
      <c r="C59" s="1">
        <v>0</v>
      </c>
      <c r="D59" s="1">
        <v>4517397</v>
      </c>
      <c r="E59" s="1">
        <v>681</v>
      </c>
      <c r="F59" s="1">
        <v>4518078</v>
      </c>
      <c r="G59" s="1"/>
      <c r="H59" s="1"/>
      <c r="I59" s="1">
        <v>1900</v>
      </c>
      <c r="J59" s="1">
        <v>5000</v>
      </c>
      <c r="K59" s="1">
        <v>6900</v>
      </c>
      <c r="L59" s="1">
        <v>0</v>
      </c>
      <c r="M59" s="1">
        <v>0</v>
      </c>
      <c r="N59" s="1">
        <v>4416</v>
      </c>
      <c r="O59" s="1">
        <v>4416</v>
      </c>
      <c r="P59" s="10">
        <v>4529394</v>
      </c>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row>
    <row r="60" spans="1:172" x14ac:dyDescent="0.25">
      <c r="B60" s="8" t="s">
        <v>1070</v>
      </c>
      <c r="C60" s="1">
        <v>0</v>
      </c>
      <c r="D60" s="1">
        <v>0</v>
      </c>
      <c r="E60" s="1">
        <v>0</v>
      </c>
      <c r="F60" s="1">
        <v>0</v>
      </c>
      <c r="G60" s="1"/>
      <c r="H60" s="1"/>
      <c r="I60" s="1"/>
      <c r="J60" s="1"/>
      <c r="K60" s="1"/>
      <c r="L60" s="1">
        <v>0</v>
      </c>
      <c r="M60" s="1">
        <v>0</v>
      </c>
      <c r="N60" s="1">
        <v>0</v>
      </c>
      <c r="O60" s="1">
        <v>0</v>
      </c>
      <c r="P60" s="10">
        <v>0</v>
      </c>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5"/>
      <c r="AW60" s="295"/>
      <c r="AX60" s="295"/>
    </row>
    <row r="61" spans="1:172" x14ac:dyDescent="0.25">
      <c r="B61" s="8" t="s">
        <v>1071</v>
      </c>
      <c r="C61" s="1">
        <v>0</v>
      </c>
      <c r="D61" s="1">
        <v>65003</v>
      </c>
      <c r="E61" s="1">
        <v>56676</v>
      </c>
      <c r="F61" s="1">
        <v>121679</v>
      </c>
      <c r="G61" s="1"/>
      <c r="H61" s="1"/>
      <c r="I61" s="1">
        <v>80000</v>
      </c>
      <c r="J61" s="1">
        <v>80000</v>
      </c>
      <c r="K61" s="1">
        <v>160000</v>
      </c>
      <c r="L61" s="1">
        <v>0</v>
      </c>
      <c r="M61" s="1">
        <v>0</v>
      </c>
      <c r="N61" s="1">
        <v>2672095</v>
      </c>
      <c r="O61" s="1">
        <v>2672095</v>
      </c>
      <c r="P61" s="10">
        <v>2953774</v>
      </c>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row>
    <row r="62" spans="1:172" s="295" customFormat="1" x14ac:dyDescent="0.25">
      <c r="B62"/>
      <c r="C62"/>
      <c r="D62"/>
      <c r="E62"/>
      <c r="F62"/>
      <c r="G62"/>
      <c r="H62"/>
      <c r="I62"/>
      <c r="J62"/>
      <c r="K62"/>
      <c r="L62"/>
      <c r="M62"/>
      <c r="N62"/>
      <c r="O62"/>
      <c r="P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row>
    <row r="63" spans="1:172" s="295" customFormat="1" x14ac:dyDescent="0.25">
      <c r="A63"/>
      <c r="B63"/>
      <c r="C63"/>
      <c r="D63"/>
      <c r="E63"/>
      <c r="F63"/>
      <c r="G63"/>
      <c r="H63"/>
      <c r="I63"/>
      <c r="J63"/>
      <c r="K63"/>
      <c r="L63"/>
      <c r="M63"/>
      <c r="N63"/>
      <c r="O63"/>
      <c r="P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row>
    <row r="64" spans="1:172" s="295" customFormat="1" x14ac:dyDescent="0.25">
      <c r="A64"/>
      <c r="B64"/>
      <c r="C64"/>
      <c r="D64"/>
      <c r="E64"/>
      <c r="F64"/>
      <c r="G64"/>
      <c r="H64"/>
      <c r="I64"/>
      <c r="J64"/>
      <c r="K64"/>
      <c r="L64"/>
      <c r="M64"/>
      <c r="N64"/>
      <c r="O64"/>
      <c r="P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row>
    <row r="65" spans="7:50" x14ac:dyDescent="0.25">
      <c r="G6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c r="AQ65" s="295"/>
      <c r="AR65" s="295"/>
      <c r="AS65" s="295"/>
      <c r="AT65" s="295"/>
      <c r="AU65" s="295"/>
      <c r="AV65" s="295"/>
      <c r="AW65" s="295"/>
      <c r="AX65" s="295"/>
    </row>
    <row r="66" spans="7:50" x14ac:dyDescent="0.25">
      <c r="G66"/>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row>
    <row r="67" spans="7:50" x14ac:dyDescent="0.25">
      <c r="G67"/>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row>
    <row r="68" spans="7:50" x14ac:dyDescent="0.25">
      <c r="G68"/>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row>
    <row r="69" spans="7:50" x14ac:dyDescent="0.25">
      <c r="G69"/>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c r="AP69" s="295"/>
      <c r="AQ69" s="295"/>
      <c r="AR69" s="295"/>
      <c r="AS69" s="295"/>
      <c r="AT69" s="295"/>
      <c r="AU69" s="295"/>
      <c r="AV69" s="295"/>
      <c r="AW69" s="295"/>
      <c r="AX69" s="295"/>
    </row>
    <row r="70" spans="7:50" x14ac:dyDescent="0.25">
      <c r="G70"/>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c r="AQ70" s="295"/>
      <c r="AR70" s="295"/>
      <c r="AS70" s="295"/>
      <c r="AT70" s="295"/>
      <c r="AU70" s="295"/>
      <c r="AV70" s="295"/>
      <c r="AW70" s="295"/>
      <c r="AX70" s="295"/>
    </row>
    <row r="71" spans="7:50" x14ac:dyDescent="0.25">
      <c r="G71"/>
    </row>
    <row r="72" spans="7:50" x14ac:dyDescent="0.25">
      <c r="G72"/>
    </row>
    <row r="73" spans="7:50" x14ac:dyDescent="0.25">
      <c r="G73"/>
    </row>
    <row r="74" spans="7:50" x14ac:dyDescent="0.25">
      <c r="G74"/>
    </row>
    <row r="75" spans="7:50" x14ac:dyDescent="0.25">
      <c r="G75"/>
    </row>
    <row r="76" spans="7:50" x14ac:dyDescent="0.25">
      <c r="G76"/>
    </row>
    <row r="77" spans="7:50" x14ac:dyDescent="0.25">
      <c r="G77"/>
    </row>
    <row r="78" spans="7:50" x14ac:dyDescent="0.25">
      <c r="G78"/>
    </row>
    <row r="79" spans="7:50" x14ac:dyDescent="0.25">
      <c r="G79"/>
    </row>
    <row r="80" spans="7:50" x14ac:dyDescent="0.25">
      <c r="G80"/>
    </row>
    <row r="81" spans="7:7" x14ac:dyDescent="0.25">
      <c r="G81"/>
    </row>
    <row r="82" spans="7:7" x14ac:dyDescent="0.25">
      <c r="G82"/>
    </row>
    <row r="83" spans="7:7" x14ac:dyDescent="0.25">
      <c r="G83"/>
    </row>
    <row r="84" spans="7:7" x14ac:dyDescent="0.25">
      <c r="G84"/>
    </row>
    <row r="85" spans="7:7" x14ac:dyDescent="0.25">
      <c r="G85"/>
    </row>
    <row r="86" spans="7:7" x14ac:dyDescent="0.25">
      <c r="G86"/>
    </row>
    <row r="87" spans="7:7" x14ac:dyDescent="0.25">
      <c r="G87"/>
    </row>
    <row r="88" spans="7:7" x14ac:dyDescent="0.25">
      <c r="G88"/>
    </row>
    <row r="89" spans="7:7" x14ac:dyDescent="0.25">
      <c r="G89"/>
    </row>
    <row r="90" spans="7:7" x14ac:dyDescent="0.25">
      <c r="G90"/>
    </row>
    <row r="91" spans="7:7" x14ac:dyDescent="0.25">
      <c r="G91"/>
    </row>
    <row r="92" spans="7:7" x14ac:dyDescent="0.25">
      <c r="G92"/>
    </row>
    <row r="93" spans="7:7" x14ac:dyDescent="0.25">
      <c r="G93"/>
    </row>
    <row r="94" spans="7:7" x14ac:dyDescent="0.25">
      <c r="G94"/>
    </row>
    <row r="95" spans="7:7" x14ac:dyDescent="0.25">
      <c r="G95"/>
    </row>
    <row r="96" spans="7:7" x14ac:dyDescent="0.25">
      <c r="G96"/>
    </row>
    <row r="97" spans="7:7" x14ac:dyDescent="0.25">
      <c r="G97"/>
    </row>
    <row r="98" spans="7:7" x14ac:dyDescent="0.25">
      <c r="G98"/>
    </row>
    <row r="99" spans="7:7" x14ac:dyDescent="0.25">
      <c r="G99"/>
    </row>
    <row r="100" spans="7:7" x14ac:dyDescent="0.25">
      <c r="G100"/>
    </row>
    <row r="101" spans="7:7" x14ac:dyDescent="0.25">
      <c r="G101"/>
    </row>
    <row r="102" spans="7:7" x14ac:dyDescent="0.25">
      <c r="G102"/>
    </row>
    <row r="103" spans="7:7" x14ac:dyDescent="0.25">
      <c r="G103"/>
    </row>
    <row r="104" spans="7:7" x14ac:dyDescent="0.25">
      <c r="G104"/>
    </row>
    <row r="105" spans="7:7" x14ac:dyDescent="0.25">
      <c r="G105"/>
    </row>
    <row r="106" spans="7:7" x14ac:dyDescent="0.25">
      <c r="G106"/>
    </row>
    <row r="107" spans="7:7" x14ac:dyDescent="0.25">
      <c r="G107"/>
    </row>
    <row r="108" spans="7:7" x14ac:dyDescent="0.25">
      <c r="G108"/>
    </row>
    <row r="109" spans="7:7" x14ac:dyDescent="0.25">
      <c r="G109"/>
    </row>
    <row r="110" spans="7:7" x14ac:dyDescent="0.25">
      <c r="G110"/>
    </row>
    <row r="111" spans="7:7" x14ac:dyDescent="0.25">
      <c r="G111"/>
    </row>
    <row r="112" spans="7:7" x14ac:dyDescent="0.25">
      <c r="G112"/>
    </row>
    <row r="113" spans="7:7" x14ac:dyDescent="0.25">
      <c r="G113"/>
    </row>
    <row r="114" spans="7:7" x14ac:dyDescent="0.25">
      <c r="G114"/>
    </row>
    <row r="115" spans="7:7" x14ac:dyDescent="0.25">
      <c r="G115"/>
    </row>
    <row r="116" spans="7:7" x14ac:dyDescent="0.25">
      <c r="G116"/>
    </row>
    <row r="117" spans="7:7" x14ac:dyDescent="0.25">
      <c r="G117"/>
    </row>
    <row r="118" spans="7:7" x14ac:dyDescent="0.25">
      <c r="G118"/>
    </row>
    <row r="119" spans="7:7" x14ac:dyDescent="0.25">
      <c r="G119"/>
    </row>
    <row r="120" spans="7:7" x14ac:dyDescent="0.25">
      <c r="G120"/>
    </row>
    <row r="121" spans="7:7" x14ac:dyDescent="0.25">
      <c r="G121"/>
    </row>
    <row r="122" spans="7:7" x14ac:dyDescent="0.25">
      <c r="G122"/>
    </row>
    <row r="123" spans="7:7" x14ac:dyDescent="0.25">
      <c r="G123"/>
    </row>
    <row r="124" spans="7:7" x14ac:dyDescent="0.25">
      <c r="G124"/>
    </row>
    <row r="125" spans="7:7" x14ac:dyDescent="0.25">
      <c r="G125"/>
    </row>
    <row r="126" spans="7:7" x14ac:dyDescent="0.25">
      <c r="G126"/>
    </row>
    <row r="127" spans="7:7" x14ac:dyDescent="0.25">
      <c r="G127"/>
    </row>
    <row r="128" spans="7:7" x14ac:dyDescent="0.25">
      <c r="G128"/>
    </row>
    <row r="129" spans="7:7" x14ac:dyDescent="0.25">
      <c r="G129"/>
    </row>
    <row r="130" spans="7:7" x14ac:dyDescent="0.25">
      <c r="G130"/>
    </row>
    <row r="131" spans="7:7" x14ac:dyDescent="0.25">
      <c r="G131"/>
    </row>
    <row r="132" spans="7:7" x14ac:dyDescent="0.25">
      <c r="G132"/>
    </row>
    <row r="133" spans="7:7" x14ac:dyDescent="0.25">
      <c r="G133"/>
    </row>
    <row r="134" spans="7:7" x14ac:dyDescent="0.25">
      <c r="G134"/>
    </row>
    <row r="135" spans="7:7" x14ac:dyDescent="0.25">
      <c r="G135"/>
    </row>
    <row r="136" spans="7:7" x14ac:dyDescent="0.25">
      <c r="G136"/>
    </row>
    <row r="137" spans="7:7" x14ac:dyDescent="0.25">
      <c r="G137"/>
    </row>
    <row r="138" spans="7:7" x14ac:dyDescent="0.25">
      <c r="G138"/>
    </row>
    <row r="139" spans="7:7" x14ac:dyDescent="0.25">
      <c r="G139"/>
    </row>
    <row r="140" spans="7:7" x14ac:dyDescent="0.25">
      <c r="G140"/>
    </row>
    <row r="141" spans="7:7" x14ac:dyDescent="0.25">
      <c r="G141"/>
    </row>
    <row r="142" spans="7:7" x14ac:dyDescent="0.25">
      <c r="G142"/>
    </row>
    <row r="143" spans="7:7" x14ac:dyDescent="0.25">
      <c r="G143"/>
    </row>
    <row r="144" spans="7:7" x14ac:dyDescent="0.25">
      <c r="G144"/>
    </row>
    <row r="145" spans="7:7" x14ac:dyDescent="0.25">
      <c r="G145"/>
    </row>
    <row r="146" spans="7:7" x14ac:dyDescent="0.25">
      <c r="G146"/>
    </row>
    <row r="147" spans="7:7" x14ac:dyDescent="0.25">
      <c r="G147"/>
    </row>
    <row r="148" spans="7:7" x14ac:dyDescent="0.25">
      <c r="G148"/>
    </row>
    <row r="149" spans="7:7" x14ac:dyDescent="0.25">
      <c r="G149"/>
    </row>
    <row r="150" spans="7:7" x14ac:dyDescent="0.25">
      <c r="G150"/>
    </row>
    <row r="151" spans="7:7" x14ac:dyDescent="0.25">
      <c r="G151"/>
    </row>
    <row r="152" spans="7:7" x14ac:dyDescent="0.25">
      <c r="G152"/>
    </row>
    <row r="153" spans="7:7" x14ac:dyDescent="0.25">
      <c r="G153"/>
    </row>
    <row r="154" spans="7:7" x14ac:dyDescent="0.25">
      <c r="G154"/>
    </row>
    <row r="155" spans="7:7" x14ac:dyDescent="0.25">
      <c r="G155"/>
    </row>
    <row r="156" spans="7:7" x14ac:dyDescent="0.25">
      <c r="G156"/>
    </row>
    <row r="157" spans="7:7" x14ac:dyDescent="0.25">
      <c r="G157"/>
    </row>
    <row r="158" spans="7:7" x14ac:dyDescent="0.25">
      <c r="G158"/>
    </row>
    <row r="159" spans="7:7" x14ac:dyDescent="0.25">
      <c r="G159"/>
    </row>
    <row r="160" spans="7:7" x14ac:dyDescent="0.25">
      <c r="G160"/>
    </row>
    <row r="161" spans="7:7" x14ac:dyDescent="0.25">
      <c r="G161"/>
    </row>
    <row r="162" spans="7:7" x14ac:dyDescent="0.25">
      <c r="G162"/>
    </row>
    <row r="163" spans="7:7" x14ac:dyDescent="0.25">
      <c r="G163"/>
    </row>
    <row r="164" spans="7:7" x14ac:dyDescent="0.25">
      <c r="G164"/>
    </row>
    <row r="165" spans="7:7" x14ac:dyDescent="0.25">
      <c r="G165"/>
    </row>
    <row r="166" spans="7:7" x14ac:dyDescent="0.25">
      <c r="G166"/>
    </row>
    <row r="167" spans="7:7" x14ac:dyDescent="0.25">
      <c r="G167"/>
    </row>
    <row r="168" spans="7:7" x14ac:dyDescent="0.25">
      <c r="G168"/>
    </row>
    <row r="169" spans="7:7" x14ac:dyDescent="0.25">
      <c r="G169"/>
    </row>
    <row r="170" spans="7:7" x14ac:dyDescent="0.25">
      <c r="G170"/>
    </row>
    <row r="171" spans="7:7" x14ac:dyDescent="0.25">
      <c r="G171"/>
    </row>
    <row r="172" spans="7:7" x14ac:dyDescent="0.25">
      <c r="G172"/>
    </row>
    <row r="173" spans="7:7" x14ac:dyDescent="0.25">
      <c r="G173"/>
    </row>
    <row r="174" spans="7:7" x14ac:dyDescent="0.25">
      <c r="G174"/>
    </row>
    <row r="175" spans="7:7" x14ac:dyDescent="0.25">
      <c r="G175"/>
    </row>
    <row r="176" spans="7:7" x14ac:dyDescent="0.25">
      <c r="G176"/>
    </row>
    <row r="177" spans="7:7" x14ac:dyDescent="0.25">
      <c r="G177"/>
    </row>
    <row r="178" spans="7:7" x14ac:dyDescent="0.25">
      <c r="G178"/>
    </row>
    <row r="179" spans="7:7" x14ac:dyDescent="0.25">
      <c r="G179"/>
    </row>
    <row r="180" spans="7:7" x14ac:dyDescent="0.25">
      <c r="G180"/>
    </row>
    <row r="181" spans="7:7" x14ac:dyDescent="0.25">
      <c r="G181"/>
    </row>
    <row r="182" spans="7:7" x14ac:dyDescent="0.25">
      <c r="G182"/>
    </row>
    <row r="183" spans="7:7" x14ac:dyDescent="0.25">
      <c r="G183"/>
    </row>
    <row r="184" spans="7:7" x14ac:dyDescent="0.25">
      <c r="G184"/>
    </row>
    <row r="185" spans="7:7" x14ac:dyDescent="0.25">
      <c r="G185"/>
    </row>
    <row r="186" spans="7:7" x14ac:dyDescent="0.25">
      <c r="G186"/>
    </row>
    <row r="187" spans="7:7" x14ac:dyDescent="0.25">
      <c r="G187"/>
    </row>
    <row r="188" spans="7:7" x14ac:dyDescent="0.25">
      <c r="G188"/>
    </row>
    <row r="189" spans="7:7" x14ac:dyDescent="0.25">
      <c r="G189"/>
    </row>
    <row r="190" spans="7:7" x14ac:dyDescent="0.25">
      <c r="G190"/>
    </row>
    <row r="191" spans="7:7" x14ac:dyDescent="0.25">
      <c r="G191"/>
    </row>
    <row r="192" spans="7:7" x14ac:dyDescent="0.25">
      <c r="G192"/>
    </row>
    <row r="193" spans="7:7" x14ac:dyDescent="0.25">
      <c r="G193"/>
    </row>
    <row r="194" spans="7:7" x14ac:dyDescent="0.25">
      <c r="G194"/>
    </row>
    <row r="195" spans="7:7" x14ac:dyDescent="0.25">
      <c r="G195"/>
    </row>
    <row r="196" spans="7:7" x14ac:dyDescent="0.25">
      <c r="G196"/>
    </row>
    <row r="197" spans="7:7" x14ac:dyDescent="0.25">
      <c r="G197"/>
    </row>
    <row r="198" spans="7:7" x14ac:dyDescent="0.25">
      <c r="G198"/>
    </row>
    <row r="199" spans="7:7" x14ac:dyDescent="0.25">
      <c r="G199"/>
    </row>
    <row r="200" spans="7:7" x14ac:dyDescent="0.25">
      <c r="G200"/>
    </row>
    <row r="201" spans="7:7" x14ac:dyDescent="0.25">
      <c r="G201"/>
    </row>
    <row r="202" spans="7:7" x14ac:dyDescent="0.25">
      <c r="G202"/>
    </row>
    <row r="203" spans="7:7" x14ac:dyDescent="0.25">
      <c r="G203"/>
    </row>
    <row r="204" spans="7:7" x14ac:dyDescent="0.25">
      <c r="G204"/>
    </row>
    <row r="205" spans="7:7" x14ac:dyDescent="0.25">
      <c r="G205"/>
    </row>
    <row r="206" spans="7:7" x14ac:dyDescent="0.25">
      <c r="G206"/>
    </row>
    <row r="207" spans="7:7" x14ac:dyDescent="0.25">
      <c r="G207"/>
    </row>
    <row r="208" spans="7:7" x14ac:dyDescent="0.25">
      <c r="G208"/>
    </row>
    <row r="209" spans="7:7" x14ac:dyDescent="0.25">
      <c r="G209"/>
    </row>
    <row r="210" spans="7:7" x14ac:dyDescent="0.25">
      <c r="G210"/>
    </row>
    <row r="211" spans="7:7" x14ac:dyDescent="0.25">
      <c r="G211"/>
    </row>
    <row r="212" spans="7:7" x14ac:dyDescent="0.25">
      <c r="G212"/>
    </row>
    <row r="213" spans="7:7" x14ac:dyDescent="0.25">
      <c r="G213"/>
    </row>
    <row r="214" spans="7:7" x14ac:dyDescent="0.25">
      <c r="G214"/>
    </row>
    <row r="215" spans="7:7" x14ac:dyDescent="0.25">
      <c r="G215"/>
    </row>
    <row r="216" spans="7:7" x14ac:dyDescent="0.25">
      <c r="G216"/>
    </row>
    <row r="217" spans="7:7" x14ac:dyDescent="0.25">
      <c r="G217"/>
    </row>
    <row r="218" spans="7:7" x14ac:dyDescent="0.25">
      <c r="G218"/>
    </row>
    <row r="219" spans="7:7" x14ac:dyDescent="0.25">
      <c r="G219"/>
    </row>
    <row r="220" spans="7:7" x14ac:dyDescent="0.25">
      <c r="G220"/>
    </row>
    <row r="221" spans="7:7" x14ac:dyDescent="0.25">
      <c r="G221"/>
    </row>
    <row r="222" spans="7:7" x14ac:dyDescent="0.25">
      <c r="G222"/>
    </row>
    <row r="223" spans="7:7" x14ac:dyDescent="0.25">
      <c r="G223"/>
    </row>
    <row r="224" spans="7:7" x14ac:dyDescent="0.25">
      <c r="G224"/>
    </row>
    <row r="225" spans="7:7" x14ac:dyDescent="0.25">
      <c r="G225"/>
    </row>
    <row r="226" spans="7:7" x14ac:dyDescent="0.25">
      <c r="G226"/>
    </row>
    <row r="227" spans="7:7" x14ac:dyDescent="0.25">
      <c r="G227"/>
    </row>
    <row r="228" spans="7:7" x14ac:dyDescent="0.25">
      <c r="G228"/>
    </row>
    <row r="229" spans="7:7" x14ac:dyDescent="0.25">
      <c r="G229"/>
    </row>
    <row r="230" spans="7:7" x14ac:dyDescent="0.25">
      <c r="G230"/>
    </row>
    <row r="231" spans="7:7" x14ac:dyDescent="0.25">
      <c r="G231"/>
    </row>
    <row r="232" spans="7:7" x14ac:dyDescent="0.25">
      <c r="G232"/>
    </row>
    <row r="233" spans="7:7" x14ac:dyDescent="0.25">
      <c r="G233"/>
    </row>
    <row r="234" spans="7:7" x14ac:dyDescent="0.25">
      <c r="G234"/>
    </row>
    <row r="235" spans="7:7" x14ac:dyDescent="0.25">
      <c r="G235"/>
    </row>
    <row r="236" spans="7:7" x14ac:dyDescent="0.25">
      <c r="G236"/>
    </row>
    <row r="237" spans="7:7" x14ac:dyDescent="0.25">
      <c r="G237"/>
    </row>
    <row r="238" spans="7:7" x14ac:dyDescent="0.25">
      <c r="G238"/>
    </row>
    <row r="239" spans="7:7" x14ac:dyDescent="0.25">
      <c r="G239"/>
    </row>
    <row r="240" spans="7:7" x14ac:dyDescent="0.25">
      <c r="G240"/>
    </row>
    <row r="241" spans="7:7" x14ac:dyDescent="0.25">
      <c r="G241"/>
    </row>
    <row r="242" spans="7:7" x14ac:dyDescent="0.25">
      <c r="G242"/>
    </row>
    <row r="243" spans="7:7" x14ac:dyDescent="0.25">
      <c r="G243"/>
    </row>
    <row r="244" spans="7:7" x14ac:dyDescent="0.25">
      <c r="G244"/>
    </row>
    <row r="245" spans="7:7" x14ac:dyDescent="0.25">
      <c r="G245"/>
    </row>
    <row r="246" spans="7:7" x14ac:dyDescent="0.25">
      <c r="G246"/>
    </row>
    <row r="247" spans="7:7" x14ac:dyDescent="0.25">
      <c r="G247"/>
    </row>
    <row r="248" spans="7:7" x14ac:dyDescent="0.25">
      <c r="G248"/>
    </row>
    <row r="249" spans="7:7" x14ac:dyDescent="0.25">
      <c r="G249"/>
    </row>
    <row r="250" spans="7:7" x14ac:dyDescent="0.25">
      <c r="G250"/>
    </row>
    <row r="251" spans="7:7" x14ac:dyDescent="0.25">
      <c r="G251"/>
    </row>
    <row r="252" spans="7:7" x14ac:dyDescent="0.25">
      <c r="G252"/>
    </row>
    <row r="253" spans="7:7" x14ac:dyDescent="0.25">
      <c r="G253"/>
    </row>
    <row r="254" spans="7:7" x14ac:dyDescent="0.25">
      <c r="G254"/>
    </row>
    <row r="255" spans="7:7" x14ac:dyDescent="0.25">
      <c r="G255"/>
    </row>
    <row r="256" spans="7:7" x14ac:dyDescent="0.25">
      <c r="G256"/>
    </row>
    <row r="257" spans="7:7" x14ac:dyDescent="0.25">
      <c r="G257"/>
    </row>
    <row r="258" spans="7:7" x14ac:dyDescent="0.25">
      <c r="G258"/>
    </row>
    <row r="259" spans="7:7" x14ac:dyDescent="0.25">
      <c r="G259"/>
    </row>
    <row r="260" spans="7:7" x14ac:dyDescent="0.25">
      <c r="G260"/>
    </row>
    <row r="261" spans="7:7" x14ac:dyDescent="0.25">
      <c r="G261"/>
    </row>
    <row r="262" spans="7:7" x14ac:dyDescent="0.25">
      <c r="G262"/>
    </row>
    <row r="263" spans="7:7" x14ac:dyDescent="0.25">
      <c r="G263"/>
    </row>
    <row r="264" spans="7:7" x14ac:dyDescent="0.25">
      <c r="G264"/>
    </row>
    <row r="265" spans="7:7" x14ac:dyDescent="0.25">
      <c r="G265"/>
    </row>
    <row r="266" spans="7:7" x14ac:dyDescent="0.25">
      <c r="G266"/>
    </row>
  </sheetData>
  <pageMargins left="0.7" right="0.7" top="0.75" bottom="0.75" header="0.3" footer="0.3"/>
  <pageSetup paperSize="9"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pageSetUpPr fitToPage="1"/>
  </sheetPr>
  <dimension ref="A2:B636"/>
  <sheetViews>
    <sheetView topLeftCell="A65" zoomScale="130" zoomScaleNormal="130" workbookViewId="0">
      <selection activeCell="A17" sqref="A17"/>
    </sheetView>
  </sheetViews>
  <sheetFormatPr defaultRowHeight="15" x14ac:dyDescent="0.25"/>
  <cols>
    <col min="1" max="1" width="79.140625" style="2" customWidth="1"/>
    <col min="2" max="2" width="28.7109375" style="41" bestFit="1" customWidth="1"/>
    <col min="3" max="3" width="13.42578125" customWidth="1"/>
    <col min="4" max="4" width="15.140625" bestFit="1" customWidth="1"/>
    <col min="5" max="5" width="14.7109375" customWidth="1"/>
    <col min="6" max="6" width="13.28515625" bestFit="1" customWidth="1"/>
    <col min="7" max="7" width="16.28515625" bestFit="1" customWidth="1"/>
    <col min="8"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2" spans="1:2" x14ac:dyDescent="0.25">
      <c r="A2" s="190" t="s">
        <v>244</v>
      </c>
      <c r="B2" s="104" t="s" vm="246">
        <v>186</v>
      </c>
    </row>
    <row r="4" spans="1:2" x14ac:dyDescent="0.25">
      <c r="A4" s="4" t="s">
        <v>136</v>
      </c>
      <c r="B4" s="4" t="s">
        <v>137</v>
      </c>
    </row>
    <row r="5" spans="1:2" x14ac:dyDescent="0.25">
      <c r="A5"/>
      <c r="B5" t="s">
        <v>728</v>
      </c>
    </row>
    <row r="6" spans="1:2" x14ac:dyDescent="0.25">
      <c r="A6"/>
      <c r="B6"/>
    </row>
    <row r="7" spans="1:2" x14ac:dyDescent="0.25">
      <c r="A7"/>
      <c r="B7"/>
    </row>
    <row r="8" spans="1:2" x14ac:dyDescent="0.25">
      <c r="A8" s="4" t="s">
        <v>242</v>
      </c>
      <c r="B8"/>
    </row>
    <row r="9" spans="1:2" x14ac:dyDescent="0.25">
      <c r="A9" s="7" t="s">
        <v>758</v>
      </c>
      <c r="B9" s="104">
        <v>246326577</v>
      </c>
    </row>
    <row r="10" spans="1:2" x14ac:dyDescent="0.25">
      <c r="A10" s="8" t="s">
        <v>771</v>
      </c>
      <c r="B10" s="104">
        <v>1560000</v>
      </c>
    </row>
    <row r="11" spans="1:2" x14ac:dyDescent="0.25">
      <c r="A11" s="192" t="s">
        <v>332</v>
      </c>
      <c r="B11" s="104">
        <v>0</v>
      </c>
    </row>
    <row r="12" spans="1:2" x14ac:dyDescent="0.25">
      <c r="A12" s="192" t="s">
        <v>802</v>
      </c>
      <c r="B12" s="104">
        <v>300000</v>
      </c>
    </row>
    <row r="13" spans="1:2" x14ac:dyDescent="0.25">
      <c r="A13" s="192" t="s">
        <v>803</v>
      </c>
      <c r="B13" s="104">
        <v>1260000</v>
      </c>
    </row>
    <row r="14" spans="1:2" x14ac:dyDescent="0.25">
      <c r="A14" s="8" t="s">
        <v>772</v>
      </c>
      <c r="B14" s="104">
        <v>3952488</v>
      </c>
    </row>
    <row r="15" spans="1:2" x14ac:dyDescent="0.25">
      <c r="A15" s="192" t="s">
        <v>333</v>
      </c>
      <c r="B15" s="104">
        <v>1917972</v>
      </c>
    </row>
    <row r="16" spans="1:2" x14ac:dyDescent="0.25">
      <c r="A16" s="192" t="s">
        <v>330</v>
      </c>
      <c r="B16" s="104">
        <v>624996</v>
      </c>
    </row>
    <row r="17" spans="1:2" x14ac:dyDescent="0.25">
      <c r="A17" s="192" t="s">
        <v>379</v>
      </c>
      <c r="B17" s="104">
        <v>639996</v>
      </c>
    </row>
    <row r="18" spans="1:2" x14ac:dyDescent="0.25">
      <c r="A18" s="192" t="s">
        <v>378</v>
      </c>
      <c r="B18" s="104">
        <v>769524</v>
      </c>
    </row>
    <row r="19" spans="1:2" x14ac:dyDescent="0.25">
      <c r="A19" s="8" t="s">
        <v>773</v>
      </c>
      <c r="B19" s="104">
        <v>233206681</v>
      </c>
    </row>
    <row r="20" spans="1:2" x14ac:dyDescent="0.25">
      <c r="A20" s="192" t="s">
        <v>372</v>
      </c>
      <c r="B20" s="104">
        <v>233206681</v>
      </c>
    </row>
    <row r="21" spans="1:2" x14ac:dyDescent="0.25">
      <c r="A21" s="8" t="s">
        <v>774</v>
      </c>
      <c r="B21" s="104">
        <v>7607408</v>
      </c>
    </row>
    <row r="22" spans="1:2" x14ac:dyDescent="0.25">
      <c r="A22" s="192" t="s">
        <v>380</v>
      </c>
      <c r="B22" s="104">
        <v>390000</v>
      </c>
    </row>
    <row r="23" spans="1:2" x14ac:dyDescent="0.25">
      <c r="A23" s="192" t="s">
        <v>373</v>
      </c>
      <c r="B23" s="104">
        <v>0</v>
      </c>
    </row>
    <row r="24" spans="1:2" x14ac:dyDescent="0.25">
      <c r="A24" s="192" t="s">
        <v>381</v>
      </c>
      <c r="B24" s="104">
        <v>919808</v>
      </c>
    </row>
    <row r="25" spans="1:2" x14ac:dyDescent="0.25">
      <c r="A25" s="192" t="s">
        <v>374</v>
      </c>
      <c r="B25" s="104">
        <v>150000</v>
      </c>
    </row>
    <row r="26" spans="1:2" x14ac:dyDescent="0.25">
      <c r="A26" s="192" t="s">
        <v>1169</v>
      </c>
      <c r="B26" s="104">
        <v>6147600</v>
      </c>
    </row>
    <row r="27" spans="1:2" x14ac:dyDescent="0.25">
      <c r="A27" s="192" t="s">
        <v>757</v>
      </c>
      <c r="B27" s="104">
        <v>0</v>
      </c>
    </row>
    <row r="28" spans="1:2" x14ac:dyDescent="0.25">
      <c r="A28" s="7" t="s">
        <v>392</v>
      </c>
      <c r="B28" s="104">
        <v>240424089</v>
      </c>
    </row>
    <row r="29" spans="1:2" x14ac:dyDescent="0.25">
      <c r="A29" s="8" t="s">
        <v>308</v>
      </c>
      <c r="B29" s="104">
        <v>240424089</v>
      </c>
    </row>
    <row r="30" spans="1:2" x14ac:dyDescent="0.25">
      <c r="A30" s="7" t="s">
        <v>402</v>
      </c>
      <c r="B30" s="104">
        <v>5902488</v>
      </c>
    </row>
    <row r="31" spans="1:2" x14ac:dyDescent="0.25">
      <c r="A31" s="8" t="s">
        <v>311</v>
      </c>
      <c r="B31" s="104">
        <v>390000</v>
      </c>
    </row>
    <row r="32" spans="1:2" x14ac:dyDescent="0.25">
      <c r="A32" s="8" t="s">
        <v>317</v>
      </c>
      <c r="B32" s="104">
        <v>1409520</v>
      </c>
    </row>
    <row r="33" spans="1:2" x14ac:dyDescent="0.25">
      <c r="A33" s="8" t="s">
        <v>325</v>
      </c>
      <c r="B33" s="104">
        <v>4102968</v>
      </c>
    </row>
    <row r="34" spans="1:2" x14ac:dyDescent="0.25">
      <c r="A34" s="191" t="s">
        <v>138</v>
      </c>
      <c r="B34" s="104">
        <v>492653154</v>
      </c>
    </row>
    <row r="35" spans="1:2" x14ac:dyDescent="0.25">
      <c r="A35"/>
      <c r="B35"/>
    </row>
    <row r="36" spans="1:2" x14ac:dyDescent="0.25">
      <c r="A36"/>
      <c r="B36"/>
    </row>
    <row r="37" spans="1:2" x14ac:dyDescent="0.25">
      <c r="A37"/>
      <c r="B37"/>
    </row>
    <row r="38" spans="1:2" x14ac:dyDescent="0.25">
      <c r="A38"/>
      <c r="B38"/>
    </row>
    <row r="39" spans="1:2" x14ac:dyDescent="0.25">
      <c r="A39"/>
      <c r="B39"/>
    </row>
    <row r="40" spans="1:2" x14ac:dyDescent="0.25">
      <c r="A40"/>
      <c r="B40"/>
    </row>
    <row r="41" spans="1:2" x14ac:dyDescent="0.25">
      <c r="A41"/>
      <c r="B41"/>
    </row>
    <row r="42" spans="1:2" x14ac:dyDescent="0.25">
      <c r="A42"/>
      <c r="B42"/>
    </row>
    <row r="43" spans="1:2" x14ac:dyDescent="0.25">
      <c r="A43"/>
      <c r="B43"/>
    </row>
    <row r="44" spans="1:2" x14ac:dyDescent="0.25">
      <c r="A44"/>
      <c r="B44"/>
    </row>
    <row r="45" spans="1:2" x14ac:dyDescent="0.25">
      <c r="A45"/>
      <c r="B45"/>
    </row>
    <row r="46" spans="1:2" x14ac:dyDescent="0.25">
      <c r="A46"/>
      <c r="B46"/>
    </row>
    <row r="47" spans="1:2" x14ac:dyDescent="0.25">
      <c r="A47"/>
      <c r="B47"/>
    </row>
    <row r="48" spans="1:2" x14ac:dyDescent="0.25">
      <c r="A48"/>
      <c r="B48"/>
    </row>
    <row r="49" spans="1:2" x14ac:dyDescent="0.25">
      <c r="A49"/>
      <c r="B49"/>
    </row>
    <row r="50" spans="1:2" x14ac:dyDescent="0.25">
      <c r="A50"/>
      <c r="B50"/>
    </row>
    <row r="51" spans="1:2" x14ac:dyDescent="0.25">
      <c r="A51"/>
      <c r="B51"/>
    </row>
    <row r="52" spans="1:2" x14ac:dyDescent="0.25">
      <c r="A52"/>
      <c r="B52"/>
    </row>
    <row r="53" spans="1:2" x14ac:dyDescent="0.25">
      <c r="A53"/>
      <c r="B53"/>
    </row>
    <row r="54" spans="1:2" x14ac:dyDescent="0.25">
      <c r="A54"/>
      <c r="B54"/>
    </row>
    <row r="55" spans="1:2" x14ac:dyDescent="0.25">
      <c r="A55"/>
      <c r="B55"/>
    </row>
    <row r="56" spans="1:2" x14ac:dyDescent="0.25">
      <c r="A56"/>
      <c r="B56"/>
    </row>
    <row r="57" spans="1:2" x14ac:dyDescent="0.25">
      <c r="A57"/>
      <c r="B57"/>
    </row>
    <row r="58" spans="1:2" x14ac:dyDescent="0.25">
      <c r="A58"/>
      <c r="B58"/>
    </row>
    <row r="59" spans="1:2" x14ac:dyDescent="0.25">
      <c r="A59"/>
      <c r="B59"/>
    </row>
    <row r="60" spans="1:2" x14ac:dyDescent="0.25">
      <c r="A60"/>
      <c r="B60"/>
    </row>
    <row r="61" spans="1:2" x14ac:dyDescent="0.25">
      <c r="A61"/>
      <c r="B61"/>
    </row>
    <row r="62" spans="1:2" x14ac:dyDescent="0.25">
      <c r="A62"/>
      <c r="B62"/>
    </row>
    <row r="63" spans="1:2" x14ac:dyDescent="0.25">
      <c r="A63"/>
      <c r="B63"/>
    </row>
    <row r="64" spans="1:2" x14ac:dyDescent="0.25">
      <c r="A64"/>
      <c r="B64"/>
    </row>
    <row r="65" spans="1:2" x14ac:dyDescent="0.25">
      <c r="A65"/>
      <c r="B65"/>
    </row>
    <row r="66" spans="1:2" x14ac:dyDescent="0.25">
      <c r="A66"/>
      <c r="B66"/>
    </row>
    <row r="67" spans="1:2" x14ac:dyDescent="0.25">
      <c r="A67"/>
      <c r="B67"/>
    </row>
    <row r="68" spans="1:2" x14ac:dyDescent="0.25">
      <c r="A68"/>
      <c r="B68"/>
    </row>
    <row r="69" spans="1:2" x14ac:dyDescent="0.25">
      <c r="A69"/>
      <c r="B69"/>
    </row>
    <row r="70" spans="1:2" x14ac:dyDescent="0.25">
      <c r="A70"/>
      <c r="B70"/>
    </row>
    <row r="71" spans="1:2" x14ac:dyDescent="0.25">
      <c r="A71"/>
      <c r="B71"/>
    </row>
    <row r="72" spans="1:2" x14ac:dyDescent="0.25">
      <c r="A72"/>
      <c r="B72"/>
    </row>
    <row r="73" spans="1:2" x14ac:dyDescent="0.25">
      <c r="A73"/>
      <c r="B73"/>
    </row>
    <row r="74" spans="1:2" x14ac:dyDescent="0.25">
      <c r="A74"/>
      <c r="B74"/>
    </row>
    <row r="75" spans="1:2" x14ac:dyDescent="0.25">
      <c r="A75"/>
      <c r="B75"/>
    </row>
    <row r="76" spans="1:2" x14ac:dyDescent="0.25">
      <c r="A76"/>
      <c r="B76"/>
    </row>
    <row r="77" spans="1:2" x14ac:dyDescent="0.25">
      <c r="A77"/>
      <c r="B77"/>
    </row>
    <row r="78" spans="1:2" x14ac:dyDescent="0.25">
      <c r="A78"/>
      <c r="B78"/>
    </row>
    <row r="79" spans="1:2" x14ac:dyDescent="0.25">
      <c r="A79"/>
      <c r="B79"/>
    </row>
    <row r="80" spans="1:2" x14ac:dyDescent="0.25">
      <c r="A80"/>
      <c r="B80"/>
    </row>
    <row r="81" spans="1:2" x14ac:dyDescent="0.25">
      <c r="A81"/>
      <c r="B81"/>
    </row>
    <row r="82" spans="1:2" x14ac:dyDescent="0.25">
      <c r="A82"/>
      <c r="B82"/>
    </row>
    <row r="83" spans="1:2" x14ac:dyDescent="0.25">
      <c r="A83"/>
      <c r="B83"/>
    </row>
    <row r="84" spans="1:2" x14ac:dyDescent="0.25">
      <c r="A84"/>
      <c r="B84"/>
    </row>
    <row r="85" spans="1:2" x14ac:dyDescent="0.25">
      <c r="A85"/>
      <c r="B85"/>
    </row>
    <row r="86" spans="1:2" x14ac:dyDescent="0.25">
      <c r="A86"/>
      <c r="B86"/>
    </row>
    <row r="87" spans="1:2" x14ac:dyDescent="0.25">
      <c r="A87"/>
      <c r="B87"/>
    </row>
    <row r="88" spans="1:2" x14ac:dyDescent="0.25">
      <c r="A88"/>
      <c r="B88"/>
    </row>
    <row r="89" spans="1:2" x14ac:dyDescent="0.25">
      <c r="A89"/>
      <c r="B89"/>
    </row>
    <row r="90" spans="1:2" x14ac:dyDescent="0.25">
      <c r="A90"/>
      <c r="B90"/>
    </row>
    <row r="91" spans="1:2" x14ac:dyDescent="0.25">
      <c r="A91"/>
      <c r="B91"/>
    </row>
    <row r="92" spans="1:2" x14ac:dyDescent="0.25">
      <c r="A92"/>
      <c r="B92"/>
    </row>
    <row r="93" spans="1:2" x14ac:dyDescent="0.25">
      <c r="A93"/>
      <c r="B93"/>
    </row>
    <row r="94" spans="1:2" x14ac:dyDescent="0.25">
      <c r="A94"/>
      <c r="B94"/>
    </row>
    <row r="95" spans="1:2" x14ac:dyDescent="0.25">
      <c r="A95"/>
      <c r="B95"/>
    </row>
    <row r="96" spans="1:2" x14ac:dyDescent="0.25">
      <c r="A96"/>
      <c r="B96"/>
    </row>
    <row r="97" spans="1:2" x14ac:dyDescent="0.25">
      <c r="A97"/>
      <c r="B97"/>
    </row>
    <row r="98" spans="1:2" x14ac:dyDescent="0.25">
      <c r="A98"/>
      <c r="B98"/>
    </row>
    <row r="99" spans="1:2" x14ac:dyDescent="0.25">
      <c r="A99"/>
      <c r="B99"/>
    </row>
    <row r="100" spans="1:2" x14ac:dyDescent="0.25">
      <c r="A100"/>
      <c r="B100"/>
    </row>
    <row r="101" spans="1:2" x14ac:dyDescent="0.25">
      <c r="A101"/>
      <c r="B101"/>
    </row>
    <row r="102" spans="1:2" x14ac:dyDescent="0.25">
      <c r="A102"/>
      <c r="B102"/>
    </row>
    <row r="103" spans="1:2" x14ac:dyDescent="0.25">
      <c r="A103"/>
      <c r="B103"/>
    </row>
    <row r="104" spans="1:2" x14ac:dyDescent="0.25">
      <c r="A104"/>
      <c r="B104"/>
    </row>
    <row r="105" spans="1:2" x14ac:dyDescent="0.25">
      <c r="A105"/>
      <c r="B105"/>
    </row>
    <row r="106" spans="1:2" x14ac:dyDescent="0.25">
      <c r="A106"/>
      <c r="B106"/>
    </row>
    <row r="107" spans="1:2" x14ac:dyDescent="0.25">
      <c r="A107"/>
      <c r="B107"/>
    </row>
    <row r="108" spans="1:2" x14ac:dyDescent="0.25">
      <c r="A108"/>
      <c r="B108"/>
    </row>
    <row r="109" spans="1:2" x14ac:dyDescent="0.25">
      <c r="A109"/>
      <c r="B109"/>
    </row>
    <row r="110" spans="1:2" x14ac:dyDescent="0.25">
      <c r="A110"/>
      <c r="B110"/>
    </row>
    <row r="111" spans="1:2" x14ac:dyDescent="0.25">
      <c r="A111"/>
      <c r="B111"/>
    </row>
    <row r="112" spans="1:2" x14ac:dyDescent="0.25">
      <c r="A112"/>
      <c r="B112"/>
    </row>
    <row r="113" spans="1:2" x14ac:dyDescent="0.25">
      <c r="A113"/>
      <c r="B113"/>
    </row>
    <row r="114" spans="1:2" x14ac:dyDescent="0.25">
      <c r="A114"/>
      <c r="B114"/>
    </row>
    <row r="115" spans="1:2" x14ac:dyDescent="0.25">
      <c r="A115"/>
      <c r="B115"/>
    </row>
    <row r="116" spans="1:2" x14ac:dyDescent="0.25">
      <c r="A116"/>
      <c r="B116"/>
    </row>
    <row r="117" spans="1:2" x14ac:dyDescent="0.25">
      <c r="A117"/>
      <c r="B117"/>
    </row>
    <row r="118" spans="1:2" x14ac:dyDescent="0.25">
      <c r="A118"/>
      <c r="B118"/>
    </row>
    <row r="119" spans="1:2" x14ac:dyDescent="0.25">
      <c r="A119"/>
      <c r="B119"/>
    </row>
    <row r="120" spans="1:2" x14ac:dyDescent="0.25">
      <c r="A120"/>
      <c r="B120"/>
    </row>
    <row r="121" spans="1:2" x14ac:dyDescent="0.25">
      <c r="A121"/>
      <c r="B121"/>
    </row>
    <row r="122" spans="1:2" x14ac:dyDescent="0.25">
      <c r="A122"/>
      <c r="B122"/>
    </row>
    <row r="123" spans="1:2" x14ac:dyDescent="0.25">
      <c r="A123"/>
      <c r="B123"/>
    </row>
    <row r="124" spans="1:2" x14ac:dyDescent="0.25">
      <c r="A124"/>
      <c r="B124"/>
    </row>
    <row r="125" spans="1:2" x14ac:dyDescent="0.25">
      <c r="A125"/>
      <c r="B125"/>
    </row>
    <row r="126" spans="1:2" x14ac:dyDescent="0.25">
      <c r="A126"/>
      <c r="B126"/>
    </row>
    <row r="127" spans="1:2" x14ac:dyDescent="0.25">
      <c r="A127"/>
      <c r="B127"/>
    </row>
    <row r="128" spans="1:2"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c r="B205"/>
    </row>
    <row r="206" spans="1:2" x14ac:dyDescent="0.25">
      <c r="A206"/>
      <c r="B206"/>
    </row>
    <row r="207" spans="1:2" x14ac:dyDescent="0.25">
      <c r="A207"/>
      <c r="B207"/>
    </row>
    <row r="208" spans="1:2" x14ac:dyDescent="0.25">
      <c r="A208"/>
      <c r="B208"/>
    </row>
    <row r="209" spans="1:2" x14ac:dyDescent="0.25">
      <c r="A209"/>
      <c r="B209"/>
    </row>
    <row r="210" spans="1:2" x14ac:dyDescent="0.25">
      <c r="A210"/>
      <c r="B210"/>
    </row>
    <row r="211" spans="1:2" x14ac:dyDescent="0.25">
      <c r="A211"/>
      <c r="B211"/>
    </row>
    <row r="212" spans="1:2" x14ac:dyDescent="0.25">
      <c r="A212"/>
      <c r="B212"/>
    </row>
    <row r="213" spans="1:2" x14ac:dyDescent="0.25">
      <c r="A213"/>
      <c r="B213"/>
    </row>
    <row r="214" spans="1:2" x14ac:dyDescent="0.25">
      <c r="A214"/>
      <c r="B214"/>
    </row>
    <row r="215" spans="1:2" x14ac:dyDescent="0.25">
      <c r="A215"/>
      <c r="B215"/>
    </row>
    <row r="216" spans="1:2" x14ac:dyDescent="0.25">
      <c r="A216"/>
      <c r="B216"/>
    </row>
    <row r="217" spans="1:2" x14ac:dyDescent="0.25">
      <c r="A217"/>
      <c r="B217"/>
    </row>
    <row r="218" spans="1:2" x14ac:dyDescent="0.25">
      <c r="A218"/>
      <c r="B218"/>
    </row>
    <row r="219" spans="1:2" x14ac:dyDescent="0.25">
      <c r="A219"/>
      <c r="B219"/>
    </row>
    <row r="220" spans="1:2" x14ac:dyDescent="0.25">
      <c r="A220"/>
      <c r="B220"/>
    </row>
    <row r="221" spans="1:2" x14ac:dyDescent="0.25">
      <c r="A221"/>
      <c r="B221"/>
    </row>
    <row r="222" spans="1:2" x14ac:dyDescent="0.25">
      <c r="A222"/>
      <c r="B222"/>
    </row>
    <row r="223" spans="1:2" x14ac:dyDescent="0.25">
      <c r="A223"/>
      <c r="B223"/>
    </row>
    <row r="224" spans="1:2" x14ac:dyDescent="0.25">
      <c r="A224"/>
      <c r="B224"/>
    </row>
    <row r="225" spans="1:2" x14ac:dyDescent="0.25">
      <c r="A225"/>
      <c r="B225"/>
    </row>
    <row r="226" spans="1:2" x14ac:dyDescent="0.25">
      <c r="A226"/>
      <c r="B226"/>
    </row>
    <row r="227" spans="1:2" x14ac:dyDescent="0.25">
      <c r="A227"/>
      <c r="B227"/>
    </row>
    <row r="228" spans="1:2" x14ac:dyDescent="0.25">
      <c r="A228"/>
      <c r="B228"/>
    </row>
    <row r="229" spans="1:2" x14ac:dyDescent="0.25">
      <c r="A229"/>
      <c r="B229"/>
    </row>
    <row r="230" spans="1:2" x14ac:dyDescent="0.25">
      <c r="A230"/>
      <c r="B230"/>
    </row>
    <row r="231" spans="1:2" x14ac:dyDescent="0.25">
      <c r="A231"/>
      <c r="B231"/>
    </row>
    <row r="232" spans="1:2" x14ac:dyDescent="0.25">
      <c r="A232"/>
      <c r="B232"/>
    </row>
    <row r="233" spans="1:2" x14ac:dyDescent="0.25">
      <c r="A233"/>
      <c r="B233"/>
    </row>
    <row r="234" spans="1:2" x14ac:dyDescent="0.25">
      <c r="A234"/>
      <c r="B234"/>
    </row>
    <row r="235" spans="1:2" x14ac:dyDescent="0.25">
      <c r="A235"/>
      <c r="B235"/>
    </row>
    <row r="236" spans="1:2" x14ac:dyDescent="0.25">
      <c r="A236"/>
      <c r="B236"/>
    </row>
    <row r="237" spans="1:2" x14ac:dyDescent="0.25">
      <c r="A237"/>
      <c r="B237"/>
    </row>
    <row r="238" spans="1:2" x14ac:dyDescent="0.25">
      <c r="A238"/>
      <c r="B238"/>
    </row>
    <row r="239" spans="1:2" x14ac:dyDescent="0.25">
      <c r="A239"/>
      <c r="B239"/>
    </row>
    <row r="240" spans="1:2" x14ac:dyDescent="0.25">
      <c r="A240"/>
      <c r="B240"/>
    </row>
    <row r="241" spans="1:2" x14ac:dyDescent="0.25">
      <c r="A241"/>
      <c r="B241"/>
    </row>
    <row r="242" spans="1:2" x14ac:dyDescent="0.25">
      <c r="A242"/>
      <c r="B242"/>
    </row>
    <row r="243" spans="1:2" x14ac:dyDescent="0.25">
      <c r="A243"/>
      <c r="B243"/>
    </row>
    <row r="244" spans="1:2" x14ac:dyDescent="0.25">
      <c r="A244"/>
      <c r="B244"/>
    </row>
    <row r="245" spans="1:2" x14ac:dyDescent="0.25">
      <c r="A245"/>
      <c r="B245"/>
    </row>
    <row r="246" spans="1:2" x14ac:dyDescent="0.25">
      <c r="A246"/>
      <c r="B246"/>
    </row>
    <row r="247" spans="1:2" x14ac:dyDescent="0.25">
      <c r="A247"/>
      <c r="B247"/>
    </row>
    <row r="248" spans="1:2" x14ac:dyDescent="0.25">
      <c r="A248"/>
      <c r="B248"/>
    </row>
    <row r="249" spans="1:2" x14ac:dyDescent="0.25">
      <c r="A249"/>
      <c r="B249"/>
    </row>
    <row r="250" spans="1:2" x14ac:dyDescent="0.25">
      <c r="A250"/>
      <c r="B250"/>
    </row>
    <row r="251" spans="1:2" x14ac:dyDescent="0.25">
      <c r="A251"/>
      <c r="B251"/>
    </row>
    <row r="252" spans="1:2" x14ac:dyDescent="0.25">
      <c r="A252"/>
      <c r="B252"/>
    </row>
    <row r="253" spans="1:2" x14ac:dyDescent="0.25">
      <c r="A253"/>
      <c r="B253"/>
    </row>
    <row r="254" spans="1:2" x14ac:dyDescent="0.25">
      <c r="A254"/>
      <c r="B254"/>
    </row>
    <row r="255" spans="1:2" x14ac:dyDescent="0.25">
      <c r="A255"/>
      <c r="B255"/>
    </row>
    <row r="256" spans="1:2" x14ac:dyDescent="0.25">
      <c r="A256"/>
      <c r="B256"/>
    </row>
    <row r="257" spans="1:2" x14ac:dyDescent="0.25">
      <c r="A257"/>
      <c r="B257"/>
    </row>
    <row r="258" spans="1:2" x14ac:dyDescent="0.25">
      <c r="A258"/>
      <c r="B258"/>
    </row>
    <row r="259" spans="1:2" x14ac:dyDescent="0.25">
      <c r="A259"/>
      <c r="B259"/>
    </row>
    <row r="260" spans="1:2" x14ac:dyDescent="0.25">
      <c r="A260"/>
      <c r="B260"/>
    </row>
    <row r="261" spans="1:2" x14ac:dyDescent="0.25">
      <c r="A261"/>
      <c r="B261"/>
    </row>
    <row r="262" spans="1:2" x14ac:dyDescent="0.25">
      <c r="A262"/>
      <c r="B262"/>
    </row>
    <row r="263" spans="1:2" x14ac:dyDescent="0.25">
      <c r="A263"/>
      <c r="B263"/>
    </row>
    <row r="264" spans="1:2" x14ac:dyDescent="0.25">
      <c r="A264"/>
      <c r="B264"/>
    </row>
    <row r="265" spans="1:2" x14ac:dyDescent="0.25">
      <c r="A265"/>
      <c r="B265"/>
    </row>
    <row r="266" spans="1:2" x14ac:dyDescent="0.25">
      <c r="A266"/>
      <c r="B266"/>
    </row>
    <row r="267" spans="1:2" x14ac:dyDescent="0.25">
      <c r="A267"/>
      <c r="B267"/>
    </row>
    <row r="268" spans="1:2" x14ac:dyDescent="0.25">
      <c r="A268"/>
      <c r="B268"/>
    </row>
    <row r="269" spans="1:2" x14ac:dyDescent="0.25">
      <c r="A269"/>
      <c r="B269"/>
    </row>
    <row r="270" spans="1:2" x14ac:dyDescent="0.25">
      <c r="A270"/>
      <c r="B270"/>
    </row>
    <row r="271" spans="1:2" x14ac:dyDescent="0.25">
      <c r="A271"/>
      <c r="B271"/>
    </row>
    <row r="272" spans="1:2" x14ac:dyDescent="0.25">
      <c r="A272"/>
      <c r="B272"/>
    </row>
    <row r="273" spans="1:2" x14ac:dyDescent="0.25">
      <c r="A273"/>
      <c r="B273"/>
    </row>
    <row r="274" spans="1:2" x14ac:dyDescent="0.25">
      <c r="A274"/>
      <c r="B274"/>
    </row>
    <row r="275" spans="1:2" x14ac:dyDescent="0.25">
      <c r="A275"/>
      <c r="B275"/>
    </row>
    <row r="276" spans="1:2" x14ac:dyDescent="0.25">
      <c r="A276"/>
      <c r="B276"/>
    </row>
    <row r="277" spans="1:2" x14ac:dyDescent="0.25">
      <c r="A277"/>
      <c r="B277"/>
    </row>
    <row r="278" spans="1:2" x14ac:dyDescent="0.25">
      <c r="A278"/>
      <c r="B278"/>
    </row>
    <row r="279" spans="1:2" x14ac:dyDescent="0.25">
      <c r="A279"/>
      <c r="B279"/>
    </row>
    <row r="280" spans="1:2" x14ac:dyDescent="0.25">
      <c r="A280"/>
      <c r="B280"/>
    </row>
    <row r="281" spans="1:2" x14ac:dyDescent="0.25">
      <c r="A281"/>
      <c r="B281"/>
    </row>
    <row r="282" spans="1:2" x14ac:dyDescent="0.25">
      <c r="A282"/>
      <c r="B282"/>
    </row>
    <row r="283" spans="1:2" x14ac:dyDescent="0.25">
      <c r="A283"/>
      <c r="B283"/>
    </row>
    <row r="284" spans="1:2" x14ac:dyDescent="0.25">
      <c r="A284"/>
      <c r="B284"/>
    </row>
    <row r="285" spans="1:2" x14ac:dyDescent="0.25">
      <c r="A285"/>
      <c r="B285"/>
    </row>
    <row r="286" spans="1:2" x14ac:dyDescent="0.25">
      <c r="A286"/>
      <c r="B286"/>
    </row>
    <row r="287" spans="1:2" x14ac:dyDescent="0.25">
      <c r="A287"/>
      <c r="B287"/>
    </row>
    <row r="288" spans="1:2" x14ac:dyDescent="0.25">
      <c r="A288"/>
      <c r="B288"/>
    </row>
    <row r="289" spans="1:2" x14ac:dyDescent="0.25">
      <c r="A289"/>
      <c r="B289"/>
    </row>
    <row r="290" spans="1:2" x14ac:dyDescent="0.25">
      <c r="A290"/>
      <c r="B290"/>
    </row>
    <row r="291" spans="1:2" x14ac:dyDescent="0.25">
      <c r="A291"/>
      <c r="B291"/>
    </row>
    <row r="292" spans="1:2" x14ac:dyDescent="0.25">
      <c r="A292"/>
      <c r="B292"/>
    </row>
    <row r="293" spans="1:2" x14ac:dyDescent="0.25">
      <c r="A293"/>
      <c r="B293"/>
    </row>
    <row r="294" spans="1:2" x14ac:dyDescent="0.25">
      <c r="A294"/>
      <c r="B294"/>
    </row>
    <row r="295" spans="1:2" x14ac:dyDescent="0.25">
      <c r="A295"/>
      <c r="B295"/>
    </row>
    <row r="296" spans="1:2" x14ac:dyDescent="0.25">
      <c r="A296"/>
      <c r="B296"/>
    </row>
    <row r="297" spans="1:2" x14ac:dyDescent="0.25">
      <c r="A297"/>
      <c r="B297"/>
    </row>
    <row r="298" spans="1:2" x14ac:dyDescent="0.25">
      <c r="A298"/>
      <c r="B298"/>
    </row>
    <row r="299" spans="1:2" x14ac:dyDescent="0.25">
      <c r="A299"/>
      <c r="B299"/>
    </row>
    <row r="300" spans="1:2" x14ac:dyDescent="0.25">
      <c r="A300"/>
      <c r="B300"/>
    </row>
    <row r="301" spans="1:2" x14ac:dyDescent="0.25">
      <c r="A301"/>
      <c r="B301"/>
    </row>
    <row r="302" spans="1:2" x14ac:dyDescent="0.25">
      <c r="A302"/>
      <c r="B302"/>
    </row>
    <row r="303" spans="1:2" x14ac:dyDescent="0.25">
      <c r="A303"/>
      <c r="B303"/>
    </row>
    <row r="304" spans="1:2" x14ac:dyDescent="0.25">
      <c r="A304"/>
      <c r="B304"/>
    </row>
    <row r="305" spans="1:2" x14ac:dyDescent="0.25">
      <c r="A305"/>
      <c r="B305"/>
    </row>
    <row r="306" spans="1:2" x14ac:dyDescent="0.25">
      <c r="A306"/>
      <c r="B306"/>
    </row>
    <row r="307" spans="1:2" x14ac:dyDescent="0.25">
      <c r="A307"/>
      <c r="B307"/>
    </row>
    <row r="308" spans="1:2" x14ac:dyDescent="0.25">
      <c r="A308"/>
      <c r="B308"/>
    </row>
    <row r="309" spans="1:2" x14ac:dyDescent="0.25">
      <c r="A309"/>
      <c r="B309"/>
    </row>
    <row r="310" spans="1:2" x14ac:dyDescent="0.25">
      <c r="A310"/>
      <c r="B310"/>
    </row>
    <row r="311" spans="1:2" x14ac:dyDescent="0.25">
      <c r="A311"/>
      <c r="B311"/>
    </row>
    <row r="312" spans="1:2" x14ac:dyDescent="0.25">
      <c r="A312"/>
      <c r="B312"/>
    </row>
    <row r="313" spans="1:2" x14ac:dyDescent="0.25">
      <c r="A313"/>
      <c r="B313"/>
    </row>
    <row r="314" spans="1:2" x14ac:dyDescent="0.25">
      <c r="A314"/>
      <c r="B314"/>
    </row>
    <row r="315" spans="1:2" x14ac:dyDescent="0.25">
      <c r="A315"/>
      <c r="B315"/>
    </row>
    <row r="316" spans="1:2" x14ac:dyDescent="0.25">
      <c r="A316"/>
      <c r="B316"/>
    </row>
    <row r="317" spans="1:2" x14ac:dyDescent="0.25">
      <c r="A317"/>
      <c r="B317"/>
    </row>
    <row r="318" spans="1:2" x14ac:dyDescent="0.25">
      <c r="A318"/>
      <c r="B318"/>
    </row>
    <row r="319" spans="1:2" x14ac:dyDescent="0.25">
      <c r="A319"/>
      <c r="B319"/>
    </row>
    <row r="320" spans="1:2" x14ac:dyDescent="0.25">
      <c r="A320"/>
      <c r="B320"/>
    </row>
    <row r="321" spans="1:2" x14ac:dyDescent="0.25">
      <c r="A321"/>
      <c r="B321"/>
    </row>
    <row r="322" spans="1:2" x14ac:dyDescent="0.25">
      <c r="A322"/>
      <c r="B322"/>
    </row>
    <row r="323" spans="1:2" x14ac:dyDescent="0.25">
      <c r="A323"/>
      <c r="B323"/>
    </row>
    <row r="324" spans="1:2" x14ac:dyDescent="0.25">
      <c r="A324"/>
      <c r="B324"/>
    </row>
    <row r="325" spans="1:2" x14ac:dyDescent="0.25">
      <c r="A325"/>
      <c r="B325"/>
    </row>
    <row r="326" spans="1:2" x14ac:dyDescent="0.25">
      <c r="A326"/>
      <c r="B326"/>
    </row>
    <row r="327" spans="1:2" x14ac:dyDescent="0.25">
      <c r="A327"/>
      <c r="B327"/>
    </row>
    <row r="328" spans="1:2" x14ac:dyDescent="0.25">
      <c r="A328"/>
      <c r="B328"/>
    </row>
    <row r="329" spans="1:2" x14ac:dyDescent="0.25">
      <c r="A329"/>
      <c r="B329"/>
    </row>
    <row r="330" spans="1:2" x14ac:dyDescent="0.25">
      <c r="A330"/>
      <c r="B330"/>
    </row>
    <row r="331" spans="1:2" x14ac:dyDescent="0.25">
      <c r="A331"/>
      <c r="B331"/>
    </row>
    <row r="332" spans="1:2" x14ac:dyDescent="0.25">
      <c r="A332"/>
      <c r="B332"/>
    </row>
    <row r="333" spans="1:2" x14ac:dyDescent="0.25">
      <c r="A333"/>
      <c r="B333"/>
    </row>
    <row r="334" spans="1:2" x14ac:dyDescent="0.25">
      <c r="A334"/>
      <c r="B334"/>
    </row>
    <row r="335" spans="1:2" x14ac:dyDescent="0.25">
      <c r="A335"/>
      <c r="B335"/>
    </row>
    <row r="336" spans="1:2" x14ac:dyDescent="0.25">
      <c r="A336"/>
      <c r="B336"/>
    </row>
    <row r="337" spans="1:2" x14ac:dyDescent="0.25">
      <c r="A337"/>
      <c r="B337"/>
    </row>
    <row r="338" spans="1:2" x14ac:dyDescent="0.25">
      <c r="A338"/>
      <c r="B338"/>
    </row>
    <row r="339" spans="1:2" x14ac:dyDescent="0.25">
      <c r="A339"/>
      <c r="B339"/>
    </row>
    <row r="340" spans="1:2" x14ac:dyDescent="0.25">
      <c r="A340"/>
      <c r="B340"/>
    </row>
    <row r="341" spans="1:2" x14ac:dyDescent="0.25">
      <c r="A341"/>
      <c r="B341"/>
    </row>
    <row r="342" spans="1:2" x14ac:dyDescent="0.25">
      <c r="A342"/>
      <c r="B342"/>
    </row>
    <row r="343" spans="1:2" x14ac:dyDescent="0.25">
      <c r="A343"/>
      <c r="B343"/>
    </row>
    <row r="344" spans="1:2" x14ac:dyDescent="0.25">
      <c r="A344"/>
      <c r="B344"/>
    </row>
    <row r="345" spans="1:2" x14ac:dyDescent="0.25">
      <c r="A345"/>
      <c r="B345"/>
    </row>
    <row r="346" spans="1:2" x14ac:dyDescent="0.25">
      <c r="A346"/>
      <c r="B346"/>
    </row>
    <row r="347" spans="1:2" x14ac:dyDescent="0.25">
      <c r="A347"/>
      <c r="B347"/>
    </row>
    <row r="348" spans="1:2" x14ac:dyDescent="0.25">
      <c r="A348"/>
      <c r="B348"/>
    </row>
    <row r="349" spans="1:2" x14ac:dyDescent="0.25">
      <c r="A349"/>
      <c r="B349"/>
    </row>
    <row r="350" spans="1:2" x14ac:dyDescent="0.25">
      <c r="A350"/>
      <c r="B350"/>
    </row>
    <row r="351" spans="1:2" x14ac:dyDescent="0.25">
      <c r="A351"/>
      <c r="B351"/>
    </row>
    <row r="352" spans="1:2" x14ac:dyDescent="0.25">
      <c r="A352"/>
      <c r="B352"/>
    </row>
    <row r="353" spans="1:2" x14ac:dyDescent="0.25">
      <c r="A353"/>
      <c r="B353"/>
    </row>
    <row r="354" spans="1:2" x14ac:dyDescent="0.25">
      <c r="A354"/>
      <c r="B354"/>
    </row>
    <row r="355" spans="1:2" x14ac:dyDescent="0.25">
      <c r="A355"/>
      <c r="B355"/>
    </row>
    <row r="356" spans="1:2" x14ac:dyDescent="0.25">
      <c r="A356"/>
      <c r="B356"/>
    </row>
    <row r="357" spans="1:2" x14ac:dyDescent="0.25">
      <c r="A357"/>
      <c r="B357"/>
    </row>
    <row r="358" spans="1:2" x14ac:dyDescent="0.25">
      <c r="A358"/>
      <c r="B358"/>
    </row>
    <row r="359" spans="1:2" x14ac:dyDescent="0.25">
      <c r="A359"/>
      <c r="B359"/>
    </row>
    <row r="360" spans="1:2" x14ac:dyDescent="0.25">
      <c r="A360"/>
      <c r="B360"/>
    </row>
    <row r="361" spans="1:2" x14ac:dyDescent="0.25">
      <c r="A361"/>
      <c r="B361"/>
    </row>
    <row r="362" spans="1:2" x14ac:dyDescent="0.25">
      <c r="A362"/>
      <c r="B362"/>
    </row>
    <row r="363" spans="1:2" x14ac:dyDescent="0.25">
      <c r="A363"/>
      <c r="B363"/>
    </row>
    <row r="364" spans="1:2" x14ac:dyDescent="0.25">
      <c r="A364"/>
      <c r="B364"/>
    </row>
    <row r="365" spans="1:2" x14ac:dyDescent="0.25">
      <c r="A365"/>
      <c r="B365"/>
    </row>
    <row r="366" spans="1:2" x14ac:dyDescent="0.25">
      <c r="A366"/>
      <c r="B366"/>
    </row>
    <row r="367" spans="1:2" x14ac:dyDescent="0.25">
      <c r="A367"/>
      <c r="B367"/>
    </row>
    <row r="368" spans="1:2" x14ac:dyDescent="0.25">
      <c r="A368"/>
      <c r="B368"/>
    </row>
    <row r="369" spans="1:2" x14ac:dyDescent="0.25">
      <c r="A369"/>
      <c r="B369"/>
    </row>
    <row r="370" spans="1:2" x14ac:dyDescent="0.25">
      <c r="A370"/>
      <c r="B370"/>
    </row>
    <row r="371" spans="1:2" x14ac:dyDescent="0.25">
      <c r="A371"/>
      <c r="B371"/>
    </row>
    <row r="372" spans="1:2" x14ac:dyDescent="0.25">
      <c r="A372"/>
      <c r="B372"/>
    </row>
    <row r="373" spans="1:2" x14ac:dyDescent="0.25">
      <c r="A373"/>
      <c r="B373"/>
    </row>
    <row r="374" spans="1:2" x14ac:dyDescent="0.25">
      <c r="A374"/>
      <c r="B374"/>
    </row>
    <row r="375" spans="1:2" x14ac:dyDescent="0.25">
      <c r="A375"/>
      <c r="B375"/>
    </row>
    <row r="376" spans="1:2" x14ac:dyDescent="0.25">
      <c r="A376"/>
      <c r="B376"/>
    </row>
    <row r="377" spans="1:2" x14ac:dyDescent="0.25">
      <c r="A377"/>
      <c r="B377"/>
    </row>
    <row r="378" spans="1:2" x14ac:dyDescent="0.25">
      <c r="A378"/>
      <c r="B378"/>
    </row>
    <row r="379" spans="1:2" x14ac:dyDescent="0.25">
      <c r="A379"/>
      <c r="B379"/>
    </row>
    <row r="380" spans="1:2" x14ac:dyDescent="0.25">
      <c r="A380"/>
      <c r="B380"/>
    </row>
    <row r="381" spans="1:2" x14ac:dyDescent="0.25">
      <c r="A381"/>
      <c r="B381"/>
    </row>
    <row r="382" spans="1:2" x14ac:dyDescent="0.25">
      <c r="A382"/>
      <c r="B382"/>
    </row>
    <row r="383" spans="1:2" x14ac:dyDescent="0.25">
      <c r="A383"/>
      <c r="B383"/>
    </row>
    <row r="384" spans="1:2" x14ac:dyDescent="0.25">
      <c r="A384"/>
      <c r="B384"/>
    </row>
    <row r="385" spans="1:2" x14ac:dyDescent="0.25">
      <c r="A385"/>
      <c r="B385"/>
    </row>
    <row r="386" spans="1:2" x14ac:dyDescent="0.25">
      <c r="A386"/>
      <c r="B386"/>
    </row>
    <row r="387" spans="1:2" x14ac:dyDescent="0.25">
      <c r="A387"/>
      <c r="B387"/>
    </row>
    <row r="388" spans="1:2" x14ac:dyDescent="0.25">
      <c r="A388"/>
      <c r="B388"/>
    </row>
    <row r="389" spans="1:2" x14ac:dyDescent="0.25">
      <c r="A389"/>
      <c r="B389"/>
    </row>
    <row r="390" spans="1:2" x14ac:dyDescent="0.25">
      <c r="A390"/>
      <c r="B390"/>
    </row>
    <row r="391" spans="1:2" x14ac:dyDescent="0.25">
      <c r="A391"/>
      <c r="B391"/>
    </row>
    <row r="392" spans="1:2" x14ac:dyDescent="0.25">
      <c r="A392"/>
      <c r="B392"/>
    </row>
    <row r="393" spans="1:2" x14ac:dyDescent="0.25">
      <c r="A393"/>
      <c r="B393"/>
    </row>
    <row r="394" spans="1:2" x14ac:dyDescent="0.25">
      <c r="A394"/>
      <c r="B394"/>
    </row>
    <row r="395" spans="1:2" x14ac:dyDescent="0.25">
      <c r="A395"/>
      <c r="B395"/>
    </row>
    <row r="396" spans="1:2" x14ac:dyDescent="0.25">
      <c r="A396"/>
      <c r="B396"/>
    </row>
    <row r="397" spans="1:2" x14ac:dyDescent="0.25">
      <c r="A397"/>
      <c r="B397"/>
    </row>
    <row r="398" spans="1:2" x14ac:dyDescent="0.25">
      <c r="A398"/>
      <c r="B398"/>
    </row>
    <row r="399" spans="1:2" x14ac:dyDescent="0.25">
      <c r="A399"/>
      <c r="B399"/>
    </row>
    <row r="400" spans="1:2" x14ac:dyDescent="0.25">
      <c r="A400"/>
      <c r="B400"/>
    </row>
    <row r="401" spans="1:2" x14ac:dyDescent="0.25">
      <c r="A401"/>
      <c r="B401"/>
    </row>
    <row r="402" spans="1:2" x14ac:dyDescent="0.25">
      <c r="A402"/>
      <c r="B402"/>
    </row>
    <row r="403" spans="1:2" x14ac:dyDescent="0.25">
      <c r="A403"/>
      <c r="B403"/>
    </row>
    <row r="404" spans="1:2" x14ac:dyDescent="0.25">
      <c r="A404"/>
      <c r="B404"/>
    </row>
    <row r="405" spans="1:2" x14ac:dyDescent="0.25">
      <c r="A405"/>
      <c r="B405"/>
    </row>
    <row r="406" spans="1:2" x14ac:dyDescent="0.25">
      <c r="A406"/>
      <c r="B406"/>
    </row>
    <row r="407" spans="1:2" x14ac:dyDescent="0.25">
      <c r="A407"/>
      <c r="B407"/>
    </row>
    <row r="408" spans="1:2" x14ac:dyDescent="0.25">
      <c r="A408"/>
      <c r="B408"/>
    </row>
    <row r="409" spans="1:2" x14ac:dyDescent="0.25">
      <c r="A409"/>
      <c r="B409"/>
    </row>
    <row r="410" spans="1:2" x14ac:dyDescent="0.25">
      <c r="A410"/>
      <c r="B410"/>
    </row>
    <row r="411" spans="1:2" x14ac:dyDescent="0.25">
      <c r="A411"/>
      <c r="B411"/>
    </row>
    <row r="412" spans="1:2" x14ac:dyDescent="0.25">
      <c r="A412"/>
      <c r="B412"/>
    </row>
    <row r="413" spans="1:2" x14ac:dyDescent="0.25">
      <c r="A413"/>
      <c r="B413"/>
    </row>
    <row r="414" spans="1:2" x14ac:dyDescent="0.25">
      <c r="A414"/>
      <c r="B414"/>
    </row>
    <row r="415" spans="1:2" x14ac:dyDescent="0.25">
      <c r="A415"/>
      <c r="B415"/>
    </row>
    <row r="416" spans="1:2" x14ac:dyDescent="0.25">
      <c r="A416"/>
      <c r="B416"/>
    </row>
    <row r="417" spans="1:2" x14ac:dyDescent="0.25">
      <c r="A417"/>
      <c r="B417"/>
    </row>
    <row r="418" spans="1:2" x14ac:dyDescent="0.25">
      <c r="A418"/>
      <c r="B418"/>
    </row>
    <row r="419" spans="1:2" x14ac:dyDescent="0.25">
      <c r="A419"/>
      <c r="B419"/>
    </row>
    <row r="420" spans="1:2" x14ac:dyDescent="0.25">
      <c r="A420"/>
      <c r="B420"/>
    </row>
    <row r="421" spans="1:2" x14ac:dyDescent="0.25">
      <c r="A421"/>
      <c r="B421"/>
    </row>
    <row r="422" spans="1:2" x14ac:dyDescent="0.25">
      <c r="A422"/>
      <c r="B422"/>
    </row>
    <row r="423" spans="1:2" x14ac:dyDescent="0.25">
      <c r="A423"/>
      <c r="B423"/>
    </row>
    <row r="424" spans="1:2" x14ac:dyDescent="0.25">
      <c r="A424"/>
      <c r="B424"/>
    </row>
    <row r="425" spans="1:2" x14ac:dyDescent="0.25">
      <c r="A425"/>
      <c r="B425"/>
    </row>
    <row r="426" spans="1:2" x14ac:dyDescent="0.25">
      <c r="A426"/>
      <c r="B426"/>
    </row>
    <row r="427" spans="1:2" x14ac:dyDescent="0.25">
      <c r="A427"/>
      <c r="B427"/>
    </row>
    <row r="428" spans="1:2" x14ac:dyDescent="0.25">
      <c r="A428"/>
      <c r="B428"/>
    </row>
    <row r="429" spans="1:2" x14ac:dyDescent="0.25">
      <c r="A429"/>
      <c r="B429"/>
    </row>
    <row r="430" spans="1:2" x14ac:dyDescent="0.25">
      <c r="A430"/>
      <c r="B430"/>
    </row>
    <row r="431" spans="1:2" x14ac:dyDescent="0.25">
      <c r="A431"/>
      <c r="B431"/>
    </row>
    <row r="432" spans="1:2" x14ac:dyDescent="0.25">
      <c r="A432"/>
      <c r="B432"/>
    </row>
    <row r="433" spans="1:2" x14ac:dyDescent="0.25">
      <c r="A433"/>
      <c r="B433"/>
    </row>
    <row r="434" spans="1:2" x14ac:dyDescent="0.25">
      <c r="A434"/>
      <c r="B434"/>
    </row>
    <row r="435" spans="1:2" x14ac:dyDescent="0.25">
      <c r="A435"/>
      <c r="B435"/>
    </row>
    <row r="436" spans="1:2" x14ac:dyDescent="0.25">
      <c r="A436"/>
      <c r="B436"/>
    </row>
    <row r="437" spans="1:2" x14ac:dyDescent="0.25">
      <c r="A437"/>
      <c r="B437"/>
    </row>
    <row r="438" spans="1:2" x14ac:dyDescent="0.25">
      <c r="A438"/>
      <c r="B438"/>
    </row>
    <row r="439" spans="1:2" x14ac:dyDescent="0.25">
      <c r="A439"/>
      <c r="B439"/>
    </row>
    <row r="440" spans="1:2" x14ac:dyDescent="0.25">
      <c r="A440"/>
      <c r="B440"/>
    </row>
    <row r="441" spans="1:2" x14ac:dyDescent="0.25">
      <c r="A441"/>
      <c r="B441"/>
    </row>
    <row r="442" spans="1:2" x14ac:dyDescent="0.25">
      <c r="A442"/>
      <c r="B442"/>
    </row>
    <row r="443" spans="1:2" x14ac:dyDescent="0.25">
      <c r="A443"/>
      <c r="B443"/>
    </row>
    <row r="444" spans="1:2" x14ac:dyDescent="0.25">
      <c r="A444"/>
      <c r="B444"/>
    </row>
    <row r="445" spans="1:2" x14ac:dyDescent="0.25">
      <c r="A445"/>
      <c r="B445"/>
    </row>
    <row r="446" spans="1:2" x14ac:dyDescent="0.25">
      <c r="A446"/>
      <c r="B446"/>
    </row>
    <row r="447" spans="1:2" x14ac:dyDescent="0.25">
      <c r="A447"/>
      <c r="B447"/>
    </row>
    <row r="448" spans="1:2" x14ac:dyDescent="0.25">
      <c r="A448"/>
      <c r="B448"/>
    </row>
    <row r="449" spans="1:2" x14ac:dyDescent="0.25">
      <c r="A449"/>
      <c r="B449"/>
    </row>
    <row r="450" spans="1:2" x14ac:dyDescent="0.25">
      <c r="A450"/>
      <c r="B450"/>
    </row>
    <row r="451" spans="1:2" x14ac:dyDescent="0.25">
      <c r="A451"/>
      <c r="B451"/>
    </row>
    <row r="452" spans="1:2" x14ac:dyDescent="0.25">
      <c r="A452"/>
      <c r="B452"/>
    </row>
    <row r="453" spans="1:2" x14ac:dyDescent="0.25">
      <c r="A453"/>
      <c r="B453"/>
    </row>
    <row r="454" spans="1:2" x14ac:dyDescent="0.25">
      <c r="A454"/>
      <c r="B454"/>
    </row>
    <row r="455" spans="1:2" x14ac:dyDescent="0.25">
      <c r="A455"/>
      <c r="B455"/>
    </row>
    <row r="456" spans="1:2" x14ac:dyDescent="0.25">
      <c r="A456"/>
      <c r="B456"/>
    </row>
    <row r="457" spans="1:2" x14ac:dyDescent="0.25">
      <c r="A457"/>
      <c r="B457"/>
    </row>
    <row r="458" spans="1:2" x14ac:dyDescent="0.25">
      <c r="A458"/>
      <c r="B458"/>
    </row>
    <row r="459" spans="1:2" x14ac:dyDescent="0.25">
      <c r="A459"/>
      <c r="B459"/>
    </row>
    <row r="460" spans="1:2" x14ac:dyDescent="0.25">
      <c r="A460"/>
      <c r="B460"/>
    </row>
    <row r="461" spans="1:2" x14ac:dyDescent="0.25">
      <c r="A461"/>
      <c r="B461"/>
    </row>
    <row r="462" spans="1:2" x14ac:dyDescent="0.25">
      <c r="A462"/>
      <c r="B462"/>
    </row>
    <row r="463" spans="1:2" x14ac:dyDescent="0.25">
      <c r="A463"/>
      <c r="B463"/>
    </row>
    <row r="464" spans="1:2" x14ac:dyDescent="0.25">
      <c r="A464"/>
      <c r="B464"/>
    </row>
    <row r="465" spans="1:2" x14ac:dyDescent="0.25">
      <c r="A465"/>
      <c r="B465"/>
    </row>
    <row r="466" spans="1:2" x14ac:dyDescent="0.25">
      <c r="A466"/>
      <c r="B466"/>
    </row>
    <row r="467" spans="1:2" x14ac:dyDescent="0.25">
      <c r="A467"/>
      <c r="B467"/>
    </row>
    <row r="468" spans="1:2" x14ac:dyDescent="0.25">
      <c r="A468"/>
      <c r="B468"/>
    </row>
    <row r="469" spans="1:2" x14ac:dyDescent="0.25">
      <c r="A469"/>
      <c r="B469"/>
    </row>
    <row r="470" spans="1:2" x14ac:dyDescent="0.25">
      <c r="A470"/>
      <c r="B470"/>
    </row>
    <row r="471" spans="1:2" x14ac:dyDescent="0.25">
      <c r="A471"/>
      <c r="B471"/>
    </row>
    <row r="472" spans="1:2" x14ac:dyDescent="0.25">
      <c r="A472"/>
      <c r="B472"/>
    </row>
    <row r="473" spans="1:2" x14ac:dyDescent="0.25">
      <c r="A473"/>
      <c r="B473"/>
    </row>
    <row r="474" spans="1:2" x14ac:dyDescent="0.25">
      <c r="A474"/>
      <c r="B474"/>
    </row>
    <row r="475" spans="1:2" x14ac:dyDescent="0.25">
      <c r="A475"/>
      <c r="B475"/>
    </row>
    <row r="476" spans="1:2" x14ac:dyDescent="0.25">
      <c r="A476"/>
      <c r="B476"/>
    </row>
    <row r="477" spans="1:2" x14ac:dyDescent="0.25">
      <c r="A477"/>
      <c r="B477"/>
    </row>
    <row r="478" spans="1:2" x14ac:dyDescent="0.25">
      <c r="A478"/>
      <c r="B478"/>
    </row>
    <row r="479" spans="1:2" x14ac:dyDescent="0.25">
      <c r="A479"/>
      <c r="B479"/>
    </row>
    <row r="480" spans="1:2" x14ac:dyDescent="0.25">
      <c r="A480"/>
      <c r="B480"/>
    </row>
    <row r="481" spans="1:2" x14ac:dyDescent="0.25">
      <c r="A481"/>
      <c r="B481"/>
    </row>
    <row r="482" spans="1:2" x14ac:dyDescent="0.25">
      <c r="A482"/>
      <c r="B482"/>
    </row>
    <row r="483" spans="1:2" x14ac:dyDescent="0.25">
      <c r="A483"/>
      <c r="B483"/>
    </row>
    <row r="484" spans="1:2" x14ac:dyDescent="0.25">
      <c r="A484"/>
      <c r="B484"/>
    </row>
    <row r="485" spans="1:2" x14ac:dyDescent="0.25">
      <c r="A485"/>
      <c r="B485"/>
    </row>
    <row r="486" spans="1:2" x14ac:dyDescent="0.25">
      <c r="A486"/>
      <c r="B486"/>
    </row>
    <row r="487" spans="1:2" x14ac:dyDescent="0.25">
      <c r="A487"/>
      <c r="B487"/>
    </row>
    <row r="488" spans="1:2" x14ac:dyDescent="0.25">
      <c r="A488"/>
      <c r="B488"/>
    </row>
    <row r="489" spans="1:2" x14ac:dyDescent="0.25">
      <c r="A489"/>
      <c r="B489"/>
    </row>
    <row r="490" spans="1:2" x14ac:dyDescent="0.25">
      <c r="A490"/>
      <c r="B490"/>
    </row>
    <row r="491" spans="1:2" x14ac:dyDescent="0.25">
      <c r="A491"/>
      <c r="B491"/>
    </row>
    <row r="492" spans="1:2" x14ac:dyDescent="0.25">
      <c r="A492"/>
      <c r="B492"/>
    </row>
    <row r="493" spans="1:2" x14ac:dyDescent="0.25">
      <c r="A493"/>
      <c r="B493"/>
    </row>
    <row r="494" spans="1:2" x14ac:dyDescent="0.25">
      <c r="A494"/>
      <c r="B494"/>
    </row>
    <row r="495" spans="1:2" x14ac:dyDescent="0.25">
      <c r="A495"/>
      <c r="B495"/>
    </row>
    <row r="496" spans="1:2" x14ac:dyDescent="0.25">
      <c r="A496"/>
      <c r="B496"/>
    </row>
    <row r="497" spans="1:2" x14ac:dyDescent="0.25">
      <c r="A497"/>
      <c r="B497"/>
    </row>
    <row r="498" spans="1:2" x14ac:dyDescent="0.25">
      <c r="A498"/>
      <c r="B498"/>
    </row>
    <row r="499" spans="1:2" x14ac:dyDescent="0.25">
      <c r="A499"/>
      <c r="B499"/>
    </row>
    <row r="500" spans="1:2" x14ac:dyDescent="0.25">
      <c r="A500"/>
      <c r="B500"/>
    </row>
    <row r="501" spans="1:2" x14ac:dyDescent="0.25">
      <c r="A501"/>
      <c r="B501"/>
    </row>
    <row r="502" spans="1:2" x14ac:dyDescent="0.25">
      <c r="A502"/>
      <c r="B502"/>
    </row>
    <row r="503" spans="1:2" x14ac:dyDescent="0.25">
      <c r="A503"/>
      <c r="B503"/>
    </row>
    <row r="504" spans="1:2" x14ac:dyDescent="0.25">
      <c r="A504"/>
      <c r="B504"/>
    </row>
    <row r="505" spans="1:2" x14ac:dyDescent="0.25">
      <c r="A505"/>
      <c r="B505"/>
    </row>
    <row r="506" spans="1:2" x14ac:dyDescent="0.25">
      <c r="A506"/>
      <c r="B506"/>
    </row>
    <row r="507" spans="1:2" x14ac:dyDescent="0.25">
      <c r="A507"/>
      <c r="B507"/>
    </row>
    <row r="508" spans="1:2" x14ac:dyDescent="0.25">
      <c r="A508"/>
      <c r="B508"/>
    </row>
    <row r="509" spans="1:2" x14ac:dyDescent="0.25">
      <c r="A509"/>
      <c r="B509"/>
    </row>
    <row r="510" spans="1:2" x14ac:dyDescent="0.25">
      <c r="A510"/>
      <c r="B510"/>
    </row>
    <row r="511" spans="1:2" x14ac:dyDescent="0.25">
      <c r="A511"/>
      <c r="B511"/>
    </row>
    <row r="512" spans="1:2" x14ac:dyDescent="0.25">
      <c r="A512"/>
      <c r="B512"/>
    </row>
    <row r="513" spans="1:2" x14ac:dyDescent="0.25">
      <c r="A513"/>
      <c r="B513"/>
    </row>
    <row r="514" spans="1:2" x14ac:dyDescent="0.25">
      <c r="A514"/>
      <c r="B514"/>
    </row>
    <row r="515" spans="1:2" x14ac:dyDescent="0.25">
      <c r="A515"/>
      <c r="B515"/>
    </row>
    <row r="516" spans="1:2" x14ac:dyDescent="0.25">
      <c r="A516"/>
      <c r="B516"/>
    </row>
    <row r="517" spans="1:2" x14ac:dyDescent="0.25">
      <c r="A517"/>
      <c r="B517"/>
    </row>
    <row r="518" spans="1:2" x14ac:dyDescent="0.25">
      <c r="A518"/>
      <c r="B518"/>
    </row>
    <row r="519" spans="1:2" x14ac:dyDescent="0.25">
      <c r="A519"/>
      <c r="B519"/>
    </row>
    <row r="520" spans="1:2" x14ac:dyDescent="0.25">
      <c r="A520"/>
      <c r="B520"/>
    </row>
    <row r="521" spans="1:2" x14ac:dyDescent="0.25">
      <c r="A521"/>
      <c r="B521"/>
    </row>
    <row r="522" spans="1:2" x14ac:dyDescent="0.25">
      <c r="A522"/>
      <c r="B522"/>
    </row>
    <row r="523" spans="1:2" x14ac:dyDescent="0.25">
      <c r="A523"/>
      <c r="B523"/>
    </row>
    <row r="524" spans="1:2" x14ac:dyDescent="0.25">
      <c r="A524"/>
      <c r="B524"/>
    </row>
    <row r="525" spans="1:2" x14ac:dyDescent="0.25">
      <c r="A525"/>
      <c r="B525"/>
    </row>
    <row r="526" spans="1:2" x14ac:dyDescent="0.25">
      <c r="A526"/>
      <c r="B526"/>
    </row>
    <row r="527" spans="1:2" x14ac:dyDescent="0.25">
      <c r="A527"/>
      <c r="B527"/>
    </row>
    <row r="528" spans="1:2" x14ac:dyDescent="0.25">
      <c r="A528"/>
      <c r="B528"/>
    </row>
    <row r="529" spans="1:2" x14ac:dyDescent="0.25">
      <c r="A529"/>
      <c r="B529"/>
    </row>
    <row r="530" spans="1:2" x14ac:dyDescent="0.25">
      <c r="A530"/>
      <c r="B530"/>
    </row>
    <row r="531" spans="1:2" x14ac:dyDescent="0.25">
      <c r="A531"/>
      <c r="B531"/>
    </row>
    <row r="532" spans="1:2" x14ac:dyDescent="0.25">
      <c r="A532"/>
      <c r="B532"/>
    </row>
    <row r="533" spans="1:2" x14ac:dyDescent="0.25">
      <c r="A533"/>
      <c r="B533"/>
    </row>
    <row r="534" spans="1:2" x14ac:dyDescent="0.25">
      <c r="A534"/>
      <c r="B534"/>
    </row>
    <row r="535" spans="1:2" x14ac:dyDescent="0.25">
      <c r="A535"/>
      <c r="B535"/>
    </row>
    <row r="536" spans="1:2" x14ac:dyDescent="0.25">
      <c r="A536"/>
      <c r="B536"/>
    </row>
    <row r="537" spans="1:2" x14ac:dyDescent="0.25">
      <c r="A537"/>
      <c r="B537"/>
    </row>
    <row r="538" spans="1:2" x14ac:dyDescent="0.25">
      <c r="A538"/>
      <c r="B538"/>
    </row>
    <row r="539" spans="1:2" x14ac:dyDescent="0.25">
      <c r="A539"/>
      <c r="B539"/>
    </row>
    <row r="540" spans="1:2" x14ac:dyDescent="0.25">
      <c r="A540"/>
      <c r="B540"/>
    </row>
    <row r="541" spans="1:2" x14ac:dyDescent="0.25">
      <c r="A541"/>
      <c r="B541"/>
    </row>
    <row r="542" spans="1:2" x14ac:dyDescent="0.25">
      <c r="A542"/>
      <c r="B542"/>
    </row>
    <row r="543" spans="1:2" x14ac:dyDescent="0.25">
      <c r="A543"/>
      <c r="B543"/>
    </row>
    <row r="544" spans="1:2" x14ac:dyDescent="0.25">
      <c r="A544"/>
      <c r="B544"/>
    </row>
    <row r="545" spans="1:2" x14ac:dyDescent="0.25">
      <c r="A545"/>
      <c r="B545"/>
    </row>
    <row r="546" spans="1:2" x14ac:dyDescent="0.25">
      <c r="A546"/>
      <c r="B546"/>
    </row>
    <row r="547" spans="1:2" x14ac:dyDescent="0.25">
      <c r="A547"/>
      <c r="B547"/>
    </row>
    <row r="548" spans="1:2" x14ac:dyDescent="0.25">
      <c r="A548"/>
      <c r="B548"/>
    </row>
    <row r="549" spans="1:2" x14ac:dyDescent="0.25">
      <c r="A549"/>
      <c r="B549"/>
    </row>
    <row r="550" spans="1:2" x14ac:dyDescent="0.25">
      <c r="A550"/>
      <c r="B550"/>
    </row>
    <row r="551" spans="1:2" x14ac:dyDescent="0.25">
      <c r="A551"/>
      <c r="B551"/>
    </row>
    <row r="552" spans="1:2" x14ac:dyDescent="0.25">
      <c r="A552"/>
      <c r="B552"/>
    </row>
    <row r="553" spans="1:2" x14ac:dyDescent="0.25">
      <c r="A553"/>
      <c r="B553"/>
    </row>
    <row r="554" spans="1:2" x14ac:dyDescent="0.25">
      <c r="A554"/>
      <c r="B554"/>
    </row>
    <row r="555" spans="1:2" x14ac:dyDescent="0.25">
      <c r="A555"/>
      <c r="B555"/>
    </row>
    <row r="556" spans="1:2" x14ac:dyDescent="0.25">
      <c r="A556"/>
      <c r="B556"/>
    </row>
    <row r="557" spans="1:2" x14ac:dyDescent="0.25">
      <c r="A557"/>
      <c r="B557"/>
    </row>
    <row r="558" spans="1:2" x14ac:dyDescent="0.25">
      <c r="A558"/>
    </row>
    <row r="559" spans="1:2" x14ac:dyDescent="0.25">
      <c r="A559"/>
    </row>
    <row r="560" spans="1:2"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sheetData>
  <pageMargins left="0.7" right="0.7" top="0.75" bottom="0.75" header="0.3" footer="0.3"/>
  <pageSetup scale="48" fitToHeight="0" orientation="landscape" r:id="rId2"/>
  <drawing r:id="rId3"/>
  <extLst>
    <ext xmlns:x14="http://schemas.microsoft.com/office/spreadsheetml/2009/9/main" uri="{A8765BA9-456A-4dab-B4F3-ACF838C121DE}">
      <x14:slicerList>
        <x14:slicer r:id="rId4"/>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2:BD178"/>
  <sheetViews>
    <sheetView topLeftCell="B1" workbookViewId="0">
      <selection activeCell="C12" sqref="C12"/>
    </sheetView>
  </sheetViews>
  <sheetFormatPr defaultRowHeight="15" x14ac:dyDescent="0.25"/>
  <cols>
    <col min="1" max="1" width="41.28515625" customWidth="1"/>
    <col min="2" max="2" width="31.85546875" customWidth="1"/>
    <col min="3" max="3" width="39.85546875" customWidth="1"/>
    <col min="4" max="4" width="17" style="205" customWidth="1"/>
    <col min="5" max="5" width="11.140625" bestFit="1" customWidth="1"/>
    <col min="6" max="6" width="17.140625" customWidth="1"/>
    <col min="7" max="7" width="15.28515625" customWidth="1"/>
    <col min="8" max="8" width="12.7109375" customWidth="1"/>
    <col min="9" max="9" width="11.140625" bestFit="1" customWidth="1"/>
    <col min="10" max="10" width="20.28515625" bestFit="1" customWidth="1"/>
    <col min="11" max="11" width="12.7109375" bestFit="1" customWidth="1"/>
    <col min="12"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2" spans="1:56" x14ac:dyDescent="0.25">
      <c r="A2" s="210" t="s">
        <v>5</v>
      </c>
      <c r="B2" s="211" t="s" vm="252">
        <v>186</v>
      </c>
    </row>
    <row r="3" spans="1:56" x14ac:dyDescent="0.25">
      <c r="A3" s="210" t="s">
        <v>244</v>
      </c>
      <c r="B3" s="211" t="s" vm="253">
        <v>801</v>
      </c>
      <c r="C3" s="265"/>
      <c r="D3" s="273"/>
      <c r="E3" s="175"/>
      <c r="F3" s="175"/>
      <c r="G3" s="175"/>
    </row>
    <row r="4" spans="1:56" s="175" customFormat="1" x14ac:dyDescent="0.25">
      <c r="B4" s="263"/>
      <c r="C4" s="264"/>
      <c r="D4" s="264"/>
      <c r="E4" s="264"/>
      <c r="F4" s="264"/>
      <c r="G4" s="264"/>
    </row>
    <row r="5" spans="1:56" s="16" customFormat="1" ht="41.25" customHeight="1" x14ac:dyDescent="0.25">
      <c r="A5" s="266" t="s">
        <v>764</v>
      </c>
      <c r="B5" s="266" t="s">
        <v>729</v>
      </c>
      <c r="C5" s="266" t="s">
        <v>730</v>
      </c>
      <c r="D5" s="267" t="s">
        <v>731</v>
      </c>
      <c r="E5" s="268" t="s">
        <v>759</v>
      </c>
      <c r="F5" s="268" t="s">
        <v>760</v>
      </c>
      <c r="G5" s="301" t="s">
        <v>761</v>
      </c>
      <c r="H5" s="268" t="s">
        <v>762</v>
      </c>
      <c r="I5" s="268" t="s">
        <v>763</v>
      </c>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row>
    <row r="6" spans="1:56" x14ac:dyDescent="0.25">
      <c r="A6" s="211" t="s">
        <v>402</v>
      </c>
      <c r="B6" s="211" t="s">
        <v>758</v>
      </c>
      <c r="C6" s="211" t="s">
        <v>333</v>
      </c>
      <c r="D6" s="211" t="s">
        <v>758</v>
      </c>
      <c r="E6" s="12"/>
      <c r="F6" s="12"/>
      <c r="G6" s="12"/>
      <c r="H6" s="261"/>
      <c r="I6" s="12">
        <v>417088</v>
      </c>
    </row>
    <row r="7" spans="1:56" x14ac:dyDescent="0.25">
      <c r="A7" s="211"/>
      <c r="B7" s="211"/>
      <c r="C7" s="211" t="s">
        <v>380</v>
      </c>
      <c r="D7" s="211" t="s">
        <v>758</v>
      </c>
      <c r="E7" s="12"/>
      <c r="F7" s="12"/>
      <c r="G7" s="12"/>
      <c r="H7" s="261"/>
      <c r="I7" s="12">
        <v>65000</v>
      </c>
    </row>
    <row r="8" spans="1:56" x14ac:dyDescent="0.25">
      <c r="A8" s="211"/>
      <c r="B8" s="211"/>
      <c r="C8" s="211" t="s">
        <v>379</v>
      </c>
      <c r="D8" s="211" t="s">
        <v>758</v>
      </c>
      <c r="E8" s="12"/>
      <c r="F8" s="12"/>
      <c r="G8" s="12"/>
      <c r="H8" s="261"/>
      <c r="I8" s="12">
        <v>106666</v>
      </c>
    </row>
    <row r="9" spans="1:56" x14ac:dyDescent="0.25">
      <c r="A9" s="211"/>
      <c r="B9" s="211"/>
      <c r="C9" s="211" t="s">
        <v>378</v>
      </c>
      <c r="D9" s="211" t="s">
        <v>758</v>
      </c>
      <c r="E9" s="12"/>
      <c r="F9" s="12"/>
      <c r="G9" s="12"/>
      <c r="H9" s="261"/>
      <c r="I9" s="12">
        <v>128254</v>
      </c>
    </row>
    <row r="10" spans="1:56" x14ac:dyDescent="0.25">
      <c r="A10" s="211"/>
      <c r="B10" s="211"/>
      <c r="C10" s="211" t="s">
        <v>757</v>
      </c>
      <c r="D10" s="211" t="s">
        <v>758</v>
      </c>
      <c r="E10" s="12"/>
      <c r="F10" s="12"/>
      <c r="G10" s="12"/>
      <c r="H10" s="261"/>
      <c r="I10" s="12">
        <v>0</v>
      </c>
    </row>
    <row r="11" spans="1:56" x14ac:dyDescent="0.25">
      <c r="A11" s="211"/>
      <c r="B11" s="211"/>
      <c r="C11" s="211" t="s">
        <v>802</v>
      </c>
      <c r="D11" s="211" t="s">
        <v>758</v>
      </c>
      <c r="E11" s="12"/>
      <c r="F11" s="12"/>
      <c r="G11" s="12"/>
      <c r="H11" s="261"/>
      <c r="I11" s="12">
        <v>28340</v>
      </c>
    </row>
    <row r="12" spans="1:56" x14ac:dyDescent="0.25">
      <c r="A12" s="211"/>
      <c r="B12" s="211"/>
      <c r="C12" s="211" t="s">
        <v>803</v>
      </c>
      <c r="D12" s="211" t="s">
        <v>758</v>
      </c>
      <c r="E12" s="12"/>
      <c r="F12" s="12"/>
      <c r="G12" s="12"/>
      <c r="H12" s="261"/>
      <c r="I12" s="12">
        <v>0</v>
      </c>
    </row>
    <row r="13" spans="1:56" x14ac:dyDescent="0.25">
      <c r="A13" s="211"/>
      <c r="B13" s="211" t="s">
        <v>804</v>
      </c>
      <c r="C13" s="211"/>
      <c r="D13" s="211"/>
      <c r="E13" s="12"/>
      <c r="F13" s="12"/>
      <c r="G13" s="12"/>
      <c r="H13" s="261"/>
      <c r="I13" s="12">
        <v>745348</v>
      </c>
    </row>
    <row r="14" spans="1:56" x14ac:dyDescent="0.25">
      <c r="A14" s="213" t="s">
        <v>742</v>
      </c>
      <c r="B14" s="213"/>
      <c r="C14" s="213"/>
      <c r="D14" s="213"/>
      <c r="E14" s="270"/>
      <c r="F14" s="270"/>
      <c r="G14" s="270"/>
      <c r="H14" s="271"/>
      <c r="I14" s="270">
        <v>745348</v>
      </c>
    </row>
    <row r="15" spans="1:56" x14ac:dyDescent="0.25">
      <c r="D15"/>
    </row>
    <row r="16" spans="1:56" x14ac:dyDescent="0.25">
      <c r="D16"/>
    </row>
    <row r="17" spans="4:4" x14ac:dyDescent="0.25">
      <c r="D17"/>
    </row>
    <row r="18" spans="4:4" x14ac:dyDescent="0.25">
      <c r="D18"/>
    </row>
    <row r="19" spans="4:4" x14ac:dyDescent="0.25">
      <c r="D19"/>
    </row>
    <row r="20" spans="4:4" x14ac:dyDescent="0.25">
      <c r="D20"/>
    </row>
    <row r="21" spans="4:4" x14ac:dyDescent="0.25">
      <c r="D21"/>
    </row>
    <row r="22" spans="4:4" x14ac:dyDescent="0.25">
      <c r="D22"/>
    </row>
    <row r="23" spans="4:4" x14ac:dyDescent="0.25">
      <c r="D23"/>
    </row>
    <row r="24" spans="4:4" x14ac:dyDescent="0.25">
      <c r="D24"/>
    </row>
    <row r="25" spans="4:4" x14ac:dyDescent="0.25">
      <c r="D25"/>
    </row>
    <row r="26" spans="4:4" x14ac:dyDescent="0.25">
      <c r="D26"/>
    </row>
    <row r="27" spans="4:4" x14ac:dyDescent="0.25">
      <c r="D27"/>
    </row>
    <row r="28" spans="4:4" x14ac:dyDescent="0.25">
      <c r="D28"/>
    </row>
    <row r="29" spans="4:4" x14ac:dyDescent="0.25">
      <c r="D29"/>
    </row>
    <row r="30" spans="4:4" x14ac:dyDescent="0.25">
      <c r="D30"/>
    </row>
    <row r="31" spans="4:4" x14ac:dyDescent="0.25">
      <c r="D31"/>
    </row>
    <row r="32" spans="4:4" x14ac:dyDescent="0.25">
      <c r="D32"/>
    </row>
    <row r="33" spans="4:4" x14ac:dyDescent="0.25">
      <c r="D33"/>
    </row>
    <row r="34" spans="4:4" x14ac:dyDescent="0.25">
      <c r="D34"/>
    </row>
    <row r="35" spans="4:4" x14ac:dyDescent="0.25">
      <c r="D35"/>
    </row>
    <row r="36" spans="4:4" x14ac:dyDescent="0.25">
      <c r="D36"/>
    </row>
    <row r="37" spans="4:4" x14ac:dyDescent="0.25">
      <c r="D37"/>
    </row>
    <row r="38" spans="4:4" x14ac:dyDescent="0.25">
      <c r="D38"/>
    </row>
    <row r="39" spans="4:4" x14ac:dyDescent="0.25">
      <c r="D39"/>
    </row>
    <row r="40" spans="4:4" x14ac:dyDescent="0.25">
      <c r="D40"/>
    </row>
    <row r="41" spans="4:4" x14ac:dyDescent="0.25">
      <c r="D41"/>
    </row>
    <row r="42" spans="4:4" x14ac:dyDescent="0.25">
      <c r="D42"/>
    </row>
    <row r="43" spans="4:4" x14ac:dyDescent="0.25">
      <c r="D43"/>
    </row>
    <row r="44" spans="4:4" x14ac:dyDescent="0.25">
      <c r="D44"/>
    </row>
    <row r="45" spans="4:4" x14ac:dyDescent="0.25">
      <c r="D45"/>
    </row>
    <row r="46" spans="4:4" x14ac:dyDescent="0.25">
      <c r="D46"/>
    </row>
    <row r="47" spans="4:4" x14ac:dyDescent="0.25">
      <c r="D47"/>
    </row>
    <row r="48" spans="4:4" x14ac:dyDescent="0.25">
      <c r="D48"/>
    </row>
    <row r="49" spans="4:4" x14ac:dyDescent="0.25">
      <c r="D49"/>
    </row>
    <row r="50" spans="4:4" x14ac:dyDescent="0.25">
      <c r="D50"/>
    </row>
    <row r="51" spans="4:4" x14ac:dyDescent="0.25">
      <c r="D51"/>
    </row>
    <row r="52" spans="4:4" x14ac:dyDescent="0.25">
      <c r="D52"/>
    </row>
    <row r="53" spans="4:4" x14ac:dyDescent="0.25">
      <c r="D53"/>
    </row>
    <row r="54" spans="4:4" x14ac:dyDescent="0.25">
      <c r="D54"/>
    </row>
    <row r="55" spans="4:4" x14ac:dyDescent="0.25">
      <c r="D55"/>
    </row>
    <row r="56" spans="4:4" x14ac:dyDescent="0.25">
      <c r="D56"/>
    </row>
    <row r="57" spans="4:4" x14ac:dyDescent="0.25">
      <c r="D57"/>
    </row>
    <row r="58" spans="4:4" x14ac:dyDescent="0.25">
      <c r="D58"/>
    </row>
    <row r="59" spans="4:4" x14ac:dyDescent="0.25">
      <c r="D59"/>
    </row>
    <row r="60" spans="4:4" x14ac:dyDescent="0.25">
      <c r="D60"/>
    </row>
    <row r="61" spans="4:4" x14ac:dyDescent="0.25">
      <c r="D61"/>
    </row>
    <row r="62" spans="4:4" x14ac:dyDescent="0.25">
      <c r="D62"/>
    </row>
    <row r="63" spans="4:4" x14ac:dyDescent="0.25">
      <c r="D63"/>
    </row>
    <row r="64" spans="4:4" x14ac:dyDescent="0.25">
      <c r="D64"/>
    </row>
    <row r="65" spans="4:4" x14ac:dyDescent="0.25">
      <c r="D65"/>
    </row>
    <row r="66" spans="4:4" x14ac:dyDescent="0.25">
      <c r="D66"/>
    </row>
    <row r="67" spans="4:4" x14ac:dyDescent="0.25">
      <c r="D67"/>
    </row>
    <row r="68" spans="4:4" x14ac:dyDescent="0.25">
      <c r="D68"/>
    </row>
    <row r="69" spans="4:4" x14ac:dyDescent="0.25">
      <c r="D69"/>
    </row>
    <row r="70" spans="4:4" x14ac:dyDescent="0.25">
      <c r="D70"/>
    </row>
    <row r="71" spans="4:4" x14ac:dyDescent="0.25">
      <c r="D71"/>
    </row>
    <row r="72" spans="4:4" x14ac:dyDescent="0.25">
      <c r="D72"/>
    </row>
    <row r="73" spans="4:4" x14ac:dyDescent="0.25">
      <c r="D73"/>
    </row>
    <row r="74" spans="4:4" x14ac:dyDescent="0.25">
      <c r="D74"/>
    </row>
    <row r="75" spans="4:4" x14ac:dyDescent="0.25">
      <c r="D75"/>
    </row>
    <row r="76" spans="4:4" x14ac:dyDescent="0.25">
      <c r="D76"/>
    </row>
    <row r="77" spans="4:4" x14ac:dyDescent="0.25">
      <c r="D77"/>
    </row>
    <row r="78" spans="4:4" x14ac:dyDescent="0.25">
      <c r="D78"/>
    </row>
    <row r="79" spans="4:4" x14ac:dyDescent="0.25">
      <c r="D79"/>
    </row>
    <row r="80" spans="4:4" x14ac:dyDescent="0.25">
      <c r="D80"/>
    </row>
    <row r="81" spans="4:4" x14ac:dyDescent="0.25">
      <c r="D81"/>
    </row>
    <row r="82" spans="4:4" x14ac:dyDescent="0.25">
      <c r="D82"/>
    </row>
    <row r="83" spans="4:4" x14ac:dyDescent="0.25">
      <c r="D83"/>
    </row>
    <row r="84" spans="4:4" x14ac:dyDescent="0.25">
      <c r="D84"/>
    </row>
    <row r="85" spans="4:4" x14ac:dyDescent="0.25">
      <c r="D85"/>
    </row>
    <row r="86" spans="4:4" x14ac:dyDescent="0.25">
      <c r="D86"/>
    </row>
    <row r="87" spans="4:4" x14ac:dyDescent="0.25">
      <c r="D87"/>
    </row>
    <row r="88" spans="4:4" x14ac:dyDescent="0.25">
      <c r="D88"/>
    </row>
    <row r="89" spans="4:4" x14ac:dyDescent="0.25">
      <c r="D89"/>
    </row>
    <row r="90" spans="4:4" x14ac:dyDescent="0.25">
      <c r="D90"/>
    </row>
    <row r="91" spans="4:4" x14ac:dyDescent="0.25">
      <c r="D91"/>
    </row>
    <row r="92" spans="4:4" x14ac:dyDescent="0.25">
      <c r="D92"/>
    </row>
    <row r="93" spans="4:4" x14ac:dyDescent="0.25">
      <c r="D93"/>
    </row>
    <row r="94" spans="4:4" x14ac:dyDescent="0.25">
      <c r="D94"/>
    </row>
    <row r="95" spans="4:4" x14ac:dyDescent="0.25">
      <c r="D95"/>
    </row>
    <row r="96" spans="4:4" x14ac:dyDescent="0.25">
      <c r="D96"/>
    </row>
    <row r="97" spans="4:4" x14ac:dyDescent="0.25">
      <c r="D97"/>
    </row>
    <row r="98" spans="4:4" x14ac:dyDescent="0.25">
      <c r="D98"/>
    </row>
    <row r="99" spans="4:4" x14ac:dyDescent="0.25">
      <c r="D99"/>
    </row>
    <row r="100" spans="4:4" x14ac:dyDescent="0.25">
      <c r="D100"/>
    </row>
    <row r="101" spans="4:4" x14ac:dyDescent="0.25">
      <c r="D101"/>
    </row>
    <row r="102" spans="4:4" x14ac:dyDescent="0.25">
      <c r="D102"/>
    </row>
    <row r="103" spans="4:4" x14ac:dyDescent="0.25">
      <c r="D103"/>
    </row>
    <row r="104" spans="4:4" x14ac:dyDescent="0.25">
      <c r="D104"/>
    </row>
    <row r="105" spans="4:4" x14ac:dyDescent="0.25">
      <c r="D105"/>
    </row>
    <row r="106" spans="4:4" x14ac:dyDescent="0.25">
      <c r="D106"/>
    </row>
    <row r="107" spans="4:4" x14ac:dyDescent="0.25">
      <c r="D107"/>
    </row>
    <row r="108" spans="4:4" x14ac:dyDescent="0.25">
      <c r="D108"/>
    </row>
    <row r="109" spans="4:4" x14ac:dyDescent="0.25">
      <c r="D109"/>
    </row>
    <row r="110" spans="4:4" x14ac:dyDescent="0.25">
      <c r="D110"/>
    </row>
    <row r="111" spans="4:4" x14ac:dyDescent="0.25">
      <c r="D111"/>
    </row>
    <row r="112" spans="4:4" x14ac:dyDescent="0.25">
      <c r="D112"/>
    </row>
    <row r="113" spans="4:4" x14ac:dyDescent="0.25">
      <c r="D113"/>
    </row>
    <row r="114" spans="4:4" x14ac:dyDescent="0.25">
      <c r="D114"/>
    </row>
    <row r="115" spans="4:4" x14ac:dyDescent="0.25">
      <c r="D115"/>
    </row>
    <row r="116" spans="4:4" x14ac:dyDescent="0.25">
      <c r="D116"/>
    </row>
    <row r="117" spans="4:4" x14ac:dyDescent="0.25">
      <c r="D117"/>
    </row>
    <row r="118" spans="4:4" x14ac:dyDescent="0.25">
      <c r="D118"/>
    </row>
    <row r="119" spans="4:4" x14ac:dyDescent="0.25">
      <c r="D119"/>
    </row>
    <row r="120" spans="4:4" x14ac:dyDescent="0.25">
      <c r="D120"/>
    </row>
    <row r="121" spans="4:4" x14ac:dyDescent="0.25">
      <c r="D121"/>
    </row>
    <row r="122" spans="4:4" x14ac:dyDescent="0.25">
      <c r="D122"/>
    </row>
    <row r="123" spans="4:4" x14ac:dyDescent="0.25">
      <c r="D123"/>
    </row>
    <row r="124" spans="4:4" x14ac:dyDescent="0.25">
      <c r="D124"/>
    </row>
    <row r="125" spans="4:4" x14ac:dyDescent="0.25">
      <c r="D125"/>
    </row>
    <row r="126" spans="4:4" x14ac:dyDescent="0.25">
      <c r="D126"/>
    </row>
    <row r="127" spans="4:4" x14ac:dyDescent="0.25">
      <c r="D127"/>
    </row>
    <row r="128" spans="4:4" x14ac:dyDescent="0.25">
      <c r="D128"/>
    </row>
    <row r="129" spans="4:4" x14ac:dyDescent="0.25">
      <c r="D129"/>
    </row>
    <row r="130" spans="4:4" x14ac:dyDescent="0.25">
      <c r="D130"/>
    </row>
    <row r="131" spans="4:4" x14ac:dyDescent="0.25">
      <c r="D131"/>
    </row>
    <row r="132" spans="4:4" x14ac:dyDescent="0.25">
      <c r="D132"/>
    </row>
    <row r="133" spans="4:4" x14ac:dyDescent="0.25">
      <c r="D133"/>
    </row>
    <row r="134" spans="4:4" x14ac:dyDescent="0.25">
      <c r="D134"/>
    </row>
    <row r="135" spans="4:4" x14ac:dyDescent="0.25">
      <c r="D135"/>
    </row>
    <row r="136" spans="4:4" x14ac:dyDescent="0.25">
      <c r="D136"/>
    </row>
    <row r="137" spans="4:4" x14ac:dyDescent="0.25">
      <c r="D137"/>
    </row>
    <row r="138" spans="4:4" x14ac:dyDescent="0.25">
      <c r="D138"/>
    </row>
    <row r="139" spans="4:4" x14ac:dyDescent="0.25">
      <c r="D139"/>
    </row>
    <row r="140" spans="4:4" x14ac:dyDescent="0.25">
      <c r="D140"/>
    </row>
    <row r="141" spans="4:4" x14ac:dyDescent="0.25">
      <c r="D141"/>
    </row>
    <row r="142" spans="4:4" x14ac:dyDescent="0.25">
      <c r="D142"/>
    </row>
    <row r="143" spans="4:4" x14ac:dyDescent="0.25">
      <c r="D143"/>
    </row>
    <row r="144" spans="4:4" x14ac:dyDescent="0.25">
      <c r="D144"/>
    </row>
    <row r="145" spans="4:4" x14ac:dyDescent="0.25">
      <c r="D145"/>
    </row>
    <row r="146" spans="4:4" x14ac:dyDescent="0.25">
      <c r="D146"/>
    </row>
    <row r="147" spans="4:4" x14ac:dyDescent="0.25">
      <c r="D147"/>
    </row>
    <row r="148" spans="4:4" x14ac:dyDescent="0.25">
      <c r="D148"/>
    </row>
    <row r="149" spans="4:4" x14ac:dyDescent="0.25">
      <c r="D149"/>
    </row>
    <row r="150" spans="4:4" x14ac:dyDescent="0.25">
      <c r="D150"/>
    </row>
    <row r="151" spans="4:4" x14ac:dyDescent="0.25">
      <c r="D151"/>
    </row>
    <row r="152" spans="4:4" x14ac:dyDescent="0.25">
      <c r="D152"/>
    </row>
    <row r="153" spans="4:4" x14ac:dyDescent="0.25">
      <c r="D153"/>
    </row>
    <row r="154" spans="4:4" x14ac:dyDescent="0.25">
      <c r="D154"/>
    </row>
    <row r="155" spans="4:4" x14ac:dyDescent="0.25">
      <c r="D155"/>
    </row>
    <row r="156" spans="4:4" x14ac:dyDescent="0.25">
      <c r="D156"/>
    </row>
    <row r="157" spans="4:4" x14ac:dyDescent="0.25">
      <c r="D157"/>
    </row>
    <row r="158" spans="4:4" x14ac:dyDescent="0.25">
      <c r="D158"/>
    </row>
    <row r="159" spans="4:4" x14ac:dyDescent="0.25">
      <c r="D159"/>
    </row>
    <row r="160" spans="4:4"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sheetData>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2:BD187"/>
  <sheetViews>
    <sheetView topLeftCell="B1" workbookViewId="0">
      <selection activeCell="I9" sqref="I9"/>
    </sheetView>
  </sheetViews>
  <sheetFormatPr defaultRowHeight="15" x14ac:dyDescent="0.25"/>
  <cols>
    <col min="1" max="1" width="41.28515625" customWidth="1"/>
    <col min="2" max="2" width="31.85546875" customWidth="1"/>
    <col min="3" max="3" width="39.85546875" style="2" customWidth="1"/>
    <col min="4" max="4" width="17" style="205" customWidth="1"/>
    <col min="5" max="5" width="15.5703125" bestFit="1" customWidth="1"/>
    <col min="6" max="6" width="17.140625" customWidth="1"/>
    <col min="7" max="7" width="15.28515625" customWidth="1"/>
    <col min="8" max="8" width="12.7109375" customWidth="1"/>
    <col min="9" max="9" width="11.140625" bestFit="1" customWidth="1"/>
    <col min="10" max="10" width="20.28515625" bestFit="1" customWidth="1"/>
    <col min="11" max="11" width="12.7109375" bestFit="1" customWidth="1"/>
    <col min="12"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2" spans="1:56" x14ac:dyDescent="0.25">
      <c r="A2" s="210" t="s">
        <v>5</v>
      </c>
      <c r="B2" s="211" t="s" vm="252">
        <v>186</v>
      </c>
    </row>
    <row r="3" spans="1:56" x14ac:dyDescent="0.25">
      <c r="A3" s="210" t="s">
        <v>244</v>
      </c>
      <c r="B3" s="211" t="s" vm="253">
        <v>801</v>
      </c>
      <c r="C3" s="274"/>
      <c r="D3" s="273"/>
      <c r="E3" s="175"/>
      <c r="F3" s="175"/>
      <c r="G3" s="175"/>
    </row>
    <row r="4" spans="1:56" s="175" customFormat="1" x14ac:dyDescent="0.25">
      <c r="B4" s="263"/>
      <c r="C4" s="275"/>
      <c r="D4" s="264"/>
      <c r="E4" s="264"/>
      <c r="F4" s="264"/>
      <c r="G4" s="264"/>
    </row>
    <row r="5" spans="1:56" s="289" customFormat="1" ht="41.25" customHeight="1" x14ac:dyDescent="0.25">
      <c r="A5" s="285" t="s">
        <v>764</v>
      </c>
      <c r="B5" s="285" t="s">
        <v>729</v>
      </c>
      <c r="C5" s="286" t="s">
        <v>767</v>
      </c>
      <c r="D5" s="286" t="s">
        <v>731</v>
      </c>
      <c r="E5" s="286" t="s">
        <v>759</v>
      </c>
      <c r="F5" s="286" t="s">
        <v>760</v>
      </c>
      <c r="G5" s="287" t="s">
        <v>761</v>
      </c>
      <c r="H5" s="286" t="s">
        <v>762</v>
      </c>
      <c r="I5" s="286" t="s">
        <v>763</v>
      </c>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row>
    <row r="6" spans="1:56" x14ac:dyDescent="0.25">
      <c r="A6" s="282" t="str" vm="675">
        <f>CUBEMEMBER("ThisWorkbookDataModel","[rArtikli_HR_Analiza].[StavkaKategorija.1].&amp;[2.32. Потрошени суровини и материјали]")</f>
        <v>2.32. Потрошени суровини и материјали</v>
      </c>
      <c r="B6" s="283" t="e">
        <f>CUBEMEMBER("ThisWorkbookDataModel",{"[rArtikli_HR_Analiza].[StavkaKategorija.1].&amp;[2.32. Потрошени суровини и материјали]","[rArtikli_HR_Analiza].[Категорија Артикл].&amp;[Канцелариски материјал]"})</f>
        <v>#N/A</v>
      </c>
      <c r="C6" s="262" t="e">
        <f>CUBEMEMBER("ThisWorkbookDataModel",{"[rArtikli_HR_Analiza].[StavkaKategorija.1].&amp;[2.32. Потрошени суровини и материјали]","[rArtikli_HR_Analiza].[Категорија Артикл].&amp;[Канцелариски материјал]","[rArtikli_HR_Analiza].[Ставка].&amp;[Останат канцелариски материјал]"})</f>
        <v>#N/A</v>
      </c>
      <c r="D6" s="213" t="s">
        <v>770</v>
      </c>
      <c r="E6" s="12">
        <v>170</v>
      </c>
      <c r="F6" s="12">
        <v>300</v>
      </c>
      <c r="G6" s="12">
        <v>51000</v>
      </c>
      <c r="H6" s="261">
        <v>0.18</v>
      </c>
      <c r="I6" s="12">
        <v>120000</v>
      </c>
    </row>
    <row r="7" spans="1:56" x14ac:dyDescent="0.25">
      <c r="A7" s="282"/>
      <c r="B7" s="283"/>
      <c r="C7" s="262" t="e">
        <f>CUBEMEMBER("ThisWorkbookDataModel",{"[rArtikli_HR_Analiza].[StavkaKategorija.1].&amp;[2.32. Потрошени суровини и материјали]","[rArtikli_HR_Analiza].[Категорија Артикл].&amp;[Канцелариски материјал]","[rArtikli_HR_Analiza].[Ставка].&amp;[Тонери]"})</f>
        <v>#N/A</v>
      </c>
      <c r="D7" s="213" t="s">
        <v>769</v>
      </c>
      <c r="E7" s="12">
        <v>4300</v>
      </c>
      <c r="F7" s="12">
        <v>200</v>
      </c>
      <c r="G7" s="12">
        <v>860000</v>
      </c>
      <c r="H7" s="261">
        <v>0.18</v>
      </c>
      <c r="I7" s="12">
        <v>1014800</v>
      </c>
    </row>
    <row r="8" spans="1:56" x14ac:dyDescent="0.25">
      <c r="A8" s="282"/>
      <c r="B8" s="283"/>
      <c r="C8" s="262" t="e">
        <f>CUBEMEMBER("ThisWorkbookDataModel",{"[rArtikli_HR_Analiza].[StavkaKategorija.1].&amp;[2.32. Потрошени суровини и материјали]","[rArtikli_HR_Analiza].[Категорија Артикл].&amp;[Канцелариски материјал]","[rArtikli_HR_Analiza].[Ставка].&amp;[Хартија]"})</f>
        <v>#N/A</v>
      </c>
      <c r="D8" s="213" t="s">
        <v>769</v>
      </c>
      <c r="E8" s="12">
        <v>4000</v>
      </c>
      <c r="F8" s="12">
        <v>100</v>
      </c>
      <c r="G8" s="12">
        <v>400000</v>
      </c>
      <c r="H8" s="261">
        <v>0.18</v>
      </c>
      <c r="I8" s="12">
        <v>472000</v>
      </c>
    </row>
    <row r="9" spans="1:56" x14ac:dyDescent="0.25">
      <c r="A9" s="282"/>
      <c r="B9" s="283" t="e">
        <f>CUBEMEMBER("ThisWorkbookDataModel",{"[rArtikli_HR_Analiza].[StavkaKategorija.1].&amp;[2.32. Потрошени суровини и материјали]","[rArtikli_HR_Analiza].[Категорија Артикл].&amp;[Канцелариски материјал]"},"Канцелариски материјал Total")</f>
        <v>#N/A</v>
      </c>
      <c r="C9" s="283"/>
      <c r="D9" s="276"/>
      <c r="E9" s="277">
        <v>8470</v>
      </c>
      <c r="F9" s="277">
        <v>600</v>
      </c>
      <c r="G9" s="278">
        <v>1311000</v>
      </c>
      <c r="H9" s="279">
        <v>0.54</v>
      </c>
      <c r="I9" s="278">
        <v>1606800</v>
      </c>
    </row>
    <row r="10" spans="1:56" x14ac:dyDescent="0.25">
      <c r="A10" s="282"/>
      <c r="B10" s="283" t="e">
        <f>CUBEMEMBER("ThisWorkbookDataModel",{"[rArtikli_HR_Analiza].[StavkaKategorija.1].&amp;[2.32. Потрошени суровини и материјали]","[rArtikli_HR_Analiza].[Категорија Артикл].&amp;[Комуналии]"})</f>
        <v>#N/A</v>
      </c>
      <c r="C10" s="262" t="e">
        <f>CUBEMEMBER("ThisWorkbookDataModel",{"[rArtikli_HR_Analiza].[StavkaKategorija.1].&amp;[2.32. Потрошени суровини и материјали]","[rArtikli_HR_Analiza].[Категорија Артикл].&amp;[Комуналии]","[rArtikli_HR_Analiza].[Ставка].&amp;[Потрошена електрична енергија]"})</f>
        <v>#N/A</v>
      </c>
      <c r="D10" s="213" t="s">
        <v>619</v>
      </c>
      <c r="E10" s="12">
        <v>12</v>
      </c>
      <c r="F10" s="12">
        <v>291667</v>
      </c>
      <c r="G10" s="12">
        <v>3500000.3999999883</v>
      </c>
      <c r="H10" s="261"/>
      <c r="I10" s="12">
        <v>3500000</v>
      </c>
    </row>
    <row r="11" spans="1:56" x14ac:dyDescent="0.25">
      <c r="A11" s="282"/>
      <c r="B11" s="283" t="e">
        <f>CUBEMEMBER("ThisWorkbookDataModel",{"[rArtikli_HR_Analiza].[StavkaKategorija.1].&amp;[2.32. Потрошени суровини и материјали]","[rArtikli_HR_Analiza].[Категорија Артикл].&amp;[Комуналии]"},"Комуналии Total")</f>
        <v>#N/A</v>
      </c>
      <c r="C11" s="283"/>
      <c r="D11" s="276"/>
      <c r="E11" s="277">
        <v>12</v>
      </c>
      <c r="F11" s="277">
        <v>291667</v>
      </c>
      <c r="G11" s="278">
        <v>3500000.3999999883</v>
      </c>
      <c r="H11" s="279"/>
      <c r="I11" s="278">
        <v>3500000</v>
      </c>
    </row>
    <row r="12" spans="1:56" x14ac:dyDescent="0.25">
      <c r="A12" s="282"/>
      <c r="B12" s="283" t="e">
        <f>CUBEMEMBER("ThisWorkbookDataModel",{"[rArtikli_HR_Analiza].[StavkaKategorija.1].&amp;[2.32. Потрошени суровини и материјали]","[rArtikli_HR_Analiza].[Категорија Артикл].&amp;[Потрошен материјал]"})</f>
        <v>#N/A</v>
      </c>
      <c r="C12" s="262" t="e">
        <f>CUBEMEMBER("ThisWorkbookDataModel",{"[rArtikli_HR_Analiza].[StavkaKategorija.1].&amp;[2.32. Потрошени суровини и материјали]","[rArtikli_HR_Analiza].[Категорија Артикл].&amp;[Потрошен материјал]","[rArtikli_HR_Analiza].[Ставка].&amp;[Вреќи за отпад, ПВЦ, големи од  90 до 120 литри, од мин. 10 во пакување]"})</f>
        <v>#N/A</v>
      </c>
      <c r="D12" s="213" t="s">
        <v>622</v>
      </c>
      <c r="E12" s="12">
        <v>590</v>
      </c>
      <c r="F12" s="12">
        <v>250</v>
      </c>
      <c r="G12" s="12">
        <v>147500</v>
      </c>
      <c r="H12" s="261">
        <v>0.18</v>
      </c>
      <c r="I12" s="12">
        <v>174050</v>
      </c>
    </row>
    <row r="13" spans="1:56" x14ac:dyDescent="0.25">
      <c r="A13" s="282"/>
      <c r="B13" s="283"/>
      <c r="C13" s="262" t="e">
        <f>CUBEMEMBER("ThisWorkbookDataModel",{"[rArtikli_HR_Analiza].[StavkaKategorija.1].&amp;[2.32. Потрошени суровини и материјали]","[rArtikli_HR_Analiza].[Категорија Артикл].&amp;[Потрошен материјал]","[rArtikli_HR_Analiza].[Ставка].&amp;[Крпи за бришење со моќ на впивање на течност, со димензии 200x190x4 мм +/- 20%]"})</f>
        <v>#N/A</v>
      </c>
      <c r="D13" s="213" t="s">
        <v>622</v>
      </c>
      <c r="E13" s="12">
        <v>220</v>
      </c>
      <c r="F13" s="12">
        <v>75</v>
      </c>
      <c r="G13" s="12">
        <v>16500</v>
      </c>
      <c r="H13" s="261">
        <v>0.18</v>
      </c>
      <c r="I13" s="12">
        <v>19470</v>
      </c>
    </row>
    <row r="14" spans="1:56" x14ac:dyDescent="0.25">
      <c r="A14" s="282"/>
      <c r="B14" s="283"/>
      <c r="C14" s="262" t="e">
        <f>CUBEMEMBER("ThisWorkbookDataModel",{"[rArtikli_HR_Analiza].[StavkaKategorija.1].&amp;[2.32. Потрошени суровини и материјали]","[rArtikli_HR_Analiza].[Категорија Артикл].&amp;[Потрошен материјал]","[rArtikli_HR_Analiza].[Ставка].&amp;[Крпи за чистење на маси и други површини (микрофибер), со димензии330х330 мм +/- 20%]"})</f>
        <v>#N/A</v>
      </c>
      <c r="D14" s="213" t="s">
        <v>622</v>
      </c>
      <c r="E14" s="12">
        <v>220</v>
      </c>
      <c r="F14" s="12">
        <v>92</v>
      </c>
      <c r="G14" s="12">
        <v>20240</v>
      </c>
      <c r="H14" s="261">
        <v>0.18</v>
      </c>
      <c r="I14" s="12">
        <v>23883</v>
      </c>
    </row>
    <row r="15" spans="1:56" x14ac:dyDescent="0.25">
      <c r="A15" s="282"/>
      <c r="B15" s="283"/>
      <c r="C15" s="262" t="e">
        <f>CUBEMEMBER("ThisWorkbookDataModel",{"[rArtikli_HR_Analiza].[StavkaKategorija.1].&amp;[2.32. Потрошени суровини и материјали]","[rArtikli_HR_Analiza].[Категорија Артикл].&amp;[Потрошен материјал]","[rArtikli_HR_Analiza].[Ставка].&amp;[Лопатки за ѓубре]"})</f>
        <v>#N/A</v>
      </c>
      <c r="D15" s="213" t="s">
        <v>622</v>
      </c>
      <c r="E15" s="12">
        <v>67</v>
      </c>
      <c r="F15" s="12">
        <v>60</v>
      </c>
      <c r="G15" s="12">
        <v>4020</v>
      </c>
      <c r="H15" s="261">
        <v>0.18</v>
      </c>
      <c r="I15" s="12">
        <v>4744</v>
      </c>
    </row>
    <row r="16" spans="1:56" x14ac:dyDescent="0.25">
      <c r="A16" s="282"/>
      <c r="B16" s="283"/>
      <c r="C16" s="262" t="e">
        <f>CUBEMEMBER("ThisWorkbookDataModel",{"[rArtikli_HR_Analiza].[StavkaKategorija.1].&amp;[2.32. Потрошени суровини и материјали]","[rArtikli_HR_Analiza].[Категорија Артикл].&amp;[Потрошен материјал]","[rArtikli_HR_Analiza].[Ставка].&amp;[Метли]"})</f>
        <v>#N/A</v>
      </c>
      <c r="D16" s="213" t="s">
        <v>622</v>
      </c>
      <c r="E16" s="12">
        <v>59</v>
      </c>
      <c r="F16" s="12">
        <v>108</v>
      </c>
      <c r="G16" s="12">
        <v>6372</v>
      </c>
      <c r="H16" s="261">
        <v>0.18</v>
      </c>
      <c r="I16" s="12">
        <v>7519</v>
      </c>
    </row>
    <row r="17" spans="1:9" x14ac:dyDescent="0.25">
      <c r="A17" s="282"/>
      <c r="B17" s="283"/>
      <c r="C17" s="262" t="e">
        <f>CUBEMEMBER("ThisWorkbookDataModel",{"[rArtikli_HR_Analiza].[StavkaKategorija.1].&amp;[2.32. Потрошени суровини и материјали]","[rArtikli_HR_Analiza].[Категорија Артикл].&amp;[Потрошен материјал]","[rArtikli_HR_Analiza].[Ставка].&amp;[ПВЦ Кофа за цедење на џогер мин. 10 литри]"})</f>
        <v>#N/A</v>
      </c>
      <c r="D17" s="213" t="s">
        <v>622</v>
      </c>
      <c r="E17" s="12">
        <v>270</v>
      </c>
      <c r="F17" s="12">
        <v>150</v>
      </c>
      <c r="G17" s="12">
        <v>40500</v>
      </c>
      <c r="H17" s="261">
        <v>0.18</v>
      </c>
      <c r="I17" s="12">
        <v>47790</v>
      </c>
    </row>
    <row r="18" spans="1:9" x14ac:dyDescent="0.25">
      <c r="A18" s="282"/>
      <c r="B18" s="283"/>
      <c r="C18" s="262" t="e">
        <f>CUBEMEMBER("ThisWorkbookDataModel",{"[rArtikli_HR_Analiza].[StavkaKategorija.1].&amp;[2.32. Потрошени суровини и материјали]","[rArtikli_HR_Analiza].[Категорија Артикл].&amp;[Потрошен материјал]","[rArtikli_HR_Analiza].[Ставка].&amp;[Ракавици]"})</f>
        <v>#N/A</v>
      </c>
      <c r="D18" s="213" t="s">
        <v>622</v>
      </c>
      <c r="E18" s="12">
        <v>190</v>
      </c>
      <c r="F18" s="12">
        <v>80</v>
      </c>
      <c r="G18" s="12">
        <v>15200</v>
      </c>
      <c r="H18" s="261">
        <v>0.18</v>
      </c>
      <c r="I18" s="12">
        <v>17936</v>
      </c>
    </row>
    <row r="19" spans="1:9" x14ac:dyDescent="0.25">
      <c r="A19" s="282"/>
      <c r="B19" s="283"/>
      <c r="C19" s="262" t="e">
        <f>CUBEMEMBER("ThisWorkbookDataModel",{"[rArtikli_HR_Analiza].[StavkaKategorija.1].&amp;[2.32. Потрошени суровини и материјали]","[rArtikli_HR_Analiza].[Категорија Артикл].&amp;[Потрошен материјал]","[rArtikli_HR_Analiza].[Ставка].&amp;[Ракавици гумени хигиеничарски големина М,L,XL]"})</f>
        <v>#N/A</v>
      </c>
      <c r="D19" s="213" t="s">
        <v>622</v>
      </c>
      <c r="E19" s="12" t="s">
        <v>768</v>
      </c>
      <c r="F19" s="12">
        <v>100</v>
      </c>
      <c r="G19" s="12">
        <v>25000</v>
      </c>
      <c r="H19" s="261">
        <v>0.18</v>
      </c>
      <c r="I19" s="12">
        <v>29500</v>
      </c>
    </row>
    <row r="20" spans="1:9" x14ac:dyDescent="0.25">
      <c r="A20" s="282"/>
      <c r="B20" s="283"/>
      <c r="C20" s="262" t="e">
        <f>CUBEMEMBER("ThisWorkbookDataModel",{"[rArtikli_HR_Analiza].[StavkaKategorija.1].&amp;[2.32. Потрошени суровини и материјали]","[rArtikli_HR_Analiza].[Категорија Артикл].&amp;[Потрошен материјал]","[rArtikli_HR_Analiza].[Ставка].&amp;[Резерва за џогер пуцвал]"})</f>
        <v>#N/A</v>
      </c>
      <c r="D20" s="213" t="s">
        <v>622</v>
      </c>
      <c r="E20" s="12">
        <v>50</v>
      </c>
      <c r="F20" s="12">
        <v>150</v>
      </c>
      <c r="G20" s="12">
        <v>7500</v>
      </c>
      <c r="H20" s="261">
        <v>0.18</v>
      </c>
      <c r="I20" s="12">
        <v>8850</v>
      </c>
    </row>
    <row r="21" spans="1:9" x14ac:dyDescent="0.25">
      <c r="A21" s="282"/>
      <c r="B21" s="283"/>
      <c r="C21" s="262"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миење на садови: 5-15% анјонски активни материи, &lt; 5% нејонски активни материи, парфем, 750 -1000мл]"})</f>
        <v>#N/A</v>
      </c>
      <c r="D21" s="213" t="s">
        <v>622</v>
      </c>
      <c r="E21" s="12">
        <v>320</v>
      </c>
      <c r="F21" s="12">
        <v>120</v>
      </c>
      <c r="G21" s="12">
        <v>38400</v>
      </c>
      <c r="H21" s="261">
        <v>0.18</v>
      </c>
      <c r="I21" s="12">
        <v>45312</v>
      </c>
    </row>
    <row r="22" spans="1:9" x14ac:dyDescent="0.25">
      <c r="A22" s="282"/>
      <c r="B22" s="283"/>
      <c r="C22" s="262"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чистење на плочки, пакување од  0,5л - 1 литар]"})</f>
        <v>#N/A</v>
      </c>
      <c r="D22" s="213" t="s">
        <v>622</v>
      </c>
      <c r="E22" s="12">
        <v>330</v>
      </c>
      <c r="F22" s="12">
        <v>150</v>
      </c>
      <c r="G22" s="12">
        <v>49500</v>
      </c>
      <c r="H22" s="261">
        <v>0.18</v>
      </c>
      <c r="I22" s="12">
        <v>58410</v>
      </c>
    </row>
    <row r="23" spans="1:9" x14ac:dyDescent="0.25">
      <c r="A23" s="282"/>
      <c r="B23" s="283"/>
      <c r="C23" s="262"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чистење на подови  кое се состои најмалку од &lt;5% Non-Ionic Surfactants, Perfume, Benzisothiazolinone, алкохол, боја]"})</f>
        <v>#N/A</v>
      </c>
      <c r="D23" s="213" t="s">
        <v>622</v>
      </c>
      <c r="E23" s="12">
        <v>315</v>
      </c>
      <c r="F23" s="12">
        <v>40</v>
      </c>
      <c r="G23" s="12">
        <v>12600</v>
      </c>
      <c r="H23" s="261">
        <v>0.18</v>
      </c>
      <c r="I23" s="12">
        <v>14868</v>
      </c>
    </row>
    <row r="24" spans="1:9" x14ac:dyDescent="0.25">
      <c r="A24" s="282"/>
      <c r="B24" s="283"/>
      <c r="C24" s="262"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чистење на тоалет санитарии антибигор против наслаги од каменец, рѓа и сапун, &lt;5% ензиоактиви нејонски, тензиоактиви анфотери, фосфонати, парфем, 750 -1000мл.]"})</f>
        <v>#N/A</v>
      </c>
      <c r="D24" s="213" t="s">
        <v>622</v>
      </c>
      <c r="E24" s="12">
        <v>350</v>
      </c>
      <c r="F24" s="12">
        <v>200</v>
      </c>
      <c r="G24" s="12">
        <v>70000</v>
      </c>
      <c r="H24" s="261">
        <v>0.18</v>
      </c>
      <c r="I24" s="12">
        <v>82600</v>
      </c>
    </row>
    <row r="25" spans="1:9" x14ac:dyDescent="0.25">
      <c r="A25" s="282"/>
      <c r="B25" s="283"/>
      <c r="C25" s="262" t="e">
        <f>CUBEMEMBER("ThisWorkbookDataModel",{"[rArtikli_HR_Analiza].[StavkaKategorija.1].&amp;[2.32. Потрошени суровини и материјали]","[rArtikli_HR_Analiza].[Категорија Артикл].&amp;[Потрошен материјал]","[rArtikli_HR_Analiza].[Ставка].&amp;[Средство за чистење стаклени површини со пумпа распрскувач кое се состои најмалку од &lt;5% Non-Ionic Surfactants, Perfume, Benzisothiazolinone]"})</f>
        <v>#N/A</v>
      </c>
      <c r="D25" s="213" t="s">
        <v>622</v>
      </c>
      <c r="E25" s="12">
        <v>250</v>
      </c>
      <c r="F25" s="12">
        <v>150</v>
      </c>
      <c r="G25" s="12">
        <v>37500</v>
      </c>
      <c r="H25" s="261">
        <v>0.18</v>
      </c>
      <c r="I25" s="12">
        <v>44250</v>
      </c>
    </row>
    <row r="26" spans="1:9" x14ac:dyDescent="0.25">
      <c r="A26" s="282"/>
      <c r="B26" s="283"/>
      <c r="C26" s="262" t="e">
        <f>CUBEMEMBER("ThisWorkbookDataModel",{"[rArtikli_HR_Analiza].[StavkaKategorija.1].&amp;[2.32. Потрошени суровини и материјали]","[rArtikli_HR_Analiza].[Категорија Артикл].&amp;[Потрошен материјал]","[rArtikli_HR_Analiza].[Ставка].&amp;[Сунѓери со абразивна подлога за миење на садови, димензии мин. 9х5 см]"})</f>
        <v>#N/A</v>
      </c>
      <c r="D26" s="213" t="s">
        <v>622</v>
      </c>
      <c r="E26" s="12">
        <v>168</v>
      </c>
      <c r="F26" s="12">
        <v>29</v>
      </c>
      <c r="G26" s="12">
        <v>4872</v>
      </c>
      <c r="H26" s="261">
        <v>0.18</v>
      </c>
      <c r="I26" s="12">
        <v>5749</v>
      </c>
    </row>
    <row r="27" spans="1:9" x14ac:dyDescent="0.25">
      <c r="A27" s="282"/>
      <c r="B27" s="283"/>
      <c r="C27" s="262" t="e">
        <f>CUBEMEMBER("ThisWorkbookDataModel",{"[rArtikli_HR_Analiza].[StavkaKategorija.1].&amp;[2.32. Потрошени суровини и материјали]","[rArtikli_HR_Analiza].[Категорија Артикл].&amp;[Потрошен материјал]","[rArtikli_HR_Analiza].[Ставка].&amp;[Течен сапун за миење на раце со ph неутрален фактор, антибактериски, во пакување од 300 мл до 1 литар со пумпица]"})</f>
        <v>#N/A</v>
      </c>
      <c r="D27" s="213" t="s">
        <v>622</v>
      </c>
      <c r="E27" s="12">
        <v>270</v>
      </c>
      <c r="F27" s="12">
        <v>80</v>
      </c>
      <c r="G27" s="12">
        <v>21600</v>
      </c>
      <c r="H27" s="261">
        <v>0.18</v>
      </c>
      <c r="I27" s="12">
        <v>25488</v>
      </c>
    </row>
    <row r="28" spans="1:9" x14ac:dyDescent="0.25">
      <c r="A28" s="282"/>
      <c r="B28" s="283"/>
      <c r="C28" s="262" t="e">
        <f>CUBEMEMBER("ThisWorkbookDataModel",{"[rArtikli_HR_Analiza].[StavkaKategorija.1].&amp;[2.32. Потрошени суровини и материјали]","[rArtikli_HR_Analiza].[Категорија Артикл].&amp;[Потрошен материјал]","[rArtikli_HR_Analiza].[Ставка].&amp;[Трослојна абсорбентна хартија 100% целулоза, бела боја со најмалку 100 ливчиња во ролна со димензии најмалку 230 х 100 mm во поединечно пакување во кеса со должина на хартија во ролната од најмалку 25 метри]"})</f>
        <v>#N/A</v>
      </c>
      <c r="D28" s="213" t="s">
        <v>622</v>
      </c>
      <c r="E28" s="12">
        <v>599</v>
      </c>
      <c r="F28" s="12">
        <v>180</v>
      </c>
      <c r="G28" s="12">
        <v>107820</v>
      </c>
      <c r="H28" s="261">
        <v>0.18</v>
      </c>
      <c r="I28" s="12">
        <v>127228</v>
      </c>
    </row>
    <row r="29" spans="1:9" x14ac:dyDescent="0.25">
      <c r="A29" s="282"/>
      <c r="B29" s="283"/>
      <c r="C29" s="262" t="e">
        <f>CUBEMEMBER("ThisWorkbookDataModel",{"[rArtikli_HR_Analiza].[StavkaKategorija.1].&amp;[2.32. Потрошени суровини и материјали]","[rArtikli_HR_Analiza].[Категорија Артикл].&amp;[Потрошен материјал]","[rArtikli_HR_Analiza].[Ставка].&amp;[Трослојна тоалетна хартија во ролна 100% целулоза, бела боја со најмалку 200 листови со димензии најмалку 100 х 205mm]"})</f>
        <v>#N/A</v>
      </c>
      <c r="D29" s="213" t="s">
        <v>622</v>
      </c>
      <c r="E29" s="12">
        <v>590</v>
      </c>
      <c r="F29" s="12">
        <v>290</v>
      </c>
      <c r="G29" s="12">
        <v>171100</v>
      </c>
      <c r="H29" s="261">
        <v>0.18</v>
      </c>
      <c r="I29" s="12">
        <v>201898</v>
      </c>
    </row>
    <row r="30" spans="1:9" x14ac:dyDescent="0.25">
      <c r="A30" s="282"/>
      <c r="B30" s="283"/>
      <c r="C30" s="262" t="e">
        <f>CUBEMEMBER("ThisWorkbookDataModel",{"[rArtikli_HR_Analiza].[StavkaKategorija.1].&amp;[2.32. Потрошени суровини и материјали]","[rArtikli_HR_Analiza].[Категорија Артикл].&amp;[Потрошен материјал]","[rArtikli_HR_Analiza].[Ставка].&amp;[Четка за WC шоља со пластична рачка]"})</f>
        <v>#N/A</v>
      </c>
      <c r="D30" s="213" t="s">
        <v>622</v>
      </c>
      <c r="E30" s="12">
        <v>50</v>
      </c>
      <c r="F30" s="12">
        <v>100</v>
      </c>
      <c r="G30" s="12">
        <v>5000</v>
      </c>
      <c r="H30" s="261">
        <v>0.18</v>
      </c>
      <c r="I30" s="12">
        <v>5900</v>
      </c>
    </row>
    <row r="31" spans="1:9" x14ac:dyDescent="0.25">
      <c r="A31" s="282"/>
      <c r="B31" s="283"/>
      <c r="C31" s="262" t="e">
        <f>CUBEMEMBER("ThisWorkbookDataModel",{"[rArtikli_HR_Analiza].[StavkaKategorija.1].&amp;[2.32. Потрошени суровини и материјали]","[rArtikli_HR_Analiza].[Категорија Артикл].&amp;[Потрошен материјал]","[rArtikli_HR_Analiza].[Ставка].&amp;[Четка за собирање на пајажина со димензии на рачка од 80 см до 120 см]"})</f>
        <v>#N/A</v>
      </c>
      <c r="D31" s="213" t="s">
        <v>622</v>
      </c>
      <c r="E31" s="12">
        <v>35</v>
      </c>
      <c r="F31" s="12">
        <v>108</v>
      </c>
      <c r="G31" s="12">
        <v>3780</v>
      </c>
      <c r="H31" s="261">
        <v>0.18</v>
      </c>
      <c r="I31" s="12">
        <v>4460</v>
      </c>
    </row>
    <row r="32" spans="1:9" x14ac:dyDescent="0.25">
      <c r="A32" s="282"/>
      <c r="B32" s="283"/>
      <c r="C32" s="262" t="e">
        <f>CUBEMEMBER("ThisWorkbookDataModel",{"[rArtikli_HR_Analiza].[StavkaKategorija.1].&amp;[2.32. Потрошени суровини и материјали]","[rArtikli_HR_Analiza].[Категорија Артикл].&amp;[Потрошен материјал]","[rArtikli_HR_Analiza].[Ставка].&amp;[Џогер Пуцвал со рачка во висина минимум 140 см]"})</f>
        <v>#N/A</v>
      </c>
      <c r="D32" s="213" t="s">
        <v>622</v>
      </c>
      <c r="E32" s="12">
        <v>90</v>
      </c>
      <c r="F32" s="12">
        <v>500</v>
      </c>
      <c r="G32" s="12">
        <v>45000</v>
      </c>
      <c r="H32" s="261">
        <v>0.18</v>
      </c>
      <c r="I32" s="12">
        <v>53100</v>
      </c>
    </row>
    <row r="33" spans="1:9" x14ac:dyDescent="0.25">
      <c r="A33" s="282"/>
      <c r="B33" s="283" t="e">
        <f>CUBEMEMBER("ThisWorkbookDataModel",{"[rArtikli_HR_Analiza].[StavkaKategorija.1].&amp;[2.32. Потрошени суровини и материјали]","[rArtikli_HR_Analiza].[Категорија Артикл].&amp;[Потрошен материјал]"},"Потрошен материјал Total")</f>
        <v>#N/A</v>
      </c>
      <c r="C33" s="283"/>
      <c r="D33" s="276"/>
      <c r="E33" s="277">
        <v>5283</v>
      </c>
      <c r="F33" s="277">
        <v>3012</v>
      </c>
      <c r="G33" s="278">
        <v>850004</v>
      </c>
      <c r="H33" s="279">
        <v>3.78</v>
      </c>
      <c r="I33" s="278">
        <v>1003005</v>
      </c>
    </row>
    <row r="34" spans="1:9" x14ac:dyDescent="0.25">
      <c r="A34" s="282"/>
      <c r="B34" s="283" t="e">
        <f>CUBEMEMBER("ThisWorkbookDataModel",{"[rArtikli_HR_Analiza].[StavkaKategorija.1].&amp;[2.32. Потрошени суровини и материјали]","[rArtikli_HR_Analiza].[Категорија Артикл].&amp;[Ситен инвентар, авто гуми]"})</f>
        <v>#N/A</v>
      </c>
      <c r="C34" s="262" t="e">
        <f>CUBEMEMBER("ThisWorkbookDataModel",{"[rArtikli_HR_Analiza].[StavkaKategorija.1].&amp;[2.32. Потрошени суровини и материјали]","[rArtikli_HR_Analiza].[Категорија Артикл].&amp;[Ситен инвентар, авто гуми]","[rArtikli_HR_Analiza].[Ставка].&amp;[Заштита од пренапон - приклучници]"})</f>
        <v>#N/A</v>
      </c>
      <c r="D34" s="213" t="s">
        <v>622</v>
      </c>
      <c r="E34" s="12">
        <v>26</v>
      </c>
      <c r="F34" s="12">
        <v>1500</v>
      </c>
      <c r="G34" s="12">
        <v>39000</v>
      </c>
      <c r="H34" s="261">
        <v>0.18</v>
      </c>
      <c r="I34" s="12">
        <v>46020</v>
      </c>
    </row>
    <row r="35" spans="1:9" x14ac:dyDescent="0.25">
      <c r="A35" s="282"/>
      <c r="B35" s="283"/>
      <c r="C35" s="262" t="e">
        <f>CUBEMEMBER("ThisWorkbookDataModel",{"[rArtikli_HR_Analiza].[StavkaKategorija.1].&amp;[2.32. Потрошени суровини и материјали]","[rArtikli_HR_Analiza].[Категорија Артикл].&amp;[Ситен инвентар, авто гуми]","[rArtikli_HR_Analiza].[Ставка].&amp;[Останат ситен инвентар]"})</f>
        <v>#N/A</v>
      </c>
      <c r="D35" s="213" t="s">
        <v>622</v>
      </c>
      <c r="E35" s="12">
        <v>1</v>
      </c>
      <c r="F35" s="12"/>
      <c r="G35" s="12">
        <v>0</v>
      </c>
      <c r="H35" s="261">
        <v>0</v>
      </c>
      <c r="I35" s="12">
        <v>20207</v>
      </c>
    </row>
    <row r="36" spans="1:9" x14ac:dyDescent="0.25">
      <c r="A36" s="282"/>
      <c r="B36" s="283"/>
      <c r="C36" s="262" t="e">
        <f>CUBEMEMBER("ThisWorkbookDataModel",{"[rArtikli_HR_Analiza].[StavkaKategorija.1].&amp;[2.32. Потрошени суровини и материјали]","[rArtikli_HR_Analiza].[Категорија Артикл].&amp;[Ситен инвентар, авто гуми]","[rArtikli_HR_Analiza].[Ставка].&amp;[ПП апарати за гаснење пожар предизивикан од електрична енергија]"})</f>
        <v>#N/A</v>
      </c>
      <c r="D36" s="213" t="s">
        <v>622</v>
      </c>
      <c r="E36" s="12">
        <v>50</v>
      </c>
      <c r="F36" s="12">
        <v>6000</v>
      </c>
      <c r="G36" s="12">
        <v>300000</v>
      </c>
      <c r="H36" s="261">
        <v>0</v>
      </c>
      <c r="I36" s="12">
        <v>300000</v>
      </c>
    </row>
    <row r="37" spans="1:9" x14ac:dyDescent="0.25">
      <c r="A37" s="282"/>
      <c r="B37" s="283"/>
      <c r="C37" s="262" t="e">
        <f>CUBEMEMBER("ThisWorkbookDataModel",{"[rArtikli_HR_Analiza].[StavkaKategorija.1].&amp;[2.32. Потрошени суровини и материјали]","[rArtikli_HR_Analiza].[Категорија Артикл].&amp;[Ситен инвентар, авто гуми]","[rArtikli_HR_Analiza].[Ставка].&amp;[ПП апарати за гаснење пожар со CO2]"})</f>
        <v>#N/A</v>
      </c>
      <c r="D37" s="213" t="s">
        <v>622</v>
      </c>
      <c r="E37" s="12">
        <v>45</v>
      </c>
      <c r="F37" s="12">
        <v>2400</v>
      </c>
      <c r="G37" s="12">
        <v>108000</v>
      </c>
      <c r="H37" s="261">
        <v>0</v>
      </c>
      <c r="I37" s="12">
        <v>108000</v>
      </c>
    </row>
    <row r="38" spans="1:9" x14ac:dyDescent="0.25">
      <c r="A38" s="282"/>
      <c r="B38" s="283"/>
      <c r="C38" s="262" t="e">
        <f>CUBEMEMBER("ThisWorkbookDataModel",{"[rArtikli_HR_Analiza].[StavkaKategorija.1].&amp;[2.32. Потрошени суровини и материјали]","[rArtikli_HR_Analiza].[Категорија Артикл].&amp;[Ситен инвентар, авто гуми]","[rArtikli_HR_Analiza].[Ставка].&amp;[Уреди за непрекинато напојување УНН]"})</f>
        <v>#N/A</v>
      </c>
      <c r="D38" s="213" t="s">
        <v>622</v>
      </c>
      <c r="E38" s="12">
        <v>26</v>
      </c>
      <c r="F38" s="12">
        <v>9225</v>
      </c>
      <c r="G38" s="12">
        <v>239850</v>
      </c>
      <c r="H38" s="261">
        <v>0.18</v>
      </c>
      <c r="I38" s="12">
        <v>283023</v>
      </c>
    </row>
    <row r="39" spans="1:9" x14ac:dyDescent="0.25">
      <c r="A39" s="282"/>
      <c r="B39" s="283" t="e">
        <f>CUBEMEMBER("ThisWorkbookDataModel",{"[rArtikli_HR_Analiza].[StavkaKategorija.1].&amp;[2.32. Потрошени суровини и материјали]","[rArtikli_HR_Analiza].[Категорија Артикл].&amp;[Ситен инвентар, авто гуми]"},"Ситен инвентар, авто гуми Total")</f>
        <v>#N/A</v>
      </c>
      <c r="C39" s="283"/>
      <c r="D39" s="276"/>
      <c r="E39" s="277">
        <v>148</v>
      </c>
      <c r="F39" s="277">
        <v>19125</v>
      </c>
      <c r="G39" s="278">
        <v>686850</v>
      </c>
      <c r="H39" s="279">
        <v>0.36</v>
      </c>
      <c r="I39" s="278">
        <v>757250</v>
      </c>
    </row>
    <row r="40" spans="1:9" x14ac:dyDescent="0.25">
      <c r="A40" s="282"/>
      <c r="B40" s="283" t="e">
        <f>CUBEMEMBER("ThisWorkbookDataModel",{"[rArtikli_HR_Analiza].[StavkaKategorija.1].&amp;[2.32. Потрошени суровини и материјали]","[rArtikli_HR_Analiza].[Категорија Артикл].&amp;[Тековно и останато одржување]"})</f>
        <v>#N/A</v>
      </c>
      <c r="C40"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одржување]","[rArtikli_HR_Analiza].[Ставка].&amp;[Алкохол]"})</f>
        <v>#N/A</v>
      </c>
      <c r="D40" s="213" t="s">
        <v>622</v>
      </c>
      <c r="E40" s="12">
        <v>1845</v>
      </c>
      <c r="F40" s="12">
        <v>107</v>
      </c>
      <c r="G40" s="12">
        <v>197415</v>
      </c>
      <c r="H40" s="261">
        <v>0.18</v>
      </c>
      <c r="I40" s="12">
        <v>232950</v>
      </c>
    </row>
    <row r="41" spans="1:9" x14ac:dyDescent="0.25">
      <c r="A41" s="282"/>
      <c r="B41" s="283"/>
      <c r="C41"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одржување]","[rArtikli_HR_Analiza].[Ставка].&amp;[Визири]"})</f>
        <v>#N/A</v>
      </c>
      <c r="D41" s="213" t="s">
        <v>622</v>
      </c>
      <c r="E41" s="12">
        <v>1700</v>
      </c>
      <c r="F41" s="12">
        <v>300</v>
      </c>
      <c r="G41" s="12">
        <v>510000</v>
      </c>
      <c r="H41" s="261">
        <v>0.18</v>
      </c>
      <c r="I41" s="12">
        <v>601800</v>
      </c>
    </row>
    <row r="42" spans="1:9" x14ac:dyDescent="0.25">
      <c r="A42" s="282"/>
      <c r="B42" s="283"/>
      <c r="C42"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батерии]"})</f>
        <v>#N/A</v>
      </c>
      <c r="D42" s="213" t="s">
        <v>714</v>
      </c>
      <c r="E42" s="12">
        <v>40</v>
      </c>
      <c r="F42" s="12">
        <v>150</v>
      </c>
      <c r="G42" s="12">
        <v>6000</v>
      </c>
      <c r="H42" s="261">
        <v>0</v>
      </c>
      <c r="I42" s="12">
        <v>6000</v>
      </c>
    </row>
    <row r="43" spans="1:9" x14ac:dyDescent="0.25">
      <c r="A43" s="282"/>
      <c r="B43" s="283"/>
      <c r="C43"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казанчиња]"})</f>
        <v>#N/A</v>
      </c>
      <c r="D43" s="213" t="s">
        <v>714</v>
      </c>
      <c r="E43" s="12">
        <v>2</v>
      </c>
      <c r="F43" s="12">
        <v>2500</v>
      </c>
      <c r="G43" s="12">
        <v>5000</v>
      </c>
      <c r="H43" s="261">
        <v>0</v>
      </c>
      <c r="I43" s="12">
        <v>5000</v>
      </c>
    </row>
    <row r="44" spans="1:9" x14ac:dyDescent="0.25">
      <c r="A44" s="282"/>
      <c r="B44" s="283"/>
      <c r="C44"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пловаци]"})</f>
        <v>#N/A</v>
      </c>
      <c r="D44" s="213" t="s">
        <v>714</v>
      </c>
      <c r="E44" s="12">
        <v>5</v>
      </c>
      <c r="F44" s="12">
        <v>100</v>
      </c>
      <c r="G44" s="12">
        <v>500</v>
      </c>
      <c r="H44" s="261">
        <v>0</v>
      </c>
      <c r="I44" s="12">
        <v>500</v>
      </c>
    </row>
    <row r="45" spans="1:9" x14ac:dyDescent="0.25">
      <c r="A45" s="282"/>
      <c r="B45" s="283"/>
      <c r="C45"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продолжен кабел]"})</f>
        <v>#N/A</v>
      </c>
      <c r="D45" s="213" t="s">
        <v>714</v>
      </c>
      <c r="E45" s="12">
        <v>15</v>
      </c>
      <c r="F45" s="12">
        <v>500</v>
      </c>
      <c r="G45" s="12">
        <v>7500</v>
      </c>
      <c r="H45" s="261">
        <v>0</v>
      </c>
      <c r="I45" s="12">
        <v>7500</v>
      </c>
    </row>
    <row r="46" spans="1:9" x14ac:dyDescent="0.25">
      <c r="A46" s="282"/>
      <c r="B46" s="283"/>
      <c r="C46"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одржување]","[rArtikli_HR_Analiza].[Ставка].&amp;[Резервни делови - чешми]"})</f>
        <v>#N/A</v>
      </c>
      <c r="D46" s="213" t="s">
        <v>714</v>
      </c>
      <c r="E46" s="12">
        <v>10</v>
      </c>
      <c r="F46" s="12">
        <v>600</v>
      </c>
      <c r="G46" s="12">
        <v>6000</v>
      </c>
      <c r="H46" s="261">
        <v>0</v>
      </c>
      <c r="I46" s="12">
        <v>6000</v>
      </c>
    </row>
    <row r="47" spans="1:9" x14ac:dyDescent="0.25">
      <c r="A47" s="282"/>
      <c r="B47" s="283"/>
      <c r="C47"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одржување]","[rArtikli_HR_Analiza].[Ставка].&amp;[Средство за дезинфекција за вработени]"})</f>
        <v>#N/A</v>
      </c>
      <c r="D47" s="213" t="s">
        <v>622</v>
      </c>
      <c r="E47" s="12">
        <v>1845</v>
      </c>
      <c r="F47" s="12">
        <v>156</v>
      </c>
      <c r="G47" s="12">
        <v>287021.29950000002</v>
      </c>
      <c r="H47" s="261">
        <v>0.18</v>
      </c>
      <c r="I47" s="12">
        <v>338685</v>
      </c>
    </row>
    <row r="48" spans="1:9" x14ac:dyDescent="0.25">
      <c r="A48" s="282"/>
      <c r="B48" s="283"/>
      <c r="C48"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одржување]","[rArtikli_HR_Analiza].[Ставка].&amp;[Средство за дезинфекција на површини]"})</f>
        <v>#N/A</v>
      </c>
      <c r="D48" s="213" t="s">
        <v>622</v>
      </c>
      <c r="E48" s="12">
        <v>1845</v>
      </c>
      <c r="F48" s="12">
        <v>150</v>
      </c>
      <c r="G48" s="12">
        <v>276750</v>
      </c>
      <c r="H48" s="261">
        <v>0.18</v>
      </c>
      <c r="I48" s="12">
        <v>326565</v>
      </c>
    </row>
    <row r="49" spans="1:9" x14ac:dyDescent="0.25">
      <c r="A49" s="282"/>
      <c r="B49" s="283"/>
      <c r="C49" s="262" t="e">
        <f>CUBEMEMBER("ThisWorkbookDataModel",{"[rArtikli_HR_Analiza].[StavkaKategorija.1].&amp;[2.32. Потрошени суровини и материјали]","[rArtikli_HR_Analiza].[Категорија Артикл].&amp;[Тековно и останато одржување]","[rArtikli_HR_Analiza].[Ставка].&amp;[Трошоци за нафта за затоплување со склучен договор]"})</f>
        <v>#N/A</v>
      </c>
      <c r="D49" s="213" t="s">
        <v>619</v>
      </c>
      <c r="E49" s="12">
        <v>4</v>
      </c>
      <c r="F49" s="12">
        <v>278775</v>
      </c>
      <c r="G49" s="12">
        <v>1115100</v>
      </c>
      <c r="H49" s="261">
        <v>0</v>
      </c>
      <c r="I49" s="12">
        <v>1115100</v>
      </c>
    </row>
    <row r="50" spans="1:9" x14ac:dyDescent="0.25">
      <c r="A50" s="282"/>
      <c r="B50" s="283" t="e">
        <f>CUBEMEMBER("ThisWorkbookDataModel",{"[rArtikli_HR_Analiza].[StavkaKategorija.1].&amp;[2.32. Потрошени суровини и материјали]","[rArtikli_HR_Analiza].[Категорија Артикл].&amp;[Тековно и останато одржување]"},"Тековно и останато одржување Total")</f>
        <v>#N/A</v>
      </c>
      <c r="C50" s="283"/>
      <c r="D50" s="276"/>
      <c r="E50" s="277">
        <v>7311</v>
      </c>
      <c r="F50" s="277">
        <v>283338</v>
      </c>
      <c r="G50" s="278">
        <v>2411286.2994999997</v>
      </c>
      <c r="H50" s="279">
        <v>0.72</v>
      </c>
      <c r="I50" s="278">
        <v>2640100</v>
      </c>
    </row>
    <row r="51" spans="1:9" x14ac:dyDescent="0.25">
      <c r="A51" s="282"/>
      <c r="B51" s="283" t="e">
        <f>CUBEMEMBER("ThisWorkbookDataModel",{"[rArtikli_HR_Analiza].[StavkaKategorija.1].&amp;[2.32. Потрошени суровини и материјали]","[rArtikli_HR_Analiza].[Категорија Артикл].&amp;[Трошоци за возила]"})</f>
        <v>#N/A</v>
      </c>
      <c r="C51" s="262" t="e">
        <f>CUBEMEMBER("ThisWorkbookDataModel",{"[rArtikli_HR_Analiza].[StavkaKategorija.1].&amp;[2.32. Потрошени суровини и материјали]","[rArtikli_HR_Analiza].[Категорија Артикл].&amp;[Трошоци за возила]","[rArtikli_HR_Analiza].[Ставка].&amp;[Зимски пневматици]"})</f>
        <v>#N/A</v>
      </c>
      <c r="D51" s="213" t="s">
        <v>622</v>
      </c>
      <c r="E51" s="12">
        <v>6</v>
      </c>
      <c r="F51" s="12">
        <v>7500</v>
      </c>
      <c r="G51" s="12">
        <v>45000</v>
      </c>
      <c r="H51" s="261">
        <v>0</v>
      </c>
      <c r="I51" s="12">
        <v>45000</v>
      </c>
    </row>
    <row r="52" spans="1:9" x14ac:dyDescent="0.25">
      <c r="A52" s="282"/>
      <c r="B52" s="283"/>
      <c r="C52" s="262" t="e">
        <f>CUBEMEMBER("ThisWorkbookDataModel",{"[rArtikli_HR_Analiza].[StavkaKategorija.1].&amp;[2.32. Потрошени суровини и материјали]","[rArtikli_HR_Analiza].[Категорија Артикл].&amp;[Трошоци за возила]","[rArtikli_HR_Analiza].[Ставка].&amp;[Летни пневматици]"})</f>
        <v>#N/A</v>
      </c>
      <c r="D52" s="213" t="s">
        <v>622</v>
      </c>
      <c r="E52" s="12">
        <v>6</v>
      </c>
      <c r="F52" s="12">
        <v>7500</v>
      </c>
      <c r="G52" s="12">
        <v>45000</v>
      </c>
      <c r="H52" s="261">
        <v>0</v>
      </c>
      <c r="I52" s="12">
        <v>45000</v>
      </c>
    </row>
    <row r="53" spans="1:9" x14ac:dyDescent="0.25">
      <c r="A53" s="282"/>
      <c r="B53" s="283"/>
      <c r="C53" s="262" t="e">
        <f>CUBEMEMBER("ThisWorkbookDataModel",{"[rArtikli_HR_Analiza].[StavkaKategorija.1].&amp;[2.32. Потрошени суровини и материјали]","[rArtikli_HR_Analiza].[Категорија Артикл].&amp;[Трошоци за возила]","[rArtikli_HR_Analiza].[Ставка].&amp;[Потрошено гориво]"})</f>
        <v>#N/A</v>
      </c>
      <c r="D53" s="213" t="s">
        <v>620</v>
      </c>
      <c r="E53" s="12">
        <v>12</v>
      </c>
      <c r="F53" s="12">
        <v>45904</v>
      </c>
      <c r="G53" s="12">
        <v>550847.39999999991</v>
      </c>
      <c r="H53" s="261">
        <v>0.18</v>
      </c>
      <c r="I53" s="12">
        <v>650000</v>
      </c>
    </row>
    <row r="54" spans="1:9" x14ac:dyDescent="0.25">
      <c r="A54" s="282"/>
      <c r="B54" s="283" t="e">
        <f>CUBEMEMBER("ThisWorkbookDataModel",{"[rArtikli_HR_Analiza].[StavkaKategorija.1].&amp;[2.32. Потрошени суровини и материјали]","[rArtikli_HR_Analiza].[Категорија Артикл].&amp;[Трошоци за возила]"},"Трошоци за возила Total")</f>
        <v>#N/A</v>
      </c>
      <c r="C54" s="283"/>
      <c r="D54" s="276"/>
      <c r="E54" s="278">
        <v>24</v>
      </c>
      <c r="F54" s="278">
        <v>60904</v>
      </c>
      <c r="G54" s="278">
        <v>640847.39999999991</v>
      </c>
      <c r="H54" s="280">
        <v>0.18</v>
      </c>
      <c r="I54" s="278">
        <v>740000</v>
      </c>
    </row>
    <row r="55" spans="1:9" x14ac:dyDescent="0.25">
      <c r="A55" s="282" t="str" vm="675">
        <f>CUBEMEMBER("ThisWorkbookDataModel","[rArtikli_HR_Analiza].[StavkaKategorija.1].&amp;[2.32. Потрошени суровини и материјали]","2.32. Потрошени суровини и материјали Total")</f>
        <v>2.32. Потрошени суровини и материјали Total</v>
      </c>
      <c r="B55" s="283"/>
      <c r="C55" s="283"/>
      <c r="D55" s="276"/>
      <c r="E55" s="278">
        <v>21248</v>
      </c>
      <c r="F55" s="278">
        <v>658646</v>
      </c>
      <c r="G55" s="278">
        <v>9399988.0994999874</v>
      </c>
      <c r="H55" s="280">
        <v>5.5799999999999992</v>
      </c>
      <c r="I55" s="278">
        <v>10247155</v>
      </c>
    </row>
    <row r="56" spans="1:9" ht="120" x14ac:dyDescent="0.25">
      <c r="A56" s="282" t="str" vm="245">
        <f>CUBEMEMBER("ThisWorkbookDataModel","[rArtikli_HR_Analiza].[StavkaKategorija.1].&amp;[2.37. Останати оперативни расходи]")</f>
        <v>2.37. Останати оперативни расходи</v>
      </c>
      <c r="B56" s="283" t="e">
        <f>CUBEMEMBER("ThisWorkbookDataModel",{"[rArtikli_HR_Analiza].[StavkaKategorija.1].&amp;[2.37. Останати оперативни расходи]","[rArtikli_HR_Analiza].[Категорија Артикл].&amp;[Едногодишни лиценци на софтверски решенија]"})</f>
        <v>#N/A</v>
      </c>
      <c r="C56" s="262" t="s">
        <v>636</v>
      </c>
      <c r="D56" s="213" t="s">
        <v>715</v>
      </c>
      <c r="E56" s="12">
        <v>1</v>
      </c>
      <c r="F56" s="12">
        <v>600000</v>
      </c>
      <c r="G56" s="12">
        <v>600000</v>
      </c>
      <c r="H56" s="261">
        <v>0.18</v>
      </c>
      <c r="I56" s="12">
        <v>708000</v>
      </c>
    </row>
    <row r="57" spans="1:9" ht="30" x14ac:dyDescent="0.25">
      <c r="A57" s="282"/>
      <c r="B57" s="283"/>
      <c r="C57" s="262" t="s">
        <v>637</v>
      </c>
      <c r="D57" s="213" t="s">
        <v>715</v>
      </c>
      <c r="E57" s="12">
        <v>1</v>
      </c>
      <c r="F57" s="12">
        <v>850000</v>
      </c>
      <c r="G57" s="12">
        <v>850000</v>
      </c>
      <c r="H57" s="261">
        <v>0.18</v>
      </c>
      <c r="I57" s="12">
        <v>1003000</v>
      </c>
    </row>
    <row r="58" spans="1:9" ht="30" x14ac:dyDescent="0.25">
      <c r="A58" s="282"/>
      <c r="B58" s="283" t="s">
        <v>736</v>
      </c>
      <c r="C58" s="283"/>
      <c r="D58" s="276"/>
      <c r="E58" s="278">
        <v>2</v>
      </c>
      <c r="F58" s="278">
        <v>1450000</v>
      </c>
      <c r="G58" s="278">
        <v>1450000</v>
      </c>
      <c r="H58" s="280">
        <v>0.36</v>
      </c>
      <c r="I58" s="278">
        <v>1711000</v>
      </c>
    </row>
    <row r="59" spans="1:9" x14ac:dyDescent="0.25">
      <c r="A59" s="282"/>
      <c r="B59" s="283" t="s">
        <v>721</v>
      </c>
      <c r="C59" s="262" t="s">
        <v>640</v>
      </c>
      <c r="D59" s="213" t="s">
        <v>619</v>
      </c>
      <c r="E59" s="12">
        <v>12</v>
      </c>
      <c r="F59" s="12">
        <v>25286</v>
      </c>
      <c r="G59" s="12">
        <v>303428.16000000003</v>
      </c>
      <c r="H59" s="261">
        <v>0.05</v>
      </c>
      <c r="I59" s="12">
        <v>318600</v>
      </c>
    </row>
    <row r="60" spans="1:9" x14ac:dyDescent="0.25">
      <c r="A60" s="282"/>
      <c r="B60" s="283"/>
      <c r="C60" s="262" t="s">
        <v>641</v>
      </c>
      <c r="D60" s="213" t="s">
        <v>619</v>
      </c>
      <c r="E60" s="12">
        <v>12</v>
      </c>
      <c r="F60" s="12">
        <v>6000</v>
      </c>
      <c r="G60" s="12">
        <v>72000</v>
      </c>
      <c r="H60" s="261">
        <v>0.18</v>
      </c>
      <c r="I60" s="12">
        <v>84960</v>
      </c>
    </row>
    <row r="61" spans="1:9" x14ac:dyDescent="0.25">
      <c r="A61" s="282"/>
      <c r="B61" s="283"/>
      <c r="C61" s="262" t="s">
        <v>642</v>
      </c>
      <c r="D61" s="213" t="s">
        <v>619</v>
      </c>
      <c r="E61" s="12">
        <v>12</v>
      </c>
      <c r="F61" s="12">
        <v>500</v>
      </c>
      <c r="G61" s="12">
        <v>6000</v>
      </c>
      <c r="H61" s="261">
        <v>0.18</v>
      </c>
      <c r="I61" s="12">
        <v>7080</v>
      </c>
    </row>
    <row r="62" spans="1:9" x14ac:dyDescent="0.25">
      <c r="A62" s="282"/>
      <c r="B62" s="283" t="s">
        <v>732</v>
      </c>
      <c r="C62" s="283"/>
      <c r="D62" s="276"/>
      <c r="E62" s="277">
        <v>36</v>
      </c>
      <c r="F62" s="277">
        <v>31786</v>
      </c>
      <c r="G62" s="278">
        <v>381428.16000000003</v>
      </c>
      <c r="H62" s="279">
        <v>0.41</v>
      </c>
      <c r="I62" s="278">
        <v>410640</v>
      </c>
    </row>
    <row r="63" spans="1:9" ht="45" x14ac:dyDescent="0.25">
      <c r="A63" s="282"/>
      <c r="B63" s="283" t="s">
        <v>722</v>
      </c>
      <c r="C63" s="262" t="s">
        <v>655</v>
      </c>
      <c r="D63" s="213" t="s">
        <v>715</v>
      </c>
      <c r="E63" s="12">
        <v>1</v>
      </c>
      <c r="F63" s="12">
        <v>170000</v>
      </c>
      <c r="G63" s="12">
        <v>170000</v>
      </c>
      <c r="H63" s="261">
        <v>0.18</v>
      </c>
      <c r="I63" s="12">
        <v>200600</v>
      </c>
    </row>
    <row r="64" spans="1:9" ht="60" x14ac:dyDescent="0.25">
      <c r="A64" s="282"/>
      <c r="B64" s="283"/>
      <c r="C64" s="262" t="s">
        <v>656</v>
      </c>
      <c r="D64" s="213" t="s">
        <v>715</v>
      </c>
      <c r="E64" s="12">
        <v>1</v>
      </c>
      <c r="F64" s="12">
        <v>150000</v>
      </c>
      <c r="G64" s="12">
        <v>150000</v>
      </c>
      <c r="H64" s="261">
        <v>0.18</v>
      </c>
      <c r="I64" s="12">
        <v>177000</v>
      </c>
    </row>
    <row r="65" spans="1:9" ht="30" x14ac:dyDescent="0.25">
      <c r="A65" s="282"/>
      <c r="B65" s="283"/>
      <c r="C65" s="262" t="s">
        <v>657</v>
      </c>
      <c r="D65" s="213" t="s">
        <v>715</v>
      </c>
      <c r="E65" s="12">
        <v>1</v>
      </c>
      <c r="F65" s="12">
        <v>600000</v>
      </c>
      <c r="G65" s="12">
        <v>600000</v>
      </c>
      <c r="H65" s="261">
        <v>0.18</v>
      </c>
      <c r="I65" s="12">
        <v>708000</v>
      </c>
    </row>
    <row r="66" spans="1:9" x14ac:dyDescent="0.25">
      <c r="A66" s="282"/>
      <c r="B66" s="283"/>
      <c r="C66" s="262" t="s">
        <v>658</v>
      </c>
      <c r="D66" s="213" t="s">
        <v>715</v>
      </c>
      <c r="E66" s="12">
        <v>1</v>
      </c>
      <c r="F66" s="12">
        <v>254237</v>
      </c>
      <c r="G66" s="12">
        <v>254237</v>
      </c>
      <c r="H66" s="261">
        <v>0.18</v>
      </c>
      <c r="I66" s="12">
        <v>300000</v>
      </c>
    </row>
    <row r="67" spans="1:9" ht="45" x14ac:dyDescent="0.25">
      <c r="A67" s="282"/>
      <c r="B67" s="283"/>
      <c r="C67" s="262" t="s">
        <v>659</v>
      </c>
      <c r="D67" s="213" t="s">
        <v>619</v>
      </c>
      <c r="E67" s="12">
        <v>12</v>
      </c>
      <c r="F67" s="12">
        <v>127119</v>
      </c>
      <c r="G67" s="12">
        <v>1525424</v>
      </c>
      <c r="H67" s="261">
        <v>0.18</v>
      </c>
      <c r="I67" s="12">
        <v>1800000</v>
      </c>
    </row>
    <row r="68" spans="1:9" ht="30" x14ac:dyDescent="0.25">
      <c r="A68" s="282"/>
      <c r="B68" s="283"/>
      <c r="C68" s="262" t="s">
        <v>660</v>
      </c>
      <c r="D68" s="213" t="s">
        <v>715</v>
      </c>
      <c r="E68" s="12">
        <v>1</v>
      </c>
      <c r="F68" s="12">
        <v>254237</v>
      </c>
      <c r="G68" s="12">
        <v>254237</v>
      </c>
      <c r="H68" s="261">
        <v>0.18</v>
      </c>
      <c r="I68" s="12">
        <v>300000</v>
      </c>
    </row>
    <row r="69" spans="1:9" x14ac:dyDescent="0.25">
      <c r="A69" s="282"/>
      <c r="B69" s="283" t="s">
        <v>737</v>
      </c>
      <c r="C69" s="283"/>
      <c r="D69" s="276"/>
      <c r="E69" s="277">
        <v>17</v>
      </c>
      <c r="F69" s="277">
        <v>1555593</v>
      </c>
      <c r="G69" s="278">
        <v>2953898</v>
      </c>
      <c r="H69" s="279">
        <v>1.0799999999999998</v>
      </c>
      <c r="I69" s="278">
        <v>3485600</v>
      </c>
    </row>
    <row r="70" spans="1:9" ht="30" x14ac:dyDescent="0.25">
      <c r="A70" s="282"/>
      <c r="B70" s="283" t="s">
        <v>743</v>
      </c>
      <c r="C70" s="262" t="s">
        <v>654</v>
      </c>
      <c r="D70" s="213" t="s">
        <v>718</v>
      </c>
      <c r="E70" s="12">
        <v>24</v>
      </c>
      <c r="F70" s="12">
        <v>10593</v>
      </c>
      <c r="G70" s="12">
        <v>254237</v>
      </c>
      <c r="H70" s="261">
        <v>0.18</v>
      </c>
      <c r="I70" s="12">
        <v>300000</v>
      </c>
    </row>
    <row r="71" spans="1:9" ht="30" x14ac:dyDescent="0.25">
      <c r="A71" s="282"/>
      <c r="B71" s="283" t="s">
        <v>744</v>
      </c>
      <c r="C71" s="283"/>
      <c r="D71" s="276"/>
      <c r="E71" s="277">
        <v>24</v>
      </c>
      <c r="F71" s="277">
        <v>10593</v>
      </c>
      <c r="G71" s="278">
        <v>254237</v>
      </c>
      <c r="H71" s="279">
        <v>0.18</v>
      </c>
      <c r="I71" s="278">
        <v>300000</v>
      </c>
    </row>
    <row r="72" spans="1:9" x14ac:dyDescent="0.25">
      <c r="A72" s="282"/>
      <c r="B72" s="283" t="s">
        <v>723</v>
      </c>
      <c r="C72" s="262" t="s">
        <v>758</v>
      </c>
      <c r="D72" s="213" t="s">
        <v>716</v>
      </c>
      <c r="E72" s="12">
        <v>1</v>
      </c>
      <c r="F72" s="12">
        <v>10000</v>
      </c>
      <c r="G72" s="12">
        <v>10000</v>
      </c>
      <c r="H72" s="261">
        <v>0.18</v>
      </c>
      <c r="I72" s="12">
        <v>11800</v>
      </c>
    </row>
    <row r="73" spans="1:9" ht="30" x14ac:dyDescent="0.25">
      <c r="A73" s="282"/>
      <c r="B73" s="283"/>
      <c r="C73" s="262" t="s">
        <v>776</v>
      </c>
      <c r="D73" s="213" t="s">
        <v>716</v>
      </c>
      <c r="E73" s="12">
        <v>1</v>
      </c>
      <c r="F73" s="12">
        <v>20000</v>
      </c>
      <c r="G73" s="12">
        <v>20000</v>
      </c>
      <c r="H73" s="261">
        <v>0.18</v>
      </c>
      <c r="I73" s="12">
        <v>23600</v>
      </c>
    </row>
    <row r="74" spans="1:9" ht="45" x14ac:dyDescent="0.25">
      <c r="A74" s="282"/>
      <c r="B74" s="283"/>
      <c r="C74" s="262" t="s">
        <v>644</v>
      </c>
      <c r="D74" s="213" t="s">
        <v>715</v>
      </c>
      <c r="E74" s="12">
        <v>1</v>
      </c>
      <c r="F74" s="12">
        <v>173700</v>
      </c>
      <c r="G74" s="12">
        <v>173700</v>
      </c>
      <c r="H74" s="261">
        <v>0.18</v>
      </c>
      <c r="I74" s="12">
        <v>204966</v>
      </c>
    </row>
    <row r="75" spans="1:9" ht="45" x14ac:dyDescent="0.25">
      <c r="A75" s="282"/>
      <c r="B75" s="283"/>
      <c r="C75" s="262" t="s">
        <v>778</v>
      </c>
      <c r="D75" s="213" t="s">
        <v>622</v>
      </c>
      <c r="E75" s="12">
        <v>1</v>
      </c>
      <c r="F75" s="12">
        <v>130000</v>
      </c>
      <c r="G75" s="12">
        <v>130000</v>
      </c>
      <c r="H75" s="261">
        <v>0.18</v>
      </c>
      <c r="I75" s="12">
        <v>153400</v>
      </c>
    </row>
    <row r="76" spans="1:9" ht="30" x14ac:dyDescent="0.25">
      <c r="A76" s="282"/>
      <c r="B76" s="283"/>
      <c r="C76" s="262" t="s">
        <v>777</v>
      </c>
      <c r="D76" s="213" t="s">
        <v>716</v>
      </c>
      <c r="E76" s="12">
        <v>1</v>
      </c>
      <c r="F76" s="12">
        <v>9083</v>
      </c>
      <c r="G76" s="12">
        <v>9083.34</v>
      </c>
      <c r="H76" s="261">
        <v>0.18</v>
      </c>
      <c r="I76" s="12">
        <v>10718</v>
      </c>
    </row>
    <row r="77" spans="1:9" x14ac:dyDescent="0.25">
      <c r="A77" s="282"/>
      <c r="B77" s="283"/>
      <c r="C77" s="262" t="s">
        <v>779</v>
      </c>
      <c r="D77" s="213" t="s">
        <v>716</v>
      </c>
      <c r="E77" s="12">
        <v>1</v>
      </c>
      <c r="F77" s="12">
        <v>6200</v>
      </c>
      <c r="G77" s="12">
        <v>6200</v>
      </c>
      <c r="H77" s="261">
        <v>0.18</v>
      </c>
      <c r="I77" s="12">
        <v>7316</v>
      </c>
    </row>
    <row r="78" spans="1:9" x14ac:dyDescent="0.25">
      <c r="A78" s="282"/>
      <c r="B78" s="283"/>
      <c r="C78" s="262" t="s">
        <v>645</v>
      </c>
      <c r="D78" s="213" t="s">
        <v>622</v>
      </c>
      <c r="E78" s="12">
        <v>500</v>
      </c>
      <c r="F78" s="12">
        <v>149</v>
      </c>
      <c r="G78" s="12">
        <v>74360</v>
      </c>
      <c r="H78" s="261">
        <v>0.18</v>
      </c>
      <c r="I78" s="12">
        <v>87745</v>
      </c>
    </row>
    <row r="79" spans="1:9" x14ac:dyDescent="0.25">
      <c r="A79" s="282"/>
      <c r="B79" s="283"/>
      <c r="C79" s="262" t="s">
        <v>646</v>
      </c>
      <c r="D79" s="213" t="s">
        <v>622</v>
      </c>
      <c r="E79" s="12">
        <v>500</v>
      </c>
      <c r="F79" s="12">
        <v>35</v>
      </c>
      <c r="G79" s="12">
        <v>17500</v>
      </c>
      <c r="H79" s="261">
        <v>0.18</v>
      </c>
      <c r="I79" s="12">
        <v>20650</v>
      </c>
    </row>
    <row r="80" spans="1:9" x14ac:dyDescent="0.25">
      <c r="A80" s="282"/>
      <c r="B80" s="283"/>
      <c r="C80" s="262" t="s">
        <v>647</v>
      </c>
      <c r="D80" s="213" t="s">
        <v>622</v>
      </c>
      <c r="E80" s="12">
        <v>450</v>
      </c>
      <c r="F80" s="12">
        <v>190</v>
      </c>
      <c r="G80" s="12">
        <v>85500</v>
      </c>
      <c r="H80" s="261">
        <v>0.18</v>
      </c>
      <c r="I80" s="12">
        <v>100890</v>
      </c>
    </row>
    <row r="81" spans="1:9" x14ac:dyDescent="0.25">
      <c r="A81" s="282"/>
      <c r="B81" s="283"/>
      <c r="C81" s="262" t="s">
        <v>648</v>
      </c>
      <c r="D81" s="213" t="s">
        <v>622</v>
      </c>
      <c r="E81" s="12">
        <v>450</v>
      </c>
      <c r="F81" s="12">
        <v>265</v>
      </c>
      <c r="G81" s="12">
        <v>119250</v>
      </c>
      <c r="H81" s="261">
        <v>0.18</v>
      </c>
      <c r="I81" s="12">
        <v>140715</v>
      </c>
    </row>
    <row r="82" spans="1:9" ht="30" x14ac:dyDescent="0.25">
      <c r="A82" s="282"/>
      <c r="B82" s="283"/>
      <c r="C82" s="262" t="s">
        <v>650</v>
      </c>
      <c r="D82" s="213" t="s">
        <v>716</v>
      </c>
      <c r="E82" s="12">
        <v>2</v>
      </c>
      <c r="F82" s="12">
        <v>11500</v>
      </c>
      <c r="G82" s="12">
        <v>23000</v>
      </c>
      <c r="H82" s="261">
        <v>0.18</v>
      </c>
      <c r="I82" s="12">
        <v>27140</v>
      </c>
    </row>
    <row r="83" spans="1:9" x14ac:dyDescent="0.25">
      <c r="A83" s="282"/>
      <c r="B83" s="283" t="s">
        <v>738</v>
      </c>
      <c r="C83" s="283"/>
      <c r="D83" s="276"/>
      <c r="E83" s="277">
        <v>1908</v>
      </c>
      <c r="F83" s="277">
        <v>361122</v>
      </c>
      <c r="G83" s="278">
        <v>668593.34000000008</v>
      </c>
      <c r="H83" s="279">
        <v>1.9799999999999998</v>
      </c>
      <c r="I83" s="278">
        <v>788940</v>
      </c>
    </row>
    <row r="84" spans="1:9" ht="45" x14ac:dyDescent="0.25">
      <c r="A84" s="282"/>
      <c r="B84" s="283" t="s">
        <v>745</v>
      </c>
      <c r="C84" s="262" t="s">
        <v>780</v>
      </c>
      <c r="D84" s="213" t="s">
        <v>716</v>
      </c>
      <c r="E84" s="12">
        <v>2</v>
      </c>
      <c r="F84" s="12">
        <v>25500</v>
      </c>
      <c r="G84" s="12">
        <v>51000</v>
      </c>
      <c r="H84" s="261">
        <v>0.18</v>
      </c>
      <c r="I84" s="12">
        <v>60180</v>
      </c>
    </row>
    <row r="85" spans="1:9" x14ac:dyDescent="0.25">
      <c r="A85" s="282"/>
      <c r="B85" s="283" t="s">
        <v>746</v>
      </c>
      <c r="C85" s="283"/>
      <c r="D85" s="276"/>
      <c r="E85" s="277">
        <v>2</v>
      </c>
      <c r="F85" s="277">
        <v>25500</v>
      </c>
      <c r="G85" s="278">
        <v>51000</v>
      </c>
      <c r="H85" s="279">
        <v>0.18</v>
      </c>
      <c r="I85" s="281">
        <v>60180</v>
      </c>
    </row>
    <row r="86" spans="1:9" x14ac:dyDescent="0.25">
      <c r="A86" s="282"/>
      <c r="B86" s="283" t="s">
        <v>623</v>
      </c>
      <c r="C86" s="262" t="s">
        <v>684</v>
      </c>
      <c r="D86" s="213" t="s">
        <v>619</v>
      </c>
      <c r="E86" s="12">
        <v>12</v>
      </c>
      <c r="F86" s="12">
        <v>11770</v>
      </c>
      <c r="G86" s="12">
        <v>141243.1</v>
      </c>
      <c r="H86" s="261">
        <v>0.18</v>
      </c>
      <c r="I86" s="12">
        <v>166667</v>
      </c>
    </row>
    <row r="87" spans="1:9" ht="30" x14ac:dyDescent="0.25">
      <c r="A87" s="282"/>
      <c r="B87" s="283"/>
      <c r="C87" s="262" t="s">
        <v>688</v>
      </c>
      <c r="D87" s="213" t="s">
        <v>622</v>
      </c>
      <c r="E87" s="12">
        <v>12</v>
      </c>
      <c r="F87" s="12">
        <v>11770</v>
      </c>
      <c r="G87" s="12">
        <v>141243.1</v>
      </c>
      <c r="H87" s="261">
        <v>0.18</v>
      </c>
      <c r="I87" s="12">
        <v>166667</v>
      </c>
    </row>
    <row r="88" spans="1:9" x14ac:dyDescent="0.25">
      <c r="A88" s="282"/>
      <c r="B88" s="283"/>
      <c r="C88" s="262" t="s">
        <v>683</v>
      </c>
      <c r="D88" s="213" t="s">
        <v>716</v>
      </c>
      <c r="E88" s="12">
        <v>12</v>
      </c>
      <c r="F88" s="12">
        <v>11770</v>
      </c>
      <c r="G88" s="12">
        <v>141243.1</v>
      </c>
      <c r="H88" s="261">
        <v>0.18</v>
      </c>
      <c r="I88" s="12">
        <v>166667</v>
      </c>
    </row>
    <row r="89" spans="1:9" ht="30" x14ac:dyDescent="0.25">
      <c r="A89" s="282"/>
      <c r="B89" s="283"/>
      <c r="C89" s="262" t="s">
        <v>686</v>
      </c>
      <c r="D89" s="213" t="s">
        <v>622</v>
      </c>
      <c r="E89" s="12">
        <v>12</v>
      </c>
      <c r="F89" s="12">
        <v>11770</v>
      </c>
      <c r="G89" s="12">
        <v>141243.1</v>
      </c>
      <c r="H89" s="261">
        <v>0.18</v>
      </c>
      <c r="I89" s="12">
        <v>166667</v>
      </c>
    </row>
    <row r="90" spans="1:9" ht="30" x14ac:dyDescent="0.25">
      <c r="A90" s="282"/>
      <c r="B90" s="283"/>
      <c r="C90" s="262" t="s">
        <v>685</v>
      </c>
      <c r="D90" s="213" t="s">
        <v>622</v>
      </c>
      <c r="E90" s="12">
        <v>12</v>
      </c>
      <c r="F90" s="12">
        <v>11770</v>
      </c>
      <c r="G90" s="12">
        <v>141243.1</v>
      </c>
      <c r="H90" s="261">
        <v>0.18</v>
      </c>
      <c r="I90" s="12">
        <v>166667</v>
      </c>
    </row>
    <row r="91" spans="1:9" ht="45" x14ac:dyDescent="0.25">
      <c r="A91" s="282"/>
      <c r="B91" s="283"/>
      <c r="C91" s="262" t="s">
        <v>687</v>
      </c>
      <c r="D91" s="213" t="s">
        <v>622</v>
      </c>
      <c r="E91" s="12">
        <v>12</v>
      </c>
      <c r="F91" s="12">
        <v>11770</v>
      </c>
      <c r="G91" s="12">
        <v>141243.1</v>
      </c>
      <c r="H91" s="261">
        <v>0.18</v>
      </c>
      <c r="I91" s="12">
        <v>166667</v>
      </c>
    </row>
    <row r="92" spans="1:9" x14ac:dyDescent="0.25">
      <c r="A92" s="282"/>
      <c r="B92" s="283" t="s">
        <v>739</v>
      </c>
      <c r="C92" s="283"/>
      <c r="D92" s="276"/>
      <c r="E92" s="277">
        <v>72</v>
      </c>
      <c r="F92" s="277">
        <v>70620</v>
      </c>
      <c r="G92" s="278">
        <v>847458.6</v>
      </c>
      <c r="H92" s="279">
        <v>1.0799999999999998</v>
      </c>
      <c r="I92" s="281">
        <v>1000002</v>
      </c>
    </row>
    <row r="93" spans="1:9" ht="30" x14ac:dyDescent="0.25">
      <c r="A93" s="282"/>
      <c r="B93" s="283" t="s">
        <v>624</v>
      </c>
      <c r="C93" s="262" t="s">
        <v>695</v>
      </c>
      <c r="D93" s="213" t="s">
        <v>622</v>
      </c>
      <c r="E93" s="12">
        <v>1</v>
      </c>
      <c r="F93" s="12">
        <v>254238</v>
      </c>
      <c r="G93" s="12">
        <v>254237.5</v>
      </c>
      <c r="H93" s="261">
        <v>0.18</v>
      </c>
      <c r="I93" s="12">
        <v>300000</v>
      </c>
    </row>
    <row r="94" spans="1:9" ht="45" x14ac:dyDescent="0.25">
      <c r="A94" s="282"/>
      <c r="B94" s="283"/>
      <c r="C94" s="262" t="s">
        <v>694</v>
      </c>
      <c r="D94" s="213" t="s">
        <v>717</v>
      </c>
      <c r="E94" s="12">
        <v>1</v>
      </c>
      <c r="F94" s="12">
        <v>21000</v>
      </c>
      <c r="G94" s="12">
        <v>21000</v>
      </c>
      <c r="H94" s="261">
        <v>0.18</v>
      </c>
      <c r="I94" s="12">
        <v>24780</v>
      </c>
    </row>
    <row r="95" spans="1:9" x14ac:dyDescent="0.25">
      <c r="A95" s="282"/>
      <c r="B95" s="283"/>
      <c r="C95" s="262" t="s">
        <v>649</v>
      </c>
      <c r="D95" s="213" t="s">
        <v>622</v>
      </c>
      <c r="E95" s="12">
        <v>8</v>
      </c>
      <c r="F95" s="12">
        <v>1623</v>
      </c>
      <c r="G95" s="12">
        <v>12980.4</v>
      </c>
      <c r="H95" s="261">
        <v>0</v>
      </c>
      <c r="I95" s="12">
        <v>12980</v>
      </c>
    </row>
    <row r="96" spans="1:9" x14ac:dyDescent="0.25">
      <c r="A96" s="282"/>
      <c r="B96" s="283"/>
      <c r="C96" s="262" t="s">
        <v>681</v>
      </c>
      <c r="D96" s="213" t="s">
        <v>718</v>
      </c>
      <c r="E96" s="12">
        <v>22</v>
      </c>
      <c r="F96" s="12">
        <v>12500</v>
      </c>
      <c r="G96" s="12">
        <v>275000</v>
      </c>
      <c r="H96" s="261">
        <v>0.18</v>
      </c>
      <c r="I96" s="12">
        <v>324500</v>
      </c>
    </row>
    <row r="97" spans="1:9" x14ac:dyDescent="0.25">
      <c r="A97" s="282"/>
      <c r="B97" s="283" t="s">
        <v>733</v>
      </c>
      <c r="C97" s="283"/>
      <c r="D97" s="276"/>
      <c r="E97" s="277">
        <v>32</v>
      </c>
      <c r="F97" s="277">
        <v>289361</v>
      </c>
      <c r="G97" s="278">
        <v>563217.9</v>
      </c>
      <c r="H97" s="279">
        <v>0.54</v>
      </c>
      <c r="I97" s="281">
        <v>662260</v>
      </c>
    </row>
    <row r="98" spans="1:9" ht="30" x14ac:dyDescent="0.25">
      <c r="A98" s="282"/>
      <c r="B98" s="283" t="s">
        <v>747</v>
      </c>
      <c r="C98" s="262" t="s">
        <v>700</v>
      </c>
      <c r="D98" s="213" t="s">
        <v>622</v>
      </c>
      <c r="E98" s="12">
        <v>3000</v>
      </c>
      <c r="F98" s="12">
        <v>160</v>
      </c>
      <c r="G98" s="12">
        <v>480000</v>
      </c>
      <c r="H98" s="261">
        <v>0.18</v>
      </c>
      <c r="I98" s="12">
        <v>566400</v>
      </c>
    </row>
    <row r="99" spans="1:9" ht="30" x14ac:dyDescent="0.25">
      <c r="A99" s="282"/>
      <c r="B99" s="283"/>
      <c r="C99" s="262" t="s">
        <v>651</v>
      </c>
      <c r="D99" s="213" t="s">
        <v>717</v>
      </c>
      <c r="E99" s="12">
        <v>1</v>
      </c>
      <c r="F99" s="12">
        <v>84746</v>
      </c>
      <c r="G99" s="12">
        <v>84746</v>
      </c>
      <c r="H99" s="261">
        <v>0.18</v>
      </c>
      <c r="I99" s="12">
        <v>100000</v>
      </c>
    </row>
    <row r="100" spans="1:9" ht="30" x14ac:dyDescent="0.25">
      <c r="A100" s="282"/>
      <c r="B100" s="283"/>
      <c r="C100" s="262" t="s">
        <v>652</v>
      </c>
      <c r="D100" s="213" t="s">
        <v>715</v>
      </c>
      <c r="E100" s="12">
        <v>1</v>
      </c>
      <c r="F100" s="12">
        <v>211864</v>
      </c>
      <c r="G100" s="12">
        <v>211864</v>
      </c>
      <c r="H100" s="261">
        <v>0.18</v>
      </c>
      <c r="I100" s="12">
        <v>250000</v>
      </c>
    </row>
    <row r="101" spans="1:9" x14ac:dyDescent="0.25">
      <c r="A101" s="282"/>
      <c r="B101" s="283"/>
      <c r="C101" s="262" t="s">
        <v>653</v>
      </c>
      <c r="D101" s="213" t="s">
        <v>715</v>
      </c>
      <c r="E101" s="12">
        <v>1</v>
      </c>
      <c r="F101" s="12">
        <v>12000</v>
      </c>
      <c r="G101" s="12">
        <v>12000</v>
      </c>
      <c r="H101" s="261">
        <v>0.18</v>
      </c>
      <c r="I101" s="12">
        <v>14160</v>
      </c>
    </row>
    <row r="102" spans="1:9" ht="30" x14ac:dyDescent="0.25">
      <c r="A102" s="282"/>
      <c r="B102" s="283" t="s">
        <v>748</v>
      </c>
      <c r="C102" s="283"/>
      <c r="D102" s="276"/>
      <c r="E102" s="277">
        <v>3003</v>
      </c>
      <c r="F102" s="277">
        <v>308770</v>
      </c>
      <c r="G102" s="278">
        <v>788610</v>
      </c>
      <c r="H102" s="279">
        <v>0.72</v>
      </c>
      <c r="I102" s="281">
        <v>930560</v>
      </c>
    </row>
    <row r="103" spans="1:9" ht="30" x14ac:dyDescent="0.25">
      <c r="A103" s="282"/>
      <c r="B103" s="283" t="s">
        <v>749</v>
      </c>
      <c r="C103" s="262" t="s">
        <v>689</v>
      </c>
      <c r="D103" s="213" t="s">
        <v>720</v>
      </c>
      <c r="E103" s="12">
        <v>1</v>
      </c>
      <c r="F103" s="12">
        <v>55085</v>
      </c>
      <c r="G103" s="12">
        <v>55085</v>
      </c>
      <c r="H103" s="261">
        <v>0.18</v>
      </c>
      <c r="I103" s="12">
        <v>65000</v>
      </c>
    </row>
    <row r="104" spans="1:9" x14ac:dyDescent="0.25">
      <c r="A104" s="282"/>
      <c r="B104" s="283"/>
      <c r="C104" s="262" t="s">
        <v>690</v>
      </c>
      <c r="D104" s="213" t="s">
        <v>622</v>
      </c>
      <c r="E104" s="12">
        <v>1</v>
      </c>
      <c r="F104" s="12">
        <v>55085</v>
      </c>
      <c r="G104" s="12">
        <v>55085</v>
      </c>
      <c r="H104" s="261">
        <v>0.18</v>
      </c>
      <c r="I104" s="12">
        <v>65000</v>
      </c>
    </row>
    <row r="105" spans="1:9" x14ac:dyDescent="0.25">
      <c r="A105" s="282"/>
      <c r="B105" s="283"/>
      <c r="C105" s="262" t="s">
        <v>692</v>
      </c>
      <c r="D105" s="213" t="s">
        <v>619</v>
      </c>
      <c r="E105" s="12">
        <v>12</v>
      </c>
      <c r="F105" s="12">
        <v>10593</v>
      </c>
      <c r="G105" s="12">
        <v>127118.40000000001</v>
      </c>
      <c r="H105" s="261">
        <v>0.18</v>
      </c>
      <c r="I105" s="12">
        <v>150000</v>
      </c>
    </row>
    <row r="106" spans="1:9" ht="30" x14ac:dyDescent="0.25">
      <c r="A106" s="282"/>
      <c r="B106" s="283" t="s">
        <v>750</v>
      </c>
      <c r="C106" s="283"/>
      <c r="D106" s="276"/>
      <c r="E106" s="277">
        <v>14</v>
      </c>
      <c r="F106" s="277">
        <v>120763</v>
      </c>
      <c r="G106" s="278">
        <v>237288.40000000002</v>
      </c>
      <c r="H106" s="279">
        <v>0.54</v>
      </c>
      <c r="I106" s="281">
        <v>280000</v>
      </c>
    </row>
    <row r="107" spans="1:9" x14ac:dyDescent="0.25">
      <c r="A107" s="282"/>
      <c r="B107" s="283" t="s">
        <v>724</v>
      </c>
      <c r="C107" s="262" t="s">
        <v>625</v>
      </c>
      <c r="D107" s="213" t="s">
        <v>622</v>
      </c>
      <c r="E107" s="12">
        <v>3500</v>
      </c>
      <c r="F107" s="12">
        <v>30</v>
      </c>
      <c r="G107" s="12">
        <v>105000</v>
      </c>
      <c r="H107" s="261">
        <v>0.18</v>
      </c>
      <c r="I107" s="12">
        <v>123900</v>
      </c>
    </row>
    <row r="108" spans="1:9" x14ac:dyDescent="0.25">
      <c r="A108" s="282"/>
      <c r="B108" s="283"/>
      <c r="C108" s="262" t="s">
        <v>626</v>
      </c>
      <c r="D108" s="213" t="s">
        <v>622</v>
      </c>
      <c r="E108" s="12">
        <v>12</v>
      </c>
      <c r="F108" s="12">
        <v>5000</v>
      </c>
      <c r="G108" s="12">
        <v>60000</v>
      </c>
      <c r="H108" s="261">
        <v>0.18</v>
      </c>
      <c r="I108" s="12">
        <v>70800</v>
      </c>
    </row>
    <row r="109" spans="1:9" x14ac:dyDescent="0.25">
      <c r="A109" s="282"/>
      <c r="B109" s="283"/>
      <c r="C109" s="262" t="s">
        <v>627</v>
      </c>
      <c r="D109" s="213" t="s">
        <v>622</v>
      </c>
      <c r="E109" s="12">
        <v>175</v>
      </c>
      <c r="F109" s="12">
        <v>234</v>
      </c>
      <c r="G109" s="12">
        <v>41000.400000000001</v>
      </c>
      <c r="H109" s="261">
        <v>0.18</v>
      </c>
      <c r="I109" s="12">
        <v>48380</v>
      </c>
    </row>
    <row r="110" spans="1:9" x14ac:dyDescent="0.25">
      <c r="A110" s="282"/>
      <c r="B110" s="283"/>
      <c r="C110" s="262" t="s">
        <v>628</v>
      </c>
      <c r="D110" s="213" t="s">
        <v>622</v>
      </c>
      <c r="E110" s="12">
        <v>260</v>
      </c>
      <c r="F110" s="12">
        <v>500</v>
      </c>
      <c r="G110" s="12">
        <v>130000</v>
      </c>
      <c r="H110" s="261">
        <v>0.18</v>
      </c>
      <c r="I110" s="12">
        <v>153400</v>
      </c>
    </row>
    <row r="111" spans="1:9" ht="30" x14ac:dyDescent="0.25">
      <c r="A111" s="282"/>
      <c r="B111" s="283"/>
      <c r="C111" s="262" t="s">
        <v>629</v>
      </c>
      <c r="D111" s="213" t="s">
        <v>719</v>
      </c>
      <c r="E111" s="12">
        <v>130</v>
      </c>
      <c r="F111" s="12">
        <v>1400</v>
      </c>
      <c r="G111" s="12">
        <v>182000</v>
      </c>
      <c r="H111" s="261">
        <v>0.18</v>
      </c>
      <c r="I111" s="12">
        <v>214760</v>
      </c>
    </row>
    <row r="112" spans="1:9" x14ac:dyDescent="0.25">
      <c r="A112" s="282"/>
      <c r="B112" s="283"/>
      <c r="C112" s="262" t="s">
        <v>630</v>
      </c>
      <c r="D112" s="213" t="s">
        <v>718</v>
      </c>
      <c r="E112" s="12">
        <v>24</v>
      </c>
      <c r="F112" s="12">
        <v>6583</v>
      </c>
      <c r="G112" s="12">
        <v>158000.40000000002</v>
      </c>
      <c r="H112" s="261">
        <v>0.18</v>
      </c>
      <c r="I112" s="12">
        <v>186440</v>
      </c>
    </row>
    <row r="113" spans="1:9" x14ac:dyDescent="0.25">
      <c r="A113" s="282"/>
      <c r="B113" s="283" t="s">
        <v>740</v>
      </c>
      <c r="C113" s="283"/>
      <c r="D113" s="276"/>
      <c r="E113" s="277">
        <v>4101</v>
      </c>
      <c r="F113" s="277">
        <v>13747</v>
      </c>
      <c r="G113" s="278">
        <v>676000.8</v>
      </c>
      <c r="H113" s="279">
        <v>1.0799999999999998</v>
      </c>
      <c r="I113" s="281">
        <v>797680</v>
      </c>
    </row>
    <row r="114" spans="1:9" ht="45" x14ac:dyDescent="0.25">
      <c r="A114" s="282"/>
      <c r="B114" s="283" t="s">
        <v>725</v>
      </c>
      <c r="C114" s="262" t="s">
        <v>631</v>
      </c>
      <c r="D114" s="213" t="s">
        <v>622</v>
      </c>
      <c r="E114" s="12">
        <v>1</v>
      </c>
      <c r="F114" s="12">
        <v>1694915</v>
      </c>
      <c r="G114" s="12">
        <v>1694915</v>
      </c>
      <c r="H114" s="261">
        <v>0.18</v>
      </c>
      <c r="I114" s="12">
        <v>2000000</v>
      </c>
    </row>
    <row r="115" spans="1:9" ht="30" x14ac:dyDescent="0.25">
      <c r="A115" s="282"/>
      <c r="B115" s="283"/>
      <c r="C115" s="262" t="s">
        <v>699</v>
      </c>
      <c r="D115" s="213" t="s">
        <v>622</v>
      </c>
      <c r="E115" s="12">
        <v>1</v>
      </c>
      <c r="F115" s="12">
        <v>4534000</v>
      </c>
      <c r="G115" s="12">
        <v>4534000</v>
      </c>
      <c r="H115" s="261">
        <v>0.18</v>
      </c>
      <c r="I115" s="12">
        <v>5350120</v>
      </c>
    </row>
    <row r="116" spans="1:9" x14ac:dyDescent="0.25">
      <c r="A116" s="282"/>
      <c r="B116" s="283"/>
      <c r="C116" s="262" t="s">
        <v>632</v>
      </c>
      <c r="D116" s="213" t="s">
        <v>622</v>
      </c>
      <c r="E116" s="12">
        <v>1</v>
      </c>
      <c r="F116" s="12">
        <v>2795848</v>
      </c>
      <c r="G116" s="12">
        <v>2795848</v>
      </c>
      <c r="H116" s="261">
        <v>0.18</v>
      </c>
      <c r="I116" s="12">
        <v>3299101</v>
      </c>
    </row>
    <row r="117" spans="1:9" ht="60" x14ac:dyDescent="0.25">
      <c r="A117" s="282"/>
      <c r="B117" s="283"/>
      <c r="C117" s="262" t="s">
        <v>635</v>
      </c>
      <c r="D117" s="213" t="s">
        <v>622</v>
      </c>
      <c r="E117" s="12">
        <v>1</v>
      </c>
      <c r="F117" s="12">
        <v>5000000</v>
      </c>
      <c r="G117" s="12">
        <v>5000000</v>
      </c>
      <c r="H117" s="261">
        <v>0.18</v>
      </c>
      <c r="I117" s="12">
        <v>5900000</v>
      </c>
    </row>
    <row r="118" spans="1:9" ht="30" x14ac:dyDescent="0.25">
      <c r="A118" s="282"/>
      <c r="B118" s="283"/>
      <c r="C118" s="262" t="s">
        <v>639</v>
      </c>
      <c r="D118" s="213" t="s">
        <v>622</v>
      </c>
      <c r="E118" s="12">
        <v>12</v>
      </c>
      <c r="F118" s="12">
        <v>10660</v>
      </c>
      <c r="G118" s="12">
        <v>127920</v>
      </c>
      <c r="H118" s="261">
        <v>0.18</v>
      </c>
      <c r="I118" s="12">
        <v>150946</v>
      </c>
    </row>
    <row r="119" spans="1:9" ht="30" x14ac:dyDescent="0.25">
      <c r="A119" s="282"/>
      <c r="B119" s="283"/>
      <c r="C119" s="262" t="s">
        <v>633</v>
      </c>
      <c r="D119" s="213" t="s">
        <v>622</v>
      </c>
      <c r="E119" s="12">
        <v>1</v>
      </c>
      <c r="F119" s="12">
        <v>847458</v>
      </c>
      <c r="G119" s="12">
        <v>847458</v>
      </c>
      <c r="H119" s="261">
        <v>0.18</v>
      </c>
      <c r="I119" s="12">
        <v>1000000</v>
      </c>
    </row>
    <row r="120" spans="1:9" ht="30" x14ac:dyDescent="0.25">
      <c r="A120" s="282"/>
      <c r="B120" s="283"/>
      <c r="C120" s="262" t="s">
        <v>634</v>
      </c>
      <c r="D120" s="213" t="s">
        <v>622</v>
      </c>
      <c r="E120" s="12">
        <v>1</v>
      </c>
      <c r="F120" s="12">
        <v>255000</v>
      </c>
      <c r="G120" s="12">
        <v>255000</v>
      </c>
      <c r="H120" s="261">
        <v>0.18</v>
      </c>
      <c r="I120" s="12">
        <v>300900</v>
      </c>
    </row>
    <row r="121" spans="1:9" ht="45" x14ac:dyDescent="0.25">
      <c r="A121" s="282"/>
      <c r="B121" s="283"/>
      <c r="C121" s="262" t="s">
        <v>638</v>
      </c>
      <c r="D121" s="213" t="s">
        <v>619</v>
      </c>
      <c r="E121" s="12">
        <v>12</v>
      </c>
      <c r="F121" s="12">
        <v>105933</v>
      </c>
      <c r="G121" s="12">
        <v>1271196</v>
      </c>
      <c r="H121" s="261">
        <v>0.18</v>
      </c>
      <c r="I121" s="12">
        <v>1500011</v>
      </c>
    </row>
    <row r="122" spans="1:9" ht="30" x14ac:dyDescent="0.25">
      <c r="A122" s="282"/>
      <c r="B122" s="283" t="s">
        <v>734</v>
      </c>
      <c r="C122" s="283"/>
      <c r="D122" s="276"/>
      <c r="E122" s="277">
        <v>30</v>
      </c>
      <c r="F122" s="277">
        <v>15243814</v>
      </c>
      <c r="G122" s="278">
        <v>16526337</v>
      </c>
      <c r="H122" s="279">
        <v>1.44</v>
      </c>
      <c r="I122" s="281">
        <v>19501078</v>
      </c>
    </row>
    <row r="123" spans="1:9" ht="30" x14ac:dyDescent="0.25">
      <c r="A123" s="282"/>
      <c r="B123" s="283" t="s">
        <v>568</v>
      </c>
      <c r="C123" s="262" t="s">
        <v>611</v>
      </c>
      <c r="D123" s="213" t="s">
        <v>619</v>
      </c>
      <c r="E123" s="12">
        <v>12</v>
      </c>
      <c r="F123" s="12">
        <v>14167</v>
      </c>
      <c r="G123" s="12">
        <v>170000</v>
      </c>
      <c r="H123" s="261">
        <v>0.18</v>
      </c>
      <c r="I123" s="12">
        <v>100000</v>
      </c>
    </row>
    <row r="124" spans="1:9" x14ac:dyDescent="0.25">
      <c r="A124" s="282"/>
      <c r="B124" s="283"/>
      <c r="C124" s="262" t="s">
        <v>613</v>
      </c>
      <c r="D124" s="213" t="s">
        <v>619</v>
      </c>
      <c r="E124" s="12">
        <v>12</v>
      </c>
      <c r="F124" s="12">
        <v>65000</v>
      </c>
      <c r="G124" s="12">
        <v>780000</v>
      </c>
      <c r="H124" s="261">
        <v>0.18</v>
      </c>
      <c r="I124" s="12">
        <v>920400</v>
      </c>
    </row>
    <row r="125" spans="1:9" x14ac:dyDescent="0.25">
      <c r="A125" s="282"/>
      <c r="B125" s="283"/>
      <c r="C125" s="262" t="s">
        <v>614</v>
      </c>
      <c r="D125" s="213" t="s">
        <v>619</v>
      </c>
      <c r="E125" s="12">
        <v>12</v>
      </c>
      <c r="F125" s="12">
        <v>20000</v>
      </c>
      <c r="G125" s="12">
        <v>240000</v>
      </c>
      <c r="H125" s="261">
        <v>0.18</v>
      </c>
      <c r="I125" s="12">
        <v>283200</v>
      </c>
    </row>
    <row r="126" spans="1:9" x14ac:dyDescent="0.25">
      <c r="A126" s="282"/>
      <c r="B126" s="283"/>
      <c r="C126" s="262" t="s">
        <v>616</v>
      </c>
      <c r="D126" s="213" t="s">
        <v>619</v>
      </c>
      <c r="E126" s="12">
        <v>12</v>
      </c>
      <c r="F126" s="12">
        <v>150000</v>
      </c>
      <c r="G126" s="12">
        <v>1800000</v>
      </c>
      <c r="H126" s="261">
        <v>0.18</v>
      </c>
      <c r="I126" s="12">
        <v>2124000</v>
      </c>
    </row>
    <row r="127" spans="1:9" x14ac:dyDescent="0.25">
      <c r="A127" s="282"/>
      <c r="B127" s="283"/>
      <c r="C127" s="262" t="s">
        <v>617</v>
      </c>
      <c r="D127" s="213" t="s">
        <v>622</v>
      </c>
      <c r="E127" s="12">
        <v>1</v>
      </c>
      <c r="F127" s="12">
        <v>805085</v>
      </c>
      <c r="G127" s="12">
        <v>805085</v>
      </c>
      <c r="H127" s="261">
        <v>0.18</v>
      </c>
      <c r="I127" s="12">
        <v>950000</v>
      </c>
    </row>
    <row r="128" spans="1:9" x14ac:dyDescent="0.25">
      <c r="A128" s="282"/>
      <c r="B128" s="283"/>
      <c r="C128" s="262" t="s">
        <v>618</v>
      </c>
      <c r="D128" s="213" t="s">
        <v>619</v>
      </c>
      <c r="E128" s="12">
        <v>12</v>
      </c>
      <c r="F128" s="12">
        <v>42138</v>
      </c>
      <c r="G128" s="12">
        <v>505661</v>
      </c>
      <c r="H128" s="261">
        <v>0.18</v>
      </c>
      <c r="I128" s="12">
        <v>596680</v>
      </c>
    </row>
    <row r="129" spans="1:9" x14ac:dyDescent="0.25">
      <c r="A129" s="282"/>
      <c r="B129" s="283"/>
      <c r="C129" s="262" t="s">
        <v>615</v>
      </c>
      <c r="D129" s="213" t="s">
        <v>619</v>
      </c>
      <c r="E129" s="12">
        <v>12</v>
      </c>
      <c r="F129" s="12">
        <v>385</v>
      </c>
      <c r="G129" s="12">
        <v>4620</v>
      </c>
      <c r="H129" s="261">
        <v>0.18</v>
      </c>
      <c r="I129" s="12">
        <v>5452</v>
      </c>
    </row>
    <row r="130" spans="1:9" x14ac:dyDescent="0.25">
      <c r="A130" s="282"/>
      <c r="B130" s="283"/>
      <c r="C130" s="262" t="s">
        <v>610</v>
      </c>
      <c r="D130" s="213" t="s">
        <v>621</v>
      </c>
      <c r="E130" s="12">
        <v>12</v>
      </c>
      <c r="F130" s="12">
        <v>150</v>
      </c>
      <c r="G130" s="12">
        <v>1800</v>
      </c>
      <c r="H130" s="261">
        <v>0.18</v>
      </c>
      <c r="I130" s="12">
        <v>2124</v>
      </c>
    </row>
    <row r="131" spans="1:9" x14ac:dyDescent="0.25">
      <c r="A131" s="282"/>
      <c r="B131" s="283"/>
      <c r="C131" s="262" t="s">
        <v>612</v>
      </c>
      <c r="D131" s="213" t="s">
        <v>619</v>
      </c>
      <c r="E131" s="12">
        <v>12</v>
      </c>
      <c r="F131" s="12">
        <v>340000</v>
      </c>
      <c r="G131" s="12">
        <v>4080000</v>
      </c>
      <c r="H131" s="261">
        <v>0.18</v>
      </c>
      <c r="I131" s="12">
        <v>4814400</v>
      </c>
    </row>
    <row r="132" spans="1:9" x14ac:dyDescent="0.25">
      <c r="A132" s="282"/>
      <c r="B132" s="283" t="s">
        <v>751</v>
      </c>
      <c r="C132" s="283"/>
      <c r="D132" s="276"/>
      <c r="E132" s="277">
        <v>97</v>
      </c>
      <c r="F132" s="277">
        <v>1436925</v>
      </c>
      <c r="G132" s="278">
        <v>8387166</v>
      </c>
      <c r="H132" s="279">
        <v>1.6199999999999999</v>
      </c>
      <c r="I132" s="281">
        <v>9796256</v>
      </c>
    </row>
    <row r="133" spans="1:9" x14ac:dyDescent="0.25">
      <c r="A133" s="282"/>
      <c r="B133" s="283" t="s">
        <v>726</v>
      </c>
      <c r="C133" s="262" t="s">
        <v>707</v>
      </c>
      <c r="D133" s="213" t="s">
        <v>622</v>
      </c>
      <c r="E133" s="12">
        <v>30</v>
      </c>
      <c r="F133" s="12">
        <v>1115</v>
      </c>
      <c r="G133" s="12">
        <v>33450</v>
      </c>
      <c r="H133" s="261">
        <v>0.18</v>
      </c>
      <c r="I133" s="12">
        <v>39471</v>
      </c>
    </row>
    <row r="134" spans="1:9" x14ac:dyDescent="0.25">
      <c r="A134" s="282"/>
      <c r="B134" s="283"/>
      <c r="C134" s="262" t="s">
        <v>708</v>
      </c>
      <c r="D134" s="213" t="s">
        <v>622</v>
      </c>
      <c r="E134" s="12">
        <v>5</v>
      </c>
      <c r="F134" s="12">
        <v>500</v>
      </c>
      <c r="G134" s="12">
        <v>2500</v>
      </c>
      <c r="H134" s="261">
        <v>0.18</v>
      </c>
      <c r="I134" s="12">
        <v>2950</v>
      </c>
    </row>
    <row r="135" spans="1:9" x14ac:dyDescent="0.25">
      <c r="A135" s="282"/>
      <c r="B135" s="283"/>
      <c r="C135" s="262" t="s">
        <v>709</v>
      </c>
      <c r="D135" s="213" t="s">
        <v>622</v>
      </c>
      <c r="E135" s="12">
        <v>1</v>
      </c>
      <c r="F135" s="12">
        <v>700</v>
      </c>
      <c r="G135" s="12">
        <v>700</v>
      </c>
      <c r="H135" s="261">
        <v>0.18</v>
      </c>
      <c r="I135" s="12">
        <v>826</v>
      </c>
    </row>
    <row r="136" spans="1:9" x14ac:dyDescent="0.25">
      <c r="A136" s="282"/>
      <c r="B136" s="283"/>
      <c r="C136" s="262" t="s">
        <v>701</v>
      </c>
      <c r="D136" s="213" t="s">
        <v>622</v>
      </c>
      <c r="E136" s="12">
        <v>15</v>
      </c>
      <c r="F136" s="12">
        <v>850</v>
      </c>
      <c r="G136" s="12">
        <v>12750</v>
      </c>
      <c r="H136" s="261">
        <v>0.18</v>
      </c>
      <c r="I136" s="12">
        <v>15045</v>
      </c>
    </row>
    <row r="137" spans="1:9" x14ac:dyDescent="0.25">
      <c r="A137" s="282"/>
      <c r="B137" s="283"/>
      <c r="C137" s="262" t="s">
        <v>710</v>
      </c>
      <c r="D137" s="213" t="s">
        <v>619</v>
      </c>
      <c r="E137" s="12">
        <v>12</v>
      </c>
      <c r="F137" s="12">
        <v>4300</v>
      </c>
      <c r="G137" s="12">
        <v>51600</v>
      </c>
      <c r="H137" s="261">
        <v>0.18</v>
      </c>
      <c r="I137" s="12">
        <v>60888</v>
      </c>
    </row>
    <row r="138" spans="1:9" x14ac:dyDescent="0.25">
      <c r="A138" s="282"/>
      <c r="B138" s="283"/>
      <c r="C138" s="262" t="s">
        <v>711</v>
      </c>
      <c r="D138" s="213" t="s">
        <v>622</v>
      </c>
      <c r="E138" s="12">
        <v>10</v>
      </c>
      <c r="F138" s="12">
        <v>80</v>
      </c>
      <c r="G138" s="12">
        <v>800</v>
      </c>
      <c r="H138" s="261">
        <v>0.18</v>
      </c>
      <c r="I138" s="12">
        <v>944</v>
      </c>
    </row>
    <row r="139" spans="1:9" x14ac:dyDescent="0.25">
      <c r="A139" s="282"/>
      <c r="B139" s="283"/>
      <c r="C139" s="262" t="s">
        <v>712</v>
      </c>
      <c r="D139" s="213" t="s">
        <v>622</v>
      </c>
      <c r="E139" s="12">
        <v>20</v>
      </c>
      <c r="F139" s="12">
        <v>300</v>
      </c>
      <c r="G139" s="12">
        <v>6000</v>
      </c>
      <c r="H139" s="261">
        <v>0.18</v>
      </c>
      <c r="I139" s="12">
        <v>7080</v>
      </c>
    </row>
    <row r="140" spans="1:9" ht="30" x14ac:dyDescent="0.25">
      <c r="A140" s="282"/>
      <c r="B140" s="283"/>
      <c r="C140" s="262" t="s">
        <v>702</v>
      </c>
      <c r="D140" s="213" t="s">
        <v>622</v>
      </c>
      <c r="E140" s="12">
        <v>15</v>
      </c>
      <c r="F140" s="12">
        <v>1800</v>
      </c>
      <c r="G140" s="12">
        <v>27000</v>
      </c>
      <c r="H140" s="261">
        <v>0.18</v>
      </c>
      <c r="I140" s="12">
        <v>31860</v>
      </c>
    </row>
    <row r="141" spans="1:9" ht="30" x14ac:dyDescent="0.25">
      <c r="A141" s="282"/>
      <c r="B141" s="283"/>
      <c r="C141" s="262" t="s">
        <v>643</v>
      </c>
      <c r="D141" s="213" t="s">
        <v>622</v>
      </c>
      <c r="E141" s="12">
        <v>12</v>
      </c>
      <c r="F141" s="12">
        <v>2800</v>
      </c>
      <c r="G141" s="12">
        <v>33600</v>
      </c>
      <c r="H141" s="261">
        <v>0.18</v>
      </c>
      <c r="I141" s="12">
        <v>39648</v>
      </c>
    </row>
    <row r="142" spans="1:9" x14ac:dyDescent="0.25">
      <c r="A142" s="282"/>
      <c r="B142" s="283"/>
      <c r="C142" s="262" t="s">
        <v>703</v>
      </c>
      <c r="D142" s="213" t="s">
        <v>622</v>
      </c>
      <c r="E142" s="12">
        <v>1</v>
      </c>
      <c r="F142" s="12">
        <v>5500</v>
      </c>
      <c r="G142" s="12">
        <v>5500</v>
      </c>
      <c r="H142" s="261">
        <v>0.18</v>
      </c>
      <c r="I142" s="12">
        <v>6490</v>
      </c>
    </row>
    <row r="143" spans="1:9" ht="30" x14ac:dyDescent="0.25">
      <c r="A143" s="282"/>
      <c r="B143" s="283"/>
      <c r="C143" s="262" t="s">
        <v>706</v>
      </c>
      <c r="D143" s="213" t="s">
        <v>622</v>
      </c>
      <c r="E143" s="12">
        <v>15</v>
      </c>
      <c r="F143" s="12">
        <v>12800</v>
      </c>
      <c r="G143" s="12">
        <v>192000</v>
      </c>
      <c r="H143" s="261">
        <v>0.18</v>
      </c>
      <c r="I143" s="12">
        <v>226560</v>
      </c>
    </row>
    <row r="144" spans="1:9" x14ac:dyDescent="0.25">
      <c r="A144" s="282"/>
      <c r="B144" s="283"/>
      <c r="C144" s="262" t="s">
        <v>704</v>
      </c>
      <c r="D144" s="213" t="s">
        <v>622</v>
      </c>
      <c r="E144" s="12">
        <v>15</v>
      </c>
      <c r="F144" s="12">
        <v>110</v>
      </c>
      <c r="G144" s="12">
        <v>1650</v>
      </c>
      <c r="H144" s="261">
        <v>0.18</v>
      </c>
      <c r="I144" s="12">
        <v>1947</v>
      </c>
    </row>
    <row r="145" spans="1:9" ht="30" x14ac:dyDescent="0.25">
      <c r="A145" s="282"/>
      <c r="B145" s="283"/>
      <c r="C145" s="262" t="s">
        <v>705</v>
      </c>
      <c r="D145" s="213" t="s">
        <v>622</v>
      </c>
      <c r="E145" s="12">
        <v>15</v>
      </c>
      <c r="F145" s="12">
        <v>1700</v>
      </c>
      <c r="G145" s="12">
        <v>25500</v>
      </c>
      <c r="H145" s="261">
        <v>0.18</v>
      </c>
      <c r="I145" s="12">
        <v>30090</v>
      </c>
    </row>
    <row r="146" spans="1:9" x14ac:dyDescent="0.25">
      <c r="A146" s="282"/>
      <c r="B146" s="283" t="s">
        <v>735</v>
      </c>
      <c r="C146" s="283"/>
      <c r="D146" s="276"/>
      <c r="E146" s="277">
        <v>166</v>
      </c>
      <c r="F146" s="277">
        <v>32555</v>
      </c>
      <c r="G146" s="278">
        <v>393050</v>
      </c>
      <c r="H146" s="279">
        <v>2.34</v>
      </c>
      <c r="I146" s="281">
        <v>463799</v>
      </c>
    </row>
    <row r="147" spans="1:9" x14ac:dyDescent="0.25">
      <c r="A147" s="282"/>
      <c r="B147" s="283" t="s">
        <v>727</v>
      </c>
      <c r="C147" s="262" t="s">
        <v>669</v>
      </c>
      <c r="D147" s="213" t="s">
        <v>622</v>
      </c>
      <c r="E147" s="12">
        <v>2</v>
      </c>
      <c r="F147" s="12">
        <v>75000</v>
      </c>
      <c r="G147" s="12">
        <v>150000</v>
      </c>
      <c r="H147" s="261">
        <v>0.18</v>
      </c>
      <c r="I147" s="12">
        <v>177000</v>
      </c>
    </row>
    <row r="148" spans="1:9" x14ac:dyDescent="0.25">
      <c r="A148" s="282"/>
      <c r="B148" s="283"/>
      <c r="C148" s="262" t="s">
        <v>670</v>
      </c>
      <c r="D148" s="213" t="s">
        <v>622</v>
      </c>
      <c r="E148" s="12">
        <v>2</v>
      </c>
      <c r="F148" s="12">
        <v>16000</v>
      </c>
      <c r="G148" s="12">
        <v>32000</v>
      </c>
      <c r="H148" s="261">
        <v>0.18</v>
      </c>
      <c r="I148" s="12">
        <v>37760</v>
      </c>
    </row>
    <row r="149" spans="1:9" x14ac:dyDescent="0.25">
      <c r="A149" s="282"/>
      <c r="B149" s="283"/>
      <c r="C149" s="262" t="s">
        <v>671</v>
      </c>
      <c r="D149" s="213" t="s">
        <v>622</v>
      </c>
      <c r="E149" s="12">
        <v>2</v>
      </c>
      <c r="F149" s="12">
        <v>89000</v>
      </c>
      <c r="G149" s="12">
        <v>178000</v>
      </c>
      <c r="H149" s="261">
        <v>0.18</v>
      </c>
      <c r="I149" s="12">
        <v>210040</v>
      </c>
    </row>
    <row r="150" spans="1:9" x14ac:dyDescent="0.25">
      <c r="A150" s="282"/>
      <c r="B150" s="283"/>
      <c r="C150" s="262" t="s">
        <v>668</v>
      </c>
      <c r="D150" s="213" t="s">
        <v>619</v>
      </c>
      <c r="E150" s="12">
        <v>12</v>
      </c>
      <c r="F150" s="12">
        <v>5500</v>
      </c>
      <c r="G150" s="12">
        <v>66000</v>
      </c>
      <c r="H150" s="261">
        <v>0.18</v>
      </c>
      <c r="I150" s="12">
        <v>77880</v>
      </c>
    </row>
    <row r="151" spans="1:9" x14ac:dyDescent="0.25">
      <c r="A151" s="282"/>
      <c r="B151" s="283"/>
      <c r="C151" s="262" t="s">
        <v>713</v>
      </c>
      <c r="D151" s="213" t="s">
        <v>619</v>
      </c>
      <c r="E151" s="12">
        <v>12</v>
      </c>
      <c r="F151" s="12">
        <v>3500</v>
      </c>
      <c r="G151" s="12">
        <v>42000</v>
      </c>
      <c r="H151" s="261">
        <v>0.18</v>
      </c>
      <c r="I151" s="12">
        <v>49560</v>
      </c>
    </row>
    <row r="152" spans="1:9" ht="30" x14ac:dyDescent="0.25">
      <c r="A152" s="282"/>
      <c r="B152" s="283"/>
      <c r="C152" s="262" t="s">
        <v>672</v>
      </c>
      <c r="D152" s="213" t="s">
        <v>619</v>
      </c>
      <c r="E152" s="12">
        <v>2</v>
      </c>
      <c r="F152" s="12">
        <v>24000</v>
      </c>
      <c r="G152" s="12">
        <v>48000</v>
      </c>
      <c r="H152" s="261">
        <v>0.18</v>
      </c>
      <c r="I152" s="12">
        <v>56640</v>
      </c>
    </row>
    <row r="153" spans="1:9" ht="30" x14ac:dyDescent="0.25">
      <c r="A153" s="282"/>
      <c r="B153" s="283"/>
      <c r="C153" s="262" t="s">
        <v>673</v>
      </c>
      <c r="D153" s="213" t="s">
        <v>716</v>
      </c>
      <c r="E153" s="12">
        <v>1</v>
      </c>
      <c r="F153" s="12">
        <v>120000</v>
      </c>
      <c r="G153" s="12">
        <v>120000</v>
      </c>
      <c r="H153" s="261">
        <v>0.18</v>
      </c>
      <c r="I153" s="12">
        <v>141600</v>
      </c>
    </row>
    <row r="154" spans="1:9" ht="30" x14ac:dyDescent="0.25">
      <c r="A154" s="282"/>
      <c r="B154" s="283"/>
      <c r="C154" s="262" t="s">
        <v>674</v>
      </c>
      <c r="D154" s="213" t="s">
        <v>716</v>
      </c>
      <c r="E154" s="12">
        <v>1</v>
      </c>
      <c r="F154" s="12">
        <v>36000</v>
      </c>
      <c r="G154" s="12">
        <v>36000</v>
      </c>
      <c r="H154" s="261">
        <v>0.18</v>
      </c>
      <c r="I154" s="12">
        <v>42480</v>
      </c>
    </row>
    <row r="155" spans="1:9" ht="30" x14ac:dyDescent="0.25">
      <c r="A155" s="282"/>
      <c r="B155" s="283"/>
      <c r="C155" s="262" t="s">
        <v>675</v>
      </c>
      <c r="D155" s="213" t="s">
        <v>716</v>
      </c>
      <c r="E155" s="12">
        <v>1</v>
      </c>
      <c r="F155" s="12">
        <v>180000</v>
      </c>
      <c r="G155" s="12">
        <v>180000</v>
      </c>
      <c r="H155" s="261">
        <v>0.18</v>
      </c>
      <c r="I155" s="12">
        <v>212400</v>
      </c>
    </row>
    <row r="156" spans="1:9" ht="45" x14ac:dyDescent="0.25">
      <c r="A156" s="282"/>
      <c r="B156" s="283"/>
      <c r="C156" s="262" t="s">
        <v>676</v>
      </c>
      <c r="D156" s="213" t="s">
        <v>716</v>
      </c>
      <c r="E156" s="12">
        <v>1</v>
      </c>
      <c r="F156" s="12">
        <v>24000</v>
      </c>
      <c r="G156" s="12">
        <v>24000</v>
      </c>
      <c r="H156" s="261">
        <v>0.18</v>
      </c>
      <c r="I156" s="12">
        <v>28320</v>
      </c>
    </row>
    <row r="157" spans="1:9" ht="30" x14ac:dyDescent="0.25">
      <c r="A157" s="282"/>
      <c r="B157" s="283"/>
      <c r="C157" s="262" t="s">
        <v>677</v>
      </c>
      <c r="D157" s="213" t="s">
        <v>716</v>
      </c>
      <c r="E157" s="12">
        <v>1</v>
      </c>
      <c r="F157" s="12">
        <v>36000</v>
      </c>
      <c r="G157" s="12">
        <v>36000</v>
      </c>
      <c r="H157" s="261">
        <v>0.18</v>
      </c>
      <c r="I157" s="12">
        <v>42480</v>
      </c>
    </row>
    <row r="158" spans="1:9" ht="30" x14ac:dyDescent="0.25">
      <c r="A158" s="282"/>
      <c r="B158" s="283" t="s">
        <v>741</v>
      </c>
      <c r="C158" s="283"/>
      <c r="D158" s="276"/>
      <c r="E158" s="277">
        <v>37</v>
      </c>
      <c r="F158" s="277">
        <v>609000</v>
      </c>
      <c r="G158" s="278">
        <v>912000</v>
      </c>
      <c r="H158" s="279">
        <v>1.9799999999999998</v>
      </c>
      <c r="I158" s="281">
        <v>1076160</v>
      </c>
    </row>
    <row r="159" spans="1:9" ht="45" x14ac:dyDescent="0.25">
      <c r="A159" s="282"/>
      <c r="B159" s="283" t="s">
        <v>752</v>
      </c>
      <c r="C159" s="262" t="s">
        <v>679</v>
      </c>
      <c r="D159" s="213" t="s">
        <v>619</v>
      </c>
      <c r="E159" s="12">
        <v>12</v>
      </c>
      <c r="F159" s="12">
        <v>4600</v>
      </c>
      <c r="G159" s="12">
        <v>55200</v>
      </c>
      <c r="H159" s="261">
        <v>0.18</v>
      </c>
      <c r="I159" s="12">
        <v>65136</v>
      </c>
    </row>
    <row r="160" spans="1:9" x14ac:dyDescent="0.25">
      <c r="A160" s="282"/>
      <c r="B160" s="283"/>
      <c r="C160" s="262" t="s">
        <v>680</v>
      </c>
      <c r="D160" s="213" t="s">
        <v>619</v>
      </c>
      <c r="E160" s="12">
        <v>12</v>
      </c>
      <c r="F160" s="12">
        <v>30000</v>
      </c>
      <c r="G160" s="12">
        <v>360000</v>
      </c>
      <c r="H160" s="261">
        <v>0.18</v>
      </c>
      <c r="I160" s="12">
        <v>424800</v>
      </c>
    </row>
    <row r="161" spans="1:9" ht="30" x14ac:dyDescent="0.25">
      <c r="A161" s="282"/>
      <c r="B161" s="283"/>
      <c r="C161" s="262" t="s">
        <v>678</v>
      </c>
      <c r="D161" s="213" t="s">
        <v>622</v>
      </c>
      <c r="E161" s="12">
        <v>50</v>
      </c>
      <c r="F161" s="12">
        <v>180</v>
      </c>
      <c r="G161" s="12">
        <v>500</v>
      </c>
      <c r="H161" s="261">
        <v>0.18</v>
      </c>
      <c r="I161" s="12">
        <v>10620</v>
      </c>
    </row>
    <row r="162" spans="1:9" ht="30" x14ac:dyDescent="0.25">
      <c r="A162" s="282"/>
      <c r="B162" s="283"/>
      <c r="C162" s="262" t="s">
        <v>691</v>
      </c>
      <c r="D162" s="213" t="s">
        <v>715</v>
      </c>
      <c r="E162" s="12">
        <v>12</v>
      </c>
      <c r="F162" s="12">
        <v>10593</v>
      </c>
      <c r="G162" s="12">
        <v>127118.40000000001</v>
      </c>
      <c r="H162" s="261">
        <v>0.18</v>
      </c>
      <c r="I162" s="12">
        <v>150000</v>
      </c>
    </row>
    <row r="163" spans="1:9" x14ac:dyDescent="0.25">
      <c r="A163" s="282"/>
      <c r="B163" s="283"/>
      <c r="C163" s="262" t="s">
        <v>696</v>
      </c>
      <c r="D163" s="213" t="s">
        <v>715</v>
      </c>
      <c r="E163" s="12">
        <v>1</v>
      </c>
      <c r="F163" s="12">
        <v>254237</v>
      </c>
      <c r="G163" s="12">
        <v>254237</v>
      </c>
      <c r="H163" s="261">
        <v>0.18</v>
      </c>
      <c r="I163" s="12">
        <v>300000</v>
      </c>
    </row>
    <row r="164" spans="1:9" ht="30" x14ac:dyDescent="0.25">
      <c r="A164" s="282"/>
      <c r="B164" s="283"/>
      <c r="C164" s="262" t="s">
        <v>693</v>
      </c>
      <c r="D164" s="213" t="s">
        <v>717</v>
      </c>
      <c r="E164" s="12">
        <v>1</v>
      </c>
      <c r="F164" s="12">
        <v>42373</v>
      </c>
      <c r="G164" s="12">
        <v>42373</v>
      </c>
      <c r="H164" s="261">
        <v>0.18</v>
      </c>
      <c r="I164" s="12">
        <v>50000</v>
      </c>
    </row>
    <row r="165" spans="1:9" ht="30" x14ac:dyDescent="0.25">
      <c r="A165" s="282"/>
      <c r="B165" s="283"/>
      <c r="C165" s="262" t="s">
        <v>661</v>
      </c>
      <c r="D165" s="213" t="s">
        <v>715</v>
      </c>
      <c r="E165" s="12">
        <v>1</v>
      </c>
      <c r="F165" s="12">
        <v>20593</v>
      </c>
      <c r="G165" s="12">
        <v>20593</v>
      </c>
      <c r="H165" s="261">
        <v>0.18</v>
      </c>
      <c r="I165" s="12">
        <v>24300</v>
      </c>
    </row>
    <row r="166" spans="1:9" ht="30" x14ac:dyDescent="0.25">
      <c r="A166" s="282"/>
      <c r="B166" s="283"/>
      <c r="C166" s="262" t="s">
        <v>662</v>
      </c>
      <c r="D166" s="213" t="s">
        <v>715</v>
      </c>
      <c r="E166" s="12">
        <v>1</v>
      </c>
      <c r="F166" s="12">
        <v>100000</v>
      </c>
      <c r="G166" s="12">
        <v>100000</v>
      </c>
      <c r="H166" s="261">
        <v>0.18</v>
      </c>
      <c r="I166" s="12">
        <v>118000</v>
      </c>
    </row>
    <row r="167" spans="1:9" ht="30" x14ac:dyDescent="0.25">
      <c r="A167" s="282"/>
      <c r="B167" s="283"/>
      <c r="C167" s="262" t="s">
        <v>663</v>
      </c>
      <c r="D167" s="213" t="s">
        <v>715</v>
      </c>
      <c r="E167" s="12">
        <v>1</v>
      </c>
      <c r="F167" s="12">
        <v>15000</v>
      </c>
      <c r="G167" s="12">
        <v>15000</v>
      </c>
      <c r="H167" s="261">
        <v>0.18</v>
      </c>
      <c r="I167" s="12">
        <v>17700</v>
      </c>
    </row>
    <row r="168" spans="1:9" ht="30" x14ac:dyDescent="0.25">
      <c r="A168" s="282"/>
      <c r="B168" s="283"/>
      <c r="C168" s="262" t="s">
        <v>664</v>
      </c>
      <c r="D168" s="213" t="s">
        <v>619</v>
      </c>
      <c r="E168" s="12">
        <v>12</v>
      </c>
      <c r="F168" s="12">
        <v>21188</v>
      </c>
      <c r="G168" s="12">
        <v>254250</v>
      </c>
      <c r="H168" s="261">
        <v>0.18</v>
      </c>
      <c r="I168" s="12">
        <v>300015</v>
      </c>
    </row>
    <row r="169" spans="1:9" ht="30" x14ac:dyDescent="0.25">
      <c r="A169" s="282"/>
      <c r="B169" s="283"/>
      <c r="C169" s="262" t="s">
        <v>753</v>
      </c>
      <c r="D169" s="213" t="s">
        <v>715</v>
      </c>
      <c r="E169" s="12">
        <v>1</v>
      </c>
      <c r="F169" s="12">
        <v>80000</v>
      </c>
      <c r="G169" s="12">
        <v>80000</v>
      </c>
      <c r="H169" s="261">
        <v>0.18</v>
      </c>
      <c r="I169" s="12">
        <v>94400</v>
      </c>
    </row>
    <row r="170" spans="1:9" ht="30" x14ac:dyDescent="0.25">
      <c r="A170" s="282"/>
      <c r="B170" s="283"/>
      <c r="C170" s="262" t="s">
        <v>682</v>
      </c>
      <c r="D170" s="213" t="s">
        <v>715</v>
      </c>
      <c r="E170" s="12">
        <v>1</v>
      </c>
      <c r="F170" s="12">
        <v>255000</v>
      </c>
      <c r="G170" s="12">
        <v>255000</v>
      </c>
      <c r="H170" s="261">
        <v>0.18</v>
      </c>
      <c r="I170" s="12">
        <v>300900</v>
      </c>
    </row>
    <row r="171" spans="1:9" ht="45" x14ac:dyDescent="0.25">
      <c r="A171" s="282"/>
      <c r="B171" s="283"/>
      <c r="C171" s="262" t="s">
        <v>698</v>
      </c>
      <c r="D171" s="213" t="s">
        <v>717</v>
      </c>
      <c r="E171" s="12">
        <v>12</v>
      </c>
      <c r="F171" s="12">
        <v>11500</v>
      </c>
      <c r="G171" s="12">
        <v>138000</v>
      </c>
      <c r="H171" s="261">
        <v>0.18</v>
      </c>
      <c r="I171" s="12">
        <v>162840</v>
      </c>
    </row>
    <row r="172" spans="1:9" ht="45" x14ac:dyDescent="0.25">
      <c r="A172" s="282"/>
      <c r="B172" s="283"/>
      <c r="C172" s="262" t="s">
        <v>697</v>
      </c>
      <c r="D172" s="213" t="s">
        <v>715</v>
      </c>
      <c r="E172" s="12">
        <v>1</v>
      </c>
      <c r="F172" s="12">
        <v>169492</v>
      </c>
      <c r="G172" s="12">
        <v>169491.7</v>
      </c>
      <c r="H172" s="261">
        <v>0.18</v>
      </c>
      <c r="I172" s="12">
        <v>200000</v>
      </c>
    </row>
    <row r="173" spans="1:9" ht="45" x14ac:dyDescent="0.25">
      <c r="A173" s="282"/>
      <c r="B173" s="283" t="s">
        <v>754</v>
      </c>
      <c r="C173" s="283"/>
      <c r="D173" s="276"/>
      <c r="E173" s="277">
        <v>118</v>
      </c>
      <c r="F173" s="277">
        <v>1014756</v>
      </c>
      <c r="G173" s="278">
        <v>1871763.0999999999</v>
      </c>
      <c r="H173" s="279">
        <v>2.5199999999999996</v>
      </c>
      <c r="I173" s="281">
        <v>2218711</v>
      </c>
    </row>
    <row r="174" spans="1:9" x14ac:dyDescent="0.25">
      <c r="A174" s="282"/>
      <c r="B174" s="283" t="s">
        <v>755</v>
      </c>
      <c r="C174" s="262" t="s">
        <v>665</v>
      </c>
      <c r="D174" s="213" t="s">
        <v>622</v>
      </c>
      <c r="E174" s="12">
        <v>1</v>
      </c>
      <c r="F174" s="12">
        <v>1026600</v>
      </c>
      <c r="G174" s="12">
        <v>1026600</v>
      </c>
      <c r="H174" s="261">
        <v>0</v>
      </c>
      <c r="I174" s="12">
        <v>1026600</v>
      </c>
    </row>
    <row r="175" spans="1:9" x14ac:dyDescent="0.25">
      <c r="A175" s="282"/>
      <c r="B175" s="283"/>
      <c r="C175" s="262" t="s">
        <v>666</v>
      </c>
      <c r="D175" s="213" t="s">
        <v>622</v>
      </c>
      <c r="E175" s="12">
        <v>1</v>
      </c>
      <c r="F175" s="12">
        <v>118000</v>
      </c>
      <c r="G175" s="12">
        <v>118000</v>
      </c>
      <c r="H175" s="261">
        <v>0</v>
      </c>
      <c r="I175" s="12">
        <v>118000</v>
      </c>
    </row>
    <row r="176" spans="1:9" x14ac:dyDescent="0.25">
      <c r="A176" s="282"/>
      <c r="B176" s="283"/>
      <c r="C176" s="262" t="s">
        <v>667</v>
      </c>
      <c r="D176" s="213" t="s">
        <v>622</v>
      </c>
      <c r="E176" s="12">
        <v>1</v>
      </c>
      <c r="F176" s="12">
        <v>28320</v>
      </c>
      <c r="G176" s="12">
        <v>28320</v>
      </c>
      <c r="H176" s="261">
        <v>0</v>
      </c>
      <c r="I176" s="12">
        <v>28320</v>
      </c>
    </row>
    <row r="177" spans="1:10" x14ac:dyDescent="0.25">
      <c r="A177" s="282"/>
      <c r="B177" s="283" t="s">
        <v>756</v>
      </c>
      <c r="C177" s="283"/>
      <c r="D177" s="276"/>
      <c r="E177" s="277">
        <v>3</v>
      </c>
      <c r="F177" s="277">
        <v>1172920</v>
      </c>
      <c r="G177" s="278">
        <v>1172920</v>
      </c>
      <c r="H177" s="279">
        <v>0</v>
      </c>
      <c r="I177" s="281">
        <v>1172920</v>
      </c>
    </row>
    <row r="178" spans="1:10" ht="30" x14ac:dyDescent="0.25">
      <c r="B178" s="283" t="s">
        <v>765</v>
      </c>
      <c r="C178" s="284" t="s">
        <v>333</v>
      </c>
      <c r="D178" s="276"/>
      <c r="E178" s="277"/>
      <c r="F178" s="277"/>
      <c r="G178" s="272">
        <v>1500000</v>
      </c>
      <c r="H178" s="279"/>
      <c r="I178" s="272">
        <v>1500000</v>
      </c>
    </row>
    <row r="179" spans="1:10" ht="30" x14ac:dyDescent="0.25">
      <c r="A179" s="282"/>
      <c r="B179" s="283"/>
      <c r="C179" s="262" t="s">
        <v>380</v>
      </c>
      <c r="D179" s="213"/>
      <c r="E179" s="12"/>
      <c r="F179" s="12"/>
      <c r="G179" s="12">
        <v>150000</v>
      </c>
      <c r="H179" s="261"/>
      <c r="I179" s="12">
        <v>150000</v>
      </c>
    </row>
    <row r="180" spans="1:10" x14ac:dyDescent="0.25">
      <c r="A180" s="282"/>
      <c r="B180" s="283"/>
      <c r="C180" s="262" t="s">
        <v>330</v>
      </c>
      <c r="D180" s="213"/>
      <c r="E180" s="12"/>
      <c r="F180" s="12"/>
      <c r="G180" s="12">
        <v>624996</v>
      </c>
      <c r="H180" s="261"/>
      <c r="I180" s="12">
        <v>624996</v>
      </c>
    </row>
    <row r="181" spans="1:10" ht="30" x14ac:dyDescent="0.25">
      <c r="A181" s="282"/>
      <c r="B181" s="283"/>
      <c r="C181" s="262" t="s">
        <v>379</v>
      </c>
      <c r="D181" s="213"/>
      <c r="E181" s="12"/>
      <c r="F181" s="12"/>
      <c r="G181" s="12">
        <v>639996</v>
      </c>
      <c r="H181" s="261"/>
      <c r="I181" s="12">
        <v>639996</v>
      </c>
    </row>
    <row r="182" spans="1:10" x14ac:dyDescent="0.25">
      <c r="A182" s="282"/>
      <c r="B182" s="283"/>
      <c r="C182" s="262" t="s">
        <v>378</v>
      </c>
      <c r="D182" s="213"/>
      <c r="E182" s="12"/>
      <c r="F182" s="12"/>
      <c r="G182" s="12">
        <v>768000</v>
      </c>
      <c r="H182" s="261"/>
      <c r="I182" s="12">
        <v>768000</v>
      </c>
    </row>
    <row r="183" spans="1:10" x14ac:dyDescent="0.25">
      <c r="A183" s="282"/>
      <c r="B183" s="283"/>
      <c r="C183" s="262" t="s">
        <v>331</v>
      </c>
      <c r="D183" s="213"/>
      <c r="E183" s="12"/>
      <c r="F183" s="12"/>
      <c r="G183" s="12">
        <v>999996</v>
      </c>
      <c r="H183" s="261"/>
      <c r="I183" s="12">
        <v>999996</v>
      </c>
    </row>
    <row r="184" spans="1:10" x14ac:dyDescent="0.25">
      <c r="A184" s="282"/>
      <c r="B184" s="283"/>
      <c r="C184" s="262" t="s">
        <v>332</v>
      </c>
      <c r="D184" s="213"/>
      <c r="E184" s="12"/>
      <c r="F184" s="12"/>
      <c r="G184" s="12">
        <v>600000</v>
      </c>
      <c r="H184" s="261"/>
      <c r="I184" s="12">
        <v>600000</v>
      </c>
    </row>
    <row r="185" spans="1:10" ht="30" x14ac:dyDescent="0.25">
      <c r="A185" s="282"/>
      <c r="B185" s="283"/>
      <c r="C185" s="262" t="s">
        <v>757</v>
      </c>
      <c r="D185" s="213"/>
      <c r="E185" s="12"/>
      <c r="F185" s="12"/>
      <c r="G185" s="12">
        <v>30000</v>
      </c>
      <c r="H185" s="261"/>
      <c r="I185" s="12">
        <v>30000</v>
      </c>
    </row>
    <row r="186" spans="1:10" ht="30" x14ac:dyDescent="0.25">
      <c r="A186" s="282"/>
      <c r="B186" s="283" t="s">
        <v>766</v>
      </c>
      <c r="C186" s="283"/>
      <c r="D186" s="276"/>
      <c r="E186" s="277"/>
      <c r="F186" s="277"/>
      <c r="G186" s="281">
        <f>SUM(G178:G185)</f>
        <v>5312988</v>
      </c>
      <c r="H186" s="279"/>
      <c r="I186" s="281">
        <f>SUM(I178:I185)</f>
        <v>5312988</v>
      </c>
    </row>
    <row r="187" spans="1:10" x14ac:dyDescent="0.25">
      <c r="A187" s="282" t="s">
        <v>742</v>
      </c>
      <c r="B187" s="283"/>
      <c r="C187" s="283"/>
      <c r="D187" s="276"/>
      <c r="E187" s="277">
        <v>9662</v>
      </c>
      <c r="F187" s="277">
        <v>23747825</v>
      </c>
      <c r="G187" s="281">
        <f>SUM(G186,G177,G173,G158,G146,G132,G122,G113,G106,G102,G97,G92,G85,G83,G71,G69,G62,G58)</f>
        <v>43447956.299999997</v>
      </c>
      <c r="H187" s="279">
        <v>18.049999999999994</v>
      </c>
      <c r="I187" s="281">
        <f>SUM(I186,I177,I173,I158,I146,I132,I122,I113,I106,I102,I97,I92,I85,I83,I71,I69,I62,I58)</f>
        <v>49968774</v>
      </c>
      <c r="J187" s="1" t="e">
        <f>GETPIVOTDATA("[Measures].[Sum of Износ]",BU_pomosen_sporedben!$A$5,"[fActualAndBudget].[ReportType]","[fActualAndBudget].[ReportType].&amp;[План]","[fActualAndBudget].[StavkaKategorija]","[fActualAndBudget].[StavkaKategorija].&amp;[2.37. Останати оперативни расходи]","[Calendar].[Година]","[Calendar].[Година].&amp;[2021]")-'Analiza OPEX 2021 (2)'!I187</f>
        <v>#REF!</v>
      </c>
    </row>
  </sheetData>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rgb="FFFFC000"/>
  </sheetPr>
  <dimension ref="A3:I74"/>
  <sheetViews>
    <sheetView workbookViewId="0">
      <selection activeCell="A3" sqref="A3:G60"/>
    </sheetView>
  </sheetViews>
  <sheetFormatPr defaultRowHeight="15" x14ac:dyDescent="0.25"/>
  <cols>
    <col min="1" max="1" width="50.85546875" customWidth="1"/>
    <col min="2" max="2" width="13.85546875" customWidth="1"/>
    <col min="3" max="4" width="11.140625" hidden="1" customWidth="1"/>
    <col min="5" max="5" width="11.140625" bestFit="1" customWidth="1"/>
    <col min="6" max="6" width="17.140625" hidden="1" customWidth="1"/>
    <col min="7" max="7" width="15.28515625" bestFit="1" customWidth="1"/>
    <col min="8" max="8" width="12.7109375" customWidth="1"/>
    <col min="9" max="9" width="11.140625" bestFit="1" customWidth="1"/>
    <col min="10" max="10" width="20.28515625" bestFit="1" customWidth="1"/>
    <col min="11" max="11" width="12.7109375" bestFit="1" customWidth="1"/>
    <col min="12" max="13" width="10.140625" bestFit="1" customWidth="1"/>
    <col min="14" max="14" width="11.140625" bestFit="1" customWidth="1"/>
    <col min="15"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3" spans="1:9" x14ac:dyDescent="0.25">
      <c r="A3" s="210" t="s">
        <v>244</v>
      </c>
      <c r="B3" s="211" t="s" vm="13">
        <v>245</v>
      </c>
    </row>
    <row r="4" spans="1:9" ht="30" x14ac:dyDescent="0.25">
      <c r="B4" s="209" t="s">
        <v>303</v>
      </c>
      <c r="C4" s="209"/>
      <c r="D4" s="209" t="s">
        <v>239</v>
      </c>
      <c r="E4" s="209" t="s">
        <v>239</v>
      </c>
      <c r="F4" s="209"/>
      <c r="G4" s="13" t="s">
        <v>775</v>
      </c>
    </row>
    <row r="5" spans="1:9" x14ac:dyDescent="0.25">
      <c r="A5" s="210" t="s">
        <v>136</v>
      </c>
      <c r="B5" s="210" t="s">
        <v>137</v>
      </c>
      <c r="C5" s="211"/>
      <c r="D5" s="211"/>
      <c r="E5" s="225"/>
      <c r="F5" s="211"/>
      <c r="G5" s="211"/>
      <c r="H5" s="211"/>
      <c r="I5" s="211"/>
    </row>
    <row r="6" spans="1:9" x14ac:dyDescent="0.25">
      <c r="A6" s="211"/>
      <c r="B6" s="211" t="s">
        <v>303</v>
      </c>
      <c r="C6" s="211"/>
      <c r="D6" s="211" t="s">
        <v>239</v>
      </c>
      <c r="E6" s="211"/>
      <c r="F6" s="225"/>
      <c r="G6" s="211" t="s">
        <v>248</v>
      </c>
      <c r="H6" s="211"/>
      <c r="I6" s="211"/>
    </row>
    <row r="7" spans="1:9" x14ac:dyDescent="0.25">
      <c r="A7" s="210" t="s">
        <v>242</v>
      </c>
      <c r="B7" s="213">
        <v>2019</v>
      </c>
      <c r="C7" s="211">
        <v>2020</v>
      </c>
      <c r="D7" s="213">
        <v>2019</v>
      </c>
      <c r="E7" s="213">
        <v>2020</v>
      </c>
      <c r="F7" s="226">
        <v>2021</v>
      </c>
      <c r="G7" s="213">
        <v>2019</v>
      </c>
      <c r="H7" s="213">
        <v>2020</v>
      </c>
      <c r="I7" s="211">
        <v>2021</v>
      </c>
    </row>
    <row r="8" spans="1:9" hidden="1" x14ac:dyDescent="0.25">
      <c r="A8" s="212" t="s">
        <v>382</v>
      </c>
      <c r="B8" s="12"/>
      <c r="C8" s="12"/>
      <c r="D8" s="12"/>
      <c r="E8" s="12"/>
      <c r="F8" s="224"/>
      <c r="G8" s="12"/>
      <c r="H8" s="12"/>
      <c r="I8" s="12"/>
    </row>
    <row r="9" spans="1:9" hidden="1" x14ac:dyDescent="0.25">
      <c r="A9" s="290" t="s">
        <v>781</v>
      </c>
      <c r="B9" s="12">
        <v>172072257</v>
      </c>
      <c r="C9" s="12">
        <v>176082377</v>
      </c>
      <c r="D9" s="12">
        <v>0</v>
      </c>
      <c r="E9" s="12">
        <v>188191194</v>
      </c>
      <c r="F9" s="224">
        <v>175035695</v>
      </c>
      <c r="G9" s="12">
        <v>0</v>
      </c>
      <c r="H9" s="12">
        <v>0</v>
      </c>
      <c r="I9" s="12">
        <v>157458441</v>
      </c>
    </row>
    <row r="10" spans="1:9" hidden="1" x14ac:dyDescent="0.25">
      <c r="A10" s="290" t="s">
        <v>782</v>
      </c>
      <c r="B10" s="12">
        <v>2410221</v>
      </c>
      <c r="C10" s="12">
        <v>2247849</v>
      </c>
      <c r="D10" s="12">
        <v>0</v>
      </c>
      <c r="E10" s="12">
        <v>1919284</v>
      </c>
      <c r="F10" s="224">
        <v>2474236</v>
      </c>
      <c r="G10" s="12">
        <v>0</v>
      </c>
      <c r="H10" s="12">
        <v>0</v>
      </c>
      <c r="I10" s="12">
        <v>1975200</v>
      </c>
    </row>
    <row r="11" spans="1:9" hidden="1" x14ac:dyDescent="0.25">
      <c r="A11" s="290" t="s">
        <v>783</v>
      </c>
      <c r="B11" s="12">
        <v>10757390</v>
      </c>
      <c r="C11" s="12">
        <v>9819066</v>
      </c>
      <c r="D11" s="12">
        <v>0</v>
      </c>
      <c r="E11" s="12">
        <v>11094063</v>
      </c>
      <c r="F11" s="224">
        <v>10150753</v>
      </c>
      <c r="G11" s="12">
        <v>0</v>
      </c>
      <c r="H11" s="12">
        <v>0</v>
      </c>
      <c r="I11" s="12">
        <v>18323581</v>
      </c>
    </row>
    <row r="12" spans="1:9" hidden="1" x14ac:dyDescent="0.25">
      <c r="A12" s="290" t="s">
        <v>1018</v>
      </c>
      <c r="B12" s="12">
        <v>0</v>
      </c>
      <c r="C12" s="12">
        <v>0</v>
      </c>
      <c r="D12" s="12">
        <v>0</v>
      </c>
      <c r="E12" s="12">
        <v>0</v>
      </c>
      <c r="F12" s="224">
        <v>0</v>
      </c>
      <c r="G12" s="12">
        <v>0</v>
      </c>
      <c r="H12" s="12">
        <v>0</v>
      </c>
      <c r="I12" s="12">
        <v>0</v>
      </c>
    </row>
    <row r="13" spans="1:9" hidden="1" x14ac:dyDescent="0.25">
      <c r="A13" s="290" t="s">
        <v>1019</v>
      </c>
      <c r="B13" s="12"/>
      <c r="C13" s="12"/>
      <c r="D13" s="12">
        <v>0</v>
      </c>
      <c r="E13" s="12">
        <v>9428570</v>
      </c>
      <c r="F13" s="224">
        <v>7624000</v>
      </c>
      <c r="G13" s="12"/>
      <c r="H13" s="12"/>
      <c r="I13" s="12"/>
    </row>
    <row r="14" spans="1:9" hidden="1" x14ac:dyDescent="0.25">
      <c r="A14" s="290" t="s">
        <v>1138</v>
      </c>
      <c r="B14" s="12"/>
      <c r="C14" s="12"/>
      <c r="D14" s="12"/>
      <c r="E14" s="12"/>
      <c r="F14" s="224"/>
      <c r="G14" s="12"/>
      <c r="H14" s="12"/>
      <c r="I14" s="12">
        <v>17834372</v>
      </c>
    </row>
    <row r="15" spans="1:9" hidden="1" x14ac:dyDescent="0.25">
      <c r="A15" s="290" t="s">
        <v>784</v>
      </c>
      <c r="B15" s="12">
        <v>1230953</v>
      </c>
      <c r="C15" s="12">
        <v>1000581</v>
      </c>
      <c r="D15" s="12">
        <v>0</v>
      </c>
      <c r="E15" s="12">
        <v>1119922</v>
      </c>
      <c r="F15" s="224">
        <v>1241397</v>
      </c>
      <c r="G15" s="12">
        <v>0</v>
      </c>
      <c r="H15" s="12">
        <v>0</v>
      </c>
      <c r="I15" s="12">
        <v>922368</v>
      </c>
    </row>
    <row r="16" spans="1:9" hidden="1" x14ac:dyDescent="0.25">
      <c r="A16" s="290" t="s">
        <v>1020</v>
      </c>
      <c r="B16" s="12">
        <v>0</v>
      </c>
      <c r="C16" s="12">
        <v>0</v>
      </c>
      <c r="D16" s="12"/>
      <c r="E16" s="12"/>
      <c r="F16" s="224"/>
      <c r="G16" s="12">
        <v>0</v>
      </c>
      <c r="H16" s="12">
        <v>0</v>
      </c>
      <c r="I16" s="12">
        <v>0</v>
      </c>
    </row>
    <row r="17" spans="1:9" hidden="1" x14ac:dyDescent="0.25">
      <c r="A17" s="290" t="s">
        <v>785</v>
      </c>
      <c r="B17" s="12">
        <v>1278211</v>
      </c>
      <c r="C17" s="12">
        <v>1054180</v>
      </c>
      <c r="D17" s="12">
        <v>0</v>
      </c>
      <c r="E17" s="12">
        <v>1340046</v>
      </c>
      <c r="F17" s="224">
        <v>1229150</v>
      </c>
      <c r="G17" s="12">
        <v>0</v>
      </c>
      <c r="H17" s="12">
        <v>0</v>
      </c>
      <c r="I17" s="12">
        <v>861232</v>
      </c>
    </row>
    <row r="18" spans="1:9" hidden="1" x14ac:dyDescent="0.25">
      <c r="A18" s="290" t="s">
        <v>786</v>
      </c>
      <c r="B18" s="12">
        <v>127231</v>
      </c>
      <c r="C18" s="12">
        <v>39196</v>
      </c>
      <c r="D18" s="12">
        <v>0</v>
      </c>
      <c r="E18" s="12">
        <v>140166</v>
      </c>
      <c r="F18" s="224">
        <v>88818</v>
      </c>
      <c r="G18" s="12">
        <v>0</v>
      </c>
      <c r="H18" s="12">
        <v>0</v>
      </c>
      <c r="I18" s="12">
        <v>40617</v>
      </c>
    </row>
    <row r="19" spans="1:9" hidden="1" x14ac:dyDescent="0.25">
      <c r="A19" s="290" t="s">
        <v>787</v>
      </c>
      <c r="B19" s="12">
        <v>184037</v>
      </c>
      <c r="C19" s="12">
        <v>149531</v>
      </c>
      <c r="D19" s="12">
        <v>0</v>
      </c>
      <c r="E19" s="12">
        <v>179594</v>
      </c>
      <c r="F19" s="224">
        <v>169698</v>
      </c>
      <c r="G19" s="12">
        <v>0</v>
      </c>
      <c r="H19" s="12">
        <v>0</v>
      </c>
      <c r="I19" s="12">
        <v>188354</v>
      </c>
    </row>
    <row r="20" spans="1:9" hidden="1" x14ac:dyDescent="0.25">
      <c r="A20" s="290" t="s">
        <v>788</v>
      </c>
      <c r="B20" s="12">
        <v>13910089</v>
      </c>
      <c r="C20" s="12">
        <v>11771385</v>
      </c>
      <c r="D20" s="12">
        <v>0</v>
      </c>
      <c r="E20" s="12">
        <v>15564582</v>
      </c>
      <c r="F20" s="224">
        <v>12367605</v>
      </c>
      <c r="G20" s="12">
        <v>0</v>
      </c>
      <c r="H20" s="12">
        <v>0</v>
      </c>
      <c r="I20" s="12">
        <v>13456026</v>
      </c>
    </row>
    <row r="21" spans="1:9" hidden="1" x14ac:dyDescent="0.25">
      <c r="A21" s="290" t="s">
        <v>789</v>
      </c>
      <c r="B21" s="12">
        <v>75224</v>
      </c>
      <c r="C21" s="12">
        <v>139623</v>
      </c>
      <c r="D21" s="12">
        <v>0</v>
      </c>
      <c r="E21" s="12">
        <v>71887</v>
      </c>
      <c r="F21" s="224">
        <v>59430</v>
      </c>
      <c r="G21" s="12">
        <v>0</v>
      </c>
      <c r="H21" s="12">
        <v>0</v>
      </c>
      <c r="I21" s="12">
        <v>106386</v>
      </c>
    </row>
    <row r="22" spans="1:9" hidden="1" x14ac:dyDescent="0.25">
      <c r="A22" s="290" t="s">
        <v>790</v>
      </c>
      <c r="B22" s="12">
        <v>110406299</v>
      </c>
      <c r="C22" s="12">
        <v>112844829</v>
      </c>
      <c r="D22" s="12">
        <v>0</v>
      </c>
      <c r="E22" s="12">
        <v>121033450</v>
      </c>
      <c r="F22" s="224">
        <v>118249449</v>
      </c>
      <c r="G22" s="12">
        <v>0</v>
      </c>
      <c r="H22" s="12">
        <v>0</v>
      </c>
      <c r="I22" s="12">
        <v>142887601</v>
      </c>
    </row>
    <row r="23" spans="1:9" hidden="1" x14ac:dyDescent="0.25">
      <c r="A23" s="212" t="s">
        <v>383</v>
      </c>
      <c r="B23" s="12"/>
      <c r="C23" s="12"/>
      <c r="D23" s="12"/>
      <c r="E23" s="12"/>
      <c r="F23" s="224"/>
      <c r="G23" s="12"/>
      <c r="H23" s="12"/>
      <c r="I23" s="12"/>
    </row>
    <row r="24" spans="1:9" hidden="1" x14ac:dyDescent="0.25">
      <c r="A24" s="290" t="s">
        <v>1021</v>
      </c>
      <c r="B24" s="12">
        <v>0</v>
      </c>
      <c r="C24" s="12">
        <v>0</v>
      </c>
      <c r="D24" s="12"/>
      <c r="E24" s="12"/>
      <c r="F24" s="224"/>
      <c r="G24" s="12">
        <v>0</v>
      </c>
      <c r="H24" s="12">
        <v>0</v>
      </c>
      <c r="I24" s="12">
        <v>14309</v>
      </c>
    </row>
    <row r="25" spans="1:9" hidden="1" x14ac:dyDescent="0.25">
      <c r="A25" s="290" t="s">
        <v>601</v>
      </c>
      <c r="B25" s="12">
        <v>136257</v>
      </c>
      <c r="C25" s="12">
        <v>28143</v>
      </c>
      <c r="D25" s="12">
        <v>0</v>
      </c>
      <c r="E25" s="12">
        <v>285644</v>
      </c>
      <c r="F25" s="224">
        <v>146</v>
      </c>
      <c r="G25" s="12">
        <v>0</v>
      </c>
      <c r="H25" s="12">
        <v>0</v>
      </c>
      <c r="I25" s="12">
        <v>1591572</v>
      </c>
    </row>
    <row r="26" spans="1:9" hidden="1" x14ac:dyDescent="0.25">
      <c r="A26" s="290" t="s">
        <v>1022</v>
      </c>
      <c r="B26" s="12"/>
      <c r="C26" s="12"/>
      <c r="D26" s="12">
        <v>0</v>
      </c>
      <c r="E26" s="12"/>
      <c r="F26" s="224"/>
      <c r="G26" s="12"/>
      <c r="H26" s="12"/>
      <c r="I26" s="12"/>
    </row>
    <row r="27" spans="1:9" hidden="1" x14ac:dyDescent="0.25">
      <c r="A27" s="290" t="s">
        <v>602</v>
      </c>
      <c r="B27" s="12">
        <v>15454402</v>
      </c>
      <c r="C27" s="12">
        <v>4715772</v>
      </c>
      <c r="D27" s="12">
        <v>0</v>
      </c>
      <c r="E27" s="12">
        <v>4715772</v>
      </c>
      <c r="F27" s="224">
        <v>5530772</v>
      </c>
      <c r="G27" s="12">
        <v>0</v>
      </c>
      <c r="H27" s="12">
        <v>0</v>
      </c>
      <c r="I27" s="12">
        <v>4715772</v>
      </c>
    </row>
    <row r="28" spans="1:9" hidden="1" x14ac:dyDescent="0.25">
      <c r="A28" s="290" t="s">
        <v>1023</v>
      </c>
      <c r="B28" s="12"/>
      <c r="C28" s="12"/>
      <c r="D28" s="12">
        <v>0</v>
      </c>
      <c r="E28" s="12"/>
      <c r="F28" s="224"/>
      <c r="G28" s="12"/>
      <c r="H28" s="12"/>
      <c r="I28" s="12"/>
    </row>
    <row r="29" spans="1:9" x14ac:dyDescent="0.25">
      <c r="A29" s="290" t="s">
        <v>1024</v>
      </c>
      <c r="B29" s="12">
        <v>0</v>
      </c>
      <c r="C29" s="12">
        <v>0</v>
      </c>
      <c r="D29" s="12"/>
      <c r="E29" s="12"/>
      <c r="F29" s="224"/>
      <c r="G29" s="12">
        <v>0</v>
      </c>
      <c r="H29" s="12">
        <v>0</v>
      </c>
      <c r="I29" s="12">
        <v>0</v>
      </c>
    </row>
    <row r="30" spans="1:9" x14ac:dyDescent="0.25">
      <c r="A30" s="291" t="s">
        <v>384</v>
      </c>
      <c r="B30" s="224"/>
      <c r="C30" s="224"/>
      <c r="D30" s="224"/>
      <c r="E30" s="224"/>
      <c r="F30" s="224"/>
      <c r="G30" s="224"/>
      <c r="H30" s="224"/>
      <c r="I30" s="224"/>
    </row>
    <row r="31" spans="1:9" x14ac:dyDescent="0.25">
      <c r="A31" s="290" t="s">
        <v>597</v>
      </c>
      <c r="B31" s="224">
        <v>5055476</v>
      </c>
      <c r="C31" s="224">
        <v>4320465</v>
      </c>
      <c r="D31" s="224">
        <v>0</v>
      </c>
      <c r="E31" s="224">
        <v>5420052</v>
      </c>
      <c r="F31" s="224">
        <v>5265084</v>
      </c>
      <c r="G31" s="224">
        <v>0</v>
      </c>
      <c r="H31" s="224">
        <v>0</v>
      </c>
      <c r="I31" s="224">
        <v>3741815</v>
      </c>
    </row>
    <row r="32" spans="1:9" x14ac:dyDescent="0.25">
      <c r="A32" s="290" t="s">
        <v>598</v>
      </c>
      <c r="B32" s="224">
        <v>88727</v>
      </c>
      <c r="C32" s="224">
        <v>10112</v>
      </c>
      <c r="D32" s="224">
        <v>0</v>
      </c>
      <c r="E32" s="224">
        <v>122952</v>
      </c>
      <c r="F32" s="224">
        <v>24996</v>
      </c>
      <c r="G32" s="224">
        <v>0</v>
      </c>
      <c r="H32" s="224">
        <v>0</v>
      </c>
      <c r="I32" s="224">
        <v>7281</v>
      </c>
    </row>
    <row r="33" spans="1:9" x14ac:dyDescent="0.25">
      <c r="A33" s="290" t="s">
        <v>599</v>
      </c>
      <c r="B33" s="224">
        <v>1648075</v>
      </c>
      <c r="C33" s="224">
        <v>4299624</v>
      </c>
      <c r="D33" s="224">
        <v>0</v>
      </c>
      <c r="E33" s="224">
        <v>2966088</v>
      </c>
      <c r="F33" s="224">
        <v>3045468</v>
      </c>
      <c r="G33" s="224">
        <v>0</v>
      </c>
      <c r="H33" s="224">
        <v>0</v>
      </c>
      <c r="I33" s="224">
        <v>2254739</v>
      </c>
    </row>
    <row r="34" spans="1:9" x14ac:dyDescent="0.25">
      <c r="A34" s="290" t="s">
        <v>600</v>
      </c>
      <c r="B34" s="224">
        <v>1669712</v>
      </c>
      <c r="C34" s="224">
        <v>163451</v>
      </c>
      <c r="D34" s="224">
        <v>0</v>
      </c>
      <c r="E34" s="224">
        <v>1943394</v>
      </c>
      <c r="F34" s="224">
        <v>847248</v>
      </c>
      <c r="G34" s="224">
        <v>0</v>
      </c>
      <c r="H34" s="224">
        <v>0</v>
      </c>
      <c r="I34" s="224">
        <v>308605</v>
      </c>
    </row>
    <row r="35" spans="1:9" x14ac:dyDescent="0.25">
      <c r="A35" s="291" t="s">
        <v>392</v>
      </c>
      <c r="B35" s="224"/>
      <c r="C35" s="224"/>
      <c r="D35" s="224"/>
      <c r="E35" s="224"/>
      <c r="F35" s="224"/>
      <c r="G35" s="224"/>
      <c r="H35" s="224"/>
      <c r="I35" s="224"/>
    </row>
    <row r="36" spans="1:9" x14ac:dyDescent="0.25">
      <c r="A36" s="290" t="s">
        <v>571</v>
      </c>
      <c r="B36" s="12">
        <v>210850023</v>
      </c>
      <c r="C36" s="12">
        <v>230846283</v>
      </c>
      <c r="D36" s="12">
        <v>0</v>
      </c>
      <c r="E36" s="12">
        <v>252209220</v>
      </c>
      <c r="F36" s="224">
        <v>234171147</v>
      </c>
      <c r="G36" s="12">
        <v>0</v>
      </c>
      <c r="H36" s="12">
        <v>0</v>
      </c>
      <c r="I36" s="12">
        <v>230245237</v>
      </c>
    </row>
    <row r="37" spans="1:9" x14ac:dyDescent="0.25">
      <c r="A37" s="212" t="s">
        <v>243</v>
      </c>
      <c r="B37" s="12"/>
      <c r="C37" s="12"/>
      <c r="D37" s="12"/>
      <c r="E37" s="12"/>
      <c r="F37" s="224"/>
      <c r="G37" s="12"/>
      <c r="H37" s="12"/>
      <c r="I37" s="12"/>
    </row>
    <row r="38" spans="1:9" x14ac:dyDescent="0.25">
      <c r="A38" s="290" t="s">
        <v>578</v>
      </c>
      <c r="B38" s="12">
        <v>27290932</v>
      </c>
      <c r="C38" s="12">
        <v>34645388</v>
      </c>
      <c r="D38" s="12">
        <v>0</v>
      </c>
      <c r="E38" s="12">
        <v>38970368</v>
      </c>
      <c r="F38" s="224">
        <v>36719996</v>
      </c>
      <c r="G38" s="12">
        <v>0</v>
      </c>
      <c r="H38" s="12">
        <v>0</v>
      </c>
      <c r="I38" s="12">
        <v>41428384</v>
      </c>
    </row>
    <row r="39" spans="1:9" s="295" customFormat="1" x14ac:dyDescent="0.25">
      <c r="A39" s="212" t="s">
        <v>848</v>
      </c>
      <c r="B39" s="12">
        <v>70027</v>
      </c>
      <c r="C39" s="12">
        <v>92265</v>
      </c>
      <c r="D39" s="12"/>
      <c r="E39" s="12"/>
      <c r="F39" s="224"/>
      <c r="G39" s="12">
        <v>0</v>
      </c>
      <c r="H39" s="12">
        <v>0</v>
      </c>
      <c r="I39" s="12">
        <v>0</v>
      </c>
    </row>
    <row r="40" spans="1:9" s="295" customFormat="1" x14ac:dyDescent="0.25">
      <c r="A40" s="291" t="s">
        <v>402</v>
      </c>
      <c r="B40" s="224"/>
      <c r="C40" s="224"/>
      <c r="D40" s="224"/>
      <c r="E40" s="224"/>
      <c r="F40" s="224"/>
      <c r="G40" s="224"/>
      <c r="H40" s="224"/>
      <c r="I40" s="224"/>
    </row>
    <row r="41" spans="1:9" s="295" customFormat="1" x14ac:dyDescent="0.25">
      <c r="A41" s="293" t="s">
        <v>560</v>
      </c>
      <c r="B41" s="294">
        <v>279494</v>
      </c>
      <c r="C41" s="294">
        <v>261083</v>
      </c>
      <c r="D41" s="294">
        <v>0</v>
      </c>
      <c r="E41" s="294">
        <v>300012</v>
      </c>
      <c r="F41" s="294">
        <v>300015</v>
      </c>
      <c r="G41" s="294">
        <v>0</v>
      </c>
      <c r="H41" s="294">
        <v>0</v>
      </c>
      <c r="I41" s="294">
        <v>280875</v>
      </c>
    </row>
    <row r="42" spans="1:9" x14ac:dyDescent="0.25">
      <c r="A42" s="293" t="s">
        <v>561</v>
      </c>
      <c r="B42" s="294">
        <v>866594</v>
      </c>
      <c r="C42" s="294">
        <v>908211</v>
      </c>
      <c r="D42" s="294">
        <v>0</v>
      </c>
      <c r="E42" s="294">
        <v>970085</v>
      </c>
      <c r="F42" s="294">
        <v>1172920</v>
      </c>
      <c r="G42" s="294">
        <v>0</v>
      </c>
      <c r="H42" s="294">
        <v>0</v>
      </c>
      <c r="I42" s="294">
        <v>921566</v>
      </c>
    </row>
    <row r="43" spans="1:9" x14ac:dyDescent="0.25">
      <c r="A43" s="293" t="s">
        <v>562</v>
      </c>
      <c r="B43" s="294">
        <v>1420728</v>
      </c>
      <c r="C43" s="294">
        <v>406088</v>
      </c>
      <c r="D43" s="294">
        <v>0</v>
      </c>
      <c r="E43" s="294">
        <v>2455812</v>
      </c>
      <c r="F43" s="294">
        <v>1176600</v>
      </c>
      <c r="G43" s="294">
        <v>0</v>
      </c>
      <c r="H43" s="294">
        <v>0</v>
      </c>
      <c r="I43" s="294">
        <v>101180</v>
      </c>
    </row>
    <row r="44" spans="1:9" x14ac:dyDescent="0.25">
      <c r="A44" s="293" t="s">
        <v>1025</v>
      </c>
      <c r="B44" s="294">
        <v>0</v>
      </c>
      <c r="C44" s="294">
        <v>0</v>
      </c>
      <c r="D44" s="294"/>
      <c r="E44" s="294"/>
      <c r="F44" s="294"/>
      <c r="G44" s="294">
        <v>0</v>
      </c>
      <c r="H44" s="294">
        <v>0</v>
      </c>
      <c r="I44" s="294">
        <v>381</v>
      </c>
    </row>
    <row r="45" spans="1:9" x14ac:dyDescent="0.25">
      <c r="A45" s="293" t="s">
        <v>1026</v>
      </c>
      <c r="B45" s="294">
        <v>819000</v>
      </c>
      <c r="C45" s="294">
        <v>0</v>
      </c>
      <c r="D45" s="294">
        <v>0</v>
      </c>
      <c r="E45" s="294"/>
      <c r="F45" s="294">
        <v>1711000</v>
      </c>
      <c r="G45" s="294">
        <v>0</v>
      </c>
      <c r="H45" s="294">
        <v>0</v>
      </c>
      <c r="I45" s="294">
        <v>944973</v>
      </c>
    </row>
    <row r="46" spans="1:9" x14ac:dyDescent="0.25">
      <c r="A46" s="293" t="s">
        <v>563</v>
      </c>
      <c r="B46" s="294">
        <v>11913058</v>
      </c>
      <c r="C46" s="294">
        <v>822747</v>
      </c>
      <c r="D46" s="294">
        <v>0</v>
      </c>
      <c r="E46" s="294">
        <v>889852</v>
      </c>
      <c r="F46" s="294">
        <v>810912</v>
      </c>
      <c r="G46" s="294">
        <v>0</v>
      </c>
      <c r="H46" s="294">
        <v>0</v>
      </c>
      <c r="I46" s="294">
        <v>781442</v>
      </c>
    </row>
    <row r="47" spans="1:9" x14ac:dyDescent="0.25">
      <c r="A47" s="293" t="s">
        <v>564</v>
      </c>
      <c r="B47" s="294">
        <v>141440</v>
      </c>
      <c r="C47" s="294">
        <v>57250</v>
      </c>
      <c r="D47" s="294">
        <v>0</v>
      </c>
      <c r="E47" s="294">
        <v>201780</v>
      </c>
      <c r="F47" s="294">
        <v>60180</v>
      </c>
      <c r="G47" s="294">
        <v>0</v>
      </c>
      <c r="H47" s="294">
        <v>0</v>
      </c>
      <c r="I47" s="294">
        <v>0</v>
      </c>
    </row>
    <row r="48" spans="1:9" x14ac:dyDescent="0.25">
      <c r="A48" s="293" t="s">
        <v>565</v>
      </c>
      <c r="B48" s="294">
        <v>2230912</v>
      </c>
      <c r="C48" s="294">
        <v>2679804</v>
      </c>
      <c r="D48" s="294">
        <v>0</v>
      </c>
      <c r="E48" s="294">
        <v>3517164</v>
      </c>
      <c r="F48" s="294">
        <v>2856456</v>
      </c>
      <c r="G48" s="294">
        <v>0</v>
      </c>
      <c r="H48" s="294">
        <v>0</v>
      </c>
      <c r="I48" s="294">
        <v>2231760</v>
      </c>
    </row>
    <row r="49" spans="1:9" x14ac:dyDescent="0.25">
      <c r="A49" s="293" t="s">
        <v>566</v>
      </c>
      <c r="B49" s="294">
        <v>13795632</v>
      </c>
      <c r="C49" s="294">
        <v>10154137</v>
      </c>
      <c r="D49" s="294">
        <v>0</v>
      </c>
      <c r="E49" s="294">
        <v>15802452</v>
      </c>
      <c r="F49" s="294">
        <v>14133404</v>
      </c>
      <c r="G49" s="294">
        <v>174512</v>
      </c>
      <c r="H49" s="294">
        <v>0</v>
      </c>
      <c r="I49" s="294">
        <v>7768506</v>
      </c>
    </row>
    <row r="50" spans="1:9" x14ac:dyDescent="0.25">
      <c r="A50" s="293" t="s">
        <v>567</v>
      </c>
      <c r="B50" s="294">
        <v>366769</v>
      </c>
      <c r="C50" s="294">
        <v>110198</v>
      </c>
      <c r="D50" s="294">
        <v>0</v>
      </c>
      <c r="E50" s="294">
        <v>1372896</v>
      </c>
      <c r="F50" s="294">
        <v>1000002</v>
      </c>
      <c r="G50" s="294">
        <v>0</v>
      </c>
      <c r="H50" s="294">
        <v>0</v>
      </c>
      <c r="I50" s="294">
        <v>143505</v>
      </c>
    </row>
    <row r="51" spans="1:9" hidden="1" x14ac:dyDescent="0.25">
      <c r="A51" s="293" t="s">
        <v>568</v>
      </c>
      <c r="B51" s="294">
        <v>8668898</v>
      </c>
      <c r="C51" s="294">
        <v>8958367</v>
      </c>
      <c r="D51" s="294">
        <v>0</v>
      </c>
      <c r="E51" s="294">
        <v>8338104</v>
      </c>
      <c r="F51" s="294">
        <v>9796252</v>
      </c>
      <c r="G51" s="294">
        <v>0</v>
      </c>
      <c r="H51" s="294">
        <v>0</v>
      </c>
      <c r="I51" s="294">
        <v>10162536</v>
      </c>
    </row>
    <row r="52" spans="1:9" hidden="1" x14ac:dyDescent="0.25">
      <c r="A52" s="293" t="s">
        <v>569</v>
      </c>
      <c r="B52" s="294">
        <v>376819</v>
      </c>
      <c r="C52" s="294">
        <v>696289</v>
      </c>
      <c r="D52" s="294">
        <v>0</v>
      </c>
      <c r="E52" s="294">
        <v>1004180</v>
      </c>
      <c r="F52" s="294">
        <v>609285</v>
      </c>
      <c r="G52" s="294">
        <v>0</v>
      </c>
      <c r="H52" s="294">
        <v>0</v>
      </c>
      <c r="I52" s="294">
        <v>487058</v>
      </c>
    </row>
    <row r="53" spans="1:9" hidden="1" x14ac:dyDescent="0.25">
      <c r="A53" s="293" t="s">
        <v>570</v>
      </c>
      <c r="B53" s="294">
        <v>12196243</v>
      </c>
      <c r="C53" s="294">
        <v>13487824</v>
      </c>
      <c r="D53" s="294">
        <v>0</v>
      </c>
      <c r="E53" s="294">
        <v>16012460</v>
      </c>
      <c r="F53" s="294">
        <v>13850952</v>
      </c>
      <c r="G53" s="294">
        <v>0</v>
      </c>
      <c r="H53" s="294">
        <v>0</v>
      </c>
      <c r="I53" s="294">
        <v>13250229</v>
      </c>
    </row>
    <row r="54" spans="1:9" hidden="1" x14ac:dyDescent="0.25">
      <c r="A54" s="212" t="s">
        <v>456</v>
      </c>
      <c r="B54" s="12"/>
      <c r="C54" s="12"/>
      <c r="D54" s="12"/>
      <c r="E54" s="12"/>
      <c r="F54" s="224"/>
      <c r="G54" s="12"/>
      <c r="H54" s="12"/>
      <c r="I54" s="12"/>
    </row>
    <row r="55" spans="1:9" hidden="1" x14ac:dyDescent="0.25">
      <c r="A55" s="290" t="s">
        <v>791</v>
      </c>
      <c r="B55" s="12">
        <v>4915</v>
      </c>
      <c r="C55" s="12">
        <v>1831</v>
      </c>
      <c r="D55" s="12">
        <v>0</v>
      </c>
      <c r="E55" s="12">
        <v>22346</v>
      </c>
      <c r="F55" s="224">
        <v>3164</v>
      </c>
      <c r="G55" s="12">
        <v>0</v>
      </c>
      <c r="H55" s="12">
        <v>0</v>
      </c>
      <c r="I55" s="12">
        <v>1976</v>
      </c>
    </row>
    <row r="56" spans="1:9" hidden="1" x14ac:dyDescent="0.25">
      <c r="A56" s="290" t="s">
        <v>792</v>
      </c>
      <c r="B56" s="12">
        <v>853</v>
      </c>
      <c r="C56" s="12">
        <v>1137</v>
      </c>
      <c r="D56" s="12">
        <v>0</v>
      </c>
      <c r="E56" s="12">
        <v>623</v>
      </c>
      <c r="F56" s="224">
        <v>1158</v>
      </c>
      <c r="G56" s="12">
        <v>0</v>
      </c>
      <c r="H56" s="12">
        <v>0</v>
      </c>
      <c r="I56" s="12">
        <v>4317</v>
      </c>
    </row>
    <row r="57" spans="1:9" x14ac:dyDescent="0.25">
      <c r="A57" s="212" t="s">
        <v>478</v>
      </c>
      <c r="B57" s="12"/>
      <c r="C57" s="12"/>
      <c r="D57" s="12"/>
      <c r="E57" s="12"/>
      <c r="F57" s="224"/>
      <c r="G57" s="12"/>
      <c r="H57" s="12"/>
      <c r="I57" s="12"/>
    </row>
    <row r="58" spans="1:9" x14ac:dyDescent="0.25">
      <c r="A58" s="290" t="s">
        <v>1027</v>
      </c>
      <c r="B58" s="12">
        <v>0</v>
      </c>
      <c r="C58" s="12">
        <v>0</v>
      </c>
      <c r="D58" s="12"/>
      <c r="E58" s="12"/>
      <c r="F58" s="224"/>
      <c r="G58" s="12">
        <v>0</v>
      </c>
      <c r="H58" s="12">
        <v>0</v>
      </c>
      <c r="I58" s="12">
        <v>0</v>
      </c>
    </row>
    <row r="59" spans="1:9" x14ac:dyDescent="0.25">
      <c r="A59" s="290" t="s">
        <v>793</v>
      </c>
      <c r="B59" s="12">
        <v>4517397</v>
      </c>
      <c r="C59" s="12">
        <v>681</v>
      </c>
      <c r="D59" s="12"/>
      <c r="E59" s="12"/>
      <c r="F59" s="224">
        <v>1900</v>
      </c>
      <c r="G59" s="12">
        <v>0</v>
      </c>
      <c r="H59" s="12">
        <v>0</v>
      </c>
      <c r="I59" s="12">
        <v>4416</v>
      </c>
    </row>
    <row r="60" spans="1:9" x14ac:dyDescent="0.25">
      <c r="A60" s="290" t="s">
        <v>794</v>
      </c>
      <c r="B60" s="12">
        <v>65003</v>
      </c>
      <c r="C60" s="12">
        <v>56676</v>
      </c>
      <c r="D60" s="12"/>
      <c r="E60" s="12"/>
      <c r="F60" s="224">
        <v>80000</v>
      </c>
      <c r="G60" s="12">
        <v>0</v>
      </c>
      <c r="H60" s="12">
        <v>0</v>
      </c>
      <c r="I60" s="12">
        <v>2672095</v>
      </c>
    </row>
    <row r="72" hidden="1" x14ac:dyDescent="0.25"/>
    <row r="73" hidden="1" x14ac:dyDescent="0.25"/>
    <row r="74" hidden="1" x14ac:dyDescent="0.25"/>
  </sheetData>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rgb="FF92D050"/>
    <pageSetUpPr fitToPage="1"/>
  </sheetPr>
  <dimension ref="A2:G5907"/>
  <sheetViews>
    <sheetView showGridLines="0" tabSelected="1" topLeftCell="A9" zoomScale="110" zoomScaleNormal="110" workbookViewId="0">
      <selection activeCell="C23" sqref="C23"/>
    </sheetView>
  </sheetViews>
  <sheetFormatPr defaultRowHeight="15" x14ac:dyDescent="0.25"/>
  <cols>
    <col min="1" max="1" width="51" style="2" customWidth="1"/>
    <col min="2" max="2" width="12.42578125" style="2" bestFit="1" customWidth="1"/>
    <col min="3" max="3" width="15.5703125" bestFit="1" customWidth="1"/>
    <col min="4" max="4" width="13.28515625" customWidth="1"/>
    <col min="5" max="5" width="12.42578125" bestFit="1" customWidth="1"/>
    <col min="6" max="6" width="13.42578125" customWidth="1"/>
    <col min="7" max="7" width="11.7109375" customWidth="1"/>
    <col min="8" max="8" width="13.42578125" customWidth="1"/>
    <col min="9" max="9" width="11.140625" customWidth="1"/>
    <col min="10" max="11" width="11.140625" bestFit="1" customWidth="1"/>
    <col min="12" max="16" width="10.140625" bestFit="1" customWidth="1"/>
    <col min="17" max="17" width="11.28515625" bestFit="1" customWidth="1"/>
    <col min="18" max="19" width="11.140625" bestFit="1" customWidth="1"/>
    <col min="20" max="22" width="12.7109375" bestFit="1" customWidth="1"/>
    <col min="23" max="23" width="8.42578125" bestFit="1" customWidth="1"/>
    <col min="24" max="24" width="9.42578125" bestFit="1" customWidth="1"/>
    <col min="25" max="26" width="8.42578125" bestFit="1" customWidth="1"/>
    <col min="28" max="28" width="11.28515625" bestFit="1" customWidth="1"/>
  </cols>
  <sheetData>
    <row r="2" spans="1:7" x14ac:dyDescent="0.25">
      <c r="A2" s="40"/>
      <c r="B2" s="40"/>
      <c r="G2" s="86" t="s">
        <v>327</v>
      </c>
    </row>
    <row r="3" spans="1:7" s="20" customFormat="1" ht="60" x14ac:dyDescent="0.25">
      <c r="A3" s="38" t="s">
        <v>795</v>
      </c>
      <c r="B3" s="101">
        <v>44531</v>
      </c>
      <c r="C3" s="70" t="str" vm="248">
        <f>CUBEMEMBER("ThisWorkbookDataModel","[Calendar].[Квартал].&amp;[2022-03-31T00:00:00]")</f>
        <v>3/31/2022</v>
      </c>
      <c r="D3" s="70" t="str" vm="247">
        <f>CUBEMEMBER("ThisWorkbookDataModel","[Calendar].[Квартал].&amp;[2022-06-30T00:00:00]")</f>
        <v>6/30/2022</v>
      </c>
      <c r="E3" s="70" t="str" vm="251">
        <f>CUBEMEMBER("ThisWorkbookDataModel","[Calendar].[Квартал].&amp;[2022-09-30T00:00:00]")</f>
        <v>9/30/2022</v>
      </c>
      <c r="F3" s="70" t="str" vm="249">
        <f>CUBEMEMBER("ThisWorkbookDataModel","[Calendar].[Квартал].&amp;[2022-12-31T00:00:00]")</f>
        <v>12/31/2022</v>
      </c>
      <c r="G3" s="71" t="s">
        <v>188</v>
      </c>
    </row>
    <row r="4" spans="1:7" s="20" customFormat="1" x14ac:dyDescent="0.25">
      <c r="A4" s="39" t="s">
        <v>177</v>
      </c>
      <c r="B4" s="82"/>
      <c r="C4" s="44"/>
      <c r="D4" s="45"/>
      <c r="E4" s="45"/>
      <c r="F4" s="45"/>
      <c r="G4" s="48"/>
    </row>
    <row r="5" spans="1:7" x14ac:dyDescent="0.25">
      <c r="A5" s="49" t="str" vm="123">
        <f>CUBEMEMBER("ThisWorkbookDataModel",{"[fActualAndBudget].[StavkaKategorija].&amp;[1.1. Парични средства]"})</f>
        <v>1.1. Парични средства</v>
      </c>
      <c r="B5" s="90">
        <f>SUMIF(БС!$A$11:$A$41,$A5,БС!$C$11:$C$41)</f>
        <v>118116082</v>
      </c>
      <c r="C5" s="90">
        <f>SUMIF(БС!$A$11:$A$41,$A5,БС!$F$11:$F$41)</f>
        <v>214119752</v>
      </c>
      <c r="D5" s="90">
        <f>SUMIF(БС!$A$11:$A$41,$A5,БС!$I$11:$I$41)</f>
        <v>130945404</v>
      </c>
      <c r="E5" s="90">
        <f>SUMIF(БС!$A$11:$A$41,$A5,БС!$L$11:$L$41)</f>
        <v>75426232</v>
      </c>
      <c r="F5" s="90">
        <f>SUMIF(БС!$A$11:$A$41,$A5,БС!$O$11:$O$41)</f>
        <v>48300929</v>
      </c>
      <c r="G5" s="32">
        <f t="shared" ref="G5:G11" si="0">F5/$F$11</f>
        <v>6.1645368259111474E-2</v>
      </c>
    </row>
    <row r="6" spans="1:7" x14ac:dyDescent="0.25">
      <c r="A6" s="49" t="str" vm="124">
        <f>CUBEMEMBER("ThisWorkbookDataModel",{"[fActualAndBudget].[StavkaKategorija].&amp;[1.2. Побарувања]"})</f>
        <v>1.2. Побарувања</v>
      </c>
      <c r="B6" s="90">
        <f>SUMIF(БС!$A$11:$A$41,$A6,БС!$C$11:$C$41)</f>
        <v>4179126</v>
      </c>
      <c r="C6" s="90">
        <f>SUMIF(БС!$A$11:$A$41,$A6,БС!$F$11:$F$41)</f>
        <v>4179126</v>
      </c>
      <c r="D6" s="90">
        <f>SUMIF(БС!$A$11:$A$41,$A6,БС!$I$11:$I$41)</f>
        <v>4179126</v>
      </c>
      <c r="E6" s="90">
        <f>SUMIF(БС!$A$11:$A$41,$A6,БС!$L$11:$L$41)</f>
        <v>4179126</v>
      </c>
      <c r="F6" s="90">
        <f>SUMIF(БС!$A$11:$A$41,$A6,БС!$O$11:$O$41)</f>
        <v>4179126</v>
      </c>
      <c r="G6" s="32">
        <f t="shared" si="0"/>
        <v>5.3337226965391804E-3</v>
      </c>
    </row>
    <row r="7" spans="1:7" s="9" customFormat="1" x14ac:dyDescent="0.25">
      <c r="A7" s="49" t="str" vm="125">
        <f>CUBEMEMBER("ThisWorkbookDataModel",{"[fActualAndBudget].[StavkaKategorija].&amp;[1.3. Залихи]"})</f>
        <v>1.3. Залихи</v>
      </c>
      <c r="B7" s="90">
        <f>SUMIF(БС!$A$11:$A$41,$A7,БС!$C$11:$C$41)</f>
        <v>1080190</v>
      </c>
      <c r="C7" s="90">
        <f>SUMIF(БС!$A$11:$A$41,$A7,БС!$F$11:$F$41)</f>
        <v>1080190</v>
      </c>
      <c r="D7" s="90">
        <f>SUMIF(БС!$A$11:$A$41,$A7,БС!$I$11:$I$41)</f>
        <v>1080190</v>
      </c>
      <c r="E7" s="90">
        <f>SUMIF(БС!$A$11:$A$41,$A7,БС!$L$11:$L$41)</f>
        <v>1080190</v>
      </c>
      <c r="F7" s="90">
        <f>SUMIF(БС!$A$11:$A$41,$A7,БС!$O$11:$O$41)</f>
        <v>1080190</v>
      </c>
      <c r="G7" s="32">
        <f t="shared" si="0"/>
        <v>1.3786217308534505E-3</v>
      </c>
    </row>
    <row r="8" spans="1:7" s="9" customFormat="1" x14ac:dyDescent="0.25">
      <c r="A8" s="56" t="s">
        <v>178</v>
      </c>
      <c r="B8" s="96">
        <f>SUM(B5:B7)</f>
        <v>123375398</v>
      </c>
      <c r="C8" s="96">
        <f>SUM(C5:C7)</f>
        <v>219379068</v>
      </c>
      <c r="D8" s="96">
        <f>SUM(D5:D7)</f>
        <v>136204720</v>
      </c>
      <c r="E8" s="96">
        <f>SUM(E5:E7)</f>
        <v>80685548</v>
      </c>
      <c r="F8" s="96">
        <f>SUM(F5:F7)</f>
        <v>53560245</v>
      </c>
      <c r="G8" s="36">
        <f t="shared" si="0"/>
        <v>6.8357712686504105E-2</v>
      </c>
    </row>
    <row r="9" spans="1:7" s="9" customFormat="1" x14ac:dyDescent="0.25">
      <c r="A9" s="49" t="str" vm="129">
        <f>CUBEMEMBER("ThisWorkbookDataModel",{"[fActualAndBudget].[StavkaKategorija].&amp;[1.7. Материјални средства и вложувања во недвижности]"})</f>
        <v>1.7. Материјални средства и вложувања во недвижности</v>
      </c>
      <c r="B9" s="90">
        <f>SUMIF(БС!$A$11:$A$41,$A9,БС!$C$11:$C$41)</f>
        <v>598288021</v>
      </c>
      <c r="C9" s="90">
        <f>SUMIF(БС!$A$11:$A$41,$A9,БС!$F$11:$F$41)</f>
        <v>613060337</v>
      </c>
      <c r="D9" s="90">
        <f>SUMIF(БС!$A$11:$A$41,$A9,БС!$I$11:$I$41)</f>
        <v>613697474</v>
      </c>
      <c r="E9" s="90">
        <f>SUMIF(БС!$A$11:$A$41,$A9,БС!$L$11:$L$41)</f>
        <v>609666569</v>
      </c>
      <c r="F9" s="90">
        <f>SUMIF(БС!$A$11:$A$41,$A9,БС!$O$11:$O$41)</f>
        <v>611118476</v>
      </c>
      <c r="G9" s="32">
        <f t="shared" si="0"/>
        <v>0.77995649944884038</v>
      </c>
    </row>
    <row r="10" spans="1:7" s="9" customFormat="1" x14ac:dyDescent="0.25">
      <c r="A10" s="49" t="str" vm="128">
        <f>CUBEMEMBER("ThisWorkbookDataModel",{"[fActualAndBudget].[StavkaKategorija].&amp;[1.9. Нематеријални средства]"})</f>
        <v>1.9. Нематеријални средства</v>
      </c>
      <c r="B10" s="90">
        <f>SUMIF(БС!$A$11:$A$41,$A10,БС!$C$11:$C$41)</f>
        <v>46603687</v>
      </c>
      <c r="C10" s="90">
        <f>SUMIF(БС!$A$11:$A$41,$A10,БС!$F$11:$F$41)</f>
        <v>45709869</v>
      </c>
      <c r="D10" s="90">
        <f>SUMIF(БС!$A$11:$A$41,$A10,БС!$I$11:$I$41)</f>
        <v>85051758</v>
      </c>
      <c r="E10" s="90">
        <f>SUMIF(БС!$A$11:$A$41,$A10,БС!$L$11:$L$41)</f>
        <v>109240251</v>
      </c>
      <c r="F10" s="90">
        <f>SUMIF(БС!$A$11:$A$41,$A10,БС!$O$11:$O$41)</f>
        <v>118850202</v>
      </c>
      <c r="G10" s="32">
        <f t="shared" si="0"/>
        <v>0.1516857878646555</v>
      </c>
    </row>
    <row r="11" spans="1:7" s="9" customFormat="1" x14ac:dyDescent="0.25">
      <c r="A11" s="56" t="s">
        <v>179</v>
      </c>
      <c r="B11" s="96">
        <f>SUM(B8:B10)</f>
        <v>768267106</v>
      </c>
      <c r="C11" s="96">
        <f>SUM(C8:C10)</f>
        <v>878149274</v>
      </c>
      <c r="D11" s="96">
        <f>SUM(D8:D10)</f>
        <v>834953952</v>
      </c>
      <c r="E11" s="96">
        <f>SUM(E8:E10)</f>
        <v>799592368</v>
      </c>
      <c r="F11" s="96">
        <f>SUM(F8:F10)</f>
        <v>783528923</v>
      </c>
      <c r="G11" s="36">
        <f t="shared" si="0"/>
        <v>1</v>
      </c>
    </row>
    <row r="12" spans="1:7" s="9" customFormat="1" x14ac:dyDescent="0.25">
      <c r="A12" s="58" t="str" vm="136">
        <f>CUBEMEMBER("ThisWorkbookDataModel",{"[fActualAndBudget].[StavkaKategorija].&amp;[1.13. Вонбилансна актива]"})</f>
        <v>1.13. Вонбилансна актива</v>
      </c>
      <c r="B12" s="100">
        <f>SUMIF(БС!$A$11:$A$41,$A12,БС!$C$11:$C$41)</f>
        <v>0</v>
      </c>
      <c r="C12" s="100">
        <f>SUMIF(БС!$A$11:$A$41,$A12,БС!$F$11:$F$41)</f>
        <v>0</v>
      </c>
      <c r="D12" s="100">
        <f>SUMIF(БС!$A$11:$A$41,$A12,БС!$I$11:$I$41)</f>
        <v>0</v>
      </c>
      <c r="E12" s="100">
        <f>SUMIF(БС!$A$11:$A$41,$A12,БС!$L$11:$L$41)</f>
        <v>0</v>
      </c>
      <c r="F12" s="100">
        <f>SUMIF(БС!$A$11:$A$41,$A12,БС!$O$11:$O$41)</f>
        <v>0</v>
      </c>
      <c r="G12" s="59"/>
    </row>
    <row r="13" spans="1:7" s="9" customFormat="1" x14ac:dyDescent="0.25">
      <c r="A13" s="18"/>
      <c r="B13" s="174"/>
      <c r="C13" s="174"/>
      <c r="D13" s="174"/>
      <c r="E13" s="174"/>
      <c r="F13" s="174"/>
      <c r="G13" s="19"/>
    </row>
    <row r="14" spans="1:7" s="19" customFormat="1" x14ac:dyDescent="0.25">
      <c r="A14" s="18"/>
      <c r="B14" s="18"/>
      <c r="C14" s="17"/>
      <c r="D14" s="17"/>
      <c r="E14" s="17"/>
      <c r="F14" s="17"/>
      <c r="G14" s="86"/>
    </row>
    <row r="15" spans="1:7" s="9" customFormat="1" ht="60" x14ac:dyDescent="0.25">
      <c r="A15" s="60" t="s">
        <v>180</v>
      </c>
      <c r="B15" s="101">
        <f>B3</f>
        <v>44531</v>
      </c>
      <c r="C15" s="42" t="str" vm="248">
        <f>CUBEMEMBER("ThisWorkbookDataModel","[Calendar].[Квартал].&amp;[2022-03-31T00:00:00]")</f>
        <v>3/31/2022</v>
      </c>
      <c r="D15" s="42" t="str" vm="247">
        <f>CUBEMEMBER("ThisWorkbookDataModel","[Calendar].[Квартал].&amp;[2022-06-30T00:00:00]")</f>
        <v>6/30/2022</v>
      </c>
      <c r="E15" s="42" t="str" vm="251">
        <f>CUBEMEMBER("ThisWorkbookDataModel","[Calendar].[Квартал].&amp;[2022-09-30T00:00:00]")</f>
        <v>9/30/2022</v>
      </c>
      <c r="F15" s="42" t="str" vm="249">
        <f>CUBEMEMBER("ThisWorkbookDataModel","[Calendar].[Квартал].&amp;[2022-12-31T00:00:00]")</f>
        <v>12/31/2022</v>
      </c>
      <c r="G15" s="71" t="s">
        <v>188</v>
      </c>
    </row>
    <row r="16" spans="1:7" x14ac:dyDescent="0.25">
      <c r="A16" s="49" t="str" vm="134">
        <f>CUBEMEMBER("ThisWorkbookDataModel",{"[fActualAndBudget].[StavkaKategorija].&amp;[1.14. Краткорочни обврски]"})</f>
        <v>1.14. Краткорочни обврски</v>
      </c>
      <c r="B16" s="90">
        <f>SUMIF(БС!$A$11:$A$41,$A16,БС!$C$11:$C$41)</f>
        <v>0</v>
      </c>
      <c r="C16" s="90">
        <f>SUMIF(БС!$A$11:$A$41,$A16,БС!$F$11:$F$41)</f>
        <v>0</v>
      </c>
      <c r="D16" s="90">
        <f>SUMIF(БС!$A$11:$A$41,$A16,БС!$I$11:$I$41)</f>
        <v>0</v>
      </c>
      <c r="E16" s="90">
        <f>SUMIF(БС!$A$11:$A$41,$A16,БС!$L$11:$L$41)</f>
        <v>0</v>
      </c>
      <c r="F16" s="90">
        <f>SUMIF(БС!$A$11:$A$41,$A16,БС!$O$11:$O$41)</f>
        <v>19012130</v>
      </c>
      <c r="G16" s="32">
        <f>F16/$F$29</f>
        <v>2.426474561679965E-2</v>
      </c>
    </row>
    <row r="17" spans="1:7" x14ac:dyDescent="0.25">
      <c r="A17" s="49" t="str" vm="132">
        <f>CUBEMEMBER("ThisWorkbookDataModel",{"[fActualAndBudget].[StavkaKategorija].&amp;[1.15. Одложено плаќање на трошоци и приходи (ПВР)]"})</f>
        <v>1.15. Одложено плаќање на трошоци и приходи (ПВР)</v>
      </c>
      <c r="B17" s="90">
        <f>SUMIF(БС!$A$11:$A$41,$A17,БС!$C$11:$C$41)</f>
        <v>98643026</v>
      </c>
      <c r="C17" s="90">
        <f>SUMIF(БС!$A$11:$A$41,$A17,БС!$F$11:$F$41)</f>
        <v>97464083</v>
      </c>
      <c r="D17" s="90">
        <f>SUMIF(БС!$A$11:$A$41,$A17,БС!$I$11:$I$41)</f>
        <v>96285140</v>
      </c>
      <c r="E17" s="90">
        <f>SUMIF(БС!$A$11:$A$41,$A17,БС!$L$11:$L$41)</f>
        <v>95106197</v>
      </c>
      <c r="F17" s="90">
        <f>SUMIF(БС!$A$11:$A$41,$A17,БС!$O$11:$O$41)</f>
        <v>93337254</v>
      </c>
      <c r="G17" s="32">
        <f t="shared" ref="G17:G29" si="1">F17/$F$29</f>
        <v>0.11912419728250415</v>
      </c>
    </row>
    <row r="18" spans="1:7" x14ac:dyDescent="0.25">
      <c r="A18" s="56" t="s">
        <v>181</v>
      </c>
      <c r="B18" s="96">
        <f>SUM(B16:B17)</f>
        <v>98643026</v>
      </c>
      <c r="C18" s="96">
        <f>SUM(C16:C17)</f>
        <v>97464083</v>
      </c>
      <c r="D18" s="96">
        <f>SUM(D16:D17)</f>
        <v>96285140</v>
      </c>
      <c r="E18" s="96">
        <f>SUM(E16:E17)</f>
        <v>95106197</v>
      </c>
      <c r="F18" s="96">
        <f>SUM(F16:F17)</f>
        <v>112349384</v>
      </c>
      <c r="G18" s="36">
        <f t="shared" si="1"/>
        <v>0.14338894289930379</v>
      </c>
    </row>
    <row r="19" spans="1:7" x14ac:dyDescent="0.25">
      <c r="A19" s="49" t="str" vm="131">
        <f>CUBEMEMBER("ThisWorkbookDataModel",{"[fActualAndBudget].[StavkaKategorija].&amp;[1.17. Долгорочни обврски]"})</f>
        <v>1.17. Долгорочни обврски</v>
      </c>
      <c r="B19" s="90">
        <f>SUMIF(БС!$A$11:$A$41,$A19,БС!$C$11:$C$41)</f>
        <v>86079840</v>
      </c>
      <c r="C19" s="90">
        <f>SUMIF(БС!$A$11:$A$41,$A19,БС!$F$11:$F$41)</f>
        <v>86079840</v>
      </c>
      <c r="D19" s="90">
        <f>SUMIF(БС!$A$11:$A$41,$A19,БС!$I$11:$I$41)</f>
        <v>86079840</v>
      </c>
      <c r="E19" s="90">
        <f>SUMIF(БС!$A$11:$A$41,$A19,БС!$L$11:$L$41)</f>
        <v>86079840</v>
      </c>
      <c r="F19" s="90">
        <f>SUMIF(БС!$A$11:$A$41,$A19,БС!$O$11:$O$41)</f>
        <v>86079840</v>
      </c>
      <c r="G19" s="32">
        <f t="shared" si="1"/>
        <v>0.10986172618927049</v>
      </c>
    </row>
    <row r="20" spans="1:7" hidden="1" x14ac:dyDescent="0.25">
      <c r="A20" s="49" t="e">
        <f>CUBEMEMBER("ThisWorkbookDataModel",{"[fActualAndBudget].[StavkaKategorija].&amp;[1.18. Други долгорочни обврски и резервирања за ризици и трошоци]"})</f>
        <v>#N/A</v>
      </c>
      <c r="B20" s="90">
        <f>SUMIF(БС!$A$11:$A$41,$A20,БС!$C$11:$C$41)</f>
        <v>0</v>
      </c>
      <c r="C20" s="90">
        <f>SUMIF(БС!$A$11:$A$41,$A20,БС!$F$11:$F$41)</f>
        <v>0</v>
      </c>
      <c r="D20" s="90">
        <f>SUMIF(БС!$A$11:$A$41,$A20,БС!$I$11:$I$41)</f>
        <v>0</v>
      </c>
      <c r="E20" s="90">
        <f>SUMIF(БС!$A$11:$A$41,$A20,БС!$L$11:$L$41)</f>
        <v>0</v>
      </c>
      <c r="F20" s="90">
        <f>SUMIF(БС!$A$11:$A$41,$A20,БС!$O$11:$O$41)</f>
        <v>0</v>
      </c>
      <c r="G20" s="32">
        <f t="shared" si="1"/>
        <v>0</v>
      </c>
    </row>
    <row r="21" spans="1:7" x14ac:dyDescent="0.25">
      <c r="A21" s="56" t="s">
        <v>182</v>
      </c>
      <c r="B21" s="96">
        <f>SUM(B19:B20)</f>
        <v>86079840</v>
      </c>
      <c r="C21" s="96">
        <f>SUM(C19:C20)</f>
        <v>86079840</v>
      </c>
      <c r="D21" s="96">
        <f>SUM(D19:D20)</f>
        <v>86079840</v>
      </c>
      <c r="E21" s="96">
        <f>SUM(E19:E20)</f>
        <v>86079840</v>
      </c>
      <c r="F21" s="96">
        <f>SUM(F19:F20)</f>
        <v>86079840</v>
      </c>
      <c r="G21" s="36">
        <f t="shared" si="1"/>
        <v>0.10986172618927049</v>
      </c>
    </row>
    <row r="22" spans="1:7" x14ac:dyDescent="0.25">
      <c r="A22" s="56" t="s">
        <v>183</v>
      </c>
      <c r="B22" s="96">
        <f>SUM(B21,B18)</f>
        <v>184722866</v>
      </c>
      <c r="C22" s="96">
        <f>SUM(C21,C18)</f>
        <v>183543923</v>
      </c>
      <c r="D22" s="96">
        <f>SUM(D21,D18)</f>
        <v>182364980</v>
      </c>
      <c r="E22" s="96">
        <f>SUM(E21,E18)</f>
        <v>181186037</v>
      </c>
      <c r="F22" s="96">
        <f>SUM(F21,F18)</f>
        <v>198429224</v>
      </c>
      <c r="G22" s="36">
        <f t="shared" si="1"/>
        <v>0.2532506690885743</v>
      </c>
    </row>
    <row r="23" spans="1:7" x14ac:dyDescent="0.25">
      <c r="A23" s="49" t="str" vm="127">
        <f>CUBEMEMBER("ThisWorkbookDataModel",{"[fActualAndBudget].[StavkaKategorija].&amp;[1.21. Капитал]"})</f>
        <v>1.21. Капитал</v>
      </c>
      <c r="B23" s="90">
        <f>SUMIF(БС!$A$11:$A$41,$A23,БС!$C$11:$C$41)</f>
        <v>126859046</v>
      </c>
      <c r="C23" s="90">
        <f>SUMIF(БС!$A$11:$A$41,$A23,БС!$F$11:$F$41)</f>
        <v>126859046</v>
      </c>
      <c r="D23" s="90">
        <f>SUMIF(БС!$A$11:$A$41,$A23,БС!$I$11:$I$41)</f>
        <v>126859046</v>
      </c>
      <c r="E23" s="90">
        <f>SUMIF(БС!$A$11:$A$41,$A23,БС!$L$11:$L$41)</f>
        <v>126859046</v>
      </c>
      <c r="F23" s="90">
        <f>SUMIF(БС!$A$11:$A$41,$A23,БС!$O$11:$O$41)</f>
        <v>126859046</v>
      </c>
      <c r="G23" s="32">
        <f t="shared" si="1"/>
        <v>0.16190729183841501</v>
      </c>
    </row>
    <row r="24" spans="1:7" x14ac:dyDescent="0.25">
      <c r="A24" s="49" t="str" vm="126">
        <f>CUBEMEMBER("ThisWorkbookDataModel",{"[fActualAndBudget].[StavkaKategorija].&amp;[1.22. Акумулирана добивка]"})</f>
        <v>1.22. Акумулирана добивка</v>
      </c>
      <c r="B24" s="90">
        <f>SUMIF(БС!$A$11:$A$41,$A24,БС!$C$11:$C$41)</f>
        <v>292646501</v>
      </c>
      <c r="C24" s="90">
        <f>SUMIF(БС!$A$11:$A$41,$A24,БС!$F$11:$F$41)</f>
        <v>335292042</v>
      </c>
      <c r="D24" s="90">
        <f>SUMIF(БС!$A$11:$A$41,$A24,БС!$I$11:$I$41)</f>
        <v>335292042</v>
      </c>
      <c r="E24" s="90">
        <f>SUMIF(БС!$A$11:$A$41,$A24,БС!$L$11:$L$41)</f>
        <v>335292042</v>
      </c>
      <c r="F24" s="90">
        <f>SUMIF(БС!$A$11:$A$41,$A24,БС!$O$11:$O$41)</f>
        <v>335292042</v>
      </c>
      <c r="G24" s="32">
        <f t="shared" si="1"/>
        <v>0.42792554576827024</v>
      </c>
    </row>
    <row r="25" spans="1:7" hidden="1" x14ac:dyDescent="0.25">
      <c r="A25" s="49" t="str" vm="133">
        <f>CUBEMEMBER("ThisWorkbookDataModel",{"[fActualAndBudget].[StavkaKategorija].&amp;[1.23. Резерви]"})</f>
        <v>1.23. Резерви</v>
      </c>
      <c r="B25" s="90">
        <f>SUMIF(БС!$A$11:$A$41,$A25,БС!$C$11:$C$41)</f>
        <v>121393152</v>
      </c>
      <c r="C25" s="90">
        <f>SUMIF(БС!$A$11:$A$41,$A25,БС!$F$11:$F$41)</f>
        <v>121393152</v>
      </c>
      <c r="D25" s="90">
        <f>SUMIF(БС!$A$11:$A$41,$A25,БС!$I$11:$I$41)</f>
        <v>121393152</v>
      </c>
      <c r="E25" s="90">
        <f>SUMIF(БС!$A$11:$A$41,$A25,БС!$L$11:$L$41)</f>
        <v>121393152</v>
      </c>
      <c r="F25" s="90">
        <f>SUMIF(БС!$A$11:$A$41,$A25,БС!$O$11:$O$41)</f>
        <v>121393152</v>
      </c>
      <c r="G25" s="32">
        <f t="shared" si="1"/>
        <v>0.15493129664595676</v>
      </c>
    </row>
    <row r="26" spans="1:7" hidden="1" x14ac:dyDescent="0.25">
      <c r="A26" s="49" t="e">
        <f>CUBEMEMBER("ThisWorkbookDataModel",{"[fActualAndBudget].[StavkaKategorija].&amp;[1.24. Ревалоризациони резерви]"})</f>
        <v>#N/A</v>
      </c>
      <c r="B26" s="90">
        <f>SUMIF(БС!$A$11:$A$41,$A26,БС!$C$11:$C$41)</f>
        <v>0</v>
      </c>
      <c r="C26" s="90">
        <f>SUMIF(БС!$A$11:$A$41,$A26,БС!$F$11:$F$41)</f>
        <v>0</v>
      </c>
      <c r="D26" s="90">
        <f>SUMIF(БС!$A$11:$A$41,$A26,БС!$I$11:$I$41)</f>
        <v>0</v>
      </c>
      <c r="E26" s="90">
        <f>SUMIF(БС!$A$11:$A$41,$A26,БС!$L$11:$L$41)</f>
        <v>0</v>
      </c>
      <c r="F26" s="90">
        <f>SUMIF(БС!$A$11:$A$41,$A26,БС!$O$11:$O$41)</f>
        <v>0</v>
      </c>
      <c r="G26" s="32">
        <f t="shared" si="1"/>
        <v>0</v>
      </c>
    </row>
    <row r="27" spans="1:7" x14ac:dyDescent="0.25">
      <c r="A27" s="49" t="str" vm="135">
        <f>CUBEMEMBER("ThisWorkbookDataModel",{"[fActualAndBudget].[StavkaKategorija].&amp;[1.25. Добивка / Загуба за деловната година]"})</f>
        <v>1.25. Добивка / Загуба за деловната година</v>
      </c>
      <c r="B27" s="90">
        <f>SUMIF(БС!$A$11:$A$41,$A27,БС!$C$11:$C$41)</f>
        <v>42645541</v>
      </c>
      <c r="C27" s="90">
        <f>SUMIF(БС!$A$11:$A$41,$A27,БС!$F$11:$F$41)</f>
        <v>111061111</v>
      </c>
      <c r="D27" s="90">
        <f>SUMIF(БС!$A$11:$A$41,$A27,БС!$I$11:$I$41)</f>
        <v>69044732</v>
      </c>
      <c r="E27" s="90">
        <f>SUMIF(БС!$A$11:$A$41,$A27,БС!$L$11:$L$41)</f>
        <v>34862091</v>
      </c>
      <c r="F27" s="90">
        <f>SUMIF(БС!$A$11:$A$41,$A27,БС!$O$11:$O$41)</f>
        <v>1555459</v>
      </c>
      <c r="G27" s="32">
        <f t="shared" si="1"/>
        <v>1.9851966587837114E-3</v>
      </c>
    </row>
    <row r="28" spans="1:7" x14ac:dyDescent="0.25">
      <c r="A28" s="56" t="s">
        <v>184</v>
      </c>
      <c r="B28" s="96">
        <f>SUM(B23:B27)</f>
        <v>583544240</v>
      </c>
      <c r="C28" s="96">
        <f>SUM(C23:C27)</f>
        <v>694605351</v>
      </c>
      <c r="D28" s="96">
        <f>SUM(D23:D27)</f>
        <v>652588972</v>
      </c>
      <c r="E28" s="96">
        <f>SUM(E23:E27)</f>
        <v>618406331</v>
      </c>
      <c r="F28" s="96">
        <f>SUM(F23:F27)</f>
        <v>585099699</v>
      </c>
      <c r="G28" s="36">
        <f t="shared" si="1"/>
        <v>0.7467493309114257</v>
      </c>
    </row>
    <row r="29" spans="1:7" x14ac:dyDescent="0.25">
      <c r="A29" s="56" t="s">
        <v>185</v>
      </c>
      <c r="B29" s="96">
        <f>SUM(B22,B28)</f>
        <v>768267106</v>
      </c>
      <c r="C29" s="96">
        <f>SUM(C22,C28)</f>
        <v>878149274</v>
      </c>
      <c r="D29" s="96">
        <f>SUM(D22,D28)</f>
        <v>834953952</v>
      </c>
      <c r="E29" s="96">
        <f>SUM(E22,E28)</f>
        <v>799592368</v>
      </c>
      <c r="F29" s="96">
        <f>SUM(F22,F28)</f>
        <v>783528923</v>
      </c>
      <c r="G29" s="36">
        <f t="shared" si="1"/>
        <v>1</v>
      </c>
    </row>
    <row r="30" spans="1:7" x14ac:dyDescent="0.25">
      <c r="A30" s="49" t="str" vm="130">
        <f>CUBEMEMBER("ThisWorkbookDataModel",{"[fActualAndBudget].[StavkaKategorija].&amp;[1.28. Вонбилансна пасива]"})</f>
        <v>1.28. Вонбилансна пасива</v>
      </c>
      <c r="B30" s="100">
        <f>SUMIF(БС!$A$11:$A$41,$A30,БС!$C$11:$C$41)</f>
        <v>0</v>
      </c>
      <c r="C30" s="100">
        <f>SUMIF(БС!$A$11:$A$41,$A30,БС!$F$11:$F$41)</f>
        <v>0</v>
      </c>
      <c r="D30" s="100">
        <f>SUMIF(БС!$A$11:$A$41,$A30,БС!$I$11:$I$41)</f>
        <v>0</v>
      </c>
      <c r="E30" s="100">
        <f>SUMIF(БС!$A$11:$A$41,$A30,БС!$L$11:$L$41)</f>
        <v>0</v>
      </c>
      <c r="F30" s="100">
        <f>SUMIF(БС!$A$11:$A$41,$A30,БС!$O$11:$O$41)</f>
        <v>0</v>
      </c>
      <c r="G30" s="72"/>
    </row>
    <row r="31" spans="1:7" hidden="1" x14ac:dyDescent="0.25">
      <c r="A31"/>
      <c r="B31" s="102">
        <f>B29-B11</f>
        <v>0</v>
      </c>
      <c r="C31" s="158">
        <f>C29-C11</f>
        <v>0</v>
      </c>
      <c r="D31" s="158">
        <f>D29-D11</f>
        <v>0</v>
      </c>
      <c r="E31" s="158">
        <f>E29-E11</f>
        <v>0</v>
      </c>
      <c r="F31" s="158">
        <f>F29-F11</f>
        <v>0</v>
      </c>
    </row>
    <row r="32" spans="1:7" x14ac:dyDescent="0.25">
      <c r="A32"/>
      <c r="B32"/>
    </row>
    <row r="33" spans="1:7" x14ac:dyDescent="0.25">
      <c r="A33"/>
      <c r="B33"/>
    </row>
    <row r="34" spans="1:7" x14ac:dyDescent="0.25">
      <c r="A34" t="str" vm="10">
        <f>CUBEMEMBER("ThisWorkbookDataModel","[Measures].[Sum of Износ]")</f>
        <v>Sum of Износ</v>
      </c>
      <c r="B34"/>
      <c r="G34" s="86" t="s">
        <v>327</v>
      </c>
    </row>
    <row r="35" spans="1:7" ht="40.9" customHeight="1" x14ac:dyDescent="0.25">
      <c r="A35" s="385" t="s">
        <v>796</v>
      </c>
      <c r="B35" s="163" t="str" vm="11">
        <f>CUBEMEMBER("ThisWorkbookDataModel","[Calendar].[Година].&amp;[2020]")</f>
        <v>2020</v>
      </c>
      <c r="C35" s="163" t="str" vm="142">
        <f>CUBEMEMBER("ThisWorkbookDataModel","[Calendar].[Година].&amp;[2021]")</f>
        <v>2021</v>
      </c>
      <c r="D35" s="387" t="s">
        <v>249</v>
      </c>
      <c r="E35" s="163" t="str" vm="250">
        <f>CUBEMEMBER("ThisWorkbookDataModel","[Calendar].[Година].&amp;[2022]")</f>
        <v>2022</v>
      </c>
      <c r="F35" s="387" t="s">
        <v>247</v>
      </c>
      <c r="G35" s="389" t="s">
        <v>797</v>
      </c>
    </row>
    <row r="36" spans="1:7" ht="34.9" customHeight="1" x14ac:dyDescent="0.25">
      <c r="A36" s="386"/>
      <c r="B36" s="123" t="str" vm="5">
        <f>CUBEMEMBER("ThisWorkbookDataModel","[fActualAndBudget].[ReportType].&amp;[Остварено]")</f>
        <v>Остварено</v>
      </c>
      <c r="C36" s="123" t="s">
        <v>248</v>
      </c>
      <c r="D36" s="388"/>
      <c r="E36" s="132" t="str" vm="6">
        <f>CUBEMEMBER("ThisWorkbookDataModel","[fActualAndBudget].[ReportType].&amp;[План]")</f>
        <v>План</v>
      </c>
      <c r="F36" s="388"/>
      <c r="G36" s="390"/>
    </row>
    <row r="37" spans="1:7" x14ac:dyDescent="0.25">
      <c r="A37" s="39" t="s">
        <v>177</v>
      </c>
      <c r="B37" s="131"/>
      <c r="C37" s="131"/>
      <c r="D37" s="128"/>
      <c r="E37" s="131"/>
      <c r="F37" s="128"/>
      <c r="G37" s="129"/>
    </row>
    <row r="38" spans="1:7" x14ac:dyDescent="0.25">
      <c r="A38" s="49" t="str" vm="123">
        <f>CUBEMEMBER("ThisWorkbookDataModel",{"[fActualAndBudget].[StavkaKategorija].&amp;[1.1. Парични средства]"})</f>
        <v>1.1. Парични средства</v>
      </c>
      <c r="B38" s="131" vm="1517">
        <f>БС!B12</f>
        <v>81347615</v>
      </c>
      <c r="C38" s="131">
        <f>БС!C12</f>
        <v>118116082</v>
      </c>
      <c r="D38" s="128">
        <f t="shared" ref="D38:D62" si="2">IF(ISERROR(IF(B38=0,0,C38/B38-1)),0,IF(B38=0,0,C38/B38-1))</f>
        <v>0.45199194838103129</v>
      </c>
      <c r="E38" s="131">
        <f>БС!O12</f>
        <v>48300929</v>
      </c>
      <c r="F38" s="31">
        <f t="shared" ref="F38:F45" si="3">IF(ISERROR(IF(C38=0,0,E38/C38-1)),0,IF(C38=0,0,E38/C38-1))</f>
        <v>-0.59107237403963331</v>
      </c>
      <c r="G38" s="32">
        <f>E38/$E$44</f>
        <v>6.1645368259111474E-2</v>
      </c>
    </row>
    <row r="39" spans="1:7" x14ac:dyDescent="0.25">
      <c r="A39" s="49" t="str" vm="124">
        <f>CUBEMEMBER("ThisWorkbookDataModel",{"[fActualAndBudget].[StavkaKategorija].&amp;[1.2. Побарувања]"})</f>
        <v>1.2. Побарувања</v>
      </c>
      <c r="B39" s="131" vm="1503">
        <f>БС!B13</f>
        <v>4240420</v>
      </c>
      <c r="C39" s="131">
        <f>БС!C13</f>
        <v>4179126</v>
      </c>
      <c r="D39" s="128">
        <f t="shared" si="2"/>
        <v>-1.4454700241957164E-2</v>
      </c>
      <c r="E39" s="131">
        <f>БС!O13</f>
        <v>4179126</v>
      </c>
      <c r="F39" s="124">
        <f t="shared" si="3"/>
        <v>0</v>
      </c>
      <c r="G39" s="113">
        <f t="shared" ref="G39:G44" si="4">E39/$E$44</f>
        <v>5.3337226965391804E-3</v>
      </c>
    </row>
    <row r="40" spans="1:7" x14ac:dyDescent="0.25">
      <c r="A40" s="49" t="str" vm="125">
        <f>CUBEMEMBER("ThisWorkbookDataModel",{"[fActualAndBudget].[StavkaKategorija].&amp;[1.3. Залихи]"})</f>
        <v>1.3. Залихи</v>
      </c>
      <c r="B40" s="131" vm="1529">
        <f>БС!B14</f>
        <v>1335757</v>
      </c>
      <c r="C40" s="131">
        <f>БС!C14</f>
        <v>1080190</v>
      </c>
      <c r="D40" s="128">
        <f t="shared" si="2"/>
        <v>-0.19132746450140259</v>
      </c>
      <c r="E40" s="131">
        <f>БС!O14</f>
        <v>1080190</v>
      </c>
      <c r="F40" s="124">
        <f t="shared" si="3"/>
        <v>0</v>
      </c>
      <c r="G40" s="113">
        <f t="shared" si="4"/>
        <v>1.3786217308534505E-3</v>
      </c>
    </row>
    <row r="41" spans="1:7" x14ac:dyDescent="0.25">
      <c r="A41" s="56" t="s">
        <v>178</v>
      </c>
      <c r="B41" s="173">
        <f>SUM(B38:B40)</f>
        <v>86923792</v>
      </c>
      <c r="C41" s="173">
        <f>SUM(C38:C40)</f>
        <v>123375398</v>
      </c>
      <c r="D41" s="128">
        <f t="shared" si="2"/>
        <v>0.41935130947807697</v>
      </c>
      <c r="E41" s="173">
        <f>SUM(E38:E40)</f>
        <v>53560245</v>
      </c>
      <c r="F41" s="126">
        <f t="shared" si="3"/>
        <v>-0.56587580775220681</v>
      </c>
      <c r="G41" s="26">
        <f t="shared" si="4"/>
        <v>6.8357712686504105E-2</v>
      </c>
    </row>
    <row r="42" spans="1:7" x14ac:dyDescent="0.25">
      <c r="A42" s="49" t="str" vm="129">
        <f>CUBEMEMBER("ThisWorkbookDataModel",{"[fActualAndBudget].[StavkaKategorija].&amp;[1.7. Материјални средства и вложувања во недвижности]"})</f>
        <v>1.7. Материјални средства и вложувања во недвижности</v>
      </c>
      <c r="B42" s="131" vm="1542">
        <f>БС!B18</f>
        <v>608316917</v>
      </c>
      <c r="C42" s="131">
        <f>БС!C18</f>
        <v>598288021</v>
      </c>
      <c r="D42" s="128">
        <f t="shared" si="2"/>
        <v>-1.6486301333618836E-2</v>
      </c>
      <c r="E42" s="131">
        <f>БС!O18</f>
        <v>611118476</v>
      </c>
      <c r="F42" s="124">
        <f t="shared" si="3"/>
        <v>2.1445281452493026E-2</v>
      </c>
      <c r="G42" s="113">
        <f t="shared" si="4"/>
        <v>0.77995649944884038</v>
      </c>
    </row>
    <row r="43" spans="1:7" x14ac:dyDescent="0.25">
      <c r="A43" s="49" t="str" vm="128">
        <f>CUBEMEMBER("ThisWorkbookDataModel",{"[fActualAndBudget].[StavkaKategorija].&amp;[1.9. Нематеријални средства]"})</f>
        <v>1.9. Нематеријални средства</v>
      </c>
      <c r="B43" s="131" vm="1511">
        <f>БС!B20</f>
        <v>58191734</v>
      </c>
      <c r="C43" s="131">
        <f>БС!C20</f>
        <v>46603687</v>
      </c>
      <c r="D43" s="128">
        <f t="shared" si="2"/>
        <v>-0.19913561950224756</v>
      </c>
      <c r="E43" s="131">
        <f>БС!O20</f>
        <v>118850202</v>
      </c>
      <c r="F43" s="124">
        <f t="shared" si="3"/>
        <v>1.5502317445398686</v>
      </c>
      <c r="G43" s="113">
        <f t="shared" si="4"/>
        <v>0.1516857878646555</v>
      </c>
    </row>
    <row r="44" spans="1:7" x14ac:dyDescent="0.25">
      <c r="A44" s="56" t="s">
        <v>179</v>
      </c>
      <c r="B44" s="173">
        <f>SUM(B41:B43)</f>
        <v>753432443</v>
      </c>
      <c r="C44" s="173">
        <f>SUM(C41:C43)</f>
        <v>768267106</v>
      </c>
      <c r="D44" s="128">
        <f t="shared" si="2"/>
        <v>1.9689440158604965E-2</v>
      </c>
      <c r="E44" s="173">
        <f>SUM(E41:E43)</f>
        <v>783528923</v>
      </c>
      <c r="F44" s="126">
        <f t="shared" si="3"/>
        <v>1.9865248532455082E-2</v>
      </c>
      <c r="G44" s="26">
        <f t="shared" si="4"/>
        <v>1</v>
      </c>
    </row>
    <row r="45" spans="1:7" x14ac:dyDescent="0.25">
      <c r="A45" s="58" t="str" vm="136">
        <f>CUBEMEMBER("ThisWorkbookDataModel",{"[fActualAndBudget].[StavkaKategorija].&amp;[1.13. Вонбилансна актива]"})</f>
        <v>1.13. Вонбилансна актива</v>
      </c>
      <c r="B45" s="176" vm="1524">
        <f>БС!B24</f>
        <v>0</v>
      </c>
      <c r="C45" s="176" vm="1524">
        <f>БС!C24</f>
        <v>0</v>
      </c>
      <c r="D45" s="177">
        <f t="shared" si="2"/>
        <v>0</v>
      </c>
      <c r="E45" s="176" vm="1524">
        <f>БС!O24</f>
        <v>0</v>
      </c>
      <c r="F45" s="178">
        <f t="shared" si="3"/>
        <v>0</v>
      </c>
      <c r="G45" s="179">
        <f>E45/E44</f>
        <v>0</v>
      </c>
    </row>
    <row r="46" spans="1:7" s="175" customFormat="1" x14ac:dyDescent="0.25">
      <c r="A46" s="18"/>
      <c r="B46" s="180"/>
      <c r="C46" s="180"/>
      <c r="D46" s="181"/>
      <c r="E46" s="180"/>
      <c r="F46" s="181"/>
      <c r="G46" s="181"/>
    </row>
    <row r="47" spans="1:7" x14ac:dyDescent="0.25">
      <c r="A47" s="60" t="s">
        <v>180</v>
      </c>
      <c r="B47" s="182"/>
      <c r="C47" s="182"/>
      <c r="D47" s="183"/>
      <c r="E47" s="182"/>
      <c r="F47" s="184"/>
      <c r="G47" s="185"/>
    </row>
    <row r="48" spans="1:7" x14ac:dyDescent="0.25">
      <c r="A48" s="49" t="str" vm="134">
        <f>CUBEMEMBER("ThisWorkbookDataModel",{"[fActualAndBudget].[StavkaKategorija].&amp;[1.14. Краткорочни обврски]"})</f>
        <v>1.14. Краткорочни обврски</v>
      </c>
      <c r="B48" s="131" vm="1514">
        <f>БС!B27</f>
        <v>23095106</v>
      </c>
      <c r="C48" s="131">
        <f>БС!C27</f>
        <v>0</v>
      </c>
      <c r="D48" s="128">
        <f t="shared" si="2"/>
        <v>-1</v>
      </c>
      <c r="E48" s="131">
        <f>БС!O27</f>
        <v>19012130</v>
      </c>
      <c r="F48" s="124">
        <f t="shared" ref="F48:F62" si="5">IF(ISERROR(IF(C48=0,0,E48/C48-1)),0,IF(C48=0,0,E48/C48-1))</f>
        <v>0</v>
      </c>
      <c r="G48" s="113">
        <f>E48/$E$61</f>
        <v>2.426474561679965E-2</v>
      </c>
    </row>
    <row r="49" spans="1:7" x14ac:dyDescent="0.25">
      <c r="A49" s="49" t="str" vm="132">
        <f>CUBEMEMBER("ThisWorkbookDataModel",{"[fActualAndBudget].[StavkaKategorija].&amp;[1.15. Одложено плаќање на трошоци и приходи (ПВР)]"})</f>
        <v>1.15. Одложено плаќање на трошоци и приходи (ПВР)</v>
      </c>
      <c r="B49" s="131" vm="1535">
        <f>БС!B28</f>
        <v>103358798</v>
      </c>
      <c r="C49" s="131">
        <f>БС!C28</f>
        <v>98643026</v>
      </c>
      <c r="D49" s="128">
        <f t="shared" si="2"/>
        <v>-4.5625259690036279E-2</v>
      </c>
      <c r="E49" s="131">
        <f>БС!O28</f>
        <v>93337254</v>
      </c>
      <c r="F49" s="124">
        <f t="shared" si="5"/>
        <v>-5.3787603798772343E-2</v>
      </c>
      <c r="G49" s="113">
        <f t="shared" ref="G49:G62" si="6">E49/$E$61</f>
        <v>0.11912419728250415</v>
      </c>
    </row>
    <row r="50" spans="1:7" x14ac:dyDescent="0.25">
      <c r="A50" s="56" t="s">
        <v>181</v>
      </c>
      <c r="B50" s="173">
        <f>SUM(B48:B49)</f>
        <v>126453904</v>
      </c>
      <c r="C50" s="173">
        <f>SUM(C48:C49)</f>
        <v>98643026</v>
      </c>
      <c r="D50" s="189">
        <f t="shared" si="2"/>
        <v>-0.21992897902147801</v>
      </c>
      <c r="E50" s="173">
        <f>SUM(E48:E49)</f>
        <v>112349384</v>
      </c>
      <c r="F50" s="126">
        <f t="shared" si="5"/>
        <v>0.13894908292857933</v>
      </c>
      <c r="G50" s="26">
        <f t="shared" si="6"/>
        <v>0.14338894289930379</v>
      </c>
    </row>
    <row r="51" spans="1:7" x14ac:dyDescent="0.25">
      <c r="A51" s="49" t="str" vm="131">
        <f>CUBEMEMBER("ThisWorkbookDataModel",{"[fActualAndBudget].[StavkaKategorija].&amp;[1.17. Долгорочни обврски]"})</f>
        <v>1.17. Долгорочни обврски</v>
      </c>
      <c r="B51" s="131" vm="1528">
        <f>БС!B30</f>
        <v>86079840</v>
      </c>
      <c r="C51" s="131">
        <f>БС!C30</f>
        <v>86079840</v>
      </c>
      <c r="D51" s="124">
        <f t="shared" si="2"/>
        <v>0</v>
      </c>
      <c r="E51" s="131">
        <f>БС!O30</f>
        <v>86079840</v>
      </c>
      <c r="F51" s="124">
        <f t="shared" si="5"/>
        <v>0</v>
      </c>
      <c r="G51" s="113">
        <f t="shared" si="6"/>
        <v>0.10986172618927049</v>
      </c>
    </row>
    <row r="52" spans="1:7" hidden="1" x14ac:dyDescent="0.25">
      <c r="A52" s="49" t="e">
        <f>CUBEMEMBER("ThisWorkbookDataModel",{"[fActualAndBudget].[StavkaKategorija].&amp;[1.18. Други долгорочни обврски и резервирања за ризици и трошоци]"})</f>
        <v>#N/A</v>
      </c>
      <c r="B52" s="131"/>
      <c r="C52" s="131"/>
      <c r="D52" s="125">
        <f t="shared" si="2"/>
        <v>0</v>
      </c>
      <c r="E52" s="131"/>
      <c r="F52" s="125">
        <f t="shared" si="5"/>
        <v>0</v>
      </c>
      <c r="G52" s="23">
        <f t="shared" si="6"/>
        <v>0</v>
      </c>
    </row>
    <row r="53" spans="1:7" x14ac:dyDescent="0.25">
      <c r="A53" s="56" t="s">
        <v>182</v>
      </c>
      <c r="B53" s="173">
        <f>SUM(B51:B52)</f>
        <v>86079840</v>
      </c>
      <c r="C53" s="173">
        <f>SUM(C51:C52)</f>
        <v>86079840</v>
      </c>
      <c r="D53" s="126">
        <f t="shared" si="2"/>
        <v>0</v>
      </c>
      <c r="E53" s="173">
        <f>SUM(E51:E52)</f>
        <v>86079840</v>
      </c>
      <c r="F53" s="126">
        <f t="shared" si="5"/>
        <v>0</v>
      </c>
      <c r="G53" s="26">
        <f t="shared" si="6"/>
        <v>0.10986172618927049</v>
      </c>
    </row>
    <row r="54" spans="1:7" x14ac:dyDescent="0.25">
      <c r="A54" s="56" t="s">
        <v>183</v>
      </c>
      <c r="B54" s="173">
        <f>SUM(B53,B50)</f>
        <v>212533744</v>
      </c>
      <c r="C54" s="173">
        <f>SUM(C53,C50)</f>
        <v>184722866</v>
      </c>
      <c r="D54" s="126">
        <f t="shared" si="2"/>
        <v>-0.13085394100995085</v>
      </c>
      <c r="E54" s="173">
        <f>SUM(E53,E50)</f>
        <v>198429224</v>
      </c>
      <c r="F54" s="126">
        <f t="shared" si="5"/>
        <v>7.4199574188070549E-2</v>
      </c>
      <c r="G54" s="26">
        <f t="shared" si="6"/>
        <v>0.2532506690885743</v>
      </c>
    </row>
    <row r="55" spans="1:7" x14ac:dyDescent="0.25">
      <c r="A55" s="49" t="str" vm="127">
        <f>CUBEMEMBER("ThisWorkbookDataModel",{"[fActualAndBudget].[StavkaKategorija].&amp;[1.21. Капитал]"})</f>
        <v>1.21. Капитал</v>
      </c>
      <c r="B55" s="131" vm="1525">
        <f>БС!B34</f>
        <v>126859046</v>
      </c>
      <c r="C55" s="131">
        <f>БС!C34</f>
        <v>126859046</v>
      </c>
      <c r="D55" s="125">
        <f t="shared" si="2"/>
        <v>0</v>
      </c>
      <c r="E55" s="131">
        <f>БС!O34</f>
        <v>126859046</v>
      </c>
      <c r="F55" s="125">
        <f t="shared" si="5"/>
        <v>0</v>
      </c>
      <c r="G55" s="23">
        <f t="shared" si="6"/>
        <v>0.16190729183841501</v>
      </c>
    </row>
    <row r="56" spans="1:7" x14ac:dyDescent="0.25">
      <c r="A56" s="49" t="str" vm="126">
        <f>CUBEMEMBER("ThisWorkbookDataModel",{"[fActualAndBudget].[StavkaKategorija].&amp;[1.22. Акумулирана добивка]"})</f>
        <v>1.22. Акумулирана добивка</v>
      </c>
      <c r="B56" s="131">
        <f>БС!B35</f>
        <v>285727944</v>
      </c>
      <c r="C56" s="131">
        <f>БС!C35</f>
        <v>292646501</v>
      </c>
      <c r="D56" s="125">
        <f t="shared" si="2"/>
        <v>2.4213791983888067E-2</v>
      </c>
      <c r="E56" s="131">
        <f>БС!O35</f>
        <v>335292042</v>
      </c>
      <c r="F56" s="125">
        <f t="shared" si="5"/>
        <v>0.14572373445189424</v>
      </c>
      <c r="G56" s="23">
        <f t="shared" si="6"/>
        <v>0.42792554576827024</v>
      </c>
    </row>
    <row r="57" spans="1:7" x14ac:dyDescent="0.25">
      <c r="A57" s="49" t="str" vm="133">
        <f>CUBEMEMBER("ThisWorkbookDataModel",{"[fActualAndBudget].[StavkaKategorija].&amp;[1.23. Резерви]"})</f>
        <v>1.23. Резерви</v>
      </c>
      <c r="B57" s="112" vm="1538">
        <f>БС!B36</f>
        <v>121393152</v>
      </c>
      <c r="C57" s="112">
        <f>БС!C36</f>
        <v>121393152</v>
      </c>
      <c r="D57" s="124">
        <f t="shared" si="2"/>
        <v>0</v>
      </c>
      <c r="E57" s="112">
        <f>БС!O36</f>
        <v>121393152</v>
      </c>
      <c r="F57" s="124">
        <f t="shared" si="5"/>
        <v>0</v>
      </c>
      <c r="G57" s="188">
        <f t="shared" si="6"/>
        <v>0.15493129664595676</v>
      </c>
    </row>
    <row r="58" spans="1:7" hidden="1" x14ac:dyDescent="0.25">
      <c r="A58" s="49" t="e">
        <f>CUBEMEMBER("ThisWorkbookDataModel",{"[fActualAndBudget].[StavkaKategorija].&amp;[1.24. Ревалоризациони резерви]"})</f>
        <v>#N/A</v>
      </c>
      <c r="B58" s="131"/>
      <c r="C58" s="131"/>
      <c r="D58" s="124">
        <f t="shared" si="2"/>
        <v>0</v>
      </c>
      <c r="E58" s="131"/>
      <c r="F58" s="124">
        <f t="shared" si="5"/>
        <v>0</v>
      </c>
      <c r="G58" s="113">
        <f t="shared" si="6"/>
        <v>0</v>
      </c>
    </row>
    <row r="59" spans="1:7" x14ac:dyDescent="0.25">
      <c r="A59" s="49" t="str" vm="135">
        <f>CUBEMEMBER("ThisWorkbookDataModel",{"[fActualAndBudget].[StavkaKategorija].&amp;[1.25. Добивка / Загуба за деловната година]"})</f>
        <v>1.25. Добивка / Загуба за деловната година</v>
      </c>
      <c r="B59" s="131">
        <f>БС!B38</f>
        <v>6918557</v>
      </c>
      <c r="C59" s="131">
        <f>БС!C38</f>
        <v>42645541</v>
      </c>
      <c r="D59" s="124">
        <f t="shared" si="2"/>
        <v>5.1639357744685777</v>
      </c>
      <c r="E59" s="131">
        <f>БС!O38</f>
        <v>1555459</v>
      </c>
      <c r="F59" s="124">
        <f t="shared" si="5"/>
        <v>-0.96352587014900337</v>
      </c>
      <c r="G59" s="113">
        <f t="shared" si="6"/>
        <v>1.9851966587837114E-3</v>
      </c>
    </row>
    <row r="60" spans="1:7" x14ac:dyDescent="0.25">
      <c r="A60" s="56" t="s">
        <v>184</v>
      </c>
      <c r="B60" s="173">
        <f>SUM(B55:B59)</f>
        <v>540898699</v>
      </c>
      <c r="C60" s="173">
        <f>SUM(C55:C59)</f>
        <v>583544240</v>
      </c>
      <c r="D60" s="126">
        <f t="shared" si="2"/>
        <v>7.884201067379526E-2</v>
      </c>
      <c r="E60" s="173">
        <f>SUM(E55:E59)</f>
        <v>585099699</v>
      </c>
      <c r="F60" s="126">
        <f t="shared" si="5"/>
        <v>2.6655374063841997E-3</v>
      </c>
      <c r="G60" s="26">
        <f t="shared" si="6"/>
        <v>0.7467493309114257</v>
      </c>
    </row>
    <row r="61" spans="1:7" x14ac:dyDescent="0.25">
      <c r="A61" s="56" t="s">
        <v>185</v>
      </c>
      <c r="B61" s="173">
        <f>SUM(B50,B53,B60)</f>
        <v>753432443</v>
      </c>
      <c r="C61" s="173">
        <f>SUM(C50,C53,C60)</f>
        <v>768267106</v>
      </c>
      <c r="D61" s="126">
        <f t="shared" si="2"/>
        <v>1.9689440158604965E-2</v>
      </c>
      <c r="E61" s="173">
        <f>SUM(E50,E53,E60)</f>
        <v>783528923</v>
      </c>
      <c r="F61" s="126">
        <f t="shared" si="5"/>
        <v>1.9865248532455082E-2</v>
      </c>
      <c r="G61" s="26">
        <f t="shared" si="6"/>
        <v>1</v>
      </c>
    </row>
    <row r="62" spans="1:7" x14ac:dyDescent="0.25">
      <c r="A62" s="58" t="str" vm="130">
        <f>CUBEMEMBER("ThisWorkbookDataModel",{"[fActualAndBudget].[StavkaKategorija].&amp;[1.28. Вонбилансна пасива]"})</f>
        <v>1.28. Вонбилансна пасива</v>
      </c>
      <c r="B62" s="176" vm="181">
        <f>БС!B41</f>
        <v>0</v>
      </c>
      <c r="C62" s="176" vm="1536">
        <f>БС!C41</f>
        <v>0</v>
      </c>
      <c r="D62" s="178">
        <f t="shared" si="2"/>
        <v>0</v>
      </c>
      <c r="E62" s="176" vm="1536">
        <f>БС!O41</f>
        <v>0</v>
      </c>
      <c r="F62" s="178">
        <f t="shared" si="5"/>
        <v>0</v>
      </c>
      <c r="G62" s="179">
        <f t="shared" si="6"/>
        <v>0</v>
      </c>
    </row>
    <row r="63" spans="1:7" x14ac:dyDescent="0.25">
      <c r="A63"/>
      <c r="B63"/>
    </row>
    <row r="64" spans="1:7" x14ac:dyDescent="0.25">
      <c r="A64"/>
      <c r="B64" s="1">
        <f>B44-B61</f>
        <v>0</v>
      </c>
      <c r="C64" s="1">
        <f>C44-C61</f>
        <v>0</v>
      </c>
      <c r="D64" s="1"/>
      <c r="E64" s="1">
        <f>E44-E61</f>
        <v>0</v>
      </c>
      <c r="F64" s="1"/>
      <c r="G64" s="1">
        <f>G44-G61</f>
        <v>0</v>
      </c>
    </row>
    <row r="65" spans="1:2" x14ac:dyDescent="0.25">
      <c r="A65"/>
      <c r="B65"/>
    </row>
    <row r="66" spans="1:2" x14ac:dyDescent="0.25">
      <c r="A66"/>
      <c r="B66"/>
    </row>
    <row r="67" spans="1:2" x14ac:dyDescent="0.25">
      <c r="A67"/>
      <c r="B67"/>
    </row>
    <row r="68" spans="1:2" x14ac:dyDescent="0.25">
      <c r="A68"/>
      <c r="B68"/>
    </row>
    <row r="69" spans="1:2" x14ac:dyDescent="0.25">
      <c r="A69"/>
      <c r="B69"/>
    </row>
    <row r="70" spans="1:2" x14ac:dyDescent="0.25">
      <c r="A70"/>
      <c r="B70"/>
    </row>
    <row r="71" spans="1:2" x14ac:dyDescent="0.25">
      <c r="A71"/>
      <c r="B71"/>
    </row>
    <row r="72" spans="1:2" x14ac:dyDescent="0.25">
      <c r="A72"/>
      <c r="B72"/>
    </row>
    <row r="73" spans="1:2" x14ac:dyDescent="0.25">
      <c r="A73"/>
      <c r="B73"/>
    </row>
    <row r="74" spans="1:2" x14ac:dyDescent="0.25">
      <c r="A74"/>
      <c r="B74"/>
    </row>
    <row r="75" spans="1:2" x14ac:dyDescent="0.25">
      <c r="A75"/>
      <c r="B75"/>
    </row>
    <row r="76" spans="1:2" x14ac:dyDescent="0.25">
      <c r="A76"/>
      <c r="B76"/>
    </row>
    <row r="77" spans="1:2" x14ac:dyDescent="0.25">
      <c r="A77"/>
      <c r="B77"/>
    </row>
    <row r="78" spans="1:2" x14ac:dyDescent="0.25">
      <c r="A78"/>
      <c r="B78"/>
    </row>
    <row r="79" spans="1:2" x14ac:dyDescent="0.25">
      <c r="A79"/>
      <c r="B79"/>
    </row>
    <row r="80" spans="1:2" x14ac:dyDescent="0.25">
      <c r="A80"/>
      <c r="B80"/>
    </row>
    <row r="81" spans="1:2" x14ac:dyDescent="0.25">
      <c r="A81"/>
      <c r="B81"/>
    </row>
    <row r="82" spans="1:2" x14ac:dyDescent="0.25">
      <c r="A82"/>
      <c r="B82"/>
    </row>
    <row r="83" spans="1:2" x14ac:dyDescent="0.25">
      <c r="A83"/>
      <c r="B83"/>
    </row>
    <row r="84" spans="1:2" x14ac:dyDescent="0.25">
      <c r="A84"/>
      <c r="B84"/>
    </row>
    <row r="85" spans="1:2" x14ac:dyDescent="0.25">
      <c r="A85"/>
      <c r="B85"/>
    </row>
    <row r="86" spans="1:2" x14ac:dyDescent="0.25">
      <c r="A86"/>
      <c r="B86"/>
    </row>
    <row r="87" spans="1:2" x14ac:dyDescent="0.25">
      <c r="A87"/>
      <c r="B87"/>
    </row>
    <row r="88" spans="1:2" x14ac:dyDescent="0.25">
      <c r="A88"/>
      <c r="B88"/>
    </row>
    <row r="89" spans="1:2" x14ac:dyDescent="0.25">
      <c r="A89"/>
      <c r="B89"/>
    </row>
    <row r="90" spans="1:2" x14ac:dyDescent="0.25">
      <c r="A90"/>
      <c r="B90"/>
    </row>
    <row r="91" spans="1:2" x14ac:dyDescent="0.25">
      <c r="A91"/>
      <c r="B91"/>
    </row>
    <row r="92" spans="1:2" x14ac:dyDescent="0.25">
      <c r="A92"/>
      <c r="B92"/>
    </row>
    <row r="93" spans="1:2" x14ac:dyDescent="0.25">
      <c r="A93"/>
      <c r="B93"/>
    </row>
    <row r="94" spans="1:2" x14ac:dyDescent="0.25">
      <c r="A94"/>
      <c r="B94"/>
    </row>
    <row r="95" spans="1:2" x14ac:dyDescent="0.25">
      <c r="A95"/>
      <c r="B95"/>
    </row>
    <row r="96" spans="1:2" x14ac:dyDescent="0.25">
      <c r="A96"/>
      <c r="B96"/>
    </row>
    <row r="97" spans="1:2" x14ac:dyDescent="0.25">
      <c r="A97"/>
      <c r="B97"/>
    </row>
    <row r="98" spans="1:2" x14ac:dyDescent="0.25">
      <c r="A98"/>
      <c r="B98"/>
    </row>
    <row r="99" spans="1:2" x14ac:dyDescent="0.25">
      <c r="A99"/>
      <c r="B99"/>
    </row>
    <row r="100" spans="1:2" x14ac:dyDescent="0.25">
      <c r="A100"/>
      <c r="B100"/>
    </row>
    <row r="101" spans="1:2" x14ac:dyDescent="0.25">
      <c r="A101"/>
      <c r="B101"/>
    </row>
    <row r="102" spans="1:2" x14ac:dyDescent="0.25">
      <c r="A102"/>
      <c r="B102"/>
    </row>
    <row r="103" spans="1:2" x14ac:dyDescent="0.25">
      <c r="A103"/>
      <c r="B103"/>
    </row>
    <row r="104" spans="1:2" x14ac:dyDescent="0.25">
      <c r="A104"/>
      <c r="B104"/>
    </row>
    <row r="105" spans="1:2" x14ac:dyDescent="0.25">
      <c r="A105"/>
      <c r="B105"/>
    </row>
    <row r="106" spans="1:2" x14ac:dyDescent="0.25">
      <c r="A106"/>
      <c r="B106"/>
    </row>
    <row r="107" spans="1:2" x14ac:dyDescent="0.25">
      <c r="A107"/>
      <c r="B107"/>
    </row>
    <row r="108" spans="1:2" x14ac:dyDescent="0.25">
      <c r="A108"/>
      <c r="B108"/>
    </row>
    <row r="109" spans="1:2" x14ac:dyDescent="0.25">
      <c r="A109"/>
      <c r="B109"/>
    </row>
    <row r="110" spans="1:2" x14ac:dyDescent="0.25">
      <c r="A110"/>
      <c r="B110"/>
    </row>
    <row r="111" spans="1:2" x14ac:dyDescent="0.25">
      <c r="A111"/>
      <c r="B111"/>
    </row>
    <row r="112" spans="1:2" x14ac:dyDescent="0.25">
      <c r="A112"/>
      <c r="B112"/>
    </row>
    <row r="113" spans="1:2" x14ac:dyDescent="0.25">
      <c r="A113"/>
      <c r="B113"/>
    </row>
    <row r="114" spans="1:2" x14ac:dyDescent="0.25">
      <c r="A114"/>
      <c r="B114"/>
    </row>
    <row r="115" spans="1:2" x14ac:dyDescent="0.25">
      <c r="A115"/>
      <c r="B115"/>
    </row>
    <row r="116" spans="1:2" x14ac:dyDescent="0.25">
      <c r="A116"/>
      <c r="B116"/>
    </row>
    <row r="117" spans="1:2" x14ac:dyDescent="0.25">
      <c r="A117"/>
      <c r="B117"/>
    </row>
    <row r="118" spans="1:2" x14ac:dyDescent="0.25">
      <c r="A118"/>
      <c r="B118"/>
    </row>
    <row r="119" spans="1:2" x14ac:dyDescent="0.25">
      <c r="A119"/>
      <c r="B119"/>
    </row>
    <row r="120" spans="1:2" x14ac:dyDescent="0.25">
      <c r="A120"/>
      <c r="B120"/>
    </row>
    <row r="121" spans="1:2" x14ac:dyDescent="0.25">
      <c r="A121"/>
      <c r="B121"/>
    </row>
    <row r="122" spans="1:2" x14ac:dyDescent="0.25">
      <c r="A122"/>
      <c r="B122"/>
    </row>
    <row r="123" spans="1:2" x14ac:dyDescent="0.25">
      <c r="A123"/>
      <c r="B123"/>
    </row>
    <row r="124" spans="1:2" x14ac:dyDescent="0.25">
      <c r="A124"/>
      <c r="B124"/>
    </row>
    <row r="125" spans="1:2" x14ac:dyDescent="0.25">
      <c r="A125"/>
      <c r="B125"/>
    </row>
    <row r="126" spans="1:2" x14ac:dyDescent="0.25">
      <c r="A126"/>
      <c r="B126"/>
    </row>
    <row r="127" spans="1:2" x14ac:dyDescent="0.25">
      <c r="A127"/>
      <c r="B127"/>
    </row>
    <row r="128" spans="1:2"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c r="B205"/>
    </row>
    <row r="206" spans="1:2" x14ac:dyDescent="0.25">
      <c r="A206"/>
      <c r="B206"/>
    </row>
    <row r="207" spans="1:2" x14ac:dyDescent="0.25">
      <c r="A207"/>
      <c r="B207"/>
    </row>
    <row r="208" spans="1:2" x14ac:dyDescent="0.25">
      <c r="A208"/>
      <c r="B208"/>
    </row>
    <row r="209" spans="1:2" x14ac:dyDescent="0.25">
      <c r="A209"/>
      <c r="B209"/>
    </row>
    <row r="210" spans="1:2" x14ac:dyDescent="0.25">
      <c r="A210"/>
      <c r="B210"/>
    </row>
    <row r="211" spans="1:2" x14ac:dyDescent="0.25">
      <c r="A211"/>
      <c r="B211"/>
    </row>
    <row r="212" spans="1:2" x14ac:dyDescent="0.25">
      <c r="A212"/>
      <c r="B212"/>
    </row>
    <row r="213" spans="1:2" x14ac:dyDescent="0.25">
      <c r="A213"/>
      <c r="B213"/>
    </row>
    <row r="214" spans="1:2" x14ac:dyDescent="0.25">
      <c r="A214"/>
      <c r="B214"/>
    </row>
    <row r="215" spans="1:2" x14ac:dyDescent="0.25">
      <c r="A215"/>
      <c r="B215"/>
    </row>
    <row r="216" spans="1:2" x14ac:dyDescent="0.25">
      <c r="A216"/>
      <c r="B216"/>
    </row>
    <row r="217" spans="1:2" x14ac:dyDescent="0.25">
      <c r="A217"/>
      <c r="B217"/>
    </row>
    <row r="218" spans="1:2" x14ac:dyDescent="0.25">
      <c r="A218"/>
      <c r="B218"/>
    </row>
    <row r="219" spans="1:2" x14ac:dyDescent="0.25">
      <c r="A219"/>
      <c r="B219"/>
    </row>
    <row r="220" spans="1:2" x14ac:dyDescent="0.25">
      <c r="A220"/>
      <c r="B220"/>
    </row>
    <row r="221" spans="1:2" x14ac:dyDescent="0.25">
      <c r="A221"/>
      <c r="B221"/>
    </row>
    <row r="222" spans="1:2" x14ac:dyDescent="0.25">
      <c r="A222"/>
      <c r="B222"/>
    </row>
    <row r="223" spans="1:2" x14ac:dyDescent="0.25">
      <c r="A223"/>
      <c r="B223"/>
    </row>
    <row r="224" spans="1:2" x14ac:dyDescent="0.25">
      <c r="A224"/>
      <c r="B224"/>
    </row>
    <row r="225" spans="1:2" x14ac:dyDescent="0.25">
      <c r="A225"/>
      <c r="B225"/>
    </row>
    <row r="226" spans="1:2" x14ac:dyDescent="0.25">
      <c r="A226"/>
      <c r="B226"/>
    </row>
    <row r="227" spans="1:2" x14ac:dyDescent="0.25">
      <c r="A227"/>
      <c r="B227"/>
    </row>
    <row r="228" spans="1:2" x14ac:dyDescent="0.25">
      <c r="A228"/>
      <c r="B228"/>
    </row>
    <row r="229" spans="1:2" x14ac:dyDescent="0.25">
      <c r="A229"/>
      <c r="B229"/>
    </row>
    <row r="230" spans="1:2" x14ac:dyDescent="0.25">
      <c r="A230"/>
      <c r="B230"/>
    </row>
    <row r="231" spans="1:2" x14ac:dyDescent="0.25">
      <c r="A231"/>
      <c r="B231"/>
    </row>
    <row r="232" spans="1:2" x14ac:dyDescent="0.25">
      <c r="A232"/>
      <c r="B232"/>
    </row>
    <row r="233" spans="1:2" x14ac:dyDescent="0.25">
      <c r="A233"/>
      <c r="B233"/>
    </row>
    <row r="234" spans="1:2" x14ac:dyDescent="0.25">
      <c r="A234"/>
      <c r="B234"/>
    </row>
    <row r="235" spans="1:2" x14ac:dyDescent="0.25">
      <c r="A235"/>
      <c r="B235"/>
    </row>
    <row r="236" spans="1:2" x14ac:dyDescent="0.25">
      <c r="A236"/>
      <c r="B236"/>
    </row>
    <row r="237" spans="1:2" x14ac:dyDescent="0.25">
      <c r="A237"/>
      <c r="B237"/>
    </row>
    <row r="238" spans="1:2" x14ac:dyDescent="0.25">
      <c r="A238"/>
      <c r="B238"/>
    </row>
    <row r="239" spans="1:2" x14ac:dyDescent="0.25">
      <c r="A239"/>
      <c r="B239"/>
    </row>
    <row r="240" spans="1:2" x14ac:dyDescent="0.25">
      <c r="A240"/>
      <c r="B240"/>
    </row>
    <row r="241" spans="1:2" x14ac:dyDescent="0.25">
      <c r="A241"/>
      <c r="B241"/>
    </row>
    <row r="242" spans="1:2" x14ac:dyDescent="0.25">
      <c r="A242"/>
      <c r="B242"/>
    </row>
    <row r="243" spans="1:2" x14ac:dyDescent="0.25">
      <c r="A243"/>
      <c r="B243"/>
    </row>
    <row r="244" spans="1:2" x14ac:dyDescent="0.25">
      <c r="A244"/>
      <c r="B244"/>
    </row>
    <row r="245" spans="1:2" x14ac:dyDescent="0.25">
      <c r="A245"/>
      <c r="B245"/>
    </row>
    <row r="246" spans="1:2" x14ac:dyDescent="0.25">
      <c r="A246"/>
      <c r="B246"/>
    </row>
    <row r="247" spans="1:2" x14ac:dyDescent="0.25">
      <c r="A247"/>
      <c r="B247"/>
    </row>
    <row r="248" spans="1:2" x14ac:dyDescent="0.25">
      <c r="A248"/>
      <c r="B248"/>
    </row>
    <row r="249" spans="1:2" x14ac:dyDescent="0.25">
      <c r="A249"/>
      <c r="B249"/>
    </row>
    <row r="250" spans="1:2" x14ac:dyDescent="0.25">
      <c r="A250"/>
      <c r="B250"/>
    </row>
    <row r="251" spans="1:2" x14ac:dyDescent="0.25">
      <c r="A251"/>
      <c r="B251"/>
    </row>
    <row r="252" spans="1:2" x14ac:dyDescent="0.25">
      <c r="A252"/>
      <c r="B252"/>
    </row>
    <row r="253" spans="1:2" x14ac:dyDescent="0.25">
      <c r="A253"/>
      <c r="B253"/>
    </row>
    <row r="254" spans="1:2" x14ac:dyDescent="0.25">
      <c r="A254"/>
      <c r="B254"/>
    </row>
    <row r="255" spans="1:2" x14ac:dyDescent="0.25">
      <c r="A255"/>
      <c r="B255"/>
    </row>
    <row r="256" spans="1:2" x14ac:dyDescent="0.25">
      <c r="A256"/>
      <c r="B256"/>
    </row>
    <row r="257" spans="1:2" x14ac:dyDescent="0.25">
      <c r="A257"/>
      <c r="B257"/>
    </row>
    <row r="258" spans="1:2" x14ac:dyDescent="0.25">
      <c r="A258"/>
      <c r="B258"/>
    </row>
    <row r="259" spans="1:2" x14ac:dyDescent="0.25">
      <c r="A259"/>
      <c r="B259"/>
    </row>
    <row r="260" spans="1:2" x14ac:dyDescent="0.25">
      <c r="A260"/>
      <c r="B260"/>
    </row>
    <row r="261" spans="1:2" x14ac:dyDescent="0.25">
      <c r="A261"/>
      <c r="B261"/>
    </row>
    <row r="262" spans="1:2" x14ac:dyDescent="0.25">
      <c r="A262"/>
      <c r="B262"/>
    </row>
    <row r="263" spans="1:2" x14ac:dyDescent="0.25">
      <c r="A263"/>
      <c r="B263"/>
    </row>
    <row r="264" spans="1:2" x14ac:dyDescent="0.25">
      <c r="A264"/>
      <c r="B264"/>
    </row>
    <row r="265" spans="1:2" x14ac:dyDescent="0.25">
      <c r="A265"/>
      <c r="B265"/>
    </row>
    <row r="266" spans="1:2" x14ac:dyDescent="0.25">
      <c r="A266"/>
      <c r="B266"/>
    </row>
    <row r="267" spans="1:2" x14ac:dyDescent="0.25">
      <c r="A267"/>
      <c r="B267"/>
    </row>
    <row r="268" spans="1:2" x14ac:dyDescent="0.25">
      <c r="A268"/>
      <c r="B268"/>
    </row>
    <row r="269" spans="1:2" x14ac:dyDescent="0.25">
      <c r="A269"/>
      <c r="B269"/>
    </row>
    <row r="270" spans="1:2" x14ac:dyDescent="0.25">
      <c r="A270"/>
      <c r="B270"/>
    </row>
    <row r="271" spans="1:2" x14ac:dyDescent="0.25">
      <c r="A271"/>
      <c r="B271"/>
    </row>
    <row r="272" spans="1:2" x14ac:dyDescent="0.25">
      <c r="A272"/>
      <c r="B272"/>
    </row>
    <row r="273" spans="1:2" x14ac:dyDescent="0.25">
      <c r="A273"/>
      <c r="B273"/>
    </row>
    <row r="274" spans="1:2" x14ac:dyDescent="0.25">
      <c r="A274"/>
      <c r="B274"/>
    </row>
    <row r="275" spans="1:2" x14ac:dyDescent="0.25">
      <c r="A275"/>
      <c r="B275"/>
    </row>
    <row r="276" spans="1:2" x14ac:dyDescent="0.25">
      <c r="A276"/>
      <c r="B276"/>
    </row>
    <row r="277" spans="1:2" x14ac:dyDescent="0.25">
      <c r="A277"/>
      <c r="B277"/>
    </row>
    <row r="278" spans="1:2" x14ac:dyDescent="0.25">
      <c r="A278"/>
      <c r="B278"/>
    </row>
    <row r="279" spans="1:2" x14ac:dyDescent="0.25">
      <c r="A279"/>
      <c r="B279"/>
    </row>
    <row r="280" spans="1:2" x14ac:dyDescent="0.25">
      <c r="A280"/>
      <c r="B280"/>
    </row>
    <row r="281" spans="1:2" x14ac:dyDescent="0.25">
      <c r="A281"/>
      <c r="B281"/>
    </row>
    <row r="282" spans="1:2" x14ac:dyDescent="0.25">
      <c r="A282"/>
      <c r="B282"/>
    </row>
    <row r="283" spans="1:2" x14ac:dyDescent="0.25">
      <c r="A283"/>
      <c r="B283"/>
    </row>
    <row r="284" spans="1:2" x14ac:dyDescent="0.25">
      <c r="A284"/>
      <c r="B284"/>
    </row>
    <row r="285" spans="1:2" x14ac:dyDescent="0.25">
      <c r="A285"/>
      <c r="B285"/>
    </row>
    <row r="286" spans="1:2" x14ac:dyDescent="0.25">
      <c r="A286"/>
      <c r="B286"/>
    </row>
    <row r="287" spans="1:2" x14ac:dyDescent="0.25">
      <c r="A287"/>
      <c r="B287"/>
    </row>
    <row r="288" spans="1:2" x14ac:dyDescent="0.25">
      <c r="A288"/>
      <c r="B288"/>
    </row>
    <row r="289" spans="1:2" x14ac:dyDescent="0.25">
      <c r="A289"/>
      <c r="B289"/>
    </row>
    <row r="290" spans="1:2" x14ac:dyDescent="0.25">
      <c r="A290"/>
      <c r="B290"/>
    </row>
    <row r="291" spans="1:2" x14ac:dyDescent="0.25">
      <c r="A291"/>
      <c r="B291"/>
    </row>
    <row r="292" spans="1:2" x14ac:dyDescent="0.25">
      <c r="A292"/>
      <c r="B292"/>
    </row>
    <row r="293" spans="1:2" x14ac:dyDescent="0.25">
      <c r="A293"/>
      <c r="B293"/>
    </row>
    <row r="294" spans="1:2" x14ac:dyDescent="0.25">
      <c r="A294"/>
      <c r="B294"/>
    </row>
    <row r="295" spans="1:2" x14ac:dyDescent="0.25">
      <c r="A295"/>
      <c r="B295"/>
    </row>
    <row r="296" spans="1:2" x14ac:dyDescent="0.25">
      <c r="A296"/>
      <c r="B296"/>
    </row>
    <row r="297" spans="1:2" x14ac:dyDescent="0.25">
      <c r="A297"/>
      <c r="B297"/>
    </row>
    <row r="298" spans="1:2" x14ac:dyDescent="0.25">
      <c r="A298"/>
      <c r="B298"/>
    </row>
    <row r="299" spans="1:2" x14ac:dyDescent="0.25">
      <c r="A299"/>
      <c r="B299"/>
    </row>
    <row r="300" spans="1:2" x14ac:dyDescent="0.25">
      <c r="A300"/>
      <c r="B300"/>
    </row>
    <row r="301" spans="1:2" x14ac:dyDescent="0.25">
      <c r="A301"/>
      <c r="B301"/>
    </row>
    <row r="302" spans="1:2" x14ac:dyDescent="0.25">
      <c r="A302"/>
      <c r="B302"/>
    </row>
    <row r="303" spans="1:2" x14ac:dyDescent="0.25">
      <c r="A303"/>
      <c r="B303"/>
    </row>
    <row r="304" spans="1:2" x14ac:dyDescent="0.25">
      <c r="A304"/>
      <c r="B304"/>
    </row>
    <row r="305" spans="1:2" x14ac:dyDescent="0.25">
      <c r="A305"/>
      <c r="B305"/>
    </row>
    <row r="306" spans="1:2" x14ac:dyDescent="0.25">
      <c r="A306"/>
      <c r="B306"/>
    </row>
    <row r="307" spans="1:2" x14ac:dyDescent="0.25">
      <c r="A307"/>
      <c r="B307"/>
    </row>
    <row r="308" spans="1:2" x14ac:dyDescent="0.25">
      <c r="A308"/>
      <c r="B308"/>
    </row>
    <row r="309" spans="1:2" x14ac:dyDescent="0.25">
      <c r="A309"/>
      <c r="B309"/>
    </row>
    <row r="310" spans="1:2" x14ac:dyDescent="0.25">
      <c r="A310"/>
      <c r="B310"/>
    </row>
    <row r="311" spans="1:2" x14ac:dyDescent="0.25">
      <c r="A311"/>
      <c r="B311"/>
    </row>
    <row r="312" spans="1:2" x14ac:dyDescent="0.25">
      <c r="A312"/>
      <c r="B312"/>
    </row>
    <row r="313" spans="1:2" x14ac:dyDescent="0.25">
      <c r="A313"/>
      <c r="B313"/>
    </row>
    <row r="314" spans="1:2" x14ac:dyDescent="0.25">
      <c r="A314"/>
      <c r="B314"/>
    </row>
    <row r="315" spans="1:2" x14ac:dyDescent="0.25">
      <c r="A315"/>
      <c r="B315"/>
    </row>
    <row r="316" spans="1:2" x14ac:dyDescent="0.25">
      <c r="A316"/>
      <c r="B316"/>
    </row>
    <row r="317" spans="1:2" x14ac:dyDescent="0.25">
      <c r="A317"/>
      <c r="B317"/>
    </row>
    <row r="318" spans="1:2" x14ac:dyDescent="0.25">
      <c r="A318"/>
      <c r="B318"/>
    </row>
    <row r="319" spans="1:2" x14ac:dyDescent="0.25">
      <c r="A319"/>
      <c r="B319"/>
    </row>
    <row r="320" spans="1:2" x14ac:dyDescent="0.25">
      <c r="A320"/>
      <c r="B320"/>
    </row>
    <row r="321" spans="1:2" x14ac:dyDescent="0.25">
      <c r="A321"/>
      <c r="B321"/>
    </row>
    <row r="322" spans="1:2" x14ac:dyDescent="0.25">
      <c r="A322"/>
      <c r="B322"/>
    </row>
    <row r="323" spans="1:2" x14ac:dyDescent="0.25">
      <c r="A323"/>
      <c r="B323"/>
    </row>
    <row r="324" spans="1:2" x14ac:dyDescent="0.25">
      <c r="A324"/>
      <c r="B324"/>
    </row>
    <row r="325" spans="1:2" x14ac:dyDescent="0.25">
      <c r="A325"/>
      <c r="B325"/>
    </row>
    <row r="326" spans="1:2" x14ac:dyDescent="0.25">
      <c r="A326"/>
      <c r="B326"/>
    </row>
    <row r="327" spans="1:2" x14ac:dyDescent="0.25">
      <c r="A327"/>
      <c r="B327"/>
    </row>
    <row r="328" spans="1:2" x14ac:dyDescent="0.25">
      <c r="A328"/>
      <c r="B328"/>
    </row>
    <row r="329" spans="1:2" x14ac:dyDescent="0.25">
      <c r="A329"/>
      <c r="B329"/>
    </row>
    <row r="330" spans="1:2" x14ac:dyDescent="0.25">
      <c r="A330"/>
      <c r="B330"/>
    </row>
    <row r="331" spans="1:2" x14ac:dyDescent="0.25">
      <c r="A331"/>
      <c r="B331"/>
    </row>
    <row r="332" spans="1:2" x14ac:dyDescent="0.25">
      <c r="A332"/>
      <c r="B332"/>
    </row>
    <row r="333" spans="1:2" x14ac:dyDescent="0.25">
      <c r="A333"/>
      <c r="B333"/>
    </row>
    <row r="334" spans="1:2" x14ac:dyDescent="0.25">
      <c r="A334"/>
      <c r="B334"/>
    </row>
    <row r="335" spans="1:2" x14ac:dyDescent="0.25">
      <c r="A335"/>
      <c r="B335"/>
    </row>
    <row r="336" spans="1:2" x14ac:dyDescent="0.25">
      <c r="A336"/>
      <c r="B336"/>
    </row>
    <row r="337" spans="1:2" x14ac:dyDescent="0.25">
      <c r="A337"/>
      <c r="B337"/>
    </row>
    <row r="338" spans="1:2" x14ac:dyDescent="0.25">
      <c r="A338"/>
      <c r="B338"/>
    </row>
    <row r="339" spans="1:2" x14ac:dyDescent="0.25">
      <c r="A339"/>
      <c r="B339"/>
    </row>
    <row r="340" spans="1:2" x14ac:dyDescent="0.25">
      <c r="A340"/>
      <c r="B340"/>
    </row>
    <row r="341" spans="1:2" x14ac:dyDescent="0.25">
      <c r="A341"/>
      <c r="B341"/>
    </row>
    <row r="342" spans="1:2" x14ac:dyDescent="0.25">
      <c r="A342"/>
      <c r="B342"/>
    </row>
    <row r="343" spans="1:2" x14ac:dyDescent="0.25">
      <c r="A343"/>
      <c r="B343"/>
    </row>
    <row r="344" spans="1:2" x14ac:dyDescent="0.25">
      <c r="A344"/>
      <c r="B344"/>
    </row>
    <row r="345" spans="1:2" x14ac:dyDescent="0.25">
      <c r="A345"/>
      <c r="B345"/>
    </row>
    <row r="346" spans="1:2" x14ac:dyDescent="0.25">
      <c r="A346"/>
      <c r="B346"/>
    </row>
    <row r="347" spans="1:2" x14ac:dyDescent="0.25">
      <c r="A347"/>
      <c r="B347"/>
    </row>
    <row r="348" spans="1:2" x14ac:dyDescent="0.25">
      <c r="A348"/>
      <c r="B348"/>
    </row>
    <row r="349" spans="1:2" x14ac:dyDescent="0.25">
      <c r="A349"/>
      <c r="B349"/>
    </row>
    <row r="350" spans="1:2" x14ac:dyDescent="0.25">
      <c r="A350"/>
      <c r="B350"/>
    </row>
    <row r="351" spans="1:2" x14ac:dyDescent="0.25">
      <c r="A351"/>
      <c r="B351"/>
    </row>
    <row r="352" spans="1:2" x14ac:dyDescent="0.25">
      <c r="A352"/>
      <c r="B352"/>
    </row>
    <row r="353" spans="1:2" x14ac:dyDescent="0.25">
      <c r="A353"/>
      <c r="B353"/>
    </row>
    <row r="354" spans="1:2" x14ac:dyDescent="0.25">
      <c r="A354"/>
      <c r="B354"/>
    </row>
    <row r="355" spans="1:2" x14ac:dyDescent="0.25">
      <c r="A355"/>
      <c r="B355"/>
    </row>
    <row r="356" spans="1:2" x14ac:dyDescent="0.25">
      <c r="A356"/>
      <c r="B356"/>
    </row>
    <row r="357" spans="1:2" x14ac:dyDescent="0.25">
      <c r="A357"/>
      <c r="B357"/>
    </row>
    <row r="358" spans="1:2" x14ac:dyDescent="0.25">
      <c r="A358"/>
      <c r="B358"/>
    </row>
    <row r="359" spans="1:2" x14ac:dyDescent="0.25">
      <c r="A359"/>
      <c r="B359"/>
    </row>
    <row r="360" spans="1:2" x14ac:dyDescent="0.25">
      <c r="A360"/>
      <c r="B360"/>
    </row>
    <row r="361" spans="1:2" x14ac:dyDescent="0.25">
      <c r="A361"/>
      <c r="B361"/>
    </row>
    <row r="362" spans="1:2" x14ac:dyDescent="0.25">
      <c r="A362"/>
      <c r="B362"/>
    </row>
    <row r="363" spans="1:2" x14ac:dyDescent="0.25">
      <c r="A363"/>
      <c r="B363"/>
    </row>
    <row r="364" spans="1:2" x14ac:dyDescent="0.25">
      <c r="A364"/>
      <c r="B364"/>
    </row>
    <row r="365" spans="1:2" x14ac:dyDescent="0.25">
      <c r="A365"/>
      <c r="B365"/>
    </row>
    <row r="366" spans="1:2" x14ac:dyDescent="0.25">
      <c r="A366"/>
      <c r="B366"/>
    </row>
    <row r="367" spans="1:2" x14ac:dyDescent="0.25">
      <c r="A367"/>
      <c r="B367"/>
    </row>
    <row r="368" spans="1:2" x14ac:dyDescent="0.25">
      <c r="A368"/>
      <c r="B368"/>
    </row>
    <row r="369" spans="1:2" x14ac:dyDescent="0.25">
      <c r="A369"/>
      <c r="B369"/>
    </row>
    <row r="370" spans="1:2" x14ac:dyDescent="0.25">
      <c r="A370"/>
      <c r="B370"/>
    </row>
    <row r="371" spans="1:2" x14ac:dyDescent="0.25">
      <c r="A371"/>
      <c r="B371"/>
    </row>
    <row r="372" spans="1:2" x14ac:dyDescent="0.25">
      <c r="A372"/>
      <c r="B372"/>
    </row>
    <row r="373" spans="1:2" x14ac:dyDescent="0.25">
      <c r="A373"/>
      <c r="B373"/>
    </row>
    <row r="374" spans="1:2" x14ac:dyDescent="0.25">
      <c r="A374"/>
      <c r="B374"/>
    </row>
    <row r="375" spans="1:2" x14ac:dyDescent="0.25">
      <c r="A375"/>
      <c r="B375"/>
    </row>
    <row r="376" spans="1:2" x14ac:dyDescent="0.25">
      <c r="A376"/>
      <c r="B376"/>
    </row>
    <row r="377" spans="1:2" x14ac:dyDescent="0.25">
      <c r="A377"/>
      <c r="B377"/>
    </row>
    <row r="378" spans="1:2" x14ac:dyDescent="0.25">
      <c r="A378"/>
      <c r="B378"/>
    </row>
    <row r="379" spans="1:2" x14ac:dyDescent="0.25">
      <c r="A379"/>
      <c r="B379"/>
    </row>
    <row r="380" spans="1:2" x14ac:dyDescent="0.25">
      <c r="A380"/>
      <c r="B380"/>
    </row>
    <row r="381" spans="1:2" x14ac:dyDescent="0.25">
      <c r="A381"/>
      <c r="B381"/>
    </row>
    <row r="382" spans="1:2" x14ac:dyDescent="0.25">
      <c r="A382"/>
      <c r="B382"/>
    </row>
    <row r="383" spans="1:2" x14ac:dyDescent="0.25">
      <c r="A383"/>
      <c r="B383"/>
    </row>
    <row r="384" spans="1:2" x14ac:dyDescent="0.25">
      <c r="A384"/>
      <c r="B384"/>
    </row>
    <row r="385" spans="1:2" x14ac:dyDescent="0.25">
      <c r="A385"/>
      <c r="B385"/>
    </row>
    <row r="386" spans="1:2" x14ac:dyDescent="0.25">
      <c r="A386"/>
      <c r="B386"/>
    </row>
    <row r="387" spans="1:2" x14ac:dyDescent="0.25">
      <c r="A387"/>
      <c r="B387"/>
    </row>
    <row r="388" spans="1:2" x14ac:dyDescent="0.25">
      <c r="A388"/>
      <c r="B388"/>
    </row>
    <row r="389" spans="1:2" x14ac:dyDescent="0.25">
      <c r="A389"/>
      <c r="B389"/>
    </row>
    <row r="390" spans="1:2" x14ac:dyDescent="0.25">
      <c r="A390"/>
      <c r="B390"/>
    </row>
    <row r="391" spans="1:2" x14ac:dyDescent="0.25">
      <c r="A391"/>
      <c r="B391"/>
    </row>
    <row r="392" spans="1:2" x14ac:dyDescent="0.25">
      <c r="A392"/>
      <c r="B392"/>
    </row>
    <row r="393" spans="1:2" x14ac:dyDescent="0.25">
      <c r="A393"/>
      <c r="B393"/>
    </row>
    <row r="394" spans="1:2" x14ac:dyDescent="0.25">
      <c r="A394"/>
      <c r="B394"/>
    </row>
    <row r="395" spans="1:2" x14ac:dyDescent="0.25">
      <c r="A395"/>
      <c r="B395"/>
    </row>
    <row r="396" spans="1:2" x14ac:dyDescent="0.25">
      <c r="A396"/>
      <c r="B396"/>
    </row>
    <row r="397" spans="1:2" x14ac:dyDescent="0.25">
      <c r="A397"/>
      <c r="B397"/>
    </row>
    <row r="398" spans="1:2" x14ac:dyDescent="0.25">
      <c r="A398"/>
      <c r="B398"/>
    </row>
    <row r="399" spans="1:2" x14ac:dyDescent="0.25">
      <c r="A399"/>
      <c r="B399"/>
    </row>
    <row r="400" spans="1:2" x14ac:dyDescent="0.25">
      <c r="A400"/>
      <c r="B400"/>
    </row>
    <row r="401" spans="1:2" x14ac:dyDescent="0.25">
      <c r="A401"/>
      <c r="B401"/>
    </row>
    <row r="402" spans="1:2" x14ac:dyDescent="0.25">
      <c r="A402"/>
      <c r="B402"/>
    </row>
    <row r="403" spans="1:2" x14ac:dyDescent="0.25">
      <c r="A403"/>
      <c r="B403"/>
    </row>
    <row r="404" spans="1:2" x14ac:dyDescent="0.25">
      <c r="A404"/>
      <c r="B404"/>
    </row>
    <row r="405" spans="1:2" x14ac:dyDescent="0.25">
      <c r="A405"/>
      <c r="B405"/>
    </row>
    <row r="406" spans="1:2" x14ac:dyDescent="0.25">
      <c r="A406"/>
      <c r="B406"/>
    </row>
    <row r="407" spans="1:2" x14ac:dyDescent="0.25">
      <c r="A407"/>
      <c r="B407"/>
    </row>
    <row r="408" spans="1:2" x14ac:dyDescent="0.25">
      <c r="A408"/>
      <c r="B408"/>
    </row>
    <row r="409" spans="1:2" x14ac:dyDescent="0.25">
      <c r="A409"/>
      <c r="B409"/>
    </row>
    <row r="410" spans="1:2" x14ac:dyDescent="0.25">
      <c r="A410"/>
      <c r="B410"/>
    </row>
    <row r="411" spans="1:2" x14ac:dyDescent="0.25">
      <c r="A411"/>
      <c r="B411"/>
    </row>
    <row r="412" spans="1:2" x14ac:dyDescent="0.25">
      <c r="A412"/>
      <c r="B412"/>
    </row>
    <row r="413" spans="1:2" x14ac:dyDescent="0.25">
      <c r="A413"/>
      <c r="B413"/>
    </row>
    <row r="414" spans="1:2" x14ac:dyDescent="0.25">
      <c r="A414"/>
      <c r="B414"/>
    </row>
    <row r="415" spans="1:2" x14ac:dyDescent="0.25">
      <c r="A415"/>
      <c r="B415"/>
    </row>
    <row r="416" spans="1:2" x14ac:dyDescent="0.25">
      <c r="A416"/>
      <c r="B416"/>
    </row>
    <row r="417" spans="1:2" x14ac:dyDescent="0.25">
      <c r="A417"/>
      <c r="B417"/>
    </row>
    <row r="418" spans="1:2" x14ac:dyDescent="0.25">
      <c r="A418"/>
      <c r="B418"/>
    </row>
    <row r="419" spans="1:2" x14ac:dyDescent="0.25">
      <c r="A419"/>
      <c r="B419"/>
    </row>
    <row r="420" spans="1:2" x14ac:dyDescent="0.25">
      <c r="A420"/>
      <c r="B420"/>
    </row>
    <row r="421" spans="1:2" x14ac:dyDescent="0.25">
      <c r="A421"/>
      <c r="B421"/>
    </row>
    <row r="422" spans="1:2" x14ac:dyDescent="0.25">
      <c r="A422"/>
      <c r="B422"/>
    </row>
    <row r="423" spans="1:2" x14ac:dyDescent="0.25">
      <c r="A423"/>
      <c r="B423"/>
    </row>
    <row r="424" spans="1:2" x14ac:dyDescent="0.25">
      <c r="A424"/>
      <c r="B424"/>
    </row>
    <row r="425" spans="1:2" x14ac:dyDescent="0.25">
      <c r="A425"/>
      <c r="B425"/>
    </row>
    <row r="426" spans="1:2" x14ac:dyDescent="0.25">
      <c r="A426"/>
      <c r="B426"/>
    </row>
    <row r="427" spans="1:2" x14ac:dyDescent="0.25">
      <c r="A427"/>
      <c r="B427"/>
    </row>
    <row r="428" spans="1:2" x14ac:dyDescent="0.25">
      <c r="A428"/>
      <c r="B428"/>
    </row>
    <row r="429" spans="1:2" x14ac:dyDescent="0.25">
      <c r="A429"/>
      <c r="B429"/>
    </row>
    <row r="430" spans="1:2" x14ac:dyDescent="0.25">
      <c r="A430"/>
      <c r="B430"/>
    </row>
    <row r="431" spans="1:2" x14ac:dyDescent="0.25">
      <c r="A431"/>
      <c r="B431"/>
    </row>
    <row r="432" spans="1:2" x14ac:dyDescent="0.25">
      <c r="A432"/>
      <c r="B432"/>
    </row>
    <row r="433" spans="1:2" x14ac:dyDescent="0.25">
      <c r="A433"/>
      <c r="B433"/>
    </row>
    <row r="434" spans="1:2" x14ac:dyDescent="0.25">
      <c r="A434"/>
      <c r="B434"/>
    </row>
    <row r="435" spans="1:2" x14ac:dyDescent="0.25">
      <c r="A435"/>
      <c r="B435"/>
    </row>
    <row r="436" spans="1:2" x14ac:dyDescent="0.25">
      <c r="A436"/>
      <c r="B436"/>
    </row>
    <row r="437" spans="1:2" x14ac:dyDescent="0.25">
      <c r="A437"/>
      <c r="B437"/>
    </row>
    <row r="438" spans="1:2" x14ac:dyDescent="0.25">
      <c r="A438"/>
      <c r="B438"/>
    </row>
    <row r="439" spans="1:2" x14ac:dyDescent="0.25">
      <c r="A439"/>
      <c r="B439"/>
    </row>
    <row r="440" spans="1:2" x14ac:dyDescent="0.25">
      <c r="A440"/>
      <c r="B440"/>
    </row>
    <row r="441" spans="1:2" x14ac:dyDescent="0.25">
      <c r="A441"/>
      <c r="B441"/>
    </row>
    <row r="442" spans="1:2" x14ac:dyDescent="0.25">
      <c r="A442"/>
      <c r="B442"/>
    </row>
    <row r="443" spans="1:2" x14ac:dyDescent="0.25">
      <c r="A443"/>
      <c r="B443"/>
    </row>
    <row r="444" spans="1:2" x14ac:dyDescent="0.25">
      <c r="A444"/>
      <c r="B444"/>
    </row>
    <row r="445" spans="1:2" x14ac:dyDescent="0.25">
      <c r="A445"/>
      <c r="B445"/>
    </row>
    <row r="446" spans="1:2" x14ac:dyDescent="0.25">
      <c r="A446"/>
      <c r="B446"/>
    </row>
    <row r="447" spans="1:2" x14ac:dyDescent="0.25">
      <c r="A447"/>
      <c r="B447"/>
    </row>
    <row r="448" spans="1:2" x14ac:dyDescent="0.25">
      <c r="A448"/>
      <c r="B448"/>
    </row>
    <row r="449" spans="1:2" x14ac:dyDescent="0.25">
      <c r="A449"/>
      <c r="B449"/>
    </row>
    <row r="450" spans="1:2" x14ac:dyDescent="0.25">
      <c r="A450"/>
      <c r="B450"/>
    </row>
    <row r="451" spans="1:2" x14ac:dyDescent="0.25">
      <c r="A451"/>
      <c r="B451"/>
    </row>
    <row r="452" spans="1:2" x14ac:dyDescent="0.25">
      <c r="A452"/>
      <c r="B452"/>
    </row>
    <row r="453" spans="1:2" x14ac:dyDescent="0.25">
      <c r="A453"/>
      <c r="B453"/>
    </row>
    <row r="454" spans="1:2" x14ac:dyDescent="0.25">
      <c r="A454"/>
      <c r="B454"/>
    </row>
    <row r="455" spans="1:2" x14ac:dyDescent="0.25">
      <c r="A455"/>
      <c r="B455"/>
    </row>
    <row r="456" spans="1:2" x14ac:dyDescent="0.25">
      <c r="A456"/>
      <c r="B456"/>
    </row>
    <row r="457" spans="1:2" x14ac:dyDescent="0.25">
      <c r="A457"/>
      <c r="B457"/>
    </row>
    <row r="458" spans="1:2" x14ac:dyDescent="0.25">
      <c r="A458"/>
      <c r="B458"/>
    </row>
    <row r="459" spans="1:2" x14ac:dyDescent="0.25">
      <c r="A459"/>
      <c r="B459"/>
    </row>
    <row r="460" spans="1:2" x14ac:dyDescent="0.25">
      <c r="A460"/>
      <c r="B460"/>
    </row>
    <row r="461" spans="1:2" x14ac:dyDescent="0.25">
      <c r="A461"/>
      <c r="B461"/>
    </row>
    <row r="462" spans="1:2" x14ac:dyDescent="0.25">
      <c r="A462"/>
      <c r="B462"/>
    </row>
    <row r="463" spans="1:2" x14ac:dyDescent="0.25">
      <c r="A463"/>
      <c r="B463"/>
    </row>
    <row r="464" spans="1:2" x14ac:dyDescent="0.25">
      <c r="A464"/>
      <c r="B464"/>
    </row>
    <row r="465" spans="1:2" x14ac:dyDescent="0.25">
      <c r="A465"/>
      <c r="B465"/>
    </row>
    <row r="466" spans="1:2" x14ac:dyDescent="0.25">
      <c r="A466"/>
      <c r="B466"/>
    </row>
    <row r="467" spans="1:2" x14ac:dyDescent="0.25">
      <c r="A467"/>
      <c r="B467"/>
    </row>
    <row r="468" spans="1:2" x14ac:dyDescent="0.25">
      <c r="A468"/>
      <c r="B468"/>
    </row>
    <row r="469" spans="1:2" x14ac:dyDescent="0.25">
      <c r="A469"/>
      <c r="B469"/>
    </row>
    <row r="470" spans="1:2" x14ac:dyDescent="0.25">
      <c r="A470"/>
      <c r="B470"/>
    </row>
    <row r="471" spans="1:2" x14ac:dyDescent="0.25">
      <c r="A471"/>
      <c r="B471"/>
    </row>
    <row r="472" spans="1:2" x14ac:dyDescent="0.25">
      <c r="A472"/>
      <c r="B472"/>
    </row>
    <row r="473" spans="1:2" x14ac:dyDescent="0.25">
      <c r="A473"/>
      <c r="B473"/>
    </row>
    <row r="474" spans="1:2" x14ac:dyDescent="0.25">
      <c r="A474"/>
      <c r="B474"/>
    </row>
    <row r="475" spans="1:2" x14ac:dyDescent="0.25">
      <c r="A475"/>
      <c r="B475"/>
    </row>
    <row r="476" spans="1:2" x14ac:dyDescent="0.25">
      <c r="A476"/>
      <c r="B476"/>
    </row>
    <row r="477" spans="1:2" x14ac:dyDescent="0.25">
      <c r="A477"/>
      <c r="B477"/>
    </row>
    <row r="478" spans="1:2" x14ac:dyDescent="0.25">
      <c r="A478"/>
      <c r="B478"/>
    </row>
    <row r="479" spans="1:2" x14ac:dyDescent="0.25">
      <c r="A479"/>
      <c r="B479"/>
    </row>
    <row r="480" spans="1:2" x14ac:dyDescent="0.25">
      <c r="A480"/>
      <c r="B480"/>
    </row>
    <row r="481" spans="1:2" x14ac:dyDescent="0.25">
      <c r="A481"/>
      <c r="B481"/>
    </row>
    <row r="482" spans="1:2" x14ac:dyDescent="0.25">
      <c r="A482"/>
      <c r="B482"/>
    </row>
    <row r="483" spans="1:2" x14ac:dyDescent="0.25">
      <c r="A483"/>
      <c r="B483"/>
    </row>
    <row r="484" spans="1:2" x14ac:dyDescent="0.25">
      <c r="A484"/>
      <c r="B484"/>
    </row>
    <row r="485" spans="1:2" x14ac:dyDescent="0.25">
      <c r="A485"/>
      <c r="B485"/>
    </row>
    <row r="486" spans="1:2" x14ac:dyDescent="0.25">
      <c r="A486"/>
      <c r="B486"/>
    </row>
    <row r="487" spans="1:2" x14ac:dyDescent="0.25">
      <c r="A487"/>
      <c r="B487"/>
    </row>
    <row r="488" spans="1:2" x14ac:dyDescent="0.25">
      <c r="A488"/>
      <c r="B488"/>
    </row>
    <row r="489" spans="1:2" x14ac:dyDescent="0.25">
      <c r="A489"/>
      <c r="B489"/>
    </row>
    <row r="490" spans="1:2" x14ac:dyDescent="0.25">
      <c r="A490"/>
      <c r="B490"/>
    </row>
    <row r="491" spans="1:2" x14ac:dyDescent="0.25">
      <c r="A491"/>
      <c r="B491"/>
    </row>
    <row r="492" spans="1:2" x14ac:dyDescent="0.25">
      <c r="A492"/>
      <c r="B492"/>
    </row>
    <row r="493" spans="1:2" x14ac:dyDescent="0.25">
      <c r="A493"/>
      <c r="B493"/>
    </row>
    <row r="494" spans="1:2" x14ac:dyDescent="0.25">
      <c r="A494"/>
      <c r="B494"/>
    </row>
    <row r="495" spans="1:2" x14ac:dyDescent="0.25">
      <c r="A495"/>
      <c r="B495"/>
    </row>
    <row r="496" spans="1:2" x14ac:dyDescent="0.25">
      <c r="A496"/>
      <c r="B496"/>
    </row>
    <row r="497" spans="1:2" x14ac:dyDescent="0.25">
      <c r="A497"/>
      <c r="B497"/>
    </row>
    <row r="498" spans="1:2" x14ac:dyDescent="0.25">
      <c r="A498"/>
      <c r="B498"/>
    </row>
    <row r="499" spans="1:2" x14ac:dyDescent="0.25">
      <c r="A499"/>
      <c r="B499"/>
    </row>
    <row r="500" spans="1:2" x14ac:dyDescent="0.25">
      <c r="A500"/>
      <c r="B500"/>
    </row>
    <row r="501" spans="1:2" x14ac:dyDescent="0.25">
      <c r="A501"/>
      <c r="B501"/>
    </row>
    <row r="502" spans="1:2" x14ac:dyDescent="0.25">
      <c r="A502"/>
      <c r="B502"/>
    </row>
    <row r="503" spans="1:2" x14ac:dyDescent="0.25">
      <c r="A503"/>
      <c r="B503"/>
    </row>
    <row r="504" spans="1:2" x14ac:dyDescent="0.25">
      <c r="A504"/>
      <c r="B504"/>
    </row>
    <row r="505" spans="1:2" x14ac:dyDescent="0.25">
      <c r="A505"/>
      <c r="B505"/>
    </row>
    <row r="506" spans="1:2" x14ac:dyDescent="0.25">
      <c r="A506"/>
      <c r="B506"/>
    </row>
    <row r="507" spans="1:2" x14ac:dyDescent="0.25">
      <c r="A507"/>
      <c r="B507"/>
    </row>
    <row r="508" spans="1:2" x14ac:dyDescent="0.25">
      <c r="A508"/>
      <c r="B508"/>
    </row>
    <row r="509" spans="1:2" x14ac:dyDescent="0.25">
      <c r="A509"/>
      <c r="B509"/>
    </row>
    <row r="510" spans="1:2" x14ac:dyDescent="0.25">
      <c r="A510"/>
      <c r="B510"/>
    </row>
    <row r="511" spans="1:2" x14ac:dyDescent="0.25">
      <c r="A511"/>
      <c r="B511"/>
    </row>
    <row r="512" spans="1:2" x14ac:dyDescent="0.25">
      <c r="A512"/>
      <c r="B512"/>
    </row>
    <row r="513" spans="1:2" x14ac:dyDescent="0.25">
      <c r="A513"/>
      <c r="B513"/>
    </row>
    <row r="514" spans="1:2" x14ac:dyDescent="0.25">
      <c r="A514"/>
      <c r="B514"/>
    </row>
    <row r="515" spans="1:2" x14ac:dyDescent="0.25">
      <c r="A515"/>
      <c r="B515"/>
    </row>
    <row r="516" spans="1:2" x14ac:dyDescent="0.25">
      <c r="A516"/>
      <c r="B516"/>
    </row>
    <row r="517" spans="1:2" x14ac:dyDescent="0.25">
      <c r="A517"/>
      <c r="B517"/>
    </row>
    <row r="518" spans="1:2" x14ac:dyDescent="0.25">
      <c r="A518"/>
      <c r="B518"/>
    </row>
    <row r="519" spans="1:2" x14ac:dyDescent="0.25">
      <c r="A519"/>
      <c r="B519"/>
    </row>
    <row r="520" spans="1:2" x14ac:dyDescent="0.25">
      <c r="A520"/>
      <c r="B520"/>
    </row>
    <row r="521" spans="1:2" x14ac:dyDescent="0.25">
      <c r="A521"/>
      <c r="B521"/>
    </row>
    <row r="522" spans="1:2" x14ac:dyDescent="0.25">
      <c r="A522"/>
      <c r="B522"/>
    </row>
    <row r="523" spans="1:2" x14ac:dyDescent="0.25">
      <c r="A523"/>
      <c r="B523"/>
    </row>
    <row r="524" spans="1:2" x14ac:dyDescent="0.25">
      <c r="A524"/>
      <c r="B524"/>
    </row>
    <row r="525" spans="1:2" x14ac:dyDescent="0.25">
      <c r="A525"/>
      <c r="B525"/>
    </row>
    <row r="526" spans="1:2" x14ac:dyDescent="0.25">
      <c r="A526"/>
      <c r="B526"/>
    </row>
    <row r="527" spans="1:2" x14ac:dyDescent="0.25">
      <c r="A527"/>
      <c r="B527"/>
    </row>
    <row r="528" spans="1:2" x14ac:dyDescent="0.25">
      <c r="A528"/>
      <c r="B528"/>
    </row>
    <row r="529" spans="1:2" x14ac:dyDescent="0.25">
      <c r="A529"/>
      <c r="B529"/>
    </row>
    <row r="530" spans="1:2" x14ac:dyDescent="0.25">
      <c r="A530"/>
      <c r="B530"/>
    </row>
    <row r="531" spans="1:2" x14ac:dyDescent="0.25">
      <c r="A531"/>
      <c r="B531"/>
    </row>
    <row r="532" spans="1:2" x14ac:dyDescent="0.25">
      <c r="A532"/>
      <c r="B532"/>
    </row>
    <row r="533" spans="1:2" x14ac:dyDescent="0.25">
      <c r="A533"/>
      <c r="B533"/>
    </row>
    <row r="534" spans="1:2" x14ac:dyDescent="0.25">
      <c r="A534"/>
      <c r="B534"/>
    </row>
    <row r="535" spans="1:2" x14ac:dyDescent="0.25">
      <c r="A535"/>
      <c r="B535"/>
    </row>
    <row r="536" spans="1:2" x14ac:dyDescent="0.25">
      <c r="A536"/>
      <c r="B536"/>
    </row>
    <row r="537" spans="1:2" x14ac:dyDescent="0.25">
      <c r="A537"/>
      <c r="B537"/>
    </row>
    <row r="538" spans="1:2" x14ac:dyDescent="0.25">
      <c r="A538"/>
      <c r="B538"/>
    </row>
    <row r="539" spans="1:2" x14ac:dyDescent="0.25">
      <c r="A539"/>
      <c r="B539"/>
    </row>
    <row r="540" spans="1:2" x14ac:dyDescent="0.25">
      <c r="A540"/>
      <c r="B540"/>
    </row>
    <row r="541" spans="1:2" x14ac:dyDescent="0.25">
      <c r="A541"/>
      <c r="B541"/>
    </row>
    <row r="542" spans="1:2" x14ac:dyDescent="0.25">
      <c r="A542"/>
      <c r="B542"/>
    </row>
    <row r="543" spans="1:2" x14ac:dyDescent="0.25">
      <c r="A543"/>
      <c r="B543"/>
    </row>
    <row r="544" spans="1:2" x14ac:dyDescent="0.25">
      <c r="A544"/>
      <c r="B544"/>
    </row>
    <row r="545" spans="1:2" x14ac:dyDescent="0.25">
      <c r="A545"/>
      <c r="B545"/>
    </row>
    <row r="546" spans="1:2" x14ac:dyDescent="0.25">
      <c r="A546"/>
      <c r="B546"/>
    </row>
    <row r="547" spans="1:2" x14ac:dyDescent="0.25">
      <c r="A547"/>
      <c r="B547"/>
    </row>
    <row r="548" spans="1:2" x14ac:dyDescent="0.25">
      <c r="A548"/>
      <c r="B548"/>
    </row>
    <row r="549" spans="1:2" x14ac:dyDescent="0.25">
      <c r="A549"/>
      <c r="B549"/>
    </row>
    <row r="550" spans="1:2" x14ac:dyDescent="0.25">
      <c r="A550"/>
      <c r="B550"/>
    </row>
    <row r="551" spans="1:2" x14ac:dyDescent="0.25">
      <c r="A551"/>
      <c r="B551"/>
    </row>
    <row r="552" spans="1:2" x14ac:dyDescent="0.25">
      <c r="A552"/>
      <c r="B552"/>
    </row>
    <row r="553" spans="1:2" x14ac:dyDescent="0.25">
      <c r="A553"/>
      <c r="B553"/>
    </row>
    <row r="554" spans="1:2" x14ac:dyDescent="0.25">
      <c r="A554"/>
      <c r="B554"/>
    </row>
    <row r="555" spans="1:2" x14ac:dyDescent="0.25">
      <c r="A555"/>
      <c r="B555"/>
    </row>
    <row r="556" spans="1:2" x14ac:dyDescent="0.25">
      <c r="A556"/>
      <c r="B556"/>
    </row>
    <row r="557" spans="1:2" x14ac:dyDescent="0.25">
      <c r="A557"/>
      <c r="B557"/>
    </row>
    <row r="558" spans="1:2" x14ac:dyDescent="0.25">
      <c r="A558"/>
      <c r="B558"/>
    </row>
    <row r="559" spans="1:2" x14ac:dyDescent="0.25">
      <c r="A559"/>
      <c r="B559"/>
    </row>
    <row r="560" spans="1:2" x14ac:dyDescent="0.25">
      <c r="A560"/>
      <c r="B560"/>
    </row>
    <row r="561" spans="1:2" x14ac:dyDescent="0.25">
      <c r="A561"/>
      <c r="B561"/>
    </row>
    <row r="562" spans="1:2" x14ac:dyDescent="0.25">
      <c r="A562"/>
      <c r="B562"/>
    </row>
    <row r="563" spans="1:2" x14ac:dyDescent="0.25">
      <c r="A563"/>
      <c r="B563"/>
    </row>
    <row r="564" spans="1:2" x14ac:dyDescent="0.25">
      <c r="A564"/>
      <c r="B564"/>
    </row>
    <row r="565" spans="1:2" x14ac:dyDescent="0.25">
      <c r="A565"/>
      <c r="B565"/>
    </row>
    <row r="566" spans="1:2" x14ac:dyDescent="0.25">
      <c r="A566"/>
      <c r="B566"/>
    </row>
    <row r="567" spans="1:2" x14ac:dyDescent="0.25">
      <c r="A567"/>
      <c r="B567"/>
    </row>
    <row r="568" spans="1:2" x14ac:dyDescent="0.25">
      <c r="A568"/>
      <c r="B568"/>
    </row>
    <row r="569" spans="1:2" x14ac:dyDescent="0.25">
      <c r="A569"/>
      <c r="B569"/>
    </row>
    <row r="570" spans="1:2" x14ac:dyDescent="0.25">
      <c r="A570"/>
      <c r="B570"/>
    </row>
    <row r="571" spans="1:2" x14ac:dyDescent="0.25">
      <c r="A571"/>
      <c r="B571"/>
    </row>
    <row r="572" spans="1:2" x14ac:dyDescent="0.25">
      <c r="A572"/>
      <c r="B572"/>
    </row>
    <row r="573" spans="1:2" x14ac:dyDescent="0.25">
      <c r="A573"/>
      <c r="B573"/>
    </row>
    <row r="574" spans="1:2" x14ac:dyDescent="0.25">
      <c r="A574"/>
      <c r="B574"/>
    </row>
    <row r="575" spans="1:2" x14ac:dyDescent="0.25">
      <c r="A575"/>
      <c r="B575"/>
    </row>
    <row r="576" spans="1:2" x14ac:dyDescent="0.25">
      <c r="A576"/>
      <c r="B576"/>
    </row>
    <row r="577" spans="1:2" x14ac:dyDescent="0.25">
      <c r="A577"/>
      <c r="B577"/>
    </row>
    <row r="578" spans="1:2" x14ac:dyDescent="0.25">
      <c r="A578"/>
      <c r="B578"/>
    </row>
    <row r="579" spans="1:2" x14ac:dyDescent="0.25">
      <c r="A579"/>
      <c r="B579"/>
    </row>
    <row r="580" spans="1:2" x14ac:dyDescent="0.25">
      <c r="A580"/>
      <c r="B580"/>
    </row>
    <row r="581" spans="1:2" x14ac:dyDescent="0.25">
      <c r="A581"/>
      <c r="B581"/>
    </row>
    <row r="582" spans="1:2" x14ac:dyDescent="0.25">
      <c r="A582"/>
      <c r="B582"/>
    </row>
    <row r="583" spans="1:2" x14ac:dyDescent="0.25">
      <c r="A583"/>
      <c r="B583"/>
    </row>
    <row r="584" spans="1:2" x14ac:dyDescent="0.25">
      <c r="A584"/>
      <c r="B584"/>
    </row>
    <row r="585" spans="1:2" x14ac:dyDescent="0.25">
      <c r="A585"/>
      <c r="B585"/>
    </row>
    <row r="586" spans="1:2" x14ac:dyDescent="0.25">
      <c r="A586"/>
      <c r="B586"/>
    </row>
    <row r="587" spans="1:2" x14ac:dyDescent="0.25">
      <c r="A587"/>
      <c r="B587"/>
    </row>
    <row r="588" spans="1:2" x14ac:dyDescent="0.25">
      <c r="A588"/>
      <c r="B588"/>
    </row>
    <row r="589" spans="1:2" x14ac:dyDescent="0.25">
      <c r="A589"/>
      <c r="B589"/>
    </row>
    <row r="590" spans="1:2" x14ac:dyDescent="0.25">
      <c r="A590"/>
      <c r="B590"/>
    </row>
    <row r="591" spans="1:2" x14ac:dyDescent="0.25">
      <c r="A591"/>
      <c r="B591"/>
    </row>
    <row r="592" spans="1:2" x14ac:dyDescent="0.25">
      <c r="A592"/>
      <c r="B592"/>
    </row>
    <row r="593" spans="1:2" x14ac:dyDescent="0.25">
      <c r="A593"/>
      <c r="B593"/>
    </row>
    <row r="594" spans="1:2" x14ac:dyDescent="0.25">
      <c r="A594"/>
      <c r="B594"/>
    </row>
    <row r="595" spans="1:2" x14ac:dyDescent="0.25">
      <c r="A595"/>
      <c r="B595"/>
    </row>
    <row r="596" spans="1:2" x14ac:dyDescent="0.25">
      <c r="A596"/>
      <c r="B596"/>
    </row>
    <row r="597" spans="1:2" x14ac:dyDescent="0.25">
      <c r="A597"/>
      <c r="B597"/>
    </row>
    <row r="598" spans="1:2" x14ac:dyDescent="0.25">
      <c r="A598"/>
      <c r="B598"/>
    </row>
    <row r="599" spans="1:2" x14ac:dyDescent="0.25">
      <c r="A599"/>
      <c r="B599"/>
    </row>
    <row r="600" spans="1:2" x14ac:dyDescent="0.25">
      <c r="A600"/>
      <c r="B600"/>
    </row>
    <row r="601" spans="1:2" x14ac:dyDescent="0.25">
      <c r="A601"/>
      <c r="B601"/>
    </row>
    <row r="602" spans="1:2" x14ac:dyDescent="0.25">
      <c r="A602"/>
      <c r="B602"/>
    </row>
    <row r="603" spans="1:2" x14ac:dyDescent="0.25">
      <c r="A603"/>
      <c r="B603"/>
    </row>
    <row r="604" spans="1:2" x14ac:dyDescent="0.25">
      <c r="A604"/>
      <c r="B604"/>
    </row>
    <row r="605" spans="1:2" x14ac:dyDescent="0.25">
      <c r="A605"/>
      <c r="B605"/>
    </row>
    <row r="606" spans="1:2" x14ac:dyDescent="0.25">
      <c r="A606"/>
      <c r="B606"/>
    </row>
    <row r="607" spans="1:2" x14ac:dyDescent="0.25">
      <c r="A607"/>
      <c r="B607"/>
    </row>
    <row r="608" spans="1:2" x14ac:dyDescent="0.25">
      <c r="A608"/>
      <c r="B608"/>
    </row>
    <row r="609" spans="1:2" x14ac:dyDescent="0.25">
      <c r="A609"/>
      <c r="B609"/>
    </row>
    <row r="610" spans="1:2" x14ac:dyDescent="0.25">
      <c r="A610"/>
      <c r="B610"/>
    </row>
    <row r="611" spans="1:2" x14ac:dyDescent="0.25">
      <c r="A611"/>
      <c r="B611"/>
    </row>
    <row r="612" spans="1:2" x14ac:dyDescent="0.25">
      <c r="A612"/>
      <c r="B612"/>
    </row>
    <row r="613" spans="1:2" x14ac:dyDescent="0.25">
      <c r="A613"/>
      <c r="B613"/>
    </row>
    <row r="614" spans="1:2" x14ac:dyDescent="0.25">
      <c r="A614"/>
      <c r="B614"/>
    </row>
    <row r="615" spans="1:2" x14ac:dyDescent="0.25">
      <c r="A615"/>
      <c r="B615"/>
    </row>
    <row r="616" spans="1:2" x14ac:dyDescent="0.25">
      <c r="A616"/>
      <c r="B616"/>
    </row>
    <row r="617" spans="1:2" x14ac:dyDescent="0.25">
      <c r="A617"/>
      <c r="B617"/>
    </row>
    <row r="618" spans="1:2" x14ac:dyDescent="0.25">
      <c r="A618"/>
      <c r="B618"/>
    </row>
    <row r="619" spans="1:2" x14ac:dyDescent="0.25">
      <c r="A619"/>
      <c r="B619"/>
    </row>
    <row r="620" spans="1:2" x14ac:dyDescent="0.25">
      <c r="A620"/>
      <c r="B620"/>
    </row>
    <row r="621" spans="1:2" x14ac:dyDescent="0.25">
      <c r="A621"/>
      <c r="B621"/>
    </row>
    <row r="622" spans="1:2" x14ac:dyDescent="0.25">
      <c r="A622"/>
      <c r="B622"/>
    </row>
    <row r="623" spans="1:2" x14ac:dyDescent="0.25">
      <c r="A623"/>
      <c r="B623"/>
    </row>
    <row r="624" spans="1:2" x14ac:dyDescent="0.25">
      <c r="A624"/>
      <c r="B624"/>
    </row>
    <row r="625" spans="1:2" x14ac:dyDescent="0.25">
      <c r="A625"/>
      <c r="B625"/>
    </row>
    <row r="626" spans="1:2" x14ac:dyDescent="0.25">
      <c r="A626"/>
      <c r="B626"/>
    </row>
    <row r="627" spans="1:2" x14ac:dyDescent="0.25">
      <c r="A627"/>
      <c r="B627"/>
    </row>
    <row r="628" spans="1:2" x14ac:dyDescent="0.25">
      <c r="A628"/>
      <c r="B628"/>
    </row>
    <row r="629" spans="1:2" x14ac:dyDescent="0.25">
      <c r="A629"/>
      <c r="B629"/>
    </row>
    <row r="630" spans="1:2" x14ac:dyDescent="0.25">
      <c r="A630"/>
      <c r="B630"/>
    </row>
    <row r="631" spans="1:2" x14ac:dyDescent="0.25">
      <c r="A631"/>
      <c r="B631"/>
    </row>
    <row r="632" spans="1:2" x14ac:dyDescent="0.25">
      <c r="A632"/>
      <c r="B632"/>
    </row>
    <row r="633" spans="1:2" x14ac:dyDescent="0.25">
      <c r="A633"/>
      <c r="B633"/>
    </row>
    <row r="634" spans="1:2" x14ac:dyDescent="0.25">
      <c r="A634"/>
      <c r="B634"/>
    </row>
    <row r="635" spans="1:2" x14ac:dyDescent="0.25">
      <c r="A635"/>
      <c r="B635"/>
    </row>
    <row r="636" spans="1:2" x14ac:dyDescent="0.25">
      <c r="A636"/>
      <c r="B636"/>
    </row>
    <row r="637" spans="1:2" x14ac:dyDescent="0.25">
      <c r="A637"/>
      <c r="B637"/>
    </row>
    <row r="638" spans="1:2" x14ac:dyDescent="0.25">
      <c r="A638"/>
      <c r="B638"/>
    </row>
    <row r="639" spans="1:2" x14ac:dyDescent="0.25">
      <c r="A639"/>
      <c r="B639"/>
    </row>
    <row r="640" spans="1:2" x14ac:dyDescent="0.25">
      <c r="A640"/>
      <c r="B640"/>
    </row>
    <row r="641" spans="1:2" x14ac:dyDescent="0.25">
      <c r="A641"/>
      <c r="B641"/>
    </row>
    <row r="642" spans="1:2" x14ac:dyDescent="0.25">
      <c r="A642"/>
      <c r="B642"/>
    </row>
    <row r="643" spans="1:2" x14ac:dyDescent="0.25">
      <c r="A643"/>
      <c r="B643"/>
    </row>
    <row r="644" spans="1:2" x14ac:dyDescent="0.25">
      <c r="A644"/>
      <c r="B644"/>
    </row>
    <row r="645" spans="1:2" x14ac:dyDescent="0.25">
      <c r="A645"/>
      <c r="B645"/>
    </row>
    <row r="646" spans="1:2" x14ac:dyDescent="0.25">
      <c r="A646"/>
      <c r="B646"/>
    </row>
    <row r="647" spans="1:2" x14ac:dyDescent="0.25">
      <c r="A647"/>
      <c r="B647"/>
    </row>
    <row r="648" spans="1:2" x14ac:dyDescent="0.25">
      <c r="A648"/>
      <c r="B648"/>
    </row>
    <row r="649" spans="1:2" x14ac:dyDescent="0.25">
      <c r="A649"/>
      <c r="B649"/>
    </row>
    <row r="650" spans="1:2" x14ac:dyDescent="0.25">
      <c r="A650"/>
      <c r="B650"/>
    </row>
    <row r="651" spans="1:2" x14ac:dyDescent="0.25">
      <c r="A651"/>
      <c r="B651"/>
    </row>
    <row r="652" spans="1:2" x14ac:dyDescent="0.25">
      <c r="A652"/>
      <c r="B652"/>
    </row>
    <row r="653" spans="1:2" x14ac:dyDescent="0.25">
      <c r="A653"/>
      <c r="B653"/>
    </row>
    <row r="654" spans="1:2" x14ac:dyDescent="0.25">
      <c r="A654"/>
      <c r="B654"/>
    </row>
    <row r="655" spans="1:2" x14ac:dyDescent="0.25">
      <c r="A655"/>
      <c r="B655"/>
    </row>
    <row r="656" spans="1:2" x14ac:dyDescent="0.25">
      <c r="A656"/>
      <c r="B656"/>
    </row>
    <row r="657" spans="1:2" x14ac:dyDescent="0.25">
      <c r="A657"/>
      <c r="B657"/>
    </row>
    <row r="658" spans="1:2" x14ac:dyDescent="0.25">
      <c r="A658"/>
      <c r="B658"/>
    </row>
    <row r="659" spans="1:2" x14ac:dyDescent="0.25">
      <c r="A659"/>
      <c r="B659"/>
    </row>
    <row r="660" spans="1:2" x14ac:dyDescent="0.25">
      <c r="A660"/>
      <c r="B660"/>
    </row>
    <row r="661" spans="1:2" x14ac:dyDescent="0.25">
      <c r="A661"/>
      <c r="B661"/>
    </row>
    <row r="662" spans="1:2" x14ac:dyDescent="0.25">
      <c r="A662"/>
      <c r="B662"/>
    </row>
    <row r="663" spans="1:2" x14ac:dyDescent="0.25">
      <c r="A663"/>
      <c r="B663"/>
    </row>
    <row r="664" spans="1:2" x14ac:dyDescent="0.25">
      <c r="A664"/>
      <c r="B664"/>
    </row>
    <row r="665" spans="1:2" x14ac:dyDescent="0.25">
      <c r="A665"/>
      <c r="B665"/>
    </row>
    <row r="666" spans="1:2" x14ac:dyDescent="0.25">
      <c r="A666"/>
      <c r="B666"/>
    </row>
    <row r="667" spans="1:2" x14ac:dyDescent="0.25">
      <c r="A667"/>
      <c r="B667"/>
    </row>
    <row r="668" spans="1:2" x14ac:dyDescent="0.25">
      <c r="A668"/>
      <c r="B668"/>
    </row>
    <row r="669" spans="1:2" x14ac:dyDescent="0.25">
      <c r="A669"/>
      <c r="B669"/>
    </row>
    <row r="670" spans="1:2" x14ac:dyDescent="0.25">
      <c r="A670"/>
      <c r="B670"/>
    </row>
    <row r="671" spans="1:2" x14ac:dyDescent="0.25">
      <c r="A671"/>
      <c r="B671"/>
    </row>
    <row r="672" spans="1:2" x14ac:dyDescent="0.25">
      <c r="A672"/>
      <c r="B672"/>
    </row>
    <row r="673" spans="1:2" x14ac:dyDescent="0.25">
      <c r="A673"/>
      <c r="B673"/>
    </row>
    <row r="674" spans="1:2" x14ac:dyDescent="0.25">
      <c r="A674"/>
      <c r="B674"/>
    </row>
    <row r="675" spans="1:2" x14ac:dyDescent="0.25">
      <c r="A675"/>
      <c r="B675"/>
    </row>
    <row r="676" spans="1:2" x14ac:dyDescent="0.25">
      <c r="A676"/>
      <c r="B676"/>
    </row>
    <row r="677" spans="1:2" x14ac:dyDescent="0.25">
      <c r="A677"/>
      <c r="B677"/>
    </row>
    <row r="678" spans="1:2" x14ac:dyDescent="0.25">
      <c r="A678"/>
      <c r="B678"/>
    </row>
    <row r="679" spans="1:2" x14ac:dyDescent="0.25">
      <c r="A679"/>
      <c r="B679"/>
    </row>
    <row r="680" spans="1:2" x14ac:dyDescent="0.25">
      <c r="A680"/>
      <c r="B680"/>
    </row>
    <row r="681" spans="1:2" x14ac:dyDescent="0.25">
      <c r="A681"/>
      <c r="B681"/>
    </row>
    <row r="682" spans="1:2" x14ac:dyDescent="0.25">
      <c r="A682"/>
      <c r="B682"/>
    </row>
    <row r="683" spans="1:2" x14ac:dyDescent="0.25">
      <c r="A683"/>
      <c r="B683"/>
    </row>
    <row r="684" spans="1:2" x14ac:dyDescent="0.25">
      <c r="A684"/>
      <c r="B684"/>
    </row>
    <row r="685" spans="1:2" x14ac:dyDescent="0.25">
      <c r="A685"/>
      <c r="B685"/>
    </row>
    <row r="686" spans="1:2" x14ac:dyDescent="0.25">
      <c r="A686"/>
      <c r="B686"/>
    </row>
    <row r="687" spans="1:2" x14ac:dyDescent="0.25">
      <c r="A687"/>
      <c r="B687"/>
    </row>
    <row r="688" spans="1:2" x14ac:dyDescent="0.25">
      <c r="A688"/>
      <c r="B688"/>
    </row>
    <row r="689" spans="1:2" x14ac:dyDescent="0.25">
      <c r="A689"/>
      <c r="B689"/>
    </row>
    <row r="690" spans="1:2" x14ac:dyDescent="0.25">
      <c r="A690"/>
      <c r="B690"/>
    </row>
    <row r="691" spans="1:2" x14ac:dyDescent="0.25">
      <c r="A691"/>
      <c r="B691"/>
    </row>
    <row r="692" spans="1:2" x14ac:dyDescent="0.25">
      <c r="A692"/>
      <c r="B692"/>
    </row>
    <row r="693" spans="1:2" x14ac:dyDescent="0.25">
      <c r="A693"/>
      <c r="B693"/>
    </row>
    <row r="694" spans="1:2" x14ac:dyDescent="0.25">
      <c r="A694"/>
      <c r="B694"/>
    </row>
    <row r="695" spans="1:2" x14ac:dyDescent="0.25">
      <c r="A695"/>
      <c r="B695"/>
    </row>
    <row r="696" spans="1:2" x14ac:dyDescent="0.25">
      <c r="A696"/>
      <c r="B696"/>
    </row>
    <row r="697" spans="1:2" x14ac:dyDescent="0.25">
      <c r="A697"/>
      <c r="B697"/>
    </row>
    <row r="698" spans="1:2" x14ac:dyDescent="0.25">
      <c r="A698"/>
      <c r="B698"/>
    </row>
    <row r="699" spans="1:2" x14ac:dyDescent="0.25">
      <c r="A699"/>
      <c r="B699"/>
    </row>
    <row r="700" spans="1:2" x14ac:dyDescent="0.25">
      <c r="A700"/>
      <c r="B700"/>
    </row>
    <row r="701" spans="1:2" x14ac:dyDescent="0.25">
      <c r="A701"/>
      <c r="B701"/>
    </row>
    <row r="702" spans="1:2" x14ac:dyDescent="0.25">
      <c r="A702"/>
      <c r="B702"/>
    </row>
    <row r="703" spans="1:2" x14ac:dyDescent="0.25">
      <c r="A703"/>
      <c r="B703"/>
    </row>
    <row r="704" spans="1:2" x14ac:dyDescent="0.25">
      <c r="A704"/>
      <c r="B704"/>
    </row>
    <row r="705" spans="1:2" x14ac:dyDescent="0.25">
      <c r="A705"/>
      <c r="B705"/>
    </row>
    <row r="706" spans="1:2" x14ac:dyDescent="0.25">
      <c r="A706"/>
      <c r="B706"/>
    </row>
    <row r="707" spans="1:2" x14ac:dyDescent="0.25">
      <c r="A707"/>
      <c r="B707"/>
    </row>
    <row r="708" spans="1:2" x14ac:dyDescent="0.25">
      <c r="A708"/>
      <c r="B708"/>
    </row>
    <row r="709" spans="1:2" x14ac:dyDescent="0.25">
      <c r="A709"/>
      <c r="B709"/>
    </row>
    <row r="710" spans="1:2" x14ac:dyDescent="0.25">
      <c r="A710"/>
      <c r="B710"/>
    </row>
    <row r="711" spans="1:2" x14ac:dyDescent="0.25">
      <c r="A711"/>
      <c r="B711"/>
    </row>
    <row r="712" spans="1:2" x14ac:dyDescent="0.25">
      <c r="A712"/>
      <c r="B712"/>
    </row>
    <row r="713" spans="1:2" x14ac:dyDescent="0.25">
      <c r="A713"/>
      <c r="B713"/>
    </row>
    <row r="714" spans="1:2" x14ac:dyDescent="0.25">
      <c r="A714"/>
      <c r="B714"/>
    </row>
    <row r="715" spans="1:2" x14ac:dyDescent="0.25">
      <c r="A715"/>
      <c r="B715"/>
    </row>
    <row r="716" spans="1:2" x14ac:dyDescent="0.25">
      <c r="A716"/>
      <c r="B716"/>
    </row>
    <row r="717" spans="1:2" x14ac:dyDescent="0.25">
      <c r="A717"/>
      <c r="B717"/>
    </row>
    <row r="718" spans="1:2" x14ac:dyDescent="0.25">
      <c r="A718"/>
      <c r="B718"/>
    </row>
    <row r="719" spans="1:2" x14ac:dyDescent="0.25">
      <c r="A719"/>
      <c r="B719"/>
    </row>
    <row r="720" spans="1:2" x14ac:dyDescent="0.25">
      <c r="A720"/>
      <c r="B720"/>
    </row>
    <row r="721" spans="1:2" x14ac:dyDescent="0.25">
      <c r="A721"/>
      <c r="B721"/>
    </row>
    <row r="722" spans="1:2" x14ac:dyDescent="0.25">
      <c r="A722"/>
      <c r="B722"/>
    </row>
    <row r="723" spans="1:2" x14ac:dyDescent="0.25">
      <c r="A723"/>
      <c r="B723"/>
    </row>
    <row r="724" spans="1:2" x14ac:dyDescent="0.25">
      <c r="A724"/>
      <c r="B724"/>
    </row>
    <row r="725" spans="1:2" x14ac:dyDescent="0.25">
      <c r="A725"/>
      <c r="B725"/>
    </row>
    <row r="726" spans="1:2" x14ac:dyDescent="0.25">
      <c r="A726"/>
      <c r="B726"/>
    </row>
    <row r="727" spans="1:2" x14ac:dyDescent="0.25">
      <c r="A727"/>
      <c r="B727"/>
    </row>
    <row r="728" spans="1:2" x14ac:dyDescent="0.25">
      <c r="A728"/>
      <c r="B728"/>
    </row>
    <row r="729" spans="1:2" x14ac:dyDescent="0.25">
      <c r="A729"/>
      <c r="B729"/>
    </row>
    <row r="730" spans="1:2" x14ac:dyDescent="0.25">
      <c r="A730"/>
      <c r="B730"/>
    </row>
    <row r="731" spans="1:2" x14ac:dyDescent="0.25">
      <c r="A731"/>
      <c r="B731"/>
    </row>
    <row r="732" spans="1:2" x14ac:dyDescent="0.25">
      <c r="A732"/>
      <c r="B732"/>
    </row>
    <row r="733" spans="1:2" x14ac:dyDescent="0.25">
      <c r="A733"/>
      <c r="B733"/>
    </row>
    <row r="734" spans="1:2" x14ac:dyDescent="0.25">
      <c r="A734"/>
      <c r="B734"/>
    </row>
    <row r="735" spans="1:2" x14ac:dyDescent="0.25">
      <c r="A735"/>
      <c r="B735"/>
    </row>
    <row r="736" spans="1:2" x14ac:dyDescent="0.25">
      <c r="A736"/>
      <c r="B736"/>
    </row>
    <row r="737" spans="1:2" x14ac:dyDescent="0.25">
      <c r="A737"/>
      <c r="B737"/>
    </row>
    <row r="738" spans="1:2" x14ac:dyDescent="0.25">
      <c r="A738"/>
      <c r="B738"/>
    </row>
    <row r="739" spans="1:2" x14ac:dyDescent="0.25">
      <c r="A739"/>
      <c r="B739"/>
    </row>
    <row r="740" spans="1:2" x14ac:dyDescent="0.25">
      <c r="A740"/>
      <c r="B740"/>
    </row>
    <row r="741" spans="1:2" x14ac:dyDescent="0.25">
      <c r="A741"/>
      <c r="B741"/>
    </row>
    <row r="742" spans="1:2" x14ac:dyDescent="0.25">
      <c r="A742"/>
      <c r="B742"/>
    </row>
    <row r="743" spans="1:2" x14ac:dyDescent="0.25">
      <c r="A743"/>
      <c r="B743"/>
    </row>
    <row r="744" spans="1:2" x14ac:dyDescent="0.25">
      <c r="A744"/>
      <c r="B744"/>
    </row>
    <row r="745" spans="1:2" x14ac:dyDescent="0.25">
      <c r="A745"/>
      <c r="B745"/>
    </row>
    <row r="746" spans="1:2" x14ac:dyDescent="0.25">
      <c r="A746"/>
      <c r="B746"/>
    </row>
    <row r="747" spans="1:2" x14ac:dyDescent="0.25">
      <c r="A747"/>
      <c r="B747"/>
    </row>
    <row r="748" spans="1:2" x14ac:dyDescent="0.25">
      <c r="A748"/>
      <c r="B748"/>
    </row>
    <row r="749" spans="1:2" x14ac:dyDescent="0.25">
      <c r="A749"/>
      <c r="B749"/>
    </row>
    <row r="750" spans="1:2" x14ac:dyDescent="0.25">
      <c r="A750"/>
      <c r="B750"/>
    </row>
    <row r="751" spans="1:2" x14ac:dyDescent="0.25">
      <c r="A751"/>
      <c r="B751"/>
    </row>
    <row r="752" spans="1:2" x14ac:dyDescent="0.25">
      <c r="A752"/>
      <c r="B752"/>
    </row>
    <row r="753" spans="1:2" x14ac:dyDescent="0.25">
      <c r="A753"/>
      <c r="B753"/>
    </row>
    <row r="754" spans="1:2" x14ac:dyDescent="0.25">
      <c r="A754"/>
      <c r="B754"/>
    </row>
    <row r="755" spans="1:2" x14ac:dyDescent="0.25">
      <c r="A755"/>
      <c r="B755"/>
    </row>
    <row r="756" spans="1:2" x14ac:dyDescent="0.25">
      <c r="A756"/>
      <c r="B756"/>
    </row>
    <row r="757" spans="1:2" x14ac:dyDescent="0.25">
      <c r="A757"/>
      <c r="B757"/>
    </row>
    <row r="758" spans="1:2" x14ac:dyDescent="0.25">
      <c r="A758"/>
      <c r="B758"/>
    </row>
    <row r="759" spans="1:2" x14ac:dyDescent="0.25">
      <c r="A759"/>
      <c r="B759"/>
    </row>
    <row r="760" spans="1:2" x14ac:dyDescent="0.25">
      <c r="A760"/>
      <c r="B760"/>
    </row>
    <row r="761" spans="1:2" x14ac:dyDescent="0.25">
      <c r="A761"/>
      <c r="B761"/>
    </row>
    <row r="762" spans="1:2" x14ac:dyDescent="0.25">
      <c r="A762"/>
      <c r="B762"/>
    </row>
    <row r="763" spans="1:2" x14ac:dyDescent="0.25">
      <c r="A763"/>
      <c r="B763"/>
    </row>
    <row r="764" spans="1:2" x14ac:dyDescent="0.25">
      <c r="A764"/>
      <c r="B764"/>
    </row>
    <row r="765" spans="1:2" x14ac:dyDescent="0.25">
      <c r="A765"/>
      <c r="B765"/>
    </row>
    <row r="766" spans="1:2" x14ac:dyDescent="0.25">
      <c r="A766"/>
      <c r="B766"/>
    </row>
    <row r="767" spans="1:2" x14ac:dyDescent="0.25">
      <c r="A767"/>
      <c r="B767"/>
    </row>
    <row r="768" spans="1:2" x14ac:dyDescent="0.25">
      <c r="A768"/>
      <c r="B768"/>
    </row>
    <row r="769" spans="1:2" x14ac:dyDescent="0.25">
      <c r="A769"/>
      <c r="B769"/>
    </row>
    <row r="770" spans="1:2" x14ac:dyDescent="0.25">
      <c r="A770"/>
      <c r="B770"/>
    </row>
    <row r="771" spans="1:2" x14ac:dyDescent="0.25">
      <c r="A771"/>
      <c r="B771"/>
    </row>
    <row r="772" spans="1:2" x14ac:dyDescent="0.25">
      <c r="A772"/>
      <c r="B772"/>
    </row>
    <row r="773" spans="1:2" x14ac:dyDescent="0.25">
      <c r="A773"/>
      <c r="B773"/>
    </row>
    <row r="774" spans="1:2" x14ac:dyDescent="0.25">
      <c r="A774"/>
      <c r="B774"/>
    </row>
    <row r="775" spans="1:2" x14ac:dyDescent="0.25">
      <c r="A775"/>
      <c r="B775"/>
    </row>
    <row r="776" spans="1:2" x14ac:dyDescent="0.25">
      <c r="A776"/>
      <c r="B776"/>
    </row>
    <row r="777" spans="1:2" x14ac:dyDescent="0.25">
      <c r="A777"/>
      <c r="B777"/>
    </row>
    <row r="778" spans="1:2" x14ac:dyDescent="0.25">
      <c r="A778"/>
      <c r="B778"/>
    </row>
    <row r="779" spans="1:2" x14ac:dyDescent="0.25">
      <c r="A779"/>
      <c r="B779"/>
    </row>
    <row r="780" spans="1:2" x14ac:dyDescent="0.25">
      <c r="A780"/>
      <c r="B780"/>
    </row>
    <row r="781" spans="1:2" x14ac:dyDescent="0.25">
      <c r="A781"/>
      <c r="B781"/>
    </row>
    <row r="782" spans="1:2" x14ac:dyDescent="0.25">
      <c r="A782"/>
      <c r="B782"/>
    </row>
    <row r="783" spans="1:2" x14ac:dyDescent="0.25">
      <c r="A783"/>
      <c r="B783"/>
    </row>
    <row r="784" spans="1:2" x14ac:dyDescent="0.25">
      <c r="A784"/>
      <c r="B784"/>
    </row>
    <row r="785" spans="1:2" x14ac:dyDescent="0.25">
      <c r="A785"/>
      <c r="B785"/>
    </row>
    <row r="786" spans="1:2" x14ac:dyDescent="0.25">
      <c r="A786"/>
      <c r="B786"/>
    </row>
    <row r="787" spans="1:2" x14ac:dyDescent="0.25">
      <c r="A787"/>
      <c r="B787"/>
    </row>
    <row r="788" spans="1:2" x14ac:dyDescent="0.25">
      <c r="A788"/>
      <c r="B788"/>
    </row>
    <row r="789" spans="1:2" x14ac:dyDescent="0.25">
      <c r="A789"/>
      <c r="B789"/>
    </row>
    <row r="790" spans="1:2" x14ac:dyDescent="0.25">
      <c r="A790"/>
      <c r="B790"/>
    </row>
    <row r="791" spans="1:2" x14ac:dyDescent="0.25">
      <c r="A791"/>
      <c r="B791"/>
    </row>
    <row r="792" spans="1:2" x14ac:dyDescent="0.25">
      <c r="A792"/>
      <c r="B792"/>
    </row>
    <row r="793" spans="1:2" x14ac:dyDescent="0.25">
      <c r="A793"/>
      <c r="B793"/>
    </row>
    <row r="794" spans="1:2" x14ac:dyDescent="0.25">
      <c r="A794"/>
      <c r="B794"/>
    </row>
    <row r="795" spans="1:2" x14ac:dyDescent="0.25">
      <c r="A795"/>
      <c r="B795"/>
    </row>
    <row r="796" spans="1:2" x14ac:dyDescent="0.25">
      <c r="A796"/>
      <c r="B796"/>
    </row>
    <row r="797" spans="1:2" x14ac:dyDescent="0.25">
      <c r="A797"/>
      <c r="B797"/>
    </row>
    <row r="798" spans="1:2" x14ac:dyDescent="0.25">
      <c r="A798"/>
      <c r="B798"/>
    </row>
    <row r="799" spans="1:2" x14ac:dyDescent="0.25">
      <c r="A799"/>
      <c r="B799"/>
    </row>
    <row r="800" spans="1:2" x14ac:dyDescent="0.25">
      <c r="A800"/>
      <c r="B800"/>
    </row>
    <row r="801" spans="1:2" x14ac:dyDescent="0.25">
      <c r="A801"/>
      <c r="B801"/>
    </row>
    <row r="802" spans="1:2" x14ac:dyDescent="0.25">
      <c r="A802"/>
      <c r="B802"/>
    </row>
    <row r="803" spans="1:2" x14ac:dyDescent="0.25">
      <c r="A803"/>
      <c r="B803"/>
    </row>
    <row r="804" spans="1:2" x14ac:dyDescent="0.25">
      <c r="A804"/>
      <c r="B804"/>
    </row>
    <row r="805" spans="1:2" x14ac:dyDescent="0.25">
      <c r="A805"/>
      <c r="B805"/>
    </row>
    <row r="806" spans="1:2" x14ac:dyDescent="0.25">
      <c r="A806"/>
      <c r="B806"/>
    </row>
    <row r="807" spans="1:2" x14ac:dyDescent="0.25">
      <c r="A807"/>
      <c r="B807"/>
    </row>
    <row r="808" spans="1:2" x14ac:dyDescent="0.25">
      <c r="A808"/>
      <c r="B808"/>
    </row>
    <row r="809" spans="1:2" x14ac:dyDescent="0.25">
      <c r="A809"/>
      <c r="B809"/>
    </row>
    <row r="810" spans="1:2" x14ac:dyDescent="0.25">
      <c r="A810"/>
      <c r="B810"/>
    </row>
    <row r="811" spans="1:2" x14ac:dyDescent="0.25">
      <c r="A811"/>
      <c r="B811"/>
    </row>
    <row r="812" spans="1:2" x14ac:dyDescent="0.25">
      <c r="A812"/>
      <c r="B812"/>
    </row>
    <row r="813" spans="1:2" x14ac:dyDescent="0.25">
      <c r="A813"/>
      <c r="B813"/>
    </row>
    <row r="814" spans="1:2" x14ac:dyDescent="0.25">
      <c r="A814"/>
      <c r="B814"/>
    </row>
    <row r="815" spans="1:2" x14ac:dyDescent="0.25">
      <c r="A815"/>
      <c r="B815"/>
    </row>
    <row r="816" spans="1:2" x14ac:dyDescent="0.25">
      <c r="A816"/>
      <c r="B816"/>
    </row>
    <row r="817" spans="1:2" x14ac:dyDescent="0.25">
      <c r="A817"/>
      <c r="B817"/>
    </row>
    <row r="818" spans="1:2" x14ac:dyDescent="0.25">
      <c r="A818"/>
      <c r="B818"/>
    </row>
    <row r="819" spans="1:2" x14ac:dyDescent="0.25">
      <c r="A819"/>
      <c r="B819"/>
    </row>
    <row r="820" spans="1:2" x14ac:dyDescent="0.25">
      <c r="A820"/>
      <c r="B820"/>
    </row>
    <row r="821" spans="1:2" x14ac:dyDescent="0.25">
      <c r="A821"/>
      <c r="B821"/>
    </row>
    <row r="822" spans="1:2" x14ac:dyDescent="0.25">
      <c r="A822"/>
      <c r="B822"/>
    </row>
    <row r="823" spans="1:2" x14ac:dyDescent="0.25">
      <c r="A823"/>
      <c r="B823"/>
    </row>
    <row r="824" spans="1:2" x14ac:dyDescent="0.25">
      <c r="A824"/>
      <c r="B824"/>
    </row>
    <row r="825" spans="1:2" x14ac:dyDescent="0.25">
      <c r="A825"/>
      <c r="B825"/>
    </row>
    <row r="826" spans="1:2" x14ac:dyDescent="0.25">
      <c r="A826"/>
      <c r="B826"/>
    </row>
    <row r="827" spans="1:2" x14ac:dyDescent="0.25">
      <c r="A827"/>
      <c r="B827"/>
    </row>
    <row r="828" spans="1:2" x14ac:dyDescent="0.25">
      <c r="A828"/>
      <c r="B828"/>
    </row>
    <row r="829" spans="1:2" x14ac:dyDescent="0.25">
      <c r="A829"/>
      <c r="B829"/>
    </row>
    <row r="830" spans="1:2" x14ac:dyDescent="0.25">
      <c r="A830"/>
      <c r="B830"/>
    </row>
    <row r="831" spans="1:2" x14ac:dyDescent="0.25">
      <c r="A831"/>
      <c r="B831"/>
    </row>
    <row r="832" spans="1:2" x14ac:dyDescent="0.25">
      <c r="A832"/>
      <c r="B832"/>
    </row>
    <row r="833" spans="1:2" x14ac:dyDescent="0.25">
      <c r="A833"/>
      <c r="B833"/>
    </row>
    <row r="834" spans="1:2" x14ac:dyDescent="0.25">
      <c r="A834"/>
      <c r="B834"/>
    </row>
    <row r="835" spans="1:2" x14ac:dyDescent="0.25">
      <c r="A835"/>
      <c r="B835"/>
    </row>
    <row r="836" spans="1:2" x14ac:dyDescent="0.25">
      <c r="A836"/>
      <c r="B836"/>
    </row>
    <row r="837" spans="1:2" x14ac:dyDescent="0.25">
      <c r="A837"/>
      <c r="B837"/>
    </row>
    <row r="838" spans="1:2" x14ac:dyDescent="0.25">
      <c r="A838"/>
      <c r="B838"/>
    </row>
    <row r="839" spans="1:2" x14ac:dyDescent="0.25">
      <c r="A839"/>
      <c r="B839"/>
    </row>
    <row r="840" spans="1:2" x14ac:dyDescent="0.25">
      <c r="A840"/>
      <c r="B840"/>
    </row>
    <row r="841" spans="1:2" x14ac:dyDescent="0.25">
      <c r="A841"/>
      <c r="B841"/>
    </row>
    <row r="842" spans="1:2" x14ac:dyDescent="0.25">
      <c r="A842"/>
      <c r="B842"/>
    </row>
    <row r="843" spans="1:2" x14ac:dyDescent="0.25">
      <c r="A843"/>
      <c r="B843"/>
    </row>
    <row r="844" spans="1:2" x14ac:dyDescent="0.25">
      <c r="A844"/>
      <c r="B844"/>
    </row>
    <row r="845" spans="1:2" x14ac:dyDescent="0.25">
      <c r="A845"/>
      <c r="B845"/>
    </row>
    <row r="846" spans="1:2" x14ac:dyDescent="0.25">
      <c r="A846"/>
      <c r="B846"/>
    </row>
    <row r="847" spans="1:2" x14ac:dyDescent="0.25">
      <c r="A847"/>
      <c r="B847"/>
    </row>
    <row r="848" spans="1:2" x14ac:dyDescent="0.25">
      <c r="A848"/>
      <c r="B848"/>
    </row>
    <row r="849" spans="1:2" x14ac:dyDescent="0.25">
      <c r="A849"/>
      <c r="B849"/>
    </row>
    <row r="850" spans="1:2" x14ac:dyDescent="0.25">
      <c r="A850"/>
      <c r="B850"/>
    </row>
    <row r="851" spans="1:2" x14ac:dyDescent="0.25">
      <c r="A851"/>
      <c r="B851"/>
    </row>
    <row r="852" spans="1:2" x14ac:dyDescent="0.25">
      <c r="A852"/>
      <c r="B852"/>
    </row>
    <row r="853" spans="1:2" x14ac:dyDescent="0.25">
      <c r="A853"/>
      <c r="B853"/>
    </row>
    <row r="854" spans="1:2" x14ac:dyDescent="0.25">
      <c r="A854"/>
      <c r="B854"/>
    </row>
    <row r="855" spans="1:2" x14ac:dyDescent="0.25">
      <c r="A855"/>
      <c r="B855"/>
    </row>
    <row r="856" spans="1:2" x14ac:dyDescent="0.25">
      <c r="A856"/>
      <c r="B856"/>
    </row>
    <row r="857" spans="1:2" x14ac:dyDescent="0.25">
      <c r="A857"/>
      <c r="B857"/>
    </row>
    <row r="858" spans="1:2" x14ac:dyDescent="0.25">
      <c r="A858"/>
      <c r="B858"/>
    </row>
    <row r="859" spans="1:2" x14ac:dyDescent="0.25">
      <c r="A859"/>
      <c r="B859"/>
    </row>
    <row r="860" spans="1:2" x14ac:dyDescent="0.25">
      <c r="A860"/>
      <c r="B860"/>
    </row>
    <row r="861" spans="1:2" x14ac:dyDescent="0.25">
      <c r="A861"/>
      <c r="B861"/>
    </row>
    <row r="862" spans="1:2" x14ac:dyDescent="0.25">
      <c r="A862"/>
      <c r="B862"/>
    </row>
    <row r="863" spans="1:2" x14ac:dyDescent="0.25">
      <c r="A863"/>
      <c r="B863"/>
    </row>
    <row r="864" spans="1:2" x14ac:dyDescent="0.25">
      <c r="A864"/>
      <c r="B864"/>
    </row>
    <row r="865" spans="1:2" x14ac:dyDescent="0.25">
      <c r="A865"/>
      <c r="B865"/>
    </row>
    <row r="866" spans="1:2" x14ac:dyDescent="0.25">
      <c r="A866"/>
      <c r="B866"/>
    </row>
    <row r="867" spans="1:2" x14ac:dyDescent="0.25">
      <c r="A867"/>
      <c r="B867"/>
    </row>
    <row r="868" spans="1:2" x14ac:dyDescent="0.25">
      <c r="A868"/>
      <c r="B868"/>
    </row>
    <row r="869" spans="1:2" x14ac:dyDescent="0.25">
      <c r="A869"/>
      <c r="B869"/>
    </row>
    <row r="870" spans="1:2" x14ac:dyDescent="0.25">
      <c r="A870"/>
      <c r="B870"/>
    </row>
    <row r="871" spans="1:2" x14ac:dyDescent="0.25">
      <c r="A871"/>
      <c r="B871"/>
    </row>
    <row r="872" spans="1:2" x14ac:dyDescent="0.25">
      <c r="A872"/>
      <c r="B872"/>
    </row>
    <row r="873" spans="1:2" x14ac:dyDescent="0.25">
      <c r="A873"/>
      <c r="B873"/>
    </row>
    <row r="874" spans="1:2" x14ac:dyDescent="0.25">
      <c r="A874"/>
      <c r="B874"/>
    </row>
    <row r="875" spans="1:2" x14ac:dyDescent="0.25">
      <c r="A875"/>
      <c r="B875"/>
    </row>
    <row r="876" spans="1:2" x14ac:dyDescent="0.25">
      <c r="A876"/>
      <c r="B876"/>
    </row>
    <row r="877" spans="1:2" x14ac:dyDescent="0.25">
      <c r="A877"/>
      <c r="B877"/>
    </row>
    <row r="878" spans="1:2" x14ac:dyDescent="0.25">
      <c r="A878"/>
      <c r="B878"/>
    </row>
    <row r="879" spans="1:2" x14ac:dyDescent="0.25">
      <c r="A879"/>
      <c r="B879"/>
    </row>
    <row r="880" spans="1:2" x14ac:dyDescent="0.25">
      <c r="A880"/>
      <c r="B880"/>
    </row>
    <row r="881" spans="1:2" x14ac:dyDescent="0.25">
      <c r="A881"/>
      <c r="B881"/>
    </row>
    <row r="882" spans="1:2" x14ac:dyDescent="0.25">
      <c r="A882"/>
      <c r="B882"/>
    </row>
    <row r="883" spans="1:2" x14ac:dyDescent="0.25">
      <c r="A883"/>
      <c r="B883"/>
    </row>
    <row r="884" spans="1:2" x14ac:dyDescent="0.25">
      <c r="A884"/>
      <c r="B884"/>
    </row>
    <row r="885" spans="1:2" x14ac:dyDescent="0.25">
      <c r="A885"/>
      <c r="B885"/>
    </row>
    <row r="886" spans="1:2" x14ac:dyDescent="0.25">
      <c r="A886"/>
      <c r="B886"/>
    </row>
    <row r="887" spans="1:2" x14ac:dyDescent="0.25">
      <c r="A887"/>
      <c r="B887"/>
    </row>
    <row r="888" spans="1:2" x14ac:dyDescent="0.25">
      <c r="A888"/>
      <c r="B888"/>
    </row>
    <row r="889" spans="1:2" x14ac:dyDescent="0.25">
      <c r="A889"/>
      <c r="B889"/>
    </row>
    <row r="890" spans="1:2" x14ac:dyDescent="0.25">
      <c r="A890"/>
      <c r="B890"/>
    </row>
    <row r="891" spans="1:2" x14ac:dyDescent="0.25">
      <c r="A891"/>
      <c r="B891"/>
    </row>
    <row r="892" spans="1:2" x14ac:dyDescent="0.25">
      <c r="A892"/>
      <c r="B892"/>
    </row>
    <row r="893" spans="1:2" x14ac:dyDescent="0.25">
      <c r="A893"/>
      <c r="B893"/>
    </row>
    <row r="894" spans="1:2" x14ac:dyDescent="0.25">
      <c r="A894"/>
      <c r="B894"/>
    </row>
    <row r="895" spans="1:2" x14ac:dyDescent="0.25">
      <c r="A895"/>
      <c r="B895"/>
    </row>
    <row r="896" spans="1:2" x14ac:dyDescent="0.25">
      <c r="A896"/>
      <c r="B896"/>
    </row>
    <row r="897" spans="1:2" x14ac:dyDescent="0.25">
      <c r="A897"/>
      <c r="B897"/>
    </row>
    <row r="898" spans="1:2" x14ac:dyDescent="0.25">
      <c r="A898"/>
      <c r="B898"/>
    </row>
    <row r="899" spans="1:2" x14ac:dyDescent="0.25">
      <c r="A899"/>
      <c r="B899"/>
    </row>
    <row r="900" spans="1:2" x14ac:dyDescent="0.25">
      <c r="A900"/>
      <c r="B900"/>
    </row>
    <row r="901" spans="1:2" x14ac:dyDescent="0.25">
      <c r="A901"/>
      <c r="B901"/>
    </row>
    <row r="902" spans="1:2" x14ac:dyDescent="0.25">
      <c r="A902"/>
      <c r="B902"/>
    </row>
    <row r="903" spans="1:2" x14ac:dyDescent="0.25">
      <c r="A903"/>
      <c r="B903"/>
    </row>
    <row r="904" spans="1:2" x14ac:dyDescent="0.25">
      <c r="A904"/>
      <c r="B904"/>
    </row>
    <row r="905" spans="1:2" x14ac:dyDescent="0.25">
      <c r="A905"/>
      <c r="B905"/>
    </row>
    <row r="906" spans="1:2" x14ac:dyDescent="0.25">
      <c r="A906"/>
      <c r="B906"/>
    </row>
    <row r="907" spans="1:2" x14ac:dyDescent="0.25">
      <c r="A907"/>
      <c r="B907"/>
    </row>
    <row r="908" spans="1:2" x14ac:dyDescent="0.25">
      <c r="A908"/>
      <c r="B908"/>
    </row>
    <row r="909" spans="1:2" x14ac:dyDescent="0.25">
      <c r="A909"/>
      <c r="B909"/>
    </row>
    <row r="910" spans="1:2" x14ac:dyDescent="0.25">
      <c r="A910"/>
      <c r="B910"/>
    </row>
    <row r="911" spans="1:2" x14ac:dyDescent="0.25">
      <c r="A911"/>
      <c r="B911"/>
    </row>
    <row r="912" spans="1:2" x14ac:dyDescent="0.25">
      <c r="A912"/>
      <c r="B912"/>
    </row>
    <row r="913" spans="1:2" x14ac:dyDescent="0.25">
      <c r="A913"/>
      <c r="B913"/>
    </row>
    <row r="914" spans="1:2" x14ac:dyDescent="0.25">
      <c r="A914"/>
      <c r="B914"/>
    </row>
    <row r="915" spans="1:2" x14ac:dyDescent="0.25">
      <c r="A915"/>
      <c r="B915"/>
    </row>
    <row r="916" spans="1:2" x14ac:dyDescent="0.25">
      <c r="A916"/>
      <c r="B916"/>
    </row>
    <row r="917" spans="1:2" x14ac:dyDescent="0.25">
      <c r="A917"/>
      <c r="B917"/>
    </row>
    <row r="918" spans="1:2" x14ac:dyDescent="0.25">
      <c r="A918"/>
      <c r="B918"/>
    </row>
    <row r="919" spans="1:2" x14ac:dyDescent="0.25">
      <c r="A919"/>
      <c r="B919"/>
    </row>
    <row r="920" spans="1:2" x14ac:dyDescent="0.25">
      <c r="A920"/>
      <c r="B920"/>
    </row>
    <row r="921" spans="1:2" x14ac:dyDescent="0.25">
      <c r="A921"/>
      <c r="B921"/>
    </row>
    <row r="922" spans="1:2" x14ac:dyDescent="0.25">
      <c r="A922"/>
      <c r="B922"/>
    </row>
    <row r="923" spans="1:2" x14ac:dyDescent="0.25">
      <c r="A923"/>
      <c r="B923"/>
    </row>
    <row r="924" spans="1:2" x14ac:dyDescent="0.25">
      <c r="A924"/>
      <c r="B924"/>
    </row>
    <row r="925" spans="1:2" x14ac:dyDescent="0.25">
      <c r="A925"/>
      <c r="B925"/>
    </row>
    <row r="926" spans="1:2" x14ac:dyDescent="0.25">
      <c r="A926"/>
      <c r="B926"/>
    </row>
    <row r="927" spans="1:2" x14ac:dyDescent="0.25">
      <c r="A927"/>
      <c r="B927"/>
    </row>
    <row r="928" spans="1:2" x14ac:dyDescent="0.25">
      <c r="A928"/>
      <c r="B928"/>
    </row>
    <row r="929" spans="1:2" x14ac:dyDescent="0.25">
      <c r="A929"/>
      <c r="B929"/>
    </row>
    <row r="930" spans="1:2" x14ac:dyDescent="0.25">
      <c r="A930"/>
      <c r="B930"/>
    </row>
    <row r="931" spans="1:2" x14ac:dyDescent="0.25">
      <c r="A931"/>
      <c r="B931"/>
    </row>
    <row r="932" spans="1:2" x14ac:dyDescent="0.25">
      <c r="A932"/>
      <c r="B932"/>
    </row>
    <row r="933" spans="1:2" x14ac:dyDescent="0.25">
      <c r="A933"/>
      <c r="B933"/>
    </row>
    <row r="934" spans="1:2" x14ac:dyDescent="0.25">
      <c r="A934"/>
      <c r="B934"/>
    </row>
    <row r="935" spans="1:2" x14ac:dyDescent="0.25">
      <c r="A935"/>
      <c r="B935"/>
    </row>
    <row r="936" spans="1:2" x14ac:dyDescent="0.25">
      <c r="A936"/>
      <c r="B936"/>
    </row>
    <row r="937" spans="1:2" x14ac:dyDescent="0.25">
      <c r="A937"/>
      <c r="B937"/>
    </row>
    <row r="938" spans="1:2" x14ac:dyDescent="0.25">
      <c r="A938"/>
      <c r="B938"/>
    </row>
    <row r="939" spans="1:2" x14ac:dyDescent="0.25">
      <c r="A939"/>
      <c r="B939"/>
    </row>
    <row r="940" spans="1:2" x14ac:dyDescent="0.25">
      <c r="A940"/>
      <c r="B940"/>
    </row>
    <row r="941" spans="1:2" x14ac:dyDescent="0.25">
      <c r="A941"/>
      <c r="B941"/>
    </row>
    <row r="942" spans="1:2" x14ac:dyDescent="0.25">
      <c r="A942"/>
      <c r="B942"/>
    </row>
    <row r="943" spans="1:2" x14ac:dyDescent="0.25">
      <c r="A943"/>
      <c r="B943"/>
    </row>
    <row r="944" spans="1:2" x14ac:dyDescent="0.25">
      <c r="A944"/>
      <c r="B944"/>
    </row>
    <row r="945" spans="1:2" x14ac:dyDescent="0.25">
      <c r="A945"/>
      <c r="B945"/>
    </row>
    <row r="946" spans="1:2" x14ac:dyDescent="0.25">
      <c r="A946"/>
      <c r="B946"/>
    </row>
    <row r="947" spans="1:2" x14ac:dyDescent="0.25">
      <c r="A947"/>
      <c r="B947"/>
    </row>
    <row r="948" spans="1:2" x14ac:dyDescent="0.25">
      <c r="A948"/>
      <c r="B948"/>
    </row>
    <row r="949" spans="1:2" x14ac:dyDescent="0.25">
      <c r="A949"/>
      <c r="B949"/>
    </row>
    <row r="950" spans="1:2" x14ac:dyDescent="0.25">
      <c r="A950"/>
      <c r="B950"/>
    </row>
    <row r="951" spans="1:2" x14ac:dyDescent="0.25">
      <c r="A951"/>
      <c r="B951"/>
    </row>
    <row r="952" spans="1:2" x14ac:dyDescent="0.25">
      <c r="A952"/>
      <c r="B952"/>
    </row>
    <row r="953" spans="1:2" x14ac:dyDescent="0.25">
      <c r="A953"/>
      <c r="B953"/>
    </row>
    <row r="954" spans="1:2" x14ac:dyDescent="0.25">
      <c r="A954"/>
      <c r="B954"/>
    </row>
    <row r="955" spans="1:2" x14ac:dyDescent="0.25">
      <c r="A955"/>
      <c r="B955"/>
    </row>
    <row r="956" spans="1:2" x14ac:dyDescent="0.25">
      <c r="A956"/>
      <c r="B956"/>
    </row>
    <row r="957" spans="1:2" x14ac:dyDescent="0.25">
      <c r="A957"/>
      <c r="B957"/>
    </row>
    <row r="958" spans="1:2" x14ac:dyDescent="0.25">
      <c r="A958"/>
      <c r="B958"/>
    </row>
    <row r="959" spans="1:2" x14ac:dyDescent="0.25">
      <c r="A959"/>
      <c r="B959"/>
    </row>
    <row r="960" spans="1:2" x14ac:dyDescent="0.25">
      <c r="A960"/>
      <c r="B960"/>
    </row>
    <row r="961" spans="1:2" x14ac:dyDescent="0.25">
      <c r="A961"/>
      <c r="B961"/>
    </row>
    <row r="962" spans="1:2" x14ac:dyDescent="0.25">
      <c r="A962"/>
      <c r="B962"/>
    </row>
    <row r="963" spans="1:2" x14ac:dyDescent="0.25">
      <c r="A963"/>
      <c r="B963"/>
    </row>
    <row r="964" spans="1:2" x14ac:dyDescent="0.25">
      <c r="A964"/>
      <c r="B964"/>
    </row>
    <row r="965" spans="1:2" x14ac:dyDescent="0.25">
      <c r="A965"/>
      <c r="B965"/>
    </row>
    <row r="966" spans="1:2" x14ac:dyDescent="0.25">
      <c r="A966"/>
      <c r="B966"/>
    </row>
    <row r="967" spans="1:2" x14ac:dyDescent="0.25">
      <c r="A967"/>
      <c r="B967"/>
    </row>
    <row r="968" spans="1:2" x14ac:dyDescent="0.25">
      <c r="A968"/>
      <c r="B968"/>
    </row>
    <row r="969" spans="1:2" x14ac:dyDescent="0.25">
      <c r="A969"/>
      <c r="B969"/>
    </row>
    <row r="970" spans="1:2" x14ac:dyDescent="0.25">
      <c r="A970"/>
      <c r="B970"/>
    </row>
    <row r="971" spans="1:2" x14ac:dyDescent="0.25">
      <c r="A971"/>
      <c r="B971"/>
    </row>
    <row r="972" spans="1:2" x14ac:dyDescent="0.25">
      <c r="A972"/>
      <c r="B972"/>
    </row>
    <row r="973" spans="1:2" x14ac:dyDescent="0.25">
      <c r="A973"/>
      <c r="B973"/>
    </row>
    <row r="974" spans="1:2" x14ac:dyDescent="0.25">
      <c r="A974"/>
      <c r="B974"/>
    </row>
    <row r="975" spans="1:2" x14ac:dyDescent="0.25">
      <c r="A975"/>
      <c r="B975"/>
    </row>
    <row r="976" spans="1:2" x14ac:dyDescent="0.25">
      <c r="A976"/>
      <c r="B976"/>
    </row>
    <row r="977" spans="1:2" x14ac:dyDescent="0.25">
      <c r="A977"/>
      <c r="B977"/>
    </row>
    <row r="978" spans="1:2" x14ac:dyDescent="0.25">
      <c r="A978"/>
      <c r="B978"/>
    </row>
    <row r="979" spans="1:2" x14ac:dyDescent="0.25">
      <c r="A979"/>
      <c r="B979"/>
    </row>
    <row r="980" spans="1:2" x14ac:dyDescent="0.25">
      <c r="A980"/>
      <c r="B980"/>
    </row>
    <row r="981" spans="1:2" x14ac:dyDescent="0.25">
      <c r="A981"/>
      <c r="B981"/>
    </row>
    <row r="982" spans="1:2" x14ac:dyDescent="0.25">
      <c r="A982"/>
      <c r="B982"/>
    </row>
    <row r="983" spans="1:2" x14ac:dyDescent="0.25">
      <c r="A983"/>
      <c r="B983"/>
    </row>
    <row r="984" spans="1:2" x14ac:dyDescent="0.25">
      <c r="A984"/>
      <c r="B984"/>
    </row>
    <row r="985" spans="1:2" x14ac:dyDescent="0.25">
      <c r="A985"/>
      <c r="B985"/>
    </row>
    <row r="986" spans="1:2" x14ac:dyDescent="0.25">
      <c r="A986"/>
      <c r="B986"/>
    </row>
    <row r="987" spans="1:2" x14ac:dyDescent="0.25">
      <c r="A987"/>
      <c r="B987"/>
    </row>
    <row r="988" spans="1:2" x14ac:dyDescent="0.25">
      <c r="A988"/>
      <c r="B988"/>
    </row>
    <row r="989" spans="1:2" x14ac:dyDescent="0.25">
      <c r="A989"/>
      <c r="B989"/>
    </row>
    <row r="990" spans="1:2" x14ac:dyDescent="0.25">
      <c r="A990"/>
      <c r="B990"/>
    </row>
    <row r="991" spans="1:2" x14ac:dyDescent="0.25">
      <c r="A991"/>
      <c r="B991"/>
    </row>
    <row r="992" spans="1:2" x14ac:dyDescent="0.25">
      <c r="A992"/>
      <c r="B992"/>
    </row>
    <row r="993" spans="1:2" x14ac:dyDescent="0.25">
      <c r="A993"/>
      <c r="B993"/>
    </row>
    <row r="994" spans="1:2" x14ac:dyDescent="0.25">
      <c r="A994"/>
      <c r="B994"/>
    </row>
    <row r="995" spans="1:2" x14ac:dyDescent="0.25">
      <c r="A995"/>
      <c r="B995"/>
    </row>
    <row r="996" spans="1:2" x14ac:dyDescent="0.25">
      <c r="A996"/>
      <c r="B996"/>
    </row>
    <row r="997" spans="1:2" x14ac:dyDescent="0.25">
      <c r="A997"/>
      <c r="B997"/>
    </row>
    <row r="998" spans="1:2" x14ac:dyDescent="0.25">
      <c r="A998"/>
      <c r="B998"/>
    </row>
    <row r="999" spans="1:2" x14ac:dyDescent="0.25">
      <c r="A999"/>
      <c r="B999"/>
    </row>
    <row r="1000" spans="1:2" x14ac:dyDescent="0.25">
      <c r="A1000"/>
      <c r="B1000"/>
    </row>
    <row r="1001" spans="1:2" x14ac:dyDescent="0.25">
      <c r="A1001"/>
      <c r="B1001"/>
    </row>
    <row r="1002" spans="1:2" x14ac:dyDescent="0.25">
      <c r="A1002"/>
      <c r="B1002"/>
    </row>
    <row r="1003" spans="1:2" x14ac:dyDescent="0.25">
      <c r="A1003"/>
      <c r="B1003"/>
    </row>
    <row r="1004" spans="1:2" x14ac:dyDescent="0.25">
      <c r="A1004"/>
      <c r="B1004"/>
    </row>
    <row r="1005" spans="1:2" x14ac:dyDescent="0.25">
      <c r="A1005"/>
      <c r="B1005"/>
    </row>
    <row r="1006" spans="1:2" x14ac:dyDescent="0.25">
      <c r="A1006"/>
      <c r="B1006"/>
    </row>
    <row r="1007" spans="1:2" x14ac:dyDescent="0.25">
      <c r="A1007"/>
      <c r="B1007"/>
    </row>
    <row r="1008" spans="1:2" x14ac:dyDescent="0.25">
      <c r="A1008"/>
      <c r="B1008"/>
    </row>
    <row r="1009" spans="1:2" x14ac:dyDescent="0.25">
      <c r="A1009"/>
      <c r="B1009"/>
    </row>
    <row r="1010" spans="1:2" x14ac:dyDescent="0.25">
      <c r="A1010"/>
      <c r="B1010"/>
    </row>
    <row r="1011" spans="1:2" x14ac:dyDescent="0.25">
      <c r="A1011"/>
      <c r="B1011"/>
    </row>
    <row r="1012" spans="1:2" x14ac:dyDescent="0.25">
      <c r="A1012"/>
      <c r="B1012"/>
    </row>
    <row r="1013" spans="1:2" x14ac:dyDescent="0.25">
      <c r="A1013"/>
      <c r="B1013"/>
    </row>
    <row r="1014" spans="1:2" x14ac:dyDescent="0.25">
      <c r="A1014"/>
      <c r="B1014"/>
    </row>
    <row r="1015" spans="1:2" x14ac:dyDescent="0.25">
      <c r="A1015"/>
      <c r="B1015"/>
    </row>
    <row r="1016" spans="1:2" x14ac:dyDescent="0.25">
      <c r="A1016"/>
      <c r="B1016"/>
    </row>
    <row r="1017" spans="1:2" x14ac:dyDescent="0.25">
      <c r="A1017"/>
      <c r="B1017"/>
    </row>
    <row r="1018" spans="1:2" x14ac:dyDescent="0.25">
      <c r="A1018"/>
      <c r="B1018"/>
    </row>
    <row r="1019" spans="1:2" x14ac:dyDescent="0.25">
      <c r="A1019"/>
      <c r="B1019"/>
    </row>
    <row r="1020" spans="1:2" x14ac:dyDescent="0.25">
      <c r="A1020"/>
      <c r="B1020"/>
    </row>
    <row r="1021" spans="1:2" x14ac:dyDescent="0.25">
      <c r="A1021"/>
      <c r="B1021"/>
    </row>
    <row r="1022" spans="1:2" x14ac:dyDescent="0.25">
      <c r="A1022"/>
      <c r="B1022"/>
    </row>
    <row r="1023" spans="1:2" x14ac:dyDescent="0.25">
      <c r="A1023"/>
      <c r="B1023"/>
    </row>
    <row r="1024" spans="1:2" x14ac:dyDescent="0.25">
      <c r="A1024"/>
      <c r="B1024"/>
    </row>
    <row r="1025" spans="1:2" x14ac:dyDescent="0.25">
      <c r="A1025"/>
      <c r="B1025"/>
    </row>
    <row r="1026" spans="1:2" x14ac:dyDescent="0.25">
      <c r="A1026"/>
      <c r="B1026"/>
    </row>
    <row r="1027" spans="1:2" x14ac:dyDescent="0.25">
      <c r="A1027"/>
      <c r="B1027"/>
    </row>
    <row r="1028" spans="1:2" x14ac:dyDescent="0.25">
      <c r="A1028"/>
      <c r="B1028"/>
    </row>
    <row r="1029" spans="1:2" x14ac:dyDescent="0.25">
      <c r="A1029"/>
      <c r="B1029"/>
    </row>
    <row r="1030" spans="1:2" x14ac:dyDescent="0.25">
      <c r="A1030"/>
      <c r="B1030"/>
    </row>
    <row r="1031" spans="1:2" x14ac:dyDescent="0.25">
      <c r="A1031"/>
      <c r="B1031"/>
    </row>
    <row r="1032" spans="1:2" x14ac:dyDescent="0.25">
      <c r="A1032"/>
      <c r="B1032"/>
    </row>
    <row r="1033" spans="1:2" x14ac:dyDescent="0.25">
      <c r="A1033"/>
      <c r="B1033"/>
    </row>
    <row r="1034" spans="1:2" x14ac:dyDescent="0.25">
      <c r="A1034"/>
      <c r="B1034"/>
    </row>
    <row r="1035" spans="1:2" x14ac:dyDescent="0.25">
      <c r="A1035"/>
      <c r="B1035"/>
    </row>
    <row r="1036" spans="1:2" x14ac:dyDescent="0.25">
      <c r="A1036"/>
      <c r="B1036"/>
    </row>
    <row r="1037" spans="1:2" x14ac:dyDescent="0.25">
      <c r="A1037"/>
      <c r="B1037"/>
    </row>
    <row r="1038" spans="1:2" x14ac:dyDescent="0.25">
      <c r="A1038"/>
      <c r="B1038"/>
    </row>
    <row r="1039" spans="1:2" x14ac:dyDescent="0.25">
      <c r="A1039"/>
      <c r="B1039"/>
    </row>
    <row r="1040" spans="1:2" x14ac:dyDescent="0.25">
      <c r="A1040"/>
      <c r="B1040"/>
    </row>
    <row r="1041" spans="1:2" x14ac:dyDescent="0.25">
      <c r="A1041"/>
      <c r="B1041"/>
    </row>
    <row r="1042" spans="1:2" x14ac:dyDescent="0.25">
      <c r="A1042"/>
      <c r="B1042"/>
    </row>
    <row r="1043" spans="1:2" x14ac:dyDescent="0.25">
      <c r="A1043"/>
      <c r="B1043"/>
    </row>
    <row r="1044" spans="1:2" x14ac:dyDescent="0.25">
      <c r="A1044"/>
      <c r="B1044"/>
    </row>
    <row r="1045" spans="1:2" x14ac:dyDescent="0.25">
      <c r="A1045"/>
      <c r="B1045"/>
    </row>
    <row r="1046" spans="1:2" x14ac:dyDescent="0.25">
      <c r="A1046"/>
      <c r="B1046"/>
    </row>
    <row r="1047" spans="1:2" x14ac:dyDescent="0.25">
      <c r="A1047"/>
      <c r="B1047"/>
    </row>
    <row r="1048" spans="1:2" x14ac:dyDescent="0.25">
      <c r="A1048"/>
      <c r="B1048"/>
    </row>
    <row r="1049" spans="1:2" x14ac:dyDescent="0.25">
      <c r="A1049"/>
      <c r="B1049"/>
    </row>
    <row r="1050" spans="1:2" x14ac:dyDescent="0.25">
      <c r="A1050"/>
      <c r="B1050"/>
    </row>
    <row r="1051" spans="1:2" x14ac:dyDescent="0.25">
      <c r="A1051"/>
      <c r="B1051"/>
    </row>
    <row r="1052" spans="1:2" x14ac:dyDescent="0.25">
      <c r="A1052"/>
      <c r="B1052"/>
    </row>
    <row r="1053" spans="1:2" x14ac:dyDescent="0.25">
      <c r="A1053"/>
      <c r="B1053"/>
    </row>
    <row r="1054" spans="1:2" x14ac:dyDescent="0.25">
      <c r="A1054"/>
      <c r="B1054"/>
    </row>
    <row r="1055" spans="1:2" x14ac:dyDescent="0.25">
      <c r="A1055"/>
      <c r="B1055"/>
    </row>
    <row r="1056" spans="1:2" x14ac:dyDescent="0.25">
      <c r="A1056"/>
      <c r="B1056"/>
    </row>
    <row r="1057" spans="1:2" x14ac:dyDescent="0.25">
      <c r="A1057"/>
      <c r="B1057"/>
    </row>
    <row r="1058" spans="1:2" x14ac:dyDescent="0.25">
      <c r="A1058"/>
      <c r="B1058"/>
    </row>
    <row r="1059" spans="1:2" x14ac:dyDescent="0.25">
      <c r="A1059"/>
      <c r="B1059"/>
    </row>
    <row r="1060" spans="1:2" x14ac:dyDescent="0.25">
      <c r="A1060"/>
      <c r="B1060"/>
    </row>
    <row r="1061" spans="1:2" x14ac:dyDescent="0.25">
      <c r="A1061"/>
      <c r="B1061"/>
    </row>
    <row r="1062" spans="1:2" x14ac:dyDescent="0.25">
      <c r="A1062"/>
      <c r="B1062"/>
    </row>
    <row r="1063" spans="1:2" x14ac:dyDescent="0.25">
      <c r="A1063"/>
      <c r="B1063"/>
    </row>
    <row r="1064" spans="1:2" x14ac:dyDescent="0.25">
      <c r="A1064"/>
      <c r="B1064"/>
    </row>
    <row r="1065" spans="1:2" x14ac:dyDescent="0.25">
      <c r="A1065"/>
      <c r="B1065"/>
    </row>
    <row r="1066" spans="1:2" x14ac:dyDescent="0.25">
      <c r="A1066"/>
      <c r="B1066"/>
    </row>
    <row r="1067" spans="1:2" x14ac:dyDescent="0.25">
      <c r="A1067"/>
      <c r="B1067"/>
    </row>
    <row r="1068" spans="1:2" x14ac:dyDescent="0.25">
      <c r="A1068"/>
      <c r="B1068"/>
    </row>
    <row r="1069" spans="1:2" x14ac:dyDescent="0.25">
      <c r="A1069"/>
      <c r="B1069"/>
    </row>
    <row r="1070" spans="1:2" x14ac:dyDescent="0.25">
      <c r="A1070"/>
      <c r="B1070"/>
    </row>
    <row r="1071" spans="1:2" x14ac:dyDescent="0.25">
      <c r="A1071"/>
      <c r="B1071"/>
    </row>
    <row r="1072" spans="1:2" x14ac:dyDescent="0.25">
      <c r="A1072"/>
      <c r="B1072"/>
    </row>
    <row r="1073" spans="1:2" x14ac:dyDescent="0.25">
      <c r="A1073"/>
      <c r="B1073"/>
    </row>
    <row r="1074" spans="1:2" x14ac:dyDescent="0.25">
      <c r="A1074"/>
      <c r="B1074"/>
    </row>
    <row r="1075" spans="1:2" x14ac:dyDescent="0.25">
      <c r="A1075"/>
      <c r="B1075"/>
    </row>
    <row r="1076" spans="1:2" x14ac:dyDescent="0.25">
      <c r="A1076"/>
      <c r="B1076"/>
    </row>
    <row r="1077" spans="1:2" x14ac:dyDescent="0.25">
      <c r="A1077"/>
      <c r="B1077"/>
    </row>
    <row r="1078" spans="1:2" x14ac:dyDescent="0.25">
      <c r="A1078"/>
      <c r="B1078"/>
    </row>
    <row r="1079" spans="1:2" x14ac:dyDescent="0.25">
      <c r="A1079"/>
      <c r="B1079"/>
    </row>
    <row r="1080" spans="1:2" x14ac:dyDescent="0.25">
      <c r="A1080"/>
      <c r="B1080"/>
    </row>
    <row r="1081" spans="1:2" x14ac:dyDescent="0.25">
      <c r="A1081"/>
      <c r="B1081"/>
    </row>
    <row r="1082" spans="1:2" x14ac:dyDescent="0.25">
      <c r="A1082"/>
      <c r="B1082"/>
    </row>
    <row r="1083" spans="1:2" x14ac:dyDescent="0.25">
      <c r="A1083"/>
      <c r="B1083"/>
    </row>
    <row r="1084" spans="1:2" x14ac:dyDescent="0.25">
      <c r="A1084"/>
      <c r="B1084"/>
    </row>
    <row r="1085" spans="1:2" x14ac:dyDescent="0.25">
      <c r="A1085"/>
      <c r="B1085"/>
    </row>
    <row r="1086" spans="1:2" x14ac:dyDescent="0.25">
      <c r="A1086"/>
      <c r="B1086"/>
    </row>
    <row r="1087" spans="1:2" x14ac:dyDescent="0.25">
      <c r="A1087"/>
      <c r="B1087"/>
    </row>
    <row r="1088" spans="1:2" x14ac:dyDescent="0.25">
      <c r="A1088"/>
      <c r="B1088"/>
    </row>
    <row r="1089" spans="1:2" x14ac:dyDescent="0.25">
      <c r="A1089"/>
      <c r="B1089"/>
    </row>
    <row r="1090" spans="1:2" x14ac:dyDescent="0.25">
      <c r="A1090"/>
      <c r="B1090"/>
    </row>
    <row r="1091" spans="1:2" x14ac:dyDescent="0.25">
      <c r="A1091"/>
      <c r="B1091"/>
    </row>
    <row r="1092" spans="1:2" x14ac:dyDescent="0.25">
      <c r="A1092"/>
      <c r="B1092"/>
    </row>
    <row r="1093" spans="1:2" x14ac:dyDescent="0.25">
      <c r="A1093"/>
      <c r="B1093"/>
    </row>
    <row r="1094" spans="1:2" x14ac:dyDescent="0.25">
      <c r="A1094"/>
      <c r="B1094"/>
    </row>
    <row r="1095" spans="1:2" x14ac:dyDescent="0.25">
      <c r="A1095"/>
      <c r="B1095"/>
    </row>
    <row r="1096" spans="1:2" x14ac:dyDescent="0.25">
      <c r="A1096"/>
      <c r="B1096"/>
    </row>
    <row r="1097" spans="1:2" x14ac:dyDescent="0.25">
      <c r="A1097"/>
      <c r="B1097"/>
    </row>
    <row r="1098" spans="1:2" x14ac:dyDescent="0.25">
      <c r="A1098"/>
      <c r="B1098"/>
    </row>
    <row r="1099" spans="1:2" x14ac:dyDescent="0.25">
      <c r="A1099"/>
      <c r="B1099"/>
    </row>
    <row r="1100" spans="1:2" x14ac:dyDescent="0.25">
      <c r="A1100"/>
      <c r="B1100"/>
    </row>
    <row r="1101" spans="1:2" x14ac:dyDescent="0.25">
      <c r="A1101"/>
      <c r="B1101"/>
    </row>
    <row r="1102" spans="1:2" x14ac:dyDescent="0.25">
      <c r="A1102"/>
      <c r="B1102"/>
    </row>
    <row r="1103" spans="1:2" x14ac:dyDescent="0.25">
      <c r="A1103"/>
      <c r="B1103"/>
    </row>
    <row r="1104" spans="1:2" x14ac:dyDescent="0.25">
      <c r="A1104"/>
      <c r="B1104"/>
    </row>
    <row r="1105" spans="1:2" x14ac:dyDescent="0.25">
      <c r="A1105"/>
      <c r="B1105"/>
    </row>
    <row r="1106" spans="1:2" x14ac:dyDescent="0.25">
      <c r="A1106"/>
      <c r="B1106"/>
    </row>
    <row r="1107" spans="1:2" x14ac:dyDescent="0.25">
      <c r="A1107"/>
      <c r="B1107"/>
    </row>
    <row r="1108" spans="1:2" x14ac:dyDescent="0.25">
      <c r="A1108"/>
      <c r="B1108"/>
    </row>
    <row r="1109" spans="1:2" x14ac:dyDescent="0.25">
      <c r="A1109"/>
      <c r="B1109"/>
    </row>
    <row r="1110" spans="1:2" x14ac:dyDescent="0.25">
      <c r="A1110"/>
      <c r="B1110"/>
    </row>
    <row r="1111" spans="1:2" x14ac:dyDescent="0.25">
      <c r="A1111"/>
      <c r="B1111"/>
    </row>
    <row r="1112" spans="1:2" x14ac:dyDescent="0.25">
      <c r="A1112"/>
      <c r="B1112"/>
    </row>
    <row r="1113" spans="1:2" x14ac:dyDescent="0.25">
      <c r="A1113"/>
      <c r="B1113"/>
    </row>
    <row r="1114" spans="1:2" x14ac:dyDescent="0.25">
      <c r="A1114"/>
      <c r="B1114"/>
    </row>
    <row r="1115" spans="1:2" x14ac:dyDescent="0.25">
      <c r="A1115"/>
      <c r="B1115"/>
    </row>
    <row r="1116" spans="1:2" x14ac:dyDescent="0.25">
      <c r="A1116"/>
      <c r="B1116"/>
    </row>
    <row r="1117" spans="1:2" x14ac:dyDescent="0.25">
      <c r="A1117"/>
      <c r="B1117"/>
    </row>
    <row r="1118" spans="1:2" x14ac:dyDescent="0.25">
      <c r="A1118"/>
      <c r="B1118"/>
    </row>
    <row r="1119" spans="1:2" x14ac:dyDescent="0.25">
      <c r="A1119"/>
      <c r="B1119"/>
    </row>
    <row r="1120" spans="1:2" x14ac:dyDescent="0.25">
      <c r="A1120"/>
      <c r="B1120"/>
    </row>
    <row r="1121" spans="1:2" x14ac:dyDescent="0.25">
      <c r="A1121"/>
      <c r="B1121"/>
    </row>
    <row r="1122" spans="1:2" x14ac:dyDescent="0.25">
      <c r="A1122"/>
      <c r="B1122"/>
    </row>
    <row r="1123" spans="1:2" x14ac:dyDescent="0.25">
      <c r="A1123"/>
      <c r="B1123"/>
    </row>
    <row r="1124" spans="1:2" x14ac:dyDescent="0.25">
      <c r="A1124"/>
      <c r="B1124"/>
    </row>
    <row r="1125" spans="1:2" x14ac:dyDescent="0.25">
      <c r="A1125"/>
      <c r="B1125"/>
    </row>
    <row r="1126" spans="1:2" x14ac:dyDescent="0.25">
      <c r="A1126"/>
      <c r="B1126"/>
    </row>
    <row r="1127" spans="1:2" x14ac:dyDescent="0.25">
      <c r="A1127"/>
      <c r="B1127"/>
    </row>
    <row r="1128" spans="1:2" x14ac:dyDescent="0.25">
      <c r="A1128"/>
      <c r="B1128"/>
    </row>
    <row r="1129" spans="1:2" x14ac:dyDescent="0.25">
      <c r="A1129"/>
      <c r="B1129"/>
    </row>
    <row r="1130" spans="1:2" x14ac:dyDescent="0.25">
      <c r="A1130"/>
      <c r="B1130"/>
    </row>
    <row r="1131" spans="1:2" x14ac:dyDescent="0.25">
      <c r="A1131"/>
      <c r="B1131"/>
    </row>
    <row r="1132" spans="1:2" x14ac:dyDescent="0.25">
      <c r="A1132"/>
      <c r="B1132"/>
    </row>
    <row r="1133" spans="1:2" x14ac:dyDescent="0.25">
      <c r="A1133"/>
      <c r="B1133"/>
    </row>
    <row r="1134" spans="1:2" x14ac:dyDescent="0.25">
      <c r="A1134"/>
      <c r="B1134"/>
    </row>
    <row r="1135" spans="1:2" x14ac:dyDescent="0.25">
      <c r="A1135"/>
      <c r="B1135"/>
    </row>
    <row r="1136" spans="1:2" x14ac:dyDescent="0.25">
      <c r="A1136"/>
      <c r="B1136"/>
    </row>
    <row r="1137" spans="1:2" x14ac:dyDescent="0.25">
      <c r="A1137"/>
      <c r="B1137"/>
    </row>
    <row r="1138" spans="1:2" x14ac:dyDescent="0.25">
      <c r="A1138"/>
      <c r="B1138"/>
    </row>
    <row r="1139" spans="1:2" x14ac:dyDescent="0.25">
      <c r="A1139"/>
      <c r="B1139"/>
    </row>
    <row r="1140" spans="1:2" x14ac:dyDescent="0.25">
      <c r="A1140"/>
      <c r="B1140"/>
    </row>
    <row r="1141" spans="1:2" x14ac:dyDescent="0.25">
      <c r="A1141"/>
      <c r="B1141"/>
    </row>
    <row r="1142" spans="1:2" x14ac:dyDescent="0.25">
      <c r="A1142"/>
      <c r="B1142"/>
    </row>
    <row r="1143" spans="1:2" x14ac:dyDescent="0.25">
      <c r="A1143"/>
      <c r="B1143"/>
    </row>
    <row r="1144" spans="1:2" x14ac:dyDescent="0.25">
      <c r="A1144"/>
      <c r="B1144"/>
    </row>
    <row r="1145" spans="1:2" x14ac:dyDescent="0.25">
      <c r="A1145"/>
      <c r="B1145"/>
    </row>
    <row r="1146" spans="1:2" x14ac:dyDescent="0.25">
      <c r="A1146"/>
      <c r="B1146"/>
    </row>
    <row r="1147" spans="1:2" x14ac:dyDescent="0.25">
      <c r="A1147"/>
      <c r="B1147"/>
    </row>
    <row r="1148" spans="1:2" x14ac:dyDescent="0.25">
      <c r="A1148"/>
      <c r="B1148"/>
    </row>
    <row r="1149" spans="1:2" x14ac:dyDescent="0.25">
      <c r="A1149"/>
      <c r="B1149"/>
    </row>
    <row r="1150" spans="1:2" x14ac:dyDescent="0.25">
      <c r="A1150"/>
      <c r="B1150"/>
    </row>
    <row r="1151" spans="1:2" x14ac:dyDescent="0.25">
      <c r="A1151"/>
      <c r="B1151"/>
    </row>
    <row r="1152" spans="1:2" x14ac:dyDescent="0.25">
      <c r="A1152"/>
      <c r="B1152"/>
    </row>
    <row r="1153" spans="1:2" x14ac:dyDescent="0.25">
      <c r="A1153"/>
      <c r="B1153"/>
    </row>
    <row r="1154" spans="1:2" x14ac:dyDescent="0.25">
      <c r="A1154"/>
      <c r="B1154"/>
    </row>
    <row r="1155" spans="1:2" x14ac:dyDescent="0.25">
      <c r="A1155"/>
      <c r="B1155"/>
    </row>
    <row r="1156" spans="1:2" x14ac:dyDescent="0.25">
      <c r="A1156"/>
      <c r="B1156"/>
    </row>
    <row r="1157" spans="1:2" x14ac:dyDescent="0.25">
      <c r="A1157"/>
      <c r="B1157"/>
    </row>
    <row r="1158" spans="1:2" x14ac:dyDescent="0.25">
      <c r="A1158"/>
      <c r="B1158"/>
    </row>
    <row r="1159" spans="1:2" x14ac:dyDescent="0.25">
      <c r="A1159"/>
      <c r="B1159"/>
    </row>
    <row r="1160" spans="1:2" x14ac:dyDescent="0.25">
      <c r="A1160"/>
      <c r="B1160"/>
    </row>
    <row r="1161" spans="1:2" x14ac:dyDescent="0.25">
      <c r="A1161"/>
      <c r="B1161"/>
    </row>
    <row r="1162" spans="1:2" x14ac:dyDescent="0.25">
      <c r="A1162"/>
      <c r="B1162"/>
    </row>
    <row r="1163" spans="1:2" x14ac:dyDescent="0.25">
      <c r="A1163"/>
      <c r="B1163"/>
    </row>
    <row r="1164" spans="1:2" x14ac:dyDescent="0.25">
      <c r="A1164"/>
      <c r="B1164"/>
    </row>
    <row r="1165" spans="1:2" x14ac:dyDescent="0.25">
      <c r="A1165"/>
      <c r="B1165"/>
    </row>
    <row r="1166" spans="1:2" x14ac:dyDescent="0.25">
      <c r="A1166"/>
      <c r="B1166"/>
    </row>
    <row r="1167" spans="1:2" x14ac:dyDescent="0.25">
      <c r="A1167"/>
      <c r="B1167"/>
    </row>
    <row r="1168" spans="1:2" x14ac:dyDescent="0.25">
      <c r="A1168"/>
      <c r="B1168"/>
    </row>
    <row r="1169" spans="1:2" x14ac:dyDescent="0.25">
      <c r="A1169"/>
      <c r="B1169"/>
    </row>
    <row r="1170" spans="1:2" x14ac:dyDescent="0.25">
      <c r="A1170"/>
      <c r="B1170"/>
    </row>
    <row r="1171" spans="1:2" x14ac:dyDescent="0.25">
      <c r="A1171"/>
      <c r="B1171"/>
    </row>
    <row r="1172" spans="1:2" x14ac:dyDescent="0.25">
      <c r="A1172"/>
      <c r="B1172"/>
    </row>
    <row r="1173" spans="1:2" x14ac:dyDescent="0.25">
      <c r="A1173"/>
      <c r="B1173"/>
    </row>
    <row r="1174" spans="1:2" x14ac:dyDescent="0.25">
      <c r="A1174"/>
      <c r="B1174"/>
    </row>
    <row r="1175" spans="1:2" x14ac:dyDescent="0.25">
      <c r="A1175"/>
      <c r="B1175"/>
    </row>
    <row r="1176" spans="1:2" x14ac:dyDescent="0.25">
      <c r="A1176"/>
      <c r="B1176"/>
    </row>
    <row r="1177" spans="1:2" x14ac:dyDescent="0.25">
      <c r="A1177"/>
      <c r="B1177"/>
    </row>
    <row r="1178" spans="1:2" x14ac:dyDescent="0.25">
      <c r="A1178"/>
      <c r="B1178"/>
    </row>
    <row r="1179" spans="1:2" x14ac:dyDescent="0.25">
      <c r="A1179"/>
      <c r="B1179"/>
    </row>
    <row r="1180" spans="1:2" x14ac:dyDescent="0.25">
      <c r="A1180"/>
      <c r="B1180"/>
    </row>
    <row r="1181" spans="1:2" x14ac:dyDescent="0.25">
      <c r="A1181"/>
      <c r="B1181"/>
    </row>
    <row r="1182" spans="1:2" x14ac:dyDescent="0.25">
      <c r="A1182"/>
      <c r="B1182"/>
    </row>
    <row r="1183" spans="1:2" x14ac:dyDescent="0.25">
      <c r="A1183"/>
      <c r="B1183"/>
    </row>
    <row r="1184" spans="1:2" x14ac:dyDescent="0.25">
      <c r="A1184"/>
      <c r="B1184"/>
    </row>
    <row r="1185" spans="1:2" x14ac:dyDescent="0.25">
      <c r="A1185"/>
      <c r="B1185"/>
    </row>
    <row r="1186" spans="1:2" x14ac:dyDescent="0.25">
      <c r="A1186"/>
      <c r="B1186"/>
    </row>
    <row r="1187" spans="1:2" x14ac:dyDescent="0.25">
      <c r="A1187"/>
      <c r="B1187"/>
    </row>
    <row r="1188" spans="1:2" x14ac:dyDescent="0.25">
      <c r="A1188"/>
      <c r="B1188"/>
    </row>
    <row r="1189" spans="1:2" x14ac:dyDescent="0.25">
      <c r="A1189"/>
      <c r="B1189"/>
    </row>
    <row r="1190" spans="1:2" x14ac:dyDescent="0.25">
      <c r="A1190"/>
      <c r="B1190"/>
    </row>
    <row r="1191" spans="1:2" x14ac:dyDescent="0.25">
      <c r="A1191"/>
      <c r="B1191"/>
    </row>
    <row r="1192" spans="1:2" x14ac:dyDescent="0.25">
      <c r="A1192"/>
      <c r="B1192"/>
    </row>
    <row r="1193" spans="1:2" x14ac:dyDescent="0.25">
      <c r="A1193"/>
      <c r="B1193"/>
    </row>
    <row r="1194" spans="1:2" x14ac:dyDescent="0.25">
      <c r="A1194"/>
      <c r="B1194"/>
    </row>
    <row r="1195" spans="1:2" x14ac:dyDescent="0.25">
      <c r="A1195"/>
      <c r="B1195"/>
    </row>
    <row r="1196" spans="1:2" x14ac:dyDescent="0.25">
      <c r="A1196"/>
      <c r="B1196"/>
    </row>
    <row r="1197" spans="1:2" x14ac:dyDescent="0.25">
      <c r="A1197"/>
      <c r="B1197"/>
    </row>
    <row r="1198" spans="1:2" x14ac:dyDescent="0.25">
      <c r="A1198"/>
      <c r="B1198"/>
    </row>
    <row r="1199" spans="1:2" x14ac:dyDescent="0.25">
      <c r="A1199"/>
      <c r="B1199"/>
    </row>
    <row r="1200" spans="1:2" x14ac:dyDescent="0.25">
      <c r="A1200"/>
      <c r="B1200"/>
    </row>
    <row r="1201" spans="1:2" x14ac:dyDescent="0.25">
      <c r="A1201"/>
      <c r="B1201"/>
    </row>
    <row r="1202" spans="1:2" x14ac:dyDescent="0.25">
      <c r="A1202"/>
      <c r="B1202"/>
    </row>
    <row r="1203" spans="1:2" x14ac:dyDescent="0.25">
      <c r="A1203"/>
      <c r="B1203"/>
    </row>
    <row r="1204" spans="1:2" x14ac:dyDescent="0.25">
      <c r="A1204"/>
      <c r="B1204"/>
    </row>
    <row r="1205" spans="1:2" x14ac:dyDescent="0.25">
      <c r="A1205"/>
      <c r="B1205"/>
    </row>
    <row r="1206" spans="1:2" x14ac:dyDescent="0.25">
      <c r="A1206"/>
      <c r="B1206"/>
    </row>
    <row r="1207" spans="1:2" x14ac:dyDescent="0.25">
      <c r="A1207"/>
      <c r="B1207"/>
    </row>
    <row r="1208" spans="1:2" x14ac:dyDescent="0.25">
      <c r="A1208"/>
      <c r="B1208"/>
    </row>
    <row r="1209" spans="1:2" x14ac:dyDescent="0.25">
      <c r="A1209"/>
      <c r="B1209"/>
    </row>
    <row r="1210" spans="1:2" x14ac:dyDescent="0.25">
      <c r="A1210"/>
      <c r="B1210"/>
    </row>
    <row r="1211" spans="1:2" x14ac:dyDescent="0.25">
      <c r="A1211"/>
      <c r="B1211"/>
    </row>
    <row r="1212" spans="1:2" x14ac:dyDescent="0.25">
      <c r="A1212"/>
      <c r="B1212"/>
    </row>
    <row r="1213" spans="1:2" x14ac:dyDescent="0.25">
      <c r="A1213"/>
      <c r="B1213"/>
    </row>
    <row r="1214" spans="1:2" x14ac:dyDescent="0.25">
      <c r="A1214"/>
      <c r="B1214"/>
    </row>
    <row r="1215" spans="1:2" x14ac:dyDescent="0.25">
      <c r="A1215"/>
      <c r="B1215"/>
    </row>
    <row r="1216" spans="1:2" x14ac:dyDescent="0.25">
      <c r="A1216"/>
      <c r="B1216"/>
    </row>
    <row r="1217" spans="1:2" x14ac:dyDescent="0.25">
      <c r="A1217"/>
      <c r="B1217"/>
    </row>
    <row r="1218" spans="1:2" x14ac:dyDescent="0.25">
      <c r="A1218"/>
      <c r="B1218"/>
    </row>
    <row r="1219" spans="1:2" x14ac:dyDescent="0.25">
      <c r="A1219"/>
      <c r="B1219"/>
    </row>
    <row r="1220" spans="1:2" x14ac:dyDescent="0.25">
      <c r="A1220"/>
      <c r="B1220"/>
    </row>
    <row r="1221" spans="1:2" x14ac:dyDescent="0.25">
      <c r="A1221"/>
      <c r="B1221"/>
    </row>
    <row r="1222" spans="1:2" x14ac:dyDescent="0.25">
      <c r="A1222"/>
      <c r="B1222"/>
    </row>
    <row r="1223" spans="1:2" x14ac:dyDescent="0.25">
      <c r="A1223"/>
      <c r="B1223"/>
    </row>
    <row r="1224" spans="1:2" x14ac:dyDescent="0.25">
      <c r="A1224"/>
      <c r="B1224"/>
    </row>
    <row r="1225" spans="1:2" x14ac:dyDescent="0.25">
      <c r="A1225"/>
      <c r="B1225"/>
    </row>
    <row r="1226" spans="1:2" x14ac:dyDescent="0.25">
      <c r="A1226"/>
      <c r="B1226"/>
    </row>
    <row r="1227" spans="1:2" x14ac:dyDescent="0.25">
      <c r="A1227"/>
      <c r="B1227"/>
    </row>
    <row r="1228" spans="1:2" x14ac:dyDescent="0.25">
      <c r="A1228"/>
      <c r="B1228"/>
    </row>
    <row r="1229" spans="1:2" x14ac:dyDescent="0.25">
      <c r="A1229"/>
      <c r="B1229"/>
    </row>
    <row r="1230" spans="1:2" x14ac:dyDescent="0.25">
      <c r="A1230"/>
      <c r="B1230"/>
    </row>
    <row r="1231" spans="1:2" x14ac:dyDescent="0.25">
      <c r="A1231"/>
      <c r="B1231"/>
    </row>
    <row r="1232" spans="1:2" x14ac:dyDescent="0.25">
      <c r="A1232"/>
      <c r="B1232"/>
    </row>
    <row r="1233" spans="1:2" x14ac:dyDescent="0.25">
      <c r="A1233"/>
      <c r="B1233"/>
    </row>
    <row r="1234" spans="1:2" x14ac:dyDescent="0.25">
      <c r="A1234"/>
      <c r="B1234"/>
    </row>
    <row r="1235" spans="1:2" x14ac:dyDescent="0.25">
      <c r="A1235"/>
      <c r="B1235"/>
    </row>
    <row r="1236" spans="1:2" x14ac:dyDescent="0.25">
      <c r="A1236"/>
      <c r="B1236"/>
    </row>
    <row r="1237" spans="1:2" x14ac:dyDescent="0.25">
      <c r="A1237"/>
      <c r="B1237"/>
    </row>
    <row r="1238" spans="1:2" x14ac:dyDescent="0.25">
      <c r="A1238"/>
      <c r="B1238"/>
    </row>
    <row r="1239" spans="1:2" x14ac:dyDescent="0.25">
      <c r="A1239"/>
      <c r="B1239"/>
    </row>
    <row r="1240" spans="1:2" x14ac:dyDescent="0.25">
      <c r="A1240"/>
      <c r="B1240"/>
    </row>
    <row r="1241" spans="1:2" x14ac:dyDescent="0.25">
      <c r="A1241"/>
      <c r="B1241"/>
    </row>
    <row r="1242" spans="1:2" x14ac:dyDescent="0.25">
      <c r="A1242"/>
      <c r="B1242"/>
    </row>
    <row r="1243" spans="1:2" x14ac:dyDescent="0.25">
      <c r="A1243"/>
      <c r="B1243"/>
    </row>
    <row r="1244" spans="1:2" x14ac:dyDescent="0.25">
      <c r="A1244"/>
      <c r="B1244"/>
    </row>
    <row r="1245" spans="1:2" x14ac:dyDescent="0.25">
      <c r="A1245"/>
      <c r="B1245"/>
    </row>
    <row r="1246" spans="1:2" x14ac:dyDescent="0.25">
      <c r="A1246"/>
      <c r="B1246"/>
    </row>
    <row r="1247" spans="1:2" x14ac:dyDescent="0.25">
      <c r="A1247"/>
      <c r="B1247"/>
    </row>
    <row r="1248" spans="1:2" x14ac:dyDescent="0.25">
      <c r="A1248"/>
      <c r="B1248"/>
    </row>
    <row r="1249" spans="1:2" x14ac:dyDescent="0.25">
      <c r="A1249"/>
      <c r="B1249"/>
    </row>
    <row r="1250" spans="1:2" x14ac:dyDescent="0.25">
      <c r="A1250"/>
      <c r="B1250"/>
    </row>
    <row r="1251" spans="1:2" x14ac:dyDescent="0.25">
      <c r="A1251"/>
      <c r="B1251"/>
    </row>
    <row r="1252" spans="1:2" x14ac:dyDescent="0.25">
      <c r="A1252"/>
      <c r="B1252"/>
    </row>
    <row r="1253" spans="1:2" x14ac:dyDescent="0.25">
      <c r="A1253"/>
      <c r="B1253"/>
    </row>
    <row r="1254" spans="1:2" x14ac:dyDescent="0.25">
      <c r="A1254"/>
      <c r="B1254"/>
    </row>
    <row r="1255" spans="1:2" x14ac:dyDescent="0.25">
      <c r="A1255"/>
      <c r="B1255"/>
    </row>
    <row r="1256" spans="1:2" x14ac:dyDescent="0.25">
      <c r="A1256"/>
      <c r="B1256"/>
    </row>
    <row r="1257" spans="1:2" x14ac:dyDescent="0.25">
      <c r="A1257"/>
      <c r="B1257"/>
    </row>
    <row r="1258" spans="1:2" x14ac:dyDescent="0.25">
      <c r="A1258"/>
      <c r="B1258"/>
    </row>
    <row r="1259" spans="1:2" x14ac:dyDescent="0.25">
      <c r="A1259"/>
      <c r="B1259"/>
    </row>
    <row r="1260" spans="1:2" x14ac:dyDescent="0.25">
      <c r="A1260"/>
      <c r="B1260"/>
    </row>
    <row r="1261" spans="1:2" x14ac:dyDescent="0.25">
      <c r="A1261"/>
      <c r="B1261"/>
    </row>
    <row r="1262" spans="1:2" x14ac:dyDescent="0.25">
      <c r="A1262"/>
      <c r="B1262"/>
    </row>
    <row r="1263" spans="1:2" x14ac:dyDescent="0.25">
      <c r="A1263"/>
      <c r="B1263"/>
    </row>
    <row r="1264" spans="1:2" x14ac:dyDescent="0.25">
      <c r="A1264"/>
      <c r="B1264"/>
    </row>
    <row r="1265" spans="1:2" x14ac:dyDescent="0.25">
      <c r="A1265"/>
      <c r="B1265"/>
    </row>
    <row r="1266" spans="1:2" x14ac:dyDescent="0.25">
      <c r="A1266"/>
      <c r="B1266"/>
    </row>
    <row r="1267" spans="1:2" x14ac:dyDescent="0.25">
      <c r="A1267"/>
      <c r="B1267"/>
    </row>
    <row r="1268" spans="1:2" x14ac:dyDescent="0.25">
      <c r="A1268"/>
      <c r="B1268"/>
    </row>
    <row r="1269" spans="1:2" x14ac:dyDescent="0.25">
      <c r="A1269"/>
      <c r="B1269"/>
    </row>
    <row r="1270" spans="1:2" x14ac:dyDescent="0.25">
      <c r="A1270"/>
      <c r="B1270"/>
    </row>
    <row r="1271" spans="1:2" x14ac:dyDescent="0.25">
      <c r="A1271"/>
      <c r="B1271"/>
    </row>
    <row r="1272" spans="1:2" x14ac:dyDescent="0.25">
      <c r="A1272"/>
      <c r="B1272"/>
    </row>
    <row r="1273" spans="1:2" x14ac:dyDescent="0.25">
      <c r="A1273"/>
      <c r="B1273"/>
    </row>
    <row r="1274" spans="1:2" x14ac:dyDescent="0.25">
      <c r="A1274"/>
      <c r="B1274"/>
    </row>
    <row r="1275" spans="1:2" x14ac:dyDescent="0.25">
      <c r="A1275"/>
      <c r="B1275"/>
    </row>
    <row r="1276" spans="1:2" x14ac:dyDescent="0.25">
      <c r="A1276"/>
      <c r="B1276"/>
    </row>
    <row r="1277" spans="1:2" x14ac:dyDescent="0.25">
      <c r="A1277"/>
      <c r="B1277"/>
    </row>
    <row r="1278" spans="1:2" x14ac:dyDescent="0.25">
      <c r="A1278"/>
      <c r="B1278"/>
    </row>
    <row r="1279" spans="1:2" x14ac:dyDescent="0.25">
      <c r="A1279"/>
      <c r="B1279"/>
    </row>
    <row r="1280" spans="1:2" x14ac:dyDescent="0.25">
      <c r="A1280"/>
      <c r="B1280"/>
    </row>
    <row r="1281" spans="1:2" x14ac:dyDescent="0.25">
      <c r="A1281"/>
      <c r="B1281"/>
    </row>
    <row r="1282" spans="1:2" x14ac:dyDescent="0.25">
      <c r="A1282"/>
      <c r="B1282"/>
    </row>
    <row r="1283" spans="1:2" x14ac:dyDescent="0.25">
      <c r="A1283"/>
      <c r="B1283"/>
    </row>
    <row r="1284" spans="1:2" x14ac:dyDescent="0.25">
      <c r="A1284"/>
      <c r="B1284"/>
    </row>
    <row r="1285" spans="1:2" x14ac:dyDescent="0.25">
      <c r="A1285"/>
      <c r="B1285"/>
    </row>
    <row r="1286" spans="1:2" x14ac:dyDescent="0.25">
      <c r="A1286"/>
      <c r="B1286"/>
    </row>
    <row r="1287" spans="1:2" x14ac:dyDescent="0.25">
      <c r="A1287"/>
      <c r="B1287"/>
    </row>
    <row r="1288" spans="1:2" x14ac:dyDescent="0.25">
      <c r="A1288"/>
      <c r="B1288"/>
    </row>
    <row r="1289" spans="1:2" x14ac:dyDescent="0.25">
      <c r="A1289"/>
      <c r="B1289"/>
    </row>
    <row r="1290" spans="1:2" x14ac:dyDescent="0.25">
      <c r="A1290"/>
      <c r="B1290"/>
    </row>
    <row r="1291" spans="1:2" x14ac:dyDescent="0.25">
      <c r="A1291"/>
      <c r="B1291"/>
    </row>
    <row r="1292" spans="1:2" x14ac:dyDescent="0.25">
      <c r="A1292"/>
      <c r="B1292"/>
    </row>
    <row r="1293" spans="1:2" x14ac:dyDescent="0.25">
      <c r="A1293"/>
      <c r="B1293"/>
    </row>
    <row r="1294" spans="1:2" x14ac:dyDescent="0.25">
      <c r="A1294"/>
      <c r="B1294"/>
    </row>
    <row r="1295" spans="1:2" x14ac:dyDescent="0.25">
      <c r="A1295"/>
      <c r="B1295"/>
    </row>
    <row r="1296" spans="1:2" x14ac:dyDescent="0.25">
      <c r="A1296"/>
      <c r="B1296"/>
    </row>
    <row r="1297" spans="1:2" x14ac:dyDescent="0.25">
      <c r="A1297"/>
      <c r="B1297"/>
    </row>
    <row r="1298" spans="1:2" x14ac:dyDescent="0.25">
      <c r="A1298"/>
      <c r="B1298"/>
    </row>
    <row r="1299" spans="1:2" x14ac:dyDescent="0.25">
      <c r="A1299"/>
      <c r="B1299"/>
    </row>
    <row r="1300" spans="1:2" x14ac:dyDescent="0.25">
      <c r="A1300"/>
      <c r="B1300"/>
    </row>
    <row r="1301" spans="1:2" x14ac:dyDescent="0.25">
      <c r="A1301"/>
      <c r="B1301"/>
    </row>
    <row r="1302" spans="1:2" x14ac:dyDescent="0.25">
      <c r="A1302"/>
      <c r="B1302"/>
    </row>
    <row r="1303" spans="1:2" x14ac:dyDescent="0.25">
      <c r="A1303"/>
      <c r="B1303"/>
    </row>
    <row r="1304" spans="1:2" x14ac:dyDescent="0.25">
      <c r="A1304"/>
      <c r="B1304"/>
    </row>
    <row r="1305" spans="1:2" x14ac:dyDescent="0.25">
      <c r="A1305"/>
      <c r="B1305"/>
    </row>
    <row r="1306" spans="1:2" x14ac:dyDescent="0.25">
      <c r="A1306"/>
      <c r="B1306"/>
    </row>
    <row r="1307" spans="1:2" x14ac:dyDescent="0.25">
      <c r="A1307"/>
      <c r="B1307"/>
    </row>
    <row r="1308" spans="1:2" x14ac:dyDescent="0.25">
      <c r="A1308"/>
      <c r="B1308"/>
    </row>
    <row r="1309" spans="1:2" x14ac:dyDescent="0.25">
      <c r="A1309"/>
      <c r="B1309"/>
    </row>
    <row r="1310" spans="1:2" x14ac:dyDescent="0.25">
      <c r="A1310"/>
      <c r="B1310"/>
    </row>
    <row r="1311" spans="1:2" x14ac:dyDescent="0.25">
      <c r="A1311"/>
      <c r="B1311"/>
    </row>
    <row r="1312" spans="1:2" x14ac:dyDescent="0.25">
      <c r="A1312"/>
      <c r="B1312"/>
    </row>
    <row r="1313" spans="1:2" x14ac:dyDescent="0.25">
      <c r="A1313"/>
      <c r="B1313"/>
    </row>
    <row r="1314" spans="1:2" x14ac:dyDescent="0.25">
      <c r="A1314"/>
      <c r="B1314"/>
    </row>
    <row r="1315" spans="1:2" x14ac:dyDescent="0.25">
      <c r="A1315"/>
      <c r="B1315"/>
    </row>
    <row r="1316" spans="1:2" x14ac:dyDescent="0.25">
      <c r="A1316"/>
      <c r="B1316"/>
    </row>
    <row r="1317" spans="1:2" x14ac:dyDescent="0.25">
      <c r="A1317"/>
      <c r="B1317"/>
    </row>
    <row r="1318" spans="1:2" x14ac:dyDescent="0.25">
      <c r="A1318"/>
      <c r="B1318"/>
    </row>
    <row r="1319" spans="1:2" x14ac:dyDescent="0.25">
      <c r="A1319"/>
      <c r="B1319"/>
    </row>
    <row r="1320" spans="1:2" x14ac:dyDescent="0.25">
      <c r="A1320"/>
      <c r="B1320"/>
    </row>
    <row r="1321" spans="1:2" x14ac:dyDescent="0.25">
      <c r="A1321"/>
      <c r="B1321"/>
    </row>
    <row r="1322" spans="1:2" x14ac:dyDescent="0.25">
      <c r="A1322"/>
      <c r="B1322"/>
    </row>
    <row r="1323" spans="1:2" x14ac:dyDescent="0.25">
      <c r="A1323"/>
      <c r="B1323"/>
    </row>
    <row r="1324" spans="1:2" x14ac:dyDescent="0.25">
      <c r="A1324"/>
      <c r="B1324"/>
    </row>
    <row r="1325" spans="1:2" x14ac:dyDescent="0.25">
      <c r="A1325"/>
      <c r="B1325"/>
    </row>
    <row r="1326" spans="1:2" x14ac:dyDescent="0.25">
      <c r="A1326"/>
      <c r="B1326"/>
    </row>
    <row r="1327" spans="1:2" x14ac:dyDescent="0.25">
      <c r="A1327"/>
      <c r="B1327"/>
    </row>
    <row r="1328" spans="1:2" x14ac:dyDescent="0.25">
      <c r="A1328"/>
      <c r="B1328"/>
    </row>
    <row r="1329" spans="1:2" x14ac:dyDescent="0.25">
      <c r="A1329"/>
      <c r="B1329"/>
    </row>
    <row r="1330" spans="1:2" x14ac:dyDescent="0.25">
      <c r="A1330"/>
      <c r="B1330"/>
    </row>
    <row r="1331" spans="1:2" x14ac:dyDescent="0.25">
      <c r="A1331"/>
      <c r="B1331"/>
    </row>
    <row r="1332" spans="1:2" x14ac:dyDescent="0.25">
      <c r="A1332"/>
      <c r="B1332"/>
    </row>
    <row r="1333" spans="1:2" x14ac:dyDescent="0.25">
      <c r="A1333"/>
      <c r="B1333"/>
    </row>
    <row r="1334" spans="1:2" x14ac:dyDescent="0.25">
      <c r="A1334"/>
      <c r="B1334"/>
    </row>
    <row r="1335" spans="1:2" x14ac:dyDescent="0.25">
      <c r="A1335"/>
      <c r="B1335"/>
    </row>
    <row r="1336" spans="1:2" x14ac:dyDescent="0.25">
      <c r="A1336"/>
      <c r="B1336"/>
    </row>
    <row r="1337" spans="1:2" x14ac:dyDescent="0.25">
      <c r="A1337"/>
      <c r="B1337"/>
    </row>
    <row r="1338" spans="1:2" x14ac:dyDescent="0.25">
      <c r="A1338"/>
      <c r="B1338"/>
    </row>
    <row r="1339" spans="1:2" x14ac:dyDescent="0.25">
      <c r="A1339"/>
      <c r="B1339"/>
    </row>
    <row r="1340" spans="1:2" x14ac:dyDescent="0.25">
      <c r="A1340"/>
      <c r="B1340"/>
    </row>
    <row r="1341" spans="1:2" x14ac:dyDescent="0.25">
      <c r="A1341"/>
      <c r="B1341"/>
    </row>
    <row r="1342" spans="1:2" x14ac:dyDescent="0.25">
      <c r="A1342"/>
      <c r="B1342"/>
    </row>
    <row r="1343" spans="1:2" x14ac:dyDescent="0.25">
      <c r="A1343"/>
      <c r="B1343"/>
    </row>
    <row r="1344" spans="1:2" x14ac:dyDescent="0.25">
      <c r="A1344"/>
      <c r="B1344"/>
    </row>
    <row r="1345" spans="1:2" x14ac:dyDescent="0.25">
      <c r="A1345"/>
      <c r="B1345"/>
    </row>
    <row r="1346" spans="1:2" x14ac:dyDescent="0.25">
      <c r="A1346"/>
      <c r="B1346"/>
    </row>
    <row r="1347" spans="1:2" x14ac:dyDescent="0.25">
      <c r="A1347"/>
      <c r="B1347"/>
    </row>
    <row r="1348" spans="1:2" x14ac:dyDescent="0.25">
      <c r="A1348"/>
      <c r="B1348"/>
    </row>
    <row r="1349" spans="1:2" x14ac:dyDescent="0.25">
      <c r="A1349"/>
      <c r="B1349"/>
    </row>
    <row r="1350" spans="1:2" x14ac:dyDescent="0.25">
      <c r="A1350"/>
      <c r="B1350"/>
    </row>
    <row r="1351" spans="1:2" x14ac:dyDescent="0.25">
      <c r="A1351"/>
      <c r="B1351"/>
    </row>
    <row r="1352" spans="1:2" x14ac:dyDescent="0.25">
      <c r="A1352"/>
      <c r="B1352"/>
    </row>
    <row r="1353" spans="1:2" x14ac:dyDescent="0.25">
      <c r="A1353"/>
      <c r="B1353"/>
    </row>
    <row r="1354" spans="1:2" x14ac:dyDescent="0.25">
      <c r="A1354"/>
      <c r="B1354"/>
    </row>
    <row r="1355" spans="1:2" x14ac:dyDescent="0.25">
      <c r="A1355"/>
      <c r="B1355"/>
    </row>
    <row r="1356" spans="1:2" x14ac:dyDescent="0.25">
      <c r="A1356"/>
      <c r="B1356"/>
    </row>
    <row r="1357" spans="1:2" x14ac:dyDescent="0.25">
      <c r="A1357"/>
      <c r="B1357"/>
    </row>
    <row r="1358" spans="1:2" x14ac:dyDescent="0.25">
      <c r="A1358"/>
      <c r="B1358"/>
    </row>
    <row r="1359" spans="1:2" x14ac:dyDescent="0.25">
      <c r="A1359"/>
      <c r="B1359"/>
    </row>
    <row r="1360" spans="1:2" x14ac:dyDescent="0.25">
      <c r="A1360"/>
      <c r="B1360"/>
    </row>
    <row r="1361" spans="1:2" x14ac:dyDescent="0.25">
      <c r="A1361"/>
      <c r="B1361"/>
    </row>
    <row r="1362" spans="1:2" x14ac:dyDescent="0.25">
      <c r="A1362"/>
      <c r="B1362"/>
    </row>
    <row r="1363" spans="1:2" x14ac:dyDescent="0.25">
      <c r="A1363"/>
      <c r="B1363"/>
    </row>
    <row r="1364" spans="1:2" x14ac:dyDescent="0.25">
      <c r="A1364"/>
      <c r="B1364"/>
    </row>
    <row r="1365" spans="1:2" x14ac:dyDescent="0.25">
      <c r="A1365"/>
      <c r="B1365"/>
    </row>
    <row r="1366" spans="1:2" x14ac:dyDescent="0.25">
      <c r="A1366"/>
      <c r="B1366"/>
    </row>
    <row r="1367" spans="1:2" x14ac:dyDescent="0.25">
      <c r="A1367"/>
      <c r="B1367"/>
    </row>
    <row r="1368" spans="1:2" x14ac:dyDescent="0.25">
      <c r="A1368"/>
      <c r="B1368"/>
    </row>
    <row r="1369" spans="1:2" x14ac:dyDescent="0.25">
      <c r="A1369"/>
      <c r="B1369"/>
    </row>
    <row r="1370" spans="1:2" x14ac:dyDescent="0.25">
      <c r="A1370"/>
      <c r="B1370"/>
    </row>
    <row r="1371" spans="1:2" x14ac:dyDescent="0.25">
      <c r="A1371"/>
      <c r="B1371"/>
    </row>
    <row r="1372" spans="1:2" x14ac:dyDescent="0.25">
      <c r="A1372"/>
      <c r="B1372"/>
    </row>
    <row r="1373" spans="1:2" x14ac:dyDescent="0.25">
      <c r="A1373"/>
      <c r="B1373"/>
    </row>
    <row r="1374" spans="1:2" x14ac:dyDescent="0.25">
      <c r="A1374"/>
      <c r="B1374"/>
    </row>
    <row r="1375" spans="1:2" x14ac:dyDescent="0.25">
      <c r="A1375"/>
      <c r="B1375"/>
    </row>
    <row r="1376" spans="1:2" x14ac:dyDescent="0.25">
      <c r="A1376"/>
      <c r="B1376"/>
    </row>
    <row r="1377" spans="1:2" x14ac:dyDescent="0.25">
      <c r="A1377"/>
      <c r="B1377"/>
    </row>
    <row r="1378" spans="1:2" x14ac:dyDescent="0.25">
      <c r="A1378"/>
      <c r="B1378"/>
    </row>
    <row r="1379" spans="1:2" x14ac:dyDescent="0.25">
      <c r="A1379"/>
      <c r="B1379"/>
    </row>
    <row r="1380" spans="1:2" x14ac:dyDescent="0.25">
      <c r="A1380"/>
      <c r="B1380"/>
    </row>
    <row r="1381" spans="1:2" x14ac:dyDescent="0.25">
      <c r="A1381"/>
      <c r="B1381"/>
    </row>
    <row r="1382" spans="1:2" x14ac:dyDescent="0.25">
      <c r="A1382"/>
      <c r="B1382"/>
    </row>
    <row r="1383" spans="1:2" x14ac:dyDescent="0.25">
      <c r="A1383"/>
      <c r="B1383"/>
    </row>
    <row r="1384" spans="1:2" x14ac:dyDescent="0.25">
      <c r="A1384"/>
      <c r="B1384"/>
    </row>
    <row r="1385" spans="1:2" x14ac:dyDescent="0.25">
      <c r="A1385"/>
      <c r="B1385"/>
    </row>
    <row r="1386" spans="1:2" x14ac:dyDescent="0.25">
      <c r="A1386"/>
      <c r="B1386"/>
    </row>
    <row r="1387" spans="1:2" x14ac:dyDescent="0.25">
      <c r="A1387"/>
      <c r="B1387"/>
    </row>
    <row r="1388" spans="1:2" x14ac:dyDescent="0.25">
      <c r="A1388"/>
      <c r="B1388"/>
    </row>
    <row r="1389" spans="1:2" x14ac:dyDescent="0.25">
      <c r="A1389"/>
      <c r="B1389"/>
    </row>
    <row r="1390" spans="1:2" x14ac:dyDescent="0.25">
      <c r="A1390"/>
      <c r="B1390"/>
    </row>
    <row r="1391" spans="1:2" x14ac:dyDescent="0.25">
      <c r="A1391"/>
      <c r="B1391"/>
    </row>
    <row r="1392" spans="1:2" x14ac:dyDescent="0.25">
      <c r="A1392"/>
      <c r="B1392"/>
    </row>
    <row r="1393" spans="1:2" x14ac:dyDescent="0.25">
      <c r="A1393"/>
      <c r="B1393"/>
    </row>
    <row r="1394" spans="1:2" x14ac:dyDescent="0.25">
      <c r="A1394"/>
      <c r="B1394"/>
    </row>
    <row r="1395" spans="1:2" x14ac:dyDescent="0.25">
      <c r="A1395"/>
      <c r="B1395"/>
    </row>
    <row r="1396" spans="1:2" x14ac:dyDescent="0.25">
      <c r="A1396"/>
      <c r="B1396"/>
    </row>
    <row r="1397" spans="1:2" x14ac:dyDescent="0.25">
      <c r="A1397"/>
      <c r="B1397"/>
    </row>
    <row r="1398" spans="1:2" x14ac:dyDescent="0.25">
      <c r="A1398"/>
      <c r="B1398"/>
    </row>
    <row r="1399" spans="1:2" x14ac:dyDescent="0.25">
      <c r="A1399"/>
      <c r="B1399"/>
    </row>
    <row r="1400" spans="1:2" x14ac:dyDescent="0.25">
      <c r="A1400"/>
      <c r="B1400"/>
    </row>
    <row r="1401" spans="1:2" x14ac:dyDescent="0.25">
      <c r="A1401"/>
      <c r="B1401"/>
    </row>
    <row r="1402" spans="1:2" x14ac:dyDescent="0.25">
      <c r="A1402"/>
      <c r="B1402"/>
    </row>
    <row r="1403" spans="1:2" x14ac:dyDescent="0.25">
      <c r="A1403"/>
      <c r="B1403"/>
    </row>
    <row r="1404" spans="1:2" x14ac:dyDescent="0.25">
      <c r="A1404"/>
      <c r="B1404"/>
    </row>
    <row r="1405" spans="1:2" x14ac:dyDescent="0.25">
      <c r="A1405"/>
      <c r="B1405"/>
    </row>
    <row r="1406" spans="1:2" x14ac:dyDescent="0.25">
      <c r="A1406"/>
      <c r="B1406"/>
    </row>
    <row r="1407" spans="1:2" x14ac:dyDescent="0.25">
      <c r="A1407"/>
      <c r="B1407"/>
    </row>
    <row r="1408" spans="1:2" x14ac:dyDescent="0.25">
      <c r="A1408"/>
      <c r="B1408"/>
    </row>
    <row r="1409" spans="1:2" x14ac:dyDescent="0.25">
      <c r="A1409"/>
      <c r="B1409"/>
    </row>
    <row r="1410" spans="1:2" x14ac:dyDescent="0.25">
      <c r="A1410"/>
      <c r="B1410"/>
    </row>
    <row r="1411" spans="1:2" x14ac:dyDescent="0.25">
      <c r="A1411"/>
      <c r="B1411"/>
    </row>
    <row r="1412" spans="1:2" x14ac:dyDescent="0.25">
      <c r="A1412"/>
      <c r="B1412"/>
    </row>
    <row r="1413" spans="1:2" x14ac:dyDescent="0.25">
      <c r="A1413"/>
      <c r="B1413"/>
    </row>
    <row r="1414" spans="1:2" x14ac:dyDescent="0.25">
      <c r="A1414"/>
      <c r="B1414"/>
    </row>
    <row r="1415" spans="1:2" x14ac:dyDescent="0.25">
      <c r="A1415"/>
      <c r="B1415"/>
    </row>
    <row r="1416" spans="1:2" x14ac:dyDescent="0.25">
      <c r="A1416"/>
      <c r="B1416"/>
    </row>
    <row r="1417" spans="1:2" x14ac:dyDescent="0.25">
      <c r="A1417"/>
      <c r="B1417"/>
    </row>
    <row r="1418" spans="1:2" x14ac:dyDescent="0.25">
      <c r="A1418"/>
      <c r="B1418"/>
    </row>
    <row r="1419" spans="1:2" x14ac:dyDescent="0.25">
      <c r="A1419"/>
      <c r="B1419"/>
    </row>
    <row r="1420" spans="1:2" x14ac:dyDescent="0.25">
      <c r="A1420"/>
      <c r="B1420"/>
    </row>
    <row r="1421" spans="1:2" x14ac:dyDescent="0.25">
      <c r="A1421"/>
      <c r="B1421"/>
    </row>
    <row r="1422" spans="1:2" x14ac:dyDescent="0.25">
      <c r="A1422"/>
      <c r="B1422"/>
    </row>
    <row r="1423" spans="1:2" x14ac:dyDescent="0.25">
      <c r="A1423"/>
      <c r="B1423"/>
    </row>
    <row r="1424" spans="1:2" x14ac:dyDescent="0.25">
      <c r="A1424"/>
      <c r="B1424"/>
    </row>
    <row r="1425" spans="1:2" x14ac:dyDescent="0.25">
      <c r="A1425"/>
      <c r="B1425"/>
    </row>
    <row r="1426" spans="1:2" x14ac:dyDescent="0.25">
      <c r="A1426"/>
      <c r="B1426"/>
    </row>
    <row r="1427" spans="1:2" x14ac:dyDescent="0.25">
      <c r="A1427"/>
      <c r="B1427"/>
    </row>
    <row r="1428" spans="1:2" x14ac:dyDescent="0.25">
      <c r="A1428"/>
      <c r="B1428"/>
    </row>
    <row r="1429" spans="1:2" x14ac:dyDescent="0.25">
      <c r="A1429"/>
      <c r="B1429"/>
    </row>
    <row r="1430" spans="1:2" x14ac:dyDescent="0.25">
      <c r="A1430"/>
      <c r="B1430"/>
    </row>
    <row r="1431" spans="1:2" x14ac:dyDescent="0.25">
      <c r="A1431"/>
      <c r="B1431"/>
    </row>
    <row r="1432" spans="1:2" x14ac:dyDescent="0.25">
      <c r="A1432"/>
      <c r="B1432"/>
    </row>
    <row r="1433" spans="1:2" x14ac:dyDescent="0.25">
      <c r="A1433"/>
      <c r="B1433"/>
    </row>
    <row r="1434" spans="1:2" x14ac:dyDescent="0.25">
      <c r="A1434"/>
      <c r="B1434"/>
    </row>
    <row r="1435" spans="1:2" x14ac:dyDescent="0.25">
      <c r="A1435"/>
      <c r="B1435"/>
    </row>
    <row r="1436" spans="1:2" x14ac:dyDescent="0.25">
      <c r="A1436"/>
      <c r="B1436"/>
    </row>
    <row r="1437" spans="1:2" x14ac:dyDescent="0.25">
      <c r="A1437"/>
      <c r="B1437"/>
    </row>
    <row r="1438" spans="1:2" x14ac:dyDescent="0.25">
      <c r="A1438"/>
      <c r="B1438"/>
    </row>
    <row r="1439" spans="1:2" x14ac:dyDescent="0.25">
      <c r="A1439"/>
      <c r="B1439"/>
    </row>
    <row r="1440" spans="1:2" x14ac:dyDescent="0.25">
      <c r="A1440"/>
      <c r="B1440"/>
    </row>
    <row r="1441" spans="1:2" x14ac:dyDescent="0.25">
      <c r="A1441"/>
      <c r="B1441"/>
    </row>
    <row r="1442" spans="1:2" x14ac:dyDescent="0.25">
      <c r="A1442"/>
      <c r="B1442"/>
    </row>
    <row r="1443" spans="1:2" x14ac:dyDescent="0.25">
      <c r="A1443"/>
      <c r="B1443"/>
    </row>
    <row r="1444" spans="1:2" x14ac:dyDescent="0.25">
      <c r="A1444"/>
      <c r="B1444"/>
    </row>
    <row r="1445" spans="1:2" x14ac:dyDescent="0.25">
      <c r="A1445"/>
      <c r="B1445"/>
    </row>
    <row r="1446" spans="1:2" x14ac:dyDescent="0.25">
      <c r="A1446"/>
      <c r="B1446"/>
    </row>
    <row r="1447" spans="1:2" x14ac:dyDescent="0.25">
      <c r="A1447"/>
      <c r="B1447"/>
    </row>
    <row r="1448" spans="1:2" x14ac:dyDescent="0.25">
      <c r="A1448"/>
      <c r="B1448"/>
    </row>
    <row r="1449" spans="1:2" x14ac:dyDescent="0.25">
      <c r="A1449"/>
      <c r="B1449"/>
    </row>
    <row r="1450" spans="1:2" x14ac:dyDescent="0.25">
      <c r="A1450"/>
      <c r="B1450"/>
    </row>
    <row r="1451" spans="1:2" x14ac:dyDescent="0.25">
      <c r="A1451"/>
      <c r="B1451"/>
    </row>
    <row r="1452" spans="1:2" x14ac:dyDescent="0.25">
      <c r="A1452"/>
      <c r="B1452"/>
    </row>
    <row r="1453" spans="1:2" x14ac:dyDescent="0.25">
      <c r="A1453"/>
      <c r="B1453"/>
    </row>
    <row r="1454" spans="1:2" x14ac:dyDescent="0.25">
      <c r="A1454"/>
      <c r="B1454"/>
    </row>
    <row r="1455" spans="1:2" x14ac:dyDescent="0.25">
      <c r="A1455"/>
      <c r="B1455"/>
    </row>
    <row r="1456" spans="1:2" x14ac:dyDescent="0.25">
      <c r="A1456"/>
      <c r="B1456"/>
    </row>
    <row r="1457" spans="1:2" x14ac:dyDescent="0.25">
      <c r="A1457"/>
      <c r="B1457"/>
    </row>
    <row r="1458" spans="1:2" x14ac:dyDescent="0.25">
      <c r="A1458"/>
      <c r="B1458"/>
    </row>
    <row r="1459" spans="1:2" x14ac:dyDescent="0.25">
      <c r="A1459"/>
      <c r="B1459"/>
    </row>
    <row r="1460" spans="1:2" x14ac:dyDescent="0.25">
      <c r="A1460"/>
      <c r="B1460"/>
    </row>
    <row r="1461" spans="1:2" x14ac:dyDescent="0.25">
      <c r="A1461"/>
      <c r="B1461"/>
    </row>
    <row r="1462" spans="1:2" x14ac:dyDescent="0.25">
      <c r="A1462"/>
      <c r="B1462"/>
    </row>
    <row r="1463" spans="1:2" x14ac:dyDescent="0.25">
      <c r="A1463"/>
      <c r="B1463"/>
    </row>
    <row r="1464" spans="1:2" x14ac:dyDescent="0.25">
      <c r="A1464"/>
      <c r="B1464"/>
    </row>
    <row r="1465" spans="1:2" x14ac:dyDescent="0.25">
      <c r="A1465"/>
      <c r="B1465"/>
    </row>
    <row r="1466" spans="1:2" x14ac:dyDescent="0.25">
      <c r="A1466"/>
      <c r="B1466"/>
    </row>
    <row r="1467" spans="1:2" x14ac:dyDescent="0.25">
      <c r="A1467"/>
      <c r="B1467"/>
    </row>
    <row r="1468" spans="1:2" x14ac:dyDescent="0.25">
      <c r="A1468"/>
      <c r="B1468"/>
    </row>
    <row r="1469" spans="1:2" x14ac:dyDescent="0.25">
      <c r="A1469"/>
      <c r="B1469"/>
    </row>
    <row r="1470" spans="1:2" x14ac:dyDescent="0.25">
      <c r="A1470"/>
      <c r="B1470"/>
    </row>
    <row r="1471" spans="1:2" x14ac:dyDescent="0.25">
      <c r="A1471"/>
      <c r="B1471"/>
    </row>
    <row r="1472" spans="1:2" x14ac:dyDescent="0.25">
      <c r="A1472"/>
      <c r="B1472"/>
    </row>
    <row r="1473" spans="1:2" x14ac:dyDescent="0.25">
      <c r="A1473"/>
      <c r="B1473"/>
    </row>
    <row r="1474" spans="1:2" x14ac:dyDescent="0.25">
      <c r="A1474"/>
      <c r="B1474"/>
    </row>
    <row r="1475" spans="1:2" x14ac:dyDescent="0.25">
      <c r="A1475"/>
      <c r="B1475"/>
    </row>
    <row r="1476" spans="1:2" x14ac:dyDescent="0.25">
      <c r="A1476"/>
      <c r="B1476"/>
    </row>
    <row r="1477" spans="1:2" x14ac:dyDescent="0.25">
      <c r="A1477"/>
      <c r="B1477"/>
    </row>
    <row r="1478" spans="1:2" x14ac:dyDescent="0.25">
      <c r="A1478"/>
      <c r="B1478"/>
    </row>
    <row r="1479" spans="1:2" x14ac:dyDescent="0.25">
      <c r="A1479"/>
      <c r="B1479"/>
    </row>
    <row r="1480" spans="1:2" x14ac:dyDescent="0.25">
      <c r="A1480"/>
      <c r="B1480"/>
    </row>
    <row r="1481" spans="1:2" x14ac:dyDescent="0.25">
      <c r="A1481"/>
      <c r="B1481"/>
    </row>
    <row r="1482" spans="1:2" x14ac:dyDescent="0.25">
      <c r="A1482"/>
      <c r="B1482"/>
    </row>
    <row r="1483" spans="1:2" x14ac:dyDescent="0.25">
      <c r="A1483"/>
      <c r="B1483"/>
    </row>
    <row r="1484" spans="1:2" x14ac:dyDescent="0.25">
      <c r="A1484"/>
      <c r="B1484"/>
    </row>
    <row r="1485" spans="1:2" x14ac:dyDescent="0.25">
      <c r="A1485"/>
      <c r="B1485"/>
    </row>
    <row r="1486" spans="1:2" x14ac:dyDescent="0.25">
      <c r="A1486"/>
      <c r="B1486"/>
    </row>
    <row r="1487" spans="1:2" x14ac:dyDescent="0.25">
      <c r="A1487"/>
      <c r="B1487"/>
    </row>
    <row r="1488" spans="1:2" x14ac:dyDescent="0.25">
      <c r="A1488"/>
      <c r="B1488"/>
    </row>
    <row r="1489" spans="1:2" x14ac:dyDescent="0.25">
      <c r="A1489"/>
      <c r="B1489"/>
    </row>
    <row r="1490" spans="1:2" x14ac:dyDescent="0.25">
      <c r="A1490"/>
      <c r="B1490"/>
    </row>
    <row r="1491" spans="1:2" x14ac:dyDescent="0.25">
      <c r="A1491"/>
      <c r="B1491"/>
    </row>
    <row r="1492" spans="1:2" x14ac:dyDescent="0.25">
      <c r="A1492"/>
      <c r="B1492"/>
    </row>
    <row r="1493" spans="1:2" x14ac:dyDescent="0.25">
      <c r="A1493"/>
      <c r="B1493"/>
    </row>
    <row r="1494" spans="1:2" x14ac:dyDescent="0.25">
      <c r="A1494"/>
      <c r="B1494"/>
    </row>
    <row r="1495" spans="1:2" x14ac:dyDescent="0.25">
      <c r="A1495"/>
      <c r="B1495"/>
    </row>
    <row r="1496" spans="1:2" x14ac:dyDescent="0.25">
      <c r="A1496"/>
      <c r="B1496"/>
    </row>
    <row r="1497" spans="1:2" x14ac:dyDescent="0.25">
      <c r="A1497"/>
      <c r="B1497"/>
    </row>
    <row r="1498" spans="1:2" x14ac:dyDescent="0.25">
      <c r="A1498"/>
      <c r="B1498"/>
    </row>
    <row r="1499" spans="1:2" x14ac:dyDescent="0.25">
      <c r="A1499"/>
      <c r="B1499"/>
    </row>
    <row r="1500" spans="1:2" x14ac:dyDescent="0.25">
      <c r="A1500"/>
      <c r="B1500"/>
    </row>
    <row r="1501" spans="1:2" x14ac:dyDescent="0.25">
      <c r="A1501"/>
      <c r="B1501"/>
    </row>
    <row r="1502" spans="1:2" x14ac:dyDescent="0.25">
      <c r="A1502"/>
      <c r="B1502"/>
    </row>
    <row r="1503" spans="1:2" x14ac:dyDescent="0.25">
      <c r="A1503"/>
      <c r="B1503"/>
    </row>
    <row r="1504" spans="1:2" x14ac:dyDescent="0.25">
      <c r="A1504"/>
      <c r="B1504"/>
    </row>
    <row r="1505" spans="1:2" x14ac:dyDescent="0.25">
      <c r="A1505"/>
      <c r="B1505"/>
    </row>
    <row r="1506" spans="1:2" x14ac:dyDescent="0.25">
      <c r="A1506"/>
      <c r="B1506"/>
    </row>
    <row r="1507" spans="1:2" x14ac:dyDescent="0.25">
      <c r="A1507"/>
      <c r="B1507"/>
    </row>
    <row r="1508" spans="1:2" x14ac:dyDescent="0.25">
      <c r="A1508"/>
      <c r="B1508"/>
    </row>
    <row r="1509" spans="1:2" x14ac:dyDescent="0.25">
      <c r="A1509"/>
      <c r="B1509"/>
    </row>
    <row r="1510" spans="1:2" x14ac:dyDescent="0.25">
      <c r="A1510"/>
      <c r="B1510"/>
    </row>
    <row r="1511" spans="1:2" x14ac:dyDescent="0.25">
      <c r="A1511"/>
      <c r="B1511"/>
    </row>
    <row r="1512" spans="1:2" x14ac:dyDescent="0.25">
      <c r="A1512"/>
      <c r="B1512"/>
    </row>
    <row r="1513" spans="1:2" x14ac:dyDescent="0.25">
      <c r="A1513"/>
      <c r="B1513"/>
    </row>
    <row r="1514" spans="1:2" x14ac:dyDescent="0.25">
      <c r="A1514"/>
      <c r="B1514"/>
    </row>
    <row r="1515" spans="1:2" x14ac:dyDescent="0.25">
      <c r="A1515"/>
      <c r="B1515"/>
    </row>
    <row r="1516" spans="1:2" x14ac:dyDescent="0.25">
      <c r="A1516"/>
      <c r="B1516"/>
    </row>
    <row r="1517" spans="1:2" x14ac:dyDescent="0.25">
      <c r="A1517"/>
      <c r="B1517"/>
    </row>
    <row r="1518" spans="1:2" x14ac:dyDescent="0.25">
      <c r="A1518"/>
      <c r="B1518"/>
    </row>
    <row r="1519" spans="1:2" x14ac:dyDescent="0.25">
      <c r="A1519"/>
      <c r="B1519"/>
    </row>
    <row r="1520" spans="1:2" x14ac:dyDescent="0.25">
      <c r="A1520"/>
      <c r="B1520"/>
    </row>
    <row r="1521" spans="1:2" x14ac:dyDescent="0.25">
      <c r="A1521"/>
      <c r="B1521"/>
    </row>
    <row r="1522" spans="1:2" x14ac:dyDescent="0.25">
      <c r="A1522"/>
      <c r="B1522"/>
    </row>
    <row r="1523" spans="1:2" x14ac:dyDescent="0.25">
      <c r="A1523"/>
      <c r="B1523"/>
    </row>
    <row r="1524" spans="1:2" x14ac:dyDescent="0.25">
      <c r="A1524"/>
      <c r="B1524"/>
    </row>
    <row r="1525" spans="1:2" x14ac:dyDescent="0.25">
      <c r="A1525"/>
      <c r="B1525"/>
    </row>
    <row r="1526" spans="1:2" x14ac:dyDescent="0.25">
      <c r="A1526"/>
      <c r="B1526"/>
    </row>
    <row r="1527" spans="1:2" x14ac:dyDescent="0.25">
      <c r="A1527"/>
      <c r="B1527"/>
    </row>
    <row r="1528" spans="1:2" x14ac:dyDescent="0.25">
      <c r="A1528"/>
      <c r="B1528"/>
    </row>
    <row r="1529" spans="1:2" x14ac:dyDescent="0.25">
      <c r="A1529"/>
      <c r="B1529"/>
    </row>
    <row r="1530" spans="1:2" x14ac:dyDescent="0.25">
      <c r="A1530"/>
      <c r="B1530"/>
    </row>
    <row r="1531" spans="1:2" x14ac:dyDescent="0.25">
      <c r="A1531"/>
      <c r="B1531"/>
    </row>
    <row r="1532" spans="1:2" x14ac:dyDescent="0.25">
      <c r="A1532"/>
      <c r="B1532"/>
    </row>
    <row r="1533" spans="1:2" x14ac:dyDescent="0.25">
      <c r="A1533"/>
      <c r="B1533"/>
    </row>
    <row r="1534" spans="1:2" x14ac:dyDescent="0.25">
      <c r="A1534"/>
      <c r="B1534"/>
    </row>
    <row r="1535" spans="1:2" x14ac:dyDescent="0.25">
      <c r="A1535"/>
      <c r="B1535"/>
    </row>
    <row r="1536" spans="1:2" x14ac:dyDescent="0.25">
      <c r="A1536"/>
      <c r="B1536"/>
    </row>
    <row r="1537" spans="1:2" x14ac:dyDescent="0.25">
      <c r="A1537"/>
      <c r="B1537"/>
    </row>
    <row r="1538" spans="1:2" x14ac:dyDescent="0.25">
      <c r="A1538"/>
      <c r="B1538"/>
    </row>
    <row r="1539" spans="1:2" x14ac:dyDescent="0.25">
      <c r="A1539"/>
      <c r="B1539"/>
    </row>
    <row r="1540" spans="1:2" x14ac:dyDescent="0.25">
      <c r="A1540"/>
      <c r="B1540"/>
    </row>
    <row r="1541" spans="1:2" x14ac:dyDescent="0.25">
      <c r="A1541"/>
      <c r="B1541"/>
    </row>
    <row r="1542" spans="1:2" x14ac:dyDescent="0.25">
      <c r="A1542"/>
      <c r="B1542"/>
    </row>
    <row r="1543" spans="1:2" x14ac:dyDescent="0.25">
      <c r="A1543"/>
      <c r="B1543"/>
    </row>
    <row r="1544" spans="1:2" x14ac:dyDescent="0.25">
      <c r="A1544"/>
      <c r="B1544"/>
    </row>
    <row r="1545" spans="1:2" x14ac:dyDescent="0.25">
      <c r="A1545"/>
      <c r="B1545"/>
    </row>
    <row r="1546" spans="1:2" x14ac:dyDescent="0.25">
      <c r="A1546"/>
      <c r="B1546"/>
    </row>
    <row r="1547" spans="1:2" x14ac:dyDescent="0.25">
      <c r="A1547"/>
      <c r="B1547"/>
    </row>
    <row r="1548" spans="1:2" x14ac:dyDescent="0.25">
      <c r="A1548"/>
      <c r="B1548"/>
    </row>
    <row r="1549" spans="1:2" x14ac:dyDescent="0.25">
      <c r="A1549"/>
      <c r="B1549"/>
    </row>
    <row r="1550" spans="1:2" x14ac:dyDescent="0.25">
      <c r="A1550"/>
      <c r="B1550"/>
    </row>
    <row r="1551" spans="1:2" x14ac:dyDescent="0.25">
      <c r="A1551"/>
      <c r="B1551"/>
    </row>
    <row r="1552" spans="1:2" x14ac:dyDescent="0.25">
      <c r="A1552"/>
      <c r="B1552"/>
    </row>
    <row r="1553" spans="1:2" x14ac:dyDescent="0.25">
      <c r="A1553"/>
      <c r="B1553"/>
    </row>
    <row r="1554" spans="1:2" x14ac:dyDescent="0.25">
      <c r="A1554"/>
      <c r="B1554"/>
    </row>
    <row r="1555" spans="1:2" x14ac:dyDescent="0.25">
      <c r="A1555"/>
      <c r="B1555"/>
    </row>
    <row r="1556" spans="1:2" x14ac:dyDescent="0.25">
      <c r="A1556"/>
      <c r="B1556"/>
    </row>
    <row r="1557" spans="1:2" x14ac:dyDescent="0.25">
      <c r="A1557"/>
      <c r="B1557"/>
    </row>
    <row r="1558" spans="1:2" x14ac:dyDescent="0.25">
      <c r="A1558"/>
      <c r="B1558"/>
    </row>
    <row r="1559" spans="1:2" x14ac:dyDescent="0.25">
      <c r="A1559"/>
      <c r="B1559"/>
    </row>
    <row r="1560" spans="1:2" x14ac:dyDescent="0.25">
      <c r="A1560"/>
      <c r="B1560"/>
    </row>
    <row r="1561" spans="1:2" x14ac:dyDescent="0.25">
      <c r="A1561"/>
      <c r="B1561"/>
    </row>
    <row r="1562" spans="1:2" x14ac:dyDescent="0.25">
      <c r="A1562"/>
      <c r="B1562"/>
    </row>
    <row r="1563" spans="1:2" x14ac:dyDescent="0.25">
      <c r="A1563"/>
      <c r="B1563"/>
    </row>
    <row r="1564" spans="1:2" x14ac:dyDescent="0.25">
      <c r="A1564"/>
      <c r="B1564"/>
    </row>
    <row r="1565" spans="1:2" x14ac:dyDescent="0.25">
      <c r="A1565"/>
      <c r="B1565"/>
    </row>
    <row r="1566" spans="1:2" x14ac:dyDescent="0.25">
      <c r="A1566"/>
      <c r="B1566"/>
    </row>
    <row r="1567" spans="1:2" x14ac:dyDescent="0.25">
      <c r="A1567"/>
      <c r="B1567"/>
    </row>
    <row r="1568" spans="1:2" x14ac:dyDescent="0.25">
      <c r="A1568"/>
      <c r="B1568"/>
    </row>
    <row r="1569" spans="1:2" x14ac:dyDescent="0.25">
      <c r="A1569"/>
      <c r="B1569"/>
    </row>
    <row r="1570" spans="1:2" x14ac:dyDescent="0.25">
      <c r="A1570"/>
      <c r="B1570"/>
    </row>
    <row r="1571" spans="1:2" x14ac:dyDescent="0.25">
      <c r="A1571"/>
      <c r="B1571"/>
    </row>
    <row r="1572" spans="1:2" x14ac:dyDescent="0.25">
      <c r="A1572"/>
      <c r="B1572"/>
    </row>
    <row r="1573" spans="1:2" x14ac:dyDescent="0.25">
      <c r="A1573"/>
      <c r="B1573"/>
    </row>
    <row r="1574" spans="1:2" x14ac:dyDescent="0.25">
      <c r="A1574"/>
      <c r="B1574"/>
    </row>
    <row r="1575" spans="1:2" x14ac:dyDescent="0.25">
      <c r="A1575"/>
      <c r="B1575"/>
    </row>
    <row r="1576" spans="1:2" x14ac:dyDescent="0.25">
      <c r="A1576"/>
      <c r="B1576"/>
    </row>
    <row r="1577" spans="1:2" x14ac:dyDescent="0.25">
      <c r="A1577"/>
      <c r="B1577"/>
    </row>
    <row r="1578" spans="1:2" x14ac:dyDescent="0.25">
      <c r="A1578"/>
      <c r="B1578"/>
    </row>
    <row r="1579" spans="1:2" x14ac:dyDescent="0.25">
      <c r="A1579"/>
      <c r="B1579"/>
    </row>
    <row r="1580" spans="1:2" x14ac:dyDescent="0.25">
      <c r="A1580"/>
      <c r="B1580"/>
    </row>
    <row r="1581" spans="1:2" x14ac:dyDescent="0.25">
      <c r="A1581"/>
      <c r="B1581"/>
    </row>
    <row r="1582" spans="1:2" x14ac:dyDescent="0.25">
      <c r="A1582"/>
      <c r="B1582"/>
    </row>
    <row r="1583" spans="1:2" x14ac:dyDescent="0.25">
      <c r="A1583"/>
      <c r="B1583"/>
    </row>
    <row r="1584" spans="1:2" x14ac:dyDescent="0.25">
      <c r="A1584"/>
      <c r="B1584"/>
    </row>
    <row r="1585" spans="1:2" x14ac:dyDescent="0.25">
      <c r="A1585"/>
      <c r="B1585"/>
    </row>
    <row r="1586" spans="1:2" x14ac:dyDescent="0.25">
      <c r="A1586"/>
      <c r="B1586"/>
    </row>
    <row r="1587" spans="1:2" x14ac:dyDescent="0.25">
      <c r="A1587"/>
      <c r="B1587"/>
    </row>
    <row r="1588" spans="1:2" x14ac:dyDescent="0.25">
      <c r="A1588"/>
      <c r="B1588"/>
    </row>
    <row r="1589" spans="1:2" x14ac:dyDescent="0.25">
      <c r="A1589"/>
      <c r="B1589"/>
    </row>
    <row r="1590" spans="1:2" x14ac:dyDescent="0.25">
      <c r="A1590"/>
      <c r="B1590"/>
    </row>
    <row r="1591" spans="1:2" x14ac:dyDescent="0.25">
      <c r="A1591"/>
      <c r="B1591"/>
    </row>
    <row r="1592" spans="1:2" x14ac:dyDescent="0.25">
      <c r="A1592"/>
      <c r="B1592"/>
    </row>
    <row r="1593" spans="1:2" x14ac:dyDescent="0.25">
      <c r="A1593"/>
      <c r="B1593"/>
    </row>
    <row r="1594" spans="1:2" x14ac:dyDescent="0.25">
      <c r="A1594"/>
      <c r="B1594"/>
    </row>
    <row r="1595" spans="1:2" x14ac:dyDescent="0.25">
      <c r="A1595"/>
      <c r="B1595"/>
    </row>
    <row r="1596" spans="1:2" x14ac:dyDescent="0.25">
      <c r="A1596"/>
      <c r="B1596"/>
    </row>
    <row r="1597" spans="1:2" x14ac:dyDescent="0.25">
      <c r="A1597"/>
      <c r="B1597"/>
    </row>
    <row r="1598" spans="1:2" x14ac:dyDescent="0.25">
      <c r="A1598"/>
      <c r="B1598"/>
    </row>
    <row r="1599" spans="1:2" x14ac:dyDescent="0.25">
      <c r="A1599"/>
      <c r="B1599"/>
    </row>
    <row r="1600" spans="1:2" x14ac:dyDescent="0.25">
      <c r="A1600"/>
      <c r="B1600"/>
    </row>
    <row r="1601" spans="1:2" x14ac:dyDescent="0.25">
      <c r="A1601"/>
      <c r="B1601"/>
    </row>
    <row r="1602" spans="1:2" x14ac:dyDescent="0.25">
      <c r="A1602"/>
      <c r="B1602"/>
    </row>
    <row r="1603" spans="1:2" x14ac:dyDescent="0.25">
      <c r="A1603"/>
      <c r="B1603"/>
    </row>
    <row r="1604" spans="1:2" x14ac:dyDescent="0.25">
      <c r="A1604"/>
      <c r="B1604"/>
    </row>
    <row r="1605" spans="1:2" x14ac:dyDescent="0.25">
      <c r="A1605"/>
      <c r="B1605"/>
    </row>
    <row r="1606" spans="1:2" x14ac:dyDescent="0.25">
      <c r="A1606"/>
      <c r="B1606"/>
    </row>
    <row r="1607" spans="1:2" x14ac:dyDescent="0.25">
      <c r="A1607"/>
      <c r="B1607"/>
    </row>
    <row r="1608" spans="1:2" x14ac:dyDescent="0.25">
      <c r="A1608"/>
      <c r="B1608"/>
    </row>
    <row r="1609" spans="1:2" x14ac:dyDescent="0.25">
      <c r="A1609"/>
      <c r="B1609"/>
    </row>
    <row r="1610" spans="1:2" x14ac:dyDescent="0.25">
      <c r="A1610"/>
      <c r="B1610"/>
    </row>
    <row r="1611" spans="1:2" x14ac:dyDescent="0.25">
      <c r="A1611"/>
      <c r="B1611"/>
    </row>
    <row r="1612" spans="1:2" x14ac:dyDescent="0.25">
      <c r="A1612"/>
      <c r="B1612"/>
    </row>
    <row r="1613" spans="1:2" x14ac:dyDescent="0.25">
      <c r="A1613"/>
      <c r="B1613"/>
    </row>
    <row r="1614" spans="1:2" x14ac:dyDescent="0.25">
      <c r="A1614"/>
      <c r="B1614"/>
    </row>
    <row r="1615" spans="1:2" x14ac:dyDescent="0.25">
      <c r="A1615"/>
      <c r="B1615"/>
    </row>
    <row r="1616" spans="1:2" x14ac:dyDescent="0.25">
      <c r="A1616"/>
      <c r="B1616"/>
    </row>
    <row r="1617" spans="1:2" x14ac:dyDescent="0.25">
      <c r="A1617"/>
      <c r="B1617"/>
    </row>
    <row r="1618" spans="1:2" x14ac:dyDescent="0.25">
      <c r="A1618"/>
      <c r="B1618"/>
    </row>
    <row r="1619" spans="1:2" x14ac:dyDescent="0.25">
      <c r="A1619"/>
      <c r="B1619"/>
    </row>
    <row r="1620" spans="1:2" x14ac:dyDescent="0.25">
      <c r="A1620"/>
      <c r="B1620"/>
    </row>
    <row r="1621" spans="1:2" x14ac:dyDescent="0.25">
      <c r="A1621"/>
      <c r="B1621"/>
    </row>
    <row r="1622" spans="1:2" x14ac:dyDescent="0.25">
      <c r="A1622"/>
      <c r="B1622"/>
    </row>
    <row r="1623" spans="1:2" x14ac:dyDescent="0.25">
      <c r="A1623"/>
      <c r="B1623"/>
    </row>
    <row r="1624" spans="1:2" x14ac:dyDescent="0.25">
      <c r="A1624"/>
      <c r="B1624"/>
    </row>
    <row r="1625" spans="1:2" x14ac:dyDescent="0.25">
      <c r="A1625"/>
      <c r="B1625"/>
    </row>
    <row r="1626" spans="1:2" x14ac:dyDescent="0.25">
      <c r="A1626"/>
      <c r="B1626"/>
    </row>
    <row r="1627" spans="1:2" x14ac:dyDescent="0.25">
      <c r="A1627"/>
      <c r="B1627"/>
    </row>
    <row r="1628" spans="1:2" x14ac:dyDescent="0.25">
      <c r="A1628"/>
      <c r="B1628"/>
    </row>
    <row r="1629" spans="1:2" x14ac:dyDescent="0.25">
      <c r="A1629"/>
      <c r="B1629"/>
    </row>
    <row r="1630" spans="1:2" x14ac:dyDescent="0.25">
      <c r="A1630"/>
      <c r="B1630"/>
    </row>
    <row r="1631" spans="1:2" x14ac:dyDescent="0.25">
      <c r="A1631"/>
      <c r="B1631"/>
    </row>
    <row r="1632" spans="1:2" x14ac:dyDescent="0.25">
      <c r="A1632"/>
      <c r="B1632"/>
    </row>
    <row r="1633" spans="1:2" x14ac:dyDescent="0.25">
      <c r="A1633"/>
      <c r="B1633"/>
    </row>
    <row r="1634" spans="1:2" x14ac:dyDescent="0.25">
      <c r="A1634"/>
      <c r="B1634"/>
    </row>
    <row r="1635" spans="1:2" x14ac:dyDescent="0.25">
      <c r="A1635"/>
      <c r="B1635"/>
    </row>
    <row r="1636" spans="1:2" x14ac:dyDescent="0.25">
      <c r="A1636"/>
      <c r="B1636"/>
    </row>
    <row r="1637" spans="1:2" x14ac:dyDescent="0.25">
      <c r="A1637"/>
      <c r="B1637"/>
    </row>
    <row r="1638" spans="1:2" x14ac:dyDescent="0.25">
      <c r="A1638"/>
      <c r="B1638"/>
    </row>
    <row r="1639" spans="1:2" x14ac:dyDescent="0.25">
      <c r="A1639"/>
      <c r="B1639"/>
    </row>
    <row r="1640" spans="1:2" x14ac:dyDescent="0.25">
      <c r="A1640"/>
      <c r="B1640"/>
    </row>
    <row r="1641" spans="1:2" x14ac:dyDescent="0.25">
      <c r="A1641"/>
      <c r="B1641"/>
    </row>
    <row r="1642" spans="1:2" x14ac:dyDescent="0.25">
      <c r="A1642"/>
      <c r="B1642"/>
    </row>
    <row r="1643" spans="1:2" x14ac:dyDescent="0.25">
      <c r="A1643"/>
      <c r="B1643"/>
    </row>
    <row r="1644" spans="1:2" x14ac:dyDescent="0.25">
      <c r="A1644"/>
      <c r="B1644"/>
    </row>
    <row r="1645" spans="1:2" x14ac:dyDescent="0.25">
      <c r="A1645"/>
      <c r="B1645"/>
    </row>
    <row r="1646" spans="1:2" x14ac:dyDescent="0.25">
      <c r="A1646"/>
      <c r="B1646"/>
    </row>
    <row r="1647" spans="1:2" x14ac:dyDescent="0.25">
      <c r="A1647"/>
      <c r="B1647"/>
    </row>
    <row r="1648" spans="1:2" x14ac:dyDescent="0.25">
      <c r="A1648"/>
      <c r="B1648"/>
    </row>
    <row r="1649" spans="1:2" x14ac:dyDescent="0.25">
      <c r="A1649"/>
      <c r="B1649"/>
    </row>
    <row r="1650" spans="1:2" x14ac:dyDescent="0.25">
      <c r="A1650"/>
      <c r="B1650"/>
    </row>
    <row r="1651" spans="1:2" x14ac:dyDescent="0.25">
      <c r="A1651"/>
      <c r="B1651"/>
    </row>
    <row r="1652" spans="1:2" x14ac:dyDescent="0.25">
      <c r="A1652"/>
      <c r="B1652"/>
    </row>
    <row r="1653" spans="1:2" x14ac:dyDescent="0.25">
      <c r="A1653"/>
      <c r="B1653"/>
    </row>
    <row r="1654" spans="1:2" x14ac:dyDescent="0.25">
      <c r="A1654"/>
      <c r="B1654"/>
    </row>
    <row r="1655" spans="1:2" x14ac:dyDescent="0.25">
      <c r="A1655"/>
      <c r="B1655"/>
    </row>
    <row r="1656" spans="1:2" x14ac:dyDescent="0.25">
      <c r="A1656"/>
      <c r="B1656"/>
    </row>
    <row r="1657" spans="1:2" x14ac:dyDescent="0.25">
      <c r="A1657"/>
      <c r="B1657"/>
    </row>
    <row r="1658" spans="1:2" x14ac:dyDescent="0.25">
      <c r="A1658"/>
      <c r="B1658"/>
    </row>
    <row r="1659" spans="1:2" x14ac:dyDescent="0.25">
      <c r="A1659"/>
      <c r="B1659"/>
    </row>
    <row r="1660" spans="1:2" x14ac:dyDescent="0.25">
      <c r="A1660"/>
      <c r="B1660"/>
    </row>
    <row r="1661" spans="1:2" x14ac:dyDescent="0.25">
      <c r="A1661"/>
      <c r="B1661"/>
    </row>
    <row r="1662" spans="1:2" x14ac:dyDescent="0.25">
      <c r="A1662"/>
      <c r="B1662"/>
    </row>
    <row r="1663" spans="1:2" x14ac:dyDescent="0.25">
      <c r="A1663"/>
      <c r="B1663"/>
    </row>
    <row r="1664" spans="1:2" x14ac:dyDescent="0.25">
      <c r="A1664"/>
      <c r="B1664"/>
    </row>
    <row r="1665" spans="1:2" x14ac:dyDescent="0.25">
      <c r="A1665"/>
      <c r="B1665"/>
    </row>
    <row r="1666" spans="1:2" x14ac:dyDescent="0.25">
      <c r="A1666"/>
      <c r="B1666"/>
    </row>
    <row r="1667" spans="1:2" x14ac:dyDescent="0.25">
      <c r="A1667"/>
      <c r="B1667"/>
    </row>
    <row r="1668" spans="1:2" x14ac:dyDescent="0.25">
      <c r="A1668"/>
      <c r="B1668"/>
    </row>
    <row r="1669" spans="1:2" x14ac:dyDescent="0.25">
      <c r="A1669"/>
      <c r="B1669"/>
    </row>
    <row r="1670" spans="1:2" x14ac:dyDescent="0.25">
      <c r="A1670"/>
      <c r="B1670"/>
    </row>
    <row r="1671" spans="1:2" x14ac:dyDescent="0.25">
      <c r="A1671"/>
      <c r="B1671"/>
    </row>
    <row r="1672" spans="1:2" x14ac:dyDescent="0.25">
      <c r="A1672"/>
      <c r="B1672"/>
    </row>
    <row r="1673" spans="1:2" x14ac:dyDescent="0.25">
      <c r="A1673"/>
      <c r="B1673"/>
    </row>
    <row r="1674" spans="1:2" x14ac:dyDescent="0.25">
      <c r="A1674"/>
      <c r="B1674"/>
    </row>
    <row r="1675" spans="1:2" x14ac:dyDescent="0.25">
      <c r="A1675"/>
      <c r="B1675"/>
    </row>
    <row r="1676" spans="1:2" x14ac:dyDescent="0.25">
      <c r="A1676"/>
      <c r="B1676"/>
    </row>
    <row r="1677" spans="1:2" x14ac:dyDescent="0.25">
      <c r="A1677"/>
      <c r="B1677"/>
    </row>
    <row r="1678" spans="1:2" x14ac:dyDescent="0.25">
      <c r="A1678"/>
      <c r="B1678"/>
    </row>
    <row r="1679" spans="1:2" x14ac:dyDescent="0.25">
      <c r="A1679"/>
      <c r="B1679"/>
    </row>
    <row r="1680" spans="1:2" x14ac:dyDescent="0.25">
      <c r="A1680"/>
      <c r="B1680"/>
    </row>
    <row r="1681" spans="1:2" x14ac:dyDescent="0.25">
      <c r="A1681"/>
      <c r="B1681"/>
    </row>
    <row r="1682" spans="1:2" x14ac:dyDescent="0.25">
      <c r="A1682"/>
      <c r="B1682"/>
    </row>
    <row r="1683" spans="1:2" x14ac:dyDescent="0.25">
      <c r="A1683"/>
      <c r="B1683"/>
    </row>
    <row r="1684" spans="1:2" x14ac:dyDescent="0.25">
      <c r="A1684"/>
      <c r="B1684"/>
    </row>
    <row r="1685" spans="1:2" x14ac:dyDescent="0.25">
      <c r="A1685"/>
      <c r="B1685"/>
    </row>
    <row r="1686" spans="1:2" x14ac:dyDescent="0.25">
      <c r="A1686"/>
      <c r="B1686"/>
    </row>
    <row r="1687" spans="1:2" x14ac:dyDescent="0.25">
      <c r="A1687"/>
      <c r="B1687"/>
    </row>
    <row r="1688" spans="1:2" x14ac:dyDescent="0.25">
      <c r="A1688"/>
      <c r="B1688"/>
    </row>
    <row r="1689" spans="1:2" x14ac:dyDescent="0.25">
      <c r="A1689"/>
      <c r="B1689"/>
    </row>
    <row r="1690" spans="1:2" x14ac:dyDescent="0.25">
      <c r="A1690"/>
      <c r="B1690"/>
    </row>
    <row r="1691" spans="1:2" x14ac:dyDescent="0.25">
      <c r="A1691"/>
      <c r="B1691"/>
    </row>
    <row r="1692" spans="1:2" x14ac:dyDescent="0.25">
      <c r="A1692"/>
      <c r="B1692"/>
    </row>
    <row r="1693" spans="1:2" x14ac:dyDescent="0.25">
      <c r="A1693"/>
      <c r="B1693"/>
    </row>
    <row r="1694" spans="1:2" x14ac:dyDescent="0.25">
      <c r="A1694"/>
      <c r="B1694"/>
    </row>
    <row r="1695" spans="1:2" x14ac:dyDescent="0.25">
      <c r="A1695"/>
      <c r="B1695"/>
    </row>
    <row r="1696" spans="1:2" x14ac:dyDescent="0.25">
      <c r="A1696"/>
      <c r="B1696"/>
    </row>
    <row r="1697" spans="1:2" x14ac:dyDescent="0.25">
      <c r="A1697"/>
      <c r="B1697"/>
    </row>
    <row r="1698" spans="1:2" x14ac:dyDescent="0.25">
      <c r="A1698"/>
      <c r="B1698"/>
    </row>
    <row r="1699" spans="1:2" x14ac:dyDescent="0.25">
      <c r="A1699"/>
      <c r="B1699"/>
    </row>
    <row r="1700" spans="1:2" x14ac:dyDescent="0.25">
      <c r="A1700"/>
      <c r="B1700"/>
    </row>
    <row r="1701" spans="1:2" x14ac:dyDescent="0.25">
      <c r="A1701"/>
      <c r="B1701"/>
    </row>
    <row r="1702" spans="1:2" x14ac:dyDescent="0.25">
      <c r="A1702"/>
      <c r="B1702"/>
    </row>
    <row r="1703" spans="1:2" x14ac:dyDescent="0.25">
      <c r="A1703"/>
      <c r="B1703"/>
    </row>
    <row r="1704" spans="1:2" x14ac:dyDescent="0.25">
      <c r="A1704"/>
      <c r="B1704"/>
    </row>
    <row r="1705" spans="1:2" x14ac:dyDescent="0.25">
      <c r="A1705"/>
      <c r="B1705"/>
    </row>
    <row r="1706" spans="1:2" x14ac:dyDescent="0.25">
      <c r="A1706"/>
      <c r="B1706"/>
    </row>
    <row r="1707" spans="1:2" x14ac:dyDescent="0.25">
      <c r="A1707"/>
      <c r="B1707"/>
    </row>
    <row r="1708" spans="1:2" x14ac:dyDescent="0.25">
      <c r="A1708"/>
      <c r="B1708"/>
    </row>
    <row r="1709" spans="1:2" x14ac:dyDescent="0.25">
      <c r="A1709"/>
      <c r="B1709"/>
    </row>
    <row r="1710" spans="1:2" x14ac:dyDescent="0.25">
      <c r="A1710"/>
      <c r="B1710"/>
    </row>
    <row r="1711" spans="1:2" x14ac:dyDescent="0.25">
      <c r="A1711"/>
      <c r="B1711"/>
    </row>
    <row r="1712" spans="1:2" x14ac:dyDescent="0.25">
      <c r="A1712"/>
      <c r="B1712"/>
    </row>
    <row r="1713" spans="1:2" x14ac:dyDescent="0.25">
      <c r="A1713"/>
      <c r="B1713"/>
    </row>
    <row r="1714" spans="1:2" x14ac:dyDescent="0.25">
      <c r="A1714"/>
      <c r="B1714"/>
    </row>
    <row r="1715" spans="1:2" x14ac:dyDescent="0.25">
      <c r="A1715"/>
      <c r="B1715"/>
    </row>
    <row r="1716" spans="1:2" x14ac:dyDescent="0.25">
      <c r="A1716"/>
      <c r="B1716"/>
    </row>
    <row r="1717" spans="1:2" x14ac:dyDescent="0.25">
      <c r="A1717"/>
      <c r="B1717"/>
    </row>
    <row r="1718" spans="1:2" x14ac:dyDescent="0.25">
      <c r="A1718"/>
      <c r="B1718"/>
    </row>
    <row r="1719" spans="1:2" x14ac:dyDescent="0.25">
      <c r="A1719"/>
      <c r="B1719"/>
    </row>
    <row r="1720" spans="1:2" x14ac:dyDescent="0.25">
      <c r="A1720"/>
      <c r="B1720"/>
    </row>
    <row r="1721" spans="1:2" x14ac:dyDescent="0.25">
      <c r="A1721"/>
      <c r="B1721"/>
    </row>
    <row r="1722" spans="1:2" x14ac:dyDescent="0.25">
      <c r="A1722"/>
      <c r="B1722"/>
    </row>
    <row r="1723" spans="1:2" x14ac:dyDescent="0.25">
      <c r="A1723"/>
      <c r="B1723"/>
    </row>
    <row r="1724" spans="1:2" x14ac:dyDescent="0.25">
      <c r="A1724"/>
      <c r="B1724"/>
    </row>
    <row r="1725" spans="1:2" x14ac:dyDescent="0.25">
      <c r="A1725"/>
      <c r="B1725"/>
    </row>
    <row r="1726" spans="1:2" x14ac:dyDescent="0.25">
      <c r="A1726"/>
      <c r="B1726"/>
    </row>
    <row r="1727" spans="1:2" x14ac:dyDescent="0.25">
      <c r="A1727"/>
      <c r="B1727"/>
    </row>
    <row r="1728" spans="1:2" x14ac:dyDescent="0.25">
      <c r="A1728"/>
      <c r="B1728"/>
    </row>
    <row r="1729" spans="1:2" x14ac:dyDescent="0.25">
      <c r="A1729"/>
      <c r="B1729"/>
    </row>
    <row r="1730" spans="1:2" x14ac:dyDescent="0.25">
      <c r="A1730"/>
      <c r="B1730"/>
    </row>
    <row r="1731" spans="1:2" x14ac:dyDescent="0.25">
      <c r="A1731"/>
      <c r="B1731"/>
    </row>
    <row r="1732" spans="1:2" x14ac:dyDescent="0.25">
      <c r="A1732"/>
      <c r="B1732"/>
    </row>
    <row r="1733" spans="1:2" x14ac:dyDescent="0.25">
      <c r="A1733"/>
      <c r="B1733"/>
    </row>
    <row r="1734" spans="1:2" x14ac:dyDescent="0.25">
      <c r="A1734"/>
      <c r="B1734"/>
    </row>
    <row r="1735" spans="1:2" x14ac:dyDescent="0.25">
      <c r="A1735"/>
      <c r="B1735"/>
    </row>
    <row r="1736" spans="1:2" x14ac:dyDescent="0.25">
      <c r="A1736"/>
      <c r="B1736"/>
    </row>
    <row r="1737" spans="1:2" x14ac:dyDescent="0.25">
      <c r="A1737"/>
      <c r="B1737"/>
    </row>
    <row r="1738" spans="1:2" x14ac:dyDescent="0.25">
      <c r="A1738"/>
      <c r="B1738"/>
    </row>
    <row r="1739" spans="1:2" x14ac:dyDescent="0.25">
      <c r="A1739"/>
      <c r="B1739"/>
    </row>
    <row r="1740" spans="1:2" x14ac:dyDescent="0.25">
      <c r="A1740"/>
      <c r="B1740"/>
    </row>
    <row r="1741" spans="1:2" x14ac:dyDescent="0.25">
      <c r="A1741"/>
      <c r="B1741"/>
    </row>
    <row r="1742" spans="1:2" x14ac:dyDescent="0.25">
      <c r="A1742"/>
      <c r="B1742"/>
    </row>
    <row r="1743" spans="1:2" x14ac:dyDescent="0.25">
      <c r="A1743"/>
      <c r="B1743"/>
    </row>
    <row r="1744" spans="1:2" x14ac:dyDescent="0.25">
      <c r="A1744"/>
      <c r="B1744"/>
    </row>
    <row r="1745" spans="1:2" x14ac:dyDescent="0.25">
      <c r="A1745"/>
      <c r="B1745"/>
    </row>
    <row r="1746" spans="1:2" x14ac:dyDescent="0.25">
      <c r="A1746"/>
      <c r="B1746"/>
    </row>
    <row r="1747" spans="1:2" x14ac:dyDescent="0.25">
      <c r="A1747"/>
      <c r="B1747"/>
    </row>
    <row r="1748" spans="1:2" x14ac:dyDescent="0.25">
      <c r="A1748"/>
      <c r="B1748"/>
    </row>
    <row r="1749" spans="1:2" x14ac:dyDescent="0.25">
      <c r="A1749"/>
      <c r="B1749"/>
    </row>
    <row r="1750" spans="1:2" x14ac:dyDescent="0.25">
      <c r="A1750"/>
      <c r="B1750"/>
    </row>
    <row r="1751" spans="1:2" x14ac:dyDescent="0.25">
      <c r="A1751"/>
      <c r="B1751"/>
    </row>
    <row r="1752" spans="1:2" x14ac:dyDescent="0.25">
      <c r="A1752"/>
      <c r="B1752"/>
    </row>
    <row r="1753" spans="1:2" x14ac:dyDescent="0.25">
      <c r="A1753"/>
      <c r="B1753"/>
    </row>
    <row r="1754" spans="1:2" x14ac:dyDescent="0.25">
      <c r="A1754"/>
      <c r="B1754"/>
    </row>
    <row r="1755" spans="1:2" x14ac:dyDescent="0.25">
      <c r="A1755"/>
      <c r="B1755"/>
    </row>
    <row r="1756" spans="1:2" x14ac:dyDescent="0.25">
      <c r="A1756"/>
      <c r="B1756"/>
    </row>
    <row r="1757" spans="1:2" x14ac:dyDescent="0.25">
      <c r="A1757"/>
      <c r="B1757"/>
    </row>
    <row r="1758" spans="1:2" x14ac:dyDescent="0.25">
      <c r="A1758"/>
      <c r="B1758"/>
    </row>
    <row r="1759" spans="1:2" x14ac:dyDescent="0.25">
      <c r="A1759"/>
      <c r="B1759"/>
    </row>
    <row r="1760" spans="1:2" x14ac:dyDescent="0.25">
      <c r="A1760"/>
      <c r="B1760"/>
    </row>
    <row r="1761" spans="1:2" x14ac:dyDescent="0.25">
      <c r="A1761"/>
      <c r="B1761"/>
    </row>
    <row r="1762" spans="1:2" x14ac:dyDescent="0.25">
      <c r="A1762"/>
      <c r="B1762"/>
    </row>
    <row r="1763" spans="1:2" x14ac:dyDescent="0.25">
      <c r="A1763"/>
      <c r="B1763"/>
    </row>
    <row r="1764" spans="1:2" x14ac:dyDescent="0.25">
      <c r="A1764"/>
      <c r="B1764"/>
    </row>
    <row r="1765" spans="1:2" x14ac:dyDescent="0.25">
      <c r="A1765"/>
      <c r="B1765"/>
    </row>
    <row r="1766" spans="1:2" x14ac:dyDescent="0.25">
      <c r="A1766"/>
      <c r="B1766"/>
    </row>
    <row r="1767" spans="1:2" x14ac:dyDescent="0.25">
      <c r="A1767"/>
      <c r="B1767"/>
    </row>
    <row r="1768" spans="1:2" x14ac:dyDescent="0.25">
      <c r="A1768"/>
      <c r="B1768"/>
    </row>
    <row r="1769" spans="1:2" x14ac:dyDescent="0.25">
      <c r="A1769"/>
      <c r="B1769"/>
    </row>
    <row r="1770" spans="1:2" x14ac:dyDescent="0.25">
      <c r="A1770"/>
      <c r="B1770"/>
    </row>
    <row r="1771" spans="1:2" x14ac:dyDescent="0.25">
      <c r="A1771"/>
      <c r="B1771"/>
    </row>
    <row r="1772" spans="1:2" x14ac:dyDescent="0.25">
      <c r="A1772"/>
      <c r="B1772"/>
    </row>
    <row r="1773" spans="1:2" x14ac:dyDescent="0.25">
      <c r="A1773"/>
      <c r="B1773"/>
    </row>
    <row r="1774" spans="1:2" x14ac:dyDescent="0.25">
      <c r="A1774"/>
      <c r="B1774"/>
    </row>
    <row r="1775" spans="1:2" x14ac:dyDescent="0.25">
      <c r="A1775"/>
      <c r="B1775"/>
    </row>
    <row r="1776" spans="1:2" x14ac:dyDescent="0.25">
      <c r="A1776"/>
      <c r="B1776"/>
    </row>
    <row r="1777" spans="1:2" x14ac:dyDescent="0.25">
      <c r="A1777"/>
      <c r="B1777"/>
    </row>
    <row r="1778" spans="1:2" x14ac:dyDescent="0.25">
      <c r="A1778"/>
      <c r="B1778"/>
    </row>
    <row r="1779" spans="1:2" x14ac:dyDescent="0.25">
      <c r="A1779"/>
      <c r="B1779"/>
    </row>
    <row r="1780" spans="1:2" x14ac:dyDescent="0.25">
      <c r="A1780"/>
      <c r="B1780"/>
    </row>
    <row r="1781" spans="1:2" x14ac:dyDescent="0.25">
      <c r="A1781"/>
      <c r="B1781"/>
    </row>
    <row r="1782" spans="1:2" x14ac:dyDescent="0.25">
      <c r="A1782"/>
      <c r="B1782"/>
    </row>
    <row r="1783" spans="1:2" x14ac:dyDescent="0.25">
      <c r="A1783"/>
      <c r="B1783"/>
    </row>
    <row r="1784" spans="1:2" x14ac:dyDescent="0.25">
      <c r="A1784"/>
      <c r="B1784"/>
    </row>
    <row r="1785" spans="1:2" x14ac:dyDescent="0.25">
      <c r="A1785"/>
      <c r="B1785"/>
    </row>
    <row r="1786" spans="1:2" x14ac:dyDescent="0.25">
      <c r="A1786"/>
      <c r="B1786"/>
    </row>
    <row r="1787" spans="1:2" x14ac:dyDescent="0.25">
      <c r="A1787"/>
      <c r="B1787"/>
    </row>
    <row r="1788" spans="1:2" x14ac:dyDescent="0.25">
      <c r="A1788"/>
      <c r="B1788"/>
    </row>
    <row r="1789" spans="1:2" x14ac:dyDescent="0.25">
      <c r="A1789"/>
      <c r="B1789"/>
    </row>
    <row r="1790" spans="1:2" x14ac:dyDescent="0.25">
      <c r="A1790"/>
      <c r="B1790"/>
    </row>
    <row r="1791" spans="1:2" x14ac:dyDescent="0.25">
      <c r="A1791"/>
      <c r="B1791"/>
    </row>
    <row r="1792" spans="1:2" x14ac:dyDescent="0.25">
      <c r="A1792"/>
      <c r="B1792"/>
    </row>
    <row r="1793" spans="1:2" x14ac:dyDescent="0.25">
      <c r="A1793"/>
      <c r="B1793"/>
    </row>
    <row r="1794" spans="1:2" x14ac:dyDescent="0.25">
      <c r="A1794"/>
      <c r="B1794"/>
    </row>
    <row r="1795" spans="1:2" x14ac:dyDescent="0.25">
      <c r="A1795"/>
      <c r="B1795"/>
    </row>
    <row r="1796" spans="1:2" x14ac:dyDescent="0.25">
      <c r="A1796"/>
      <c r="B1796"/>
    </row>
    <row r="1797" spans="1:2" x14ac:dyDescent="0.25">
      <c r="A1797"/>
      <c r="B1797"/>
    </row>
    <row r="1798" spans="1:2" x14ac:dyDescent="0.25">
      <c r="A1798"/>
      <c r="B1798"/>
    </row>
    <row r="1799" spans="1:2" x14ac:dyDescent="0.25">
      <c r="A1799"/>
      <c r="B1799"/>
    </row>
    <row r="1800" spans="1:2" x14ac:dyDescent="0.25">
      <c r="A1800"/>
      <c r="B1800"/>
    </row>
    <row r="1801" spans="1:2" x14ac:dyDescent="0.25">
      <c r="A1801"/>
      <c r="B1801"/>
    </row>
    <row r="1802" spans="1:2" x14ac:dyDescent="0.25">
      <c r="A1802"/>
      <c r="B1802"/>
    </row>
    <row r="1803" spans="1:2" x14ac:dyDescent="0.25">
      <c r="A1803"/>
      <c r="B1803"/>
    </row>
    <row r="1804" spans="1:2" x14ac:dyDescent="0.25">
      <c r="A1804"/>
      <c r="B1804"/>
    </row>
    <row r="1805" spans="1:2" x14ac:dyDescent="0.25">
      <c r="A1805"/>
      <c r="B1805"/>
    </row>
    <row r="1806" spans="1:2" x14ac:dyDescent="0.25">
      <c r="A1806"/>
      <c r="B1806"/>
    </row>
    <row r="1807" spans="1:2" x14ac:dyDescent="0.25">
      <c r="A1807"/>
      <c r="B1807"/>
    </row>
    <row r="1808" spans="1:2" x14ac:dyDescent="0.25">
      <c r="A1808"/>
      <c r="B1808"/>
    </row>
    <row r="1809" spans="1:2" x14ac:dyDescent="0.25">
      <c r="A1809"/>
      <c r="B1809"/>
    </row>
    <row r="1810" spans="1:2" x14ac:dyDescent="0.25">
      <c r="A1810"/>
      <c r="B1810"/>
    </row>
    <row r="1811" spans="1:2" x14ac:dyDescent="0.25">
      <c r="A1811"/>
      <c r="B1811"/>
    </row>
    <row r="1812" spans="1:2" x14ac:dyDescent="0.25">
      <c r="A1812"/>
      <c r="B1812"/>
    </row>
    <row r="1813" spans="1:2" x14ac:dyDescent="0.25">
      <c r="A1813"/>
      <c r="B1813"/>
    </row>
    <row r="1814" spans="1:2" x14ac:dyDescent="0.25">
      <c r="A1814"/>
      <c r="B1814"/>
    </row>
    <row r="1815" spans="1:2" x14ac:dyDescent="0.25">
      <c r="A1815"/>
      <c r="B1815"/>
    </row>
    <row r="1816" spans="1:2" x14ac:dyDescent="0.25">
      <c r="A1816"/>
      <c r="B1816"/>
    </row>
    <row r="1817" spans="1:2" x14ac:dyDescent="0.25">
      <c r="A1817"/>
      <c r="B1817"/>
    </row>
    <row r="1818" spans="1:2" x14ac:dyDescent="0.25">
      <c r="A1818"/>
      <c r="B1818"/>
    </row>
    <row r="1819" spans="1:2" x14ac:dyDescent="0.25">
      <c r="A1819"/>
      <c r="B1819"/>
    </row>
    <row r="1820" spans="1:2" x14ac:dyDescent="0.25">
      <c r="A1820"/>
      <c r="B1820"/>
    </row>
    <row r="1821" spans="1:2" x14ac:dyDescent="0.25">
      <c r="A1821"/>
      <c r="B1821"/>
    </row>
    <row r="1822" spans="1:2" x14ac:dyDescent="0.25">
      <c r="A1822"/>
      <c r="B1822"/>
    </row>
    <row r="1823" spans="1:2" x14ac:dyDescent="0.25">
      <c r="A1823"/>
      <c r="B1823"/>
    </row>
    <row r="1824" spans="1:2" x14ac:dyDescent="0.25">
      <c r="A1824"/>
      <c r="B1824"/>
    </row>
    <row r="1825" spans="1:2" x14ac:dyDescent="0.25">
      <c r="A1825"/>
      <c r="B1825"/>
    </row>
    <row r="1826" spans="1:2" x14ac:dyDescent="0.25">
      <c r="A1826"/>
      <c r="B1826"/>
    </row>
    <row r="1827" spans="1:2" x14ac:dyDescent="0.25">
      <c r="A1827"/>
      <c r="B1827"/>
    </row>
    <row r="1828" spans="1:2" x14ac:dyDescent="0.25">
      <c r="A1828"/>
      <c r="B1828"/>
    </row>
    <row r="1829" spans="1:2" x14ac:dyDescent="0.25">
      <c r="A1829"/>
      <c r="B1829"/>
    </row>
    <row r="1830" spans="1:2" x14ac:dyDescent="0.25">
      <c r="A1830"/>
      <c r="B1830"/>
    </row>
    <row r="1831" spans="1:2" x14ac:dyDescent="0.25">
      <c r="A1831"/>
      <c r="B1831"/>
    </row>
    <row r="1832" spans="1:2" x14ac:dyDescent="0.25">
      <c r="A1832"/>
      <c r="B1832"/>
    </row>
    <row r="1833" spans="1:2" x14ac:dyDescent="0.25">
      <c r="A1833"/>
      <c r="B1833"/>
    </row>
    <row r="1834" spans="1:2" x14ac:dyDescent="0.25">
      <c r="A1834"/>
      <c r="B1834"/>
    </row>
    <row r="1835" spans="1:2" x14ac:dyDescent="0.25">
      <c r="A1835"/>
      <c r="B1835"/>
    </row>
    <row r="1836" spans="1:2" x14ac:dyDescent="0.25">
      <c r="A1836"/>
      <c r="B1836"/>
    </row>
    <row r="1837" spans="1:2" x14ac:dyDescent="0.25">
      <c r="A1837"/>
      <c r="B1837"/>
    </row>
    <row r="1838" spans="1:2" x14ac:dyDescent="0.25">
      <c r="A1838"/>
      <c r="B1838"/>
    </row>
    <row r="1839" spans="1:2" x14ac:dyDescent="0.25">
      <c r="A1839"/>
      <c r="B1839"/>
    </row>
    <row r="1840" spans="1:2" x14ac:dyDescent="0.25">
      <c r="A1840"/>
      <c r="B1840"/>
    </row>
    <row r="1841" spans="1:2" x14ac:dyDescent="0.25">
      <c r="A1841"/>
      <c r="B1841"/>
    </row>
    <row r="1842" spans="1:2" x14ac:dyDescent="0.25">
      <c r="A1842"/>
      <c r="B1842"/>
    </row>
    <row r="1843" spans="1:2" x14ac:dyDescent="0.25">
      <c r="A1843"/>
      <c r="B1843"/>
    </row>
    <row r="1844" spans="1:2" x14ac:dyDescent="0.25">
      <c r="A1844"/>
      <c r="B1844"/>
    </row>
    <row r="1845" spans="1:2" x14ac:dyDescent="0.25">
      <c r="A1845"/>
      <c r="B1845"/>
    </row>
    <row r="1846" spans="1:2" x14ac:dyDescent="0.25">
      <c r="A1846"/>
      <c r="B1846"/>
    </row>
    <row r="1847" spans="1:2" x14ac:dyDescent="0.25">
      <c r="A1847"/>
      <c r="B1847"/>
    </row>
    <row r="1848" spans="1:2" x14ac:dyDescent="0.25">
      <c r="A1848"/>
      <c r="B1848"/>
    </row>
    <row r="1849" spans="1:2" x14ac:dyDescent="0.25">
      <c r="A1849"/>
      <c r="B1849"/>
    </row>
    <row r="1850" spans="1:2" x14ac:dyDescent="0.25">
      <c r="A1850"/>
      <c r="B1850"/>
    </row>
    <row r="1851" spans="1:2" x14ac:dyDescent="0.25">
      <c r="A1851"/>
      <c r="B1851"/>
    </row>
    <row r="1852" spans="1:2" x14ac:dyDescent="0.25">
      <c r="A1852"/>
      <c r="B1852"/>
    </row>
    <row r="1853" spans="1:2" x14ac:dyDescent="0.25">
      <c r="A1853"/>
      <c r="B1853"/>
    </row>
    <row r="1854" spans="1:2" x14ac:dyDescent="0.25">
      <c r="A1854"/>
      <c r="B1854"/>
    </row>
    <row r="1855" spans="1:2" x14ac:dyDescent="0.25">
      <c r="A1855"/>
      <c r="B1855"/>
    </row>
    <row r="1856" spans="1:2" x14ac:dyDescent="0.25">
      <c r="A1856"/>
      <c r="B1856"/>
    </row>
    <row r="1857" spans="1:2" x14ac:dyDescent="0.25">
      <c r="A1857"/>
      <c r="B1857"/>
    </row>
    <row r="1858" spans="1:2" x14ac:dyDescent="0.25">
      <c r="A1858"/>
      <c r="B1858"/>
    </row>
    <row r="1859" spans="1:2" x14ac:dyDescent="0.25">
      <c r="A1859"/>
      <c r="B1859"/>
    </row>
    <row r="1860" spans="1:2" x14ac:dyDescent="0.25">
      <c r="A1860"/>
      <c r="B1860"/>
    </row>
    <row r="1861" spans="1:2" x14ac:dyDescent="0.25">
      <c r="A1861"/>
      <c r="B1861"/>
    </row>
    <row r="1862" spans="1:2" x14ac:dyDescent="0.25">
      <c r="A1862"/>
      <c r="B1862"/>
    </row>
    <row r="1863" spans="1:2" x14ac:dyDescent="0.25">
      <c r="A1863"/>
      <c r="B1863"/>
    </row>
    <row r="1864" spans="1:2" x14ac:dyDescent="0.25">
      <c r="A1864"/>
      <c r="B1864"/>
    </row>
    <row r="1865" spans="1:2" x14ac:dyDescent="0.25">
      <c r="A1865"/>
      <c r="B1865"/>
    </row>
    <row r="1866" spans="1:2" x14ac:dyDescent="0.25">
      <c r="A1866"/>
      <c r="B1866"/>
    </row>
    <row r="1867" spans="1:2" x14ac:dyDescent="0.25">
      <c r="A1867"/>
      <c r="B1867"/>
    </row>
    <row r="1868" spans="1:2" x14ac:dyDescent="0.25">
      <c r="A1868"/>
      <c r="B1868"/>
    </row>
    <row r="1869" spans="1:2" x14ac:dyDescent="0.25">
      <c r="A1869"/>
      <c r="B1869"/>
    </row>
    <row r="1870" spans="1:2" x14ac:dyDescent="0.25">
      <c r="A1870"/>
      <c r="B1870"/>
    </row>
    <row r="1871" spans="1:2" x14ac:dyDescent="0.25">
      <c r="A1871"/>
      <c r="B1871"/>
    </row>
    <row r="1872" spans="1:2" x14ac:dyDescent="0.25">
      <c r="A1872"/>
      <c r="B1872"/>
    </row>
    <row r="1873" spans="1:2" x14ac:dyDescent="0.25">
      <c r="A1873"/>
      <c r="B1873"/>
    </row>
    <row r="1874" spans="1:2" x14ac:dyDescent="0.25">
      <c r="A1874"/>
      <c r="B1874"/>
    </row>
    <row r="1875" spans="1:2" x14ac:dyDescent="0.25">
      <c r="A1875"/>
      <c r="B1875"/>
    </row>
    <row r="1876" spans="1:2" x14ac:dyDescent="0.25">
      <c r="A1876"/>
      <c r="B1876"/>
    </row>
    <row r="1877" spans="1:2" x14ac:dyDescent="0.25">
      <c r="A1877"/>
      <c r="B1877"/>
    </row>
    <row r="1878" spans="1:2" x14ac:dyDescent="0.25">
      <c r="A1878"/>
      <c r="B1878"/>
    </row>
    <row r="1879" spans="1:2" x14ac:dyDescent="0.25">
      <c r="A1879"/>
      <c r="B1879"/>
    </row>
    <row r="1880" spans="1:2" x14ac:dyDescent="0.25">
      <c r="A1880"/>
      <c r="B1880"/>
    </row>
    <row r="1881" spans="1:2" x14ac:dyDescent="0.25">
      <c r="A1881"/>
      <c r="B1881"/>
    </row>
    <row r="1882" spans="1:2" x14ac:dyDescent="0.25">
      <c r="A1882"/>
      <c r="B1882"/>
    </row>
    <row r="1883" spans="1:2" x14ac:dyDescent="0.25">
      <c r="A1883"/>
      <c r="B1883"/>
    </row>
    <row r="1884" spans="1:2" x14ac:dyDescent="0.25">
      <c r="A1884"/>
      <c r="B1884"/>
    </row>
    <row r="1885" spans="1:2" x14ac:dyDescent="0.25">
      <c r="A1885"/>
      <c r="B1885"/>
    </row>
    <row r="1886" spans="1:2" x14ac:dyDescent="0.25">
      <c r="A1886"/>
      <c r="B1886"/>
    </row>
    <row r="1887" spans="1:2" x14ac:dyDescent="0.25">
      <c r="A1887"/>
      <c r="B1887"/>
    </row>
    <row r="1888" spans="1:2" x14ac:dyDescent="0.25">
      <c r="A1888"/>
      <c r="B1888"/>
    </row>
    <row r="1889" spans="1:2" x14ac:dyDescent="0.25">
      <c r="A1889"/>
      <c r="B1889"/>
    </row>
    <row r="1890" spans="1:2" x14ac:dyDescent="0.25">
      <c r="A1890"/>
      <c r="B1890"/>
    </row>
    <row r="1891" spans="1:2" x14ac:dyDescent="0.25">
      <c r="A1891"/>
      <c r="B1891"/>
    </row>
    <row r="1892" spans="1:2" x14ac:dyDescent="0.25">
      <c r="A1892"/>
      <c r="B1892"/>
    </row>
    <row r="1893" spans="1:2" x14ac:dyDescent="0.25">
      <c r="A1893"/>
      <c r="B1893"/>
    </row>
    <row r="1894" spans="1:2" x14ac:dyDescent="0.25">
      <c r="A1894"/>
      <c r="B1894"/>
    </row>
    <row r="1895" spans="1:2" x14ac:dyDescent="0.25">
      <c r="A1895"/>
      <c r="B1895"/>
    </row>
    <row r="1896" spans="1:2" x14ac:dyDescent="0.25">
      <c r="A1896"/>
      <c r="B1896"/>
    </row>
    <row r="1897" spans="1:2" x14ac:dyDescent="0.25">
      <c r="A1897"/>
      <c r="B1897"/>
    </row>
    <row r="1898" spans="1:2" x14ac:dyDescent="0.25">
      <c r="A1898"/>
      <c r="B1898"/>
    </row>
    <row r="1899" spans="1:2" x14ac:dyDescent="0.25">
      <c r="A1899"/>
      <c r="B1899"/>
    </row>
    <row r="1900" spans="1:2" x14ac:dyDescent="0.25">
      <c r="A1900"/>
      <c r="B1900"/>
    </row>
    <row r="1901" spans="1:2" x14ac:dyDescent="0.25">
      <c r="A1901"/>
      <c r="B1901"/>
    </row>
    <row r="1902" spans="1:2" x14ac:dyDescent="0.25">
      <c r="A1902"/>
      <c r="B1902"/>
    </row>
    <row r="1903" spans="1:2" x14ac:dyDescent="0.25">
      <c r="A1903"/>
      <c r="B1903"/>
    </row>
    <row r="1904" spans="1:2" x14ac:dyDescent="0.25">
      <c r="A1904"/>
      <c r="B1904"/>
    </row>
    <row r="1905" spans="1:2" x14ac:dyDescent="0.25">
      <c r="A1905"/>
      <c r="B1905"/>
    </row>
    <row r="1906" spans="1:2" x14ac:dyDescent="0.25">
      <c r="A1906"/>
      <c r="B1906"/>
    </row>
    <row r="1907" spans="1:2" x14ac:dyDescent="0.25">
      <c r="A1907"/>
      <c r="B1907"/>
    </row>
    <row r="1908" spans="1:2" x14ac:dyDescent="0.25">
      <c r="A1908"/>
      <c r="B1908"/>
    </row>
    <row r="1909" spans="1:2" x14ac:dyDescent="0.25">
      <c r="A1909"/>
      <c r="B1909"/>
    </row>
    <row r="1910" spans="1:2" x14ac:dyDescent="0.25">
      <c r="A1910"/>
      <c r="B1910"/>
    </row>
    <row r="1911" spans="1:2" x14ac:dyDescent="0.25">
      <c r="A1911"/>
      <c r="B1911"/>
    </row>
    <row r="1912" spans="1:2" x14ac:dyDescent="0.25">
      <c r="A1912"/>
      <c r="B1912"/>
    </row>
    <row r="1913" spans="1:2" x14ac:dyDescent="0.25">
      <c r="A1913"/>
      <c r="B1913"/>
    </row>
    <row r="1914" spans="1:2" x14ac:dyDescent="0.25">
      <c r="A1914"/>
      <c r="B1914"/>
    </row>
    <row r="1915" spans="1:2" x14ac:dyDescent="0.25">
      <c r="A1915"/>
      <c r="B1915"/>
    </row>
    <row r="1916" spans="1:2" x14ac:dyDescent="0.25">
      <c r="A1916"/>
      <c r="B1916"/>
    </row>
    <row r="1917" spans="1:2" x14ac:dyDescent="0.25">
      <c r="A1917"/>
      <c r="B1917"/>
    </row>
    <row r="1918" spans="1:2" x14ac:dyDescent="0.25">
      <c r="A1918"/>
      <c r="B1918"/>
    </row>
    <row r="1919" spans="1:2" x14ac:dyDescent="0.25">
      <c r="A1919"/>
      <c r="B1919"/>
    </row>
    <row r="1920" spans="1:2" x14ac:dyDescent="0.25">
      <c r="A1920"/>
      <c r="B1920"/>
    </row>
    <row r="1921" spans="1:2" x14ac:dyDescent="0.25">
      <c r="A1921"/>
      <c r="B1921"/>
    </row>
    <row r="1922" spans="1:2" x14ac:dyDescent="0.25">
      <c r="A1922"/>
      <c r="B1922"/>
    </row>
    <row r="1923" spans="1:2" x14ac:dyDescent="0.25">
      <c r="A1923"/>
      <c r="B1923"/>
    </row>
    <row r="1924" spans="1:2" x14ac:dyDescent="0.25">
      <c r="A1924"/>
      <c r="B1924"/>
    </row>
    <row r="1925" spans="1:2" x14ac:dyDescent="0.25">
      <c r="A1925"/>
      <c r="B1925"/>
    </row>
    <row r="1926" spans="1:2" x14ac:dyDescent="0.25">
      <c r="A1926"/>
      <c r="B1926"/>
    </row>
    <row r="1927" spans="1:2" x14ac:dyDescent="0.25">
      <c r="A1927"/>
      <c r="B1927"/>
    </row>
    <row r="1928" spans="1:2" x14ac:dyDescent="0.25">
      <c r="A1928"/>
      <c r="B1928"/>
    </row>
    <row r="1929" spans="1:2" x14ac:dyDescent="0.25">
      <c r="A1929"/>
      <c r="B1929"/>
    </row>
    <row r="1930" spans="1:2" x14ac:dyDescent="0.25">
      <c r="A1930"/>
      <c r="B1930"/>
    </row>
    <row r="1931" spans="1:2" x14ac:dyDescent="0.25">
      <c r="A1931"/>
      <c r="B1931"/>
    </row>
    <row r="1932" spans="1:2" x14ac:dyDescent="0.25">
      <c r="A1932"/>
      <c r="B1932"/>
    </row>
    <row r="1933" spans="1:2" x14ac:dyDescent="0.25">
      <c r="A1933"/>
      <c r="B1933"/>
    </row>
    <row r="1934" spans="1:2" x14ac:dyDescent="0.25">
      <c r="A1934"/>
      <c r="B1934"/>
    </row>
    <row r="1935" spans="1:2" x14ac:dyDescent="0.25">
      <c r="A1935"/>
      <c r="B1935"/>
    </row>
    <row r="1936" spans="1:2" x14ac:dyDescent="0.25">
      <c r="A1936"/>
      <c r="B1936"/>
    </row>
    <row r="1937" spans="1:2" x14ac:dyDescent="0.25">
      <c r="A1937"/>
      <c r="B1937"/>
    </row>
    <row r="1938" spans="1:2" x14ac:dyDescent="0.25">
      <c r="A1938"/>
      <c r="B1938"/>
    </row>
    <row r="1939" spans="1:2" x14ac:dyDescent="0.25">
      <c r="A1939"/>
      <c r="B1939"/>
    </row>
    <row r="1940" spans="1:2" x14ac:dyDescent="0.25">
      <c r="A1940"/>
      <c r="B1940"/>
    </row>
    <row r="1941" spans="1:2" x14ac:dyDescent="0.25">
      <c r="A1941"/>
      <c r="B1941"/>
    </row>
    <row r="1942" spans="1:2" x14ac:dyDescent="0.25">
      <c r="A1942"/>
      <c r="B1942"/>
    </row>
    <row r="1943" spans="1:2" x14ac:dyDescent="0.25">
      <c r="A1943"/>
      <c r="B1943"/>
    </row>
    <row r="1944" spans="1:2" x14ac:dyDescent="0.25">
      <c r="A1944"/>
      <c r="B1944"/>
    </row>
    <row r="1945" spans="1:2" x14ac:dyDescent="0.25">
      <c r="A1945"/>
      <c r="B1945"/>
    </row>
    <row r="1946" spans="1:2" x14ac:dyDescent="0.25">
      <c r="A1946"/>
      <c r="B1946"/>
    </row>
    <row r="1947" spans="1:2" x14ac:dyDescent="0.25">
      <c r="A1947"/>
      <c r="B1947"/>
    </row>
    <row r="1948" spans="1:2" x14ac:dyDescent="0.25">
      <c r="A1948"/>
      <c r="B1948"/>
    </row>
    <row r="1949" spans="1:2" x14ac:dyDescent="0.25">
      <c r="A1949"/>
      <c r="B1949"/>
    </row>
    <row r="1950" spans="1:2" x14ac:dyDescent="0.25">
      <c r="A1950"/>
      <c r="B1950"/>
    </row>
    <row r="1951" spans="1:2" x14ac:dyDescent="0.25">
      <c r="A1951"/>
      <c r="B1951"/>
    </row>
    <row r="1952" spans="1:2" x14ac:dyDescent="0.25">
      <c r="A1952"/>
      <c r="B1952"/>
    </row>
    <row r="1953" spans="1:2" x14ac:dyDescent="0.25">
      <c r="A1953"/>
      <c r="B1953"/>
    </row>
    <row r="1954" spans="1:2" x14ac:dyDescent="0.25">
      <c r="A1954"/>
      <c r="B1954"/>
    </row>
    <row r="1955" spans="1:2" x14ac:dyDescent="0.25">
      <c r="A1955"/>
      <c r="B1955"/>
    </row>
    <row r="1956" spans="1:2" x14ac:dyDescent="0.25">
      <c r="A1956"/>
      <c r="B1956"/>
    </row>
    <row r="1957" spans="1:2" x14ac:dyDescent="0.25">
      <c r="A1957"/>
      <c r="B1957"/>
    </row>
    <row r="1958" spans="1:2" x14ac:dyDescent="0.25">
      <c r="A1958"/>
      <c r="B1958"/>
    </row>
    <row r="1959" spans="1:2" x14ac:dyDescent="0.25">
      <c r="A1959"/>
      <c r="B1959"/>
    </row>
    <row r="1960" spans="1:2" x14ac:dyDescent="0.25">
      <c r="A1960"/>
      <c r="B1960"/>
    </row>
    <row r="1961" spans="1:2" x14ac:dyDescent="0.25">
      <c r="A1961"/>
      <c r="B1961"/>
    </row>
    <row r="1962" spans="1:2" x14ac:dyDescent="0.25">
      <c r="A1962"/>
      <c r="B1962"/>
    </row>
    <row r="1963" spans="1:2" x14ac:dyDescent="0.25">
      <c r="A1963"/>
      <c r="B1963"/>
    </row>
    <row r="1964" spans="1:2" x14ac:dyDescent="0.25">
      <c r="A1964"/>
      <c r="B1964"/>
    </row>
    <row r="1965" spans="1:2" x14ac:dyDescent="0.25">
      <c r="A1965"/>
      <c r="B1965"/>
    </row>
    <row r="1966" spans="1:2" x14ac:dyDescent="0.25">
      <c r="A1966"/>
      <c r="B1966"/>
    </row>
    <row r="1967" spans="1:2" x14ac:dyDescent="0.25">
      <c r="A1967"/>
      <c r="B1967"/>
    </row>
    <row r="1968" spans="1:2" x14ac:dyDescent="0.25">
      <c r="A1968"/>
      <c r="B1968"/>
    </row>
    <row r="1969" spans="1:2" x14ac:dyDescent="0.25">
      <c r="A1969"/>
      <c r="B1969"/>
    </row>
    <row r="1970" spans="1:2" x14ac:dyDescent="0.25">
      <c r="A1970"/>
      <c r="B1970"/>
    </row>
    <row r="1971" spans="1:2" x14ac:dyDescent="0.25">
      <c r="A1971"/>
      <c r="B1971"/>
    </row>
    <row r="1972" spans="1:2" x14ac:dyDescent="0.25">
      <c r="A1972"/>
      <c r="B1972"/>
    </row>
    <row r="1973" spans="1:2" x14ac:dyDescent="0.25">
      <c r="A1973"/>
      <c r="B1973"/>
    </row>
    <row r="1974" spans="1:2" x14ac:dyDescent="0.25">
      <c r="A1974"/>
      <c r="B1974"/>
    </row>
    <row r="1975" spans="1:2" x14ac:dyDescent="0.25">
      <c r="A1975"/>
      <c r="B1975"/>
    </row>
    <row r="1976" spans="1:2" x14ac:dyDescent="0.25">
      <c r="A1976"/>
      <c r="B1976"/>
    </row>
    <row r="1977" spans="1:2" x14ac:dyDescent="0.25">
      <c r="A1977"/>
      <c r="B1977"/>
    </row>
    <row r="1978" spans="1:2" x14ac:dyDescent="0.25">
      <c r="A1978"/>
      <c r="B1978"/>
    </row>
    <row r="1979" spans="1:2" x14ac:dyDescent="0.25">
      <c r="A1979"/>
      <c r="B1979"/>
    </row>
    <row r="1980" spans="1:2" x14ac:dyDescent="0.25">
      <c r="A1980"/>
      <c r="B1980"/>
    </row>
    <row r="1981" spans="1:2" x14ac:dyDescent="0.25">
      <c r="A1981"/>
      <c r="B1981"/>
    </row>
    <row r="1982" spans="1:2" x14ac:dyDescent="0.25">
      <c r="A1982"/>
      <c r="B1982"/>
    </row>
    <row r="1983" spans="1:2" x14ac:dyDescent="0.25">
      <c r="A1983"/>
      <c r="B1983"/>
    </row>
    <row r="1984" spans="1:2" x14ac:dyDescent="0.25">
      <c r="A1984"/>
      <c r="B1984"/>
    </row>
    <row r="1985" spans="1:2" x14ac:dyDescent="0.25">
      <c r="A1985"/>
      <c r="B1985"/>
    </row>
    <row r="1986" spans="1:2" x14ac:dyDescent="0.25">
      <c r="A1986"/>
      <c r="B1986"/>
    </row>
    <row r="1987" spans="1:2" x14ac:dyDescent="0.25">
      <c r="A1987"/>
      <c r="B1987"/>
    </row>
    <row r="1988" spans="1:2" x14ac:dyDescent="0.25">
      <c r="A1988"/>
      <c r="B1988"/>
    </row>
    <row r="1989" spans="1:2" x14ac:dyDescent="0.25">
      <c r="A1989"/>
      <c r="B1989"/>
    </row>
    <row r="1990" spans="1:2" x14ac:dyDescent="0.25">
      <c r="A1990"/>
      <c r="B1990"/>
    </row>
    <row r="1991" spans="1:2" x14ac:dyDescent="0.25">
      <c r="A1991"/>
      <c r="B1991"/>
    </row>
    <row r="1992" spans="1:2" x14ac:dyDescent="0.25">
      <c r="A1992"/>
      <c r="B1992"/>
    </row>
    <row r="1993" spans="1:2" x14ac:dyDescent="0.25">
      <c r="A1993"/>
      <c r="B1993"/>
    </row>
    <row r="1994" spans="1:2" x14ac:dyDescent="0.25">
      <c r="A1994"/>
      <c r="B1994"/>
    </row>
    <row r="1995" spans="1:2" x14ac:dyDescent="0.25">
      <c r="A1995"/>
      <c r="B1995"/>
    </row>
    <row r="1996" spans="1:2" x14ac:dyDescent="0.25">
      <c r="A1996"/>
      <c r="B1996"/>
    </row>
    <row r="1997" spans="1:2" x14ac:dyDescent="0.25">
      <c r="A1997"/>
      <c r="B1997"/>
    </row>
    <row r="1998" spans="1:2" x14ac:dyDescent="0.25">
      <c r="A1998"/>
      <c r="B1998"/>
    </row>
    <row r="1999" spans="1:2" x14ac:dyDescent="0.25">
      <c r="A1999"/>
      <c r="B1999"/>
    </row>
    <row r="2000" spans="1:2" x14ac:dyDescent="0.25">
      <c r="A2000"/>
      <c r="B2000"/>
    </row>
    <row r="2001" spans="1:2" x14ac:dyDescent="0.25">
      <c r="A2001"/>
      <c r="B2001"/>
    </row>
    <row r="2002" spans="1:2" x14ac:dyDescent="0.25">
      <c r="A2002"/>
      <c r="B2002"/>
    </row>
    <row r="2003" spans="1:2" x14ac:dyDescent="0.25">
      <c r="A2003"/>
      <c r="B2003"/>
    </row>
    <row r="2004" spans="1:2" x14ac:dyDescent="0.25">
      <c r="A2004"/>
      <c r="B2004"/>
    </row>
    <row r="2005" spans="1:2" x14ac:dyDescent="0.25">
      <c r="A2005"/>
      <c r="B2005"/>
    </row>
    <row r="2006" spans="1:2" x14ac:dyDescent="0.25">
      <c r="A2006"/>
      <c r="B2006"/>
    </row>
    <row r="2007" spans="1:2" x14ac:dyDescent="0.25">
      <c r="A2007"/>
      <c r="B2007"/>
    </row>
    <row r="2008" spans="1:2" x14ac:dyDescent="0.25">
      <c r="A2008"/>
      <c r="B2008"/>
    </row>
    <row r="2009" spans="1:2" x14ac:dyDescent="0.25">
      <c r="A2009"/>
      <c r="B2009"/>
    </row>
    <row r="2010" spans="1:2" x14ac:dyDescent="0.25">
      <c r="A2010"/>
      <c r="B2010"/>
    </row>
    <row r="2011" spans="1:2" x14ac:dyDescent="0.25">
      <c r="A2011"/>
      <c r="B2011"/>
    </row>
    <row r="2012" spans="1:2" x14ac:dyDescent="0.25">
      <c r="A2012"/>
      <c r="B2012"/>
    </row>
    <row r="2013" spans="1:2" x14ac:dyDescent="0.25">
      <c r="A2013"/>
      <c r="B2013"/>
    </row>
    <row r="2014" spans="1:2" x14ac:dyDescent="0.25">
      <c r="A2014"/>
      <c r="B2014"/>
    </row>
    <row r="2015" spans="1:2" x14ac:dyDescent="0.25">
      <c r="A2015"/>
      <c r="B2015"/>
    </row>
    <row r="2016" spans="1:2" x14ac:dyDescent="0.25">
      <c r="A2016"/>
      <c r="B2016"/>
    </row>
    <row r="2017" spans="1:2" x14ac:dyDescent="0.25">
      <c r="A2017"/>
      <c r="B2017"/>
    </row>
    <row r="2018" spans="1:2" x14ac:dyDescent="0.25">
      <c r="A2018"/>
      <c r="B2018"/>
    </row>
    <row r="2019" spans="1:2" x14ac:dyDescent="0.25">
      <c r="A2019"/>
      <c r="B2019"/>
    </row>
    <row r="2020" spans="1:2" x14ac:dyDescent="0.25">
      <c r="A2020"/>
      <c r="B2020"/>
    </row>
    <row r="2021" spans="1:2" x14ac:dyDescent="0.25">
      <c r="A2021"/>
      <c r="B2021"/>
    </row>
    <row r="2022" spans="1:2" x14ac:dyDescent="0.25">
      <c r="A2022"/>
      <c r="B2022"/>
    </row>
    <row r="2023" spans="1:2" x14ac:dyDescent="0.25">
      <c r="A2023"/>
      <c r="B2023"/>
    </row>
    <row r="2024" spans="1:2" x14ac:dyDescent="0.25">
      <c r="A2024"/>
      <c r="B2024"/>
    </row>
    <row r="2025" spans="1:2" x14ac:dyDescent="0.25">
      <c r="A2025"/>
      <c r="B2025"/>
    </row>
    <row r="2026" spans="1:2" x14ac:dyDescent="0.25">
      <c r="A2026"/>
      <c r="B2026"/>
    </row>
    <row r="2027" spans="1:2" x14ac:dyDescent="0.25">
      <c r="A2027"/>
      <c r="B2027"/>
    </row>
    <row r="2028" spans="1:2" x14ac:dyDescent="0.25">
      <c r="A2028"/>
      <c r="B2028"/>
    </row>
    <row r="2029" spans="1:2" x14ac:dyDescent="0.25">
      <c r="A2029"/>
      <c r="B2029"/>
    </row>
    <row r="2030" spans="1:2" x14ac:dyDescent="0.25">
      <c r="A2030"/>
      <c r="B2030"/>
    </row>
    <row r="2031" spans="1:2" x14ac:dyDescent="0.25">
      <c r="A2031"/>
      <c r="B2031"/>
    </row>
    <row r="2032" spans="1:2" x14ac:dyDescent="0.25">
      <c r="A2032"/>
      <c r="B2032"/>
    </row>
    <row r="2033" spans="1:2" x14ac:dyDescent="0.25">
      <c r="A2033"/>
      <c r="B2033"/>
    </row>
    <row r="2034" spans="1:2" x14ac:dyDescent="0.25">
      <c r="A2034"/>
      <c r="B2034"/>
    </row>
    <row r="2035" spans="1:2" x14ac:dyDescent="0.25">
      <c r="A2035"/>
      <c r="B2035"/>
    </row>
    <row r="2036" spans="1:2" x14ac:dyDescent="0.25">
      <c r="A2036"/>
      <c r="B2036"/>
    </row>
    <row r="2037" spans="1:2" x14ac:dyDescent="0.25">
      <c r="A2037"/>
      <c r="B2037"/>
    </row>
    <row r="2038" spans="1:2" x14ac:dyDescent="0.25">
      <c r="A2038"/>
      <c r="B2038"/>
    </row>
    <row r="2039" spans="1:2" x14ac:dyDescent="0.25">
      <c r="A2039"/>
      <c r="B2039"/>
    </row>
    <row r="2040" spans="1:2" x14ac:dyDescent="0.25">
      <c r="A2040"/>
      <c r="B2040"/>
    </row>
    <row r="2041" spans="1:2" x14ac:dyDescent="0.25">
      <c r="A2041"/>
      <c r="B2041"/>
    </row>
    <row r="2042" spans="1:2" x14ac:dyDescent="0.25">
      <c r="A2042"/>
      <c r="B2042"/>
    </row>
    <row r="2043" spans="1:2" x14ac:dyDescent="0.25">
      <c r="A2043"/>
      <c r="B2043"/>
    </row>
    <row r="2044" spans="1:2" x14ac:dyDescent="0.25">
      <c r="A2044"/>
      <c r="B2044"/>
    </row>
    <row r="2045" spans="1:2" x14ac:dyDescent="0.25">
      <c r="A2045"/>
      <c r="B2045"/>
    </row>
    <row r="2046" spans="1:2" x14ac:dyDescent="0.25">
      <c r="A2046"/>
      <c r="B2046"/>
    </row>
    <row r="2047" spans="1:2" x14ac:dyDescent="0.25">
      <c r="A2047"/>
      <c r="B2047"/>
    </row>
    <row r="2048" spans="1:2" x14ac:dyDescent="0.25">
      <c r="A2048"/>
      <c r="B2048"/>
    </row>
    <row r="2049" spans="1:2" x14ac:dyDescent="0.25">
      <c r="A2049"/>
      <c r="B2049"/>
    </row>
    <row r="2050" spans="1:2" x14ac:dyDescent="0.25">
      <c r="A2050"/>
      <c r="B2050"/>
    </row>
    <row r="2051" spans="1:2" x14ac:dyDescent="0.25">
      <c r="A2051"/>
      <c r="B2051"/>
    </row>
    <row r="2052" spans="1:2" x14ac:dyDescent="0.25">
      <c r="A2052"/>
      <c r="B2052"/>
    </row>
    <row r="2053" spans="1:2" x14ac:dyDescent="0.25">
      <c r="A2053"/>
      <c r="B2053"/>
    </row>
    <row r="2054" spans="1:2" x14ac:dyDescent="0.25">
      <c r="A2054"/>
      <c r="B2054"/>
    </row>
    <row r="2055" spans="1:2" x14ac:dyDescent="0.25">
      <c r="A2055"/>
      <c r="B2055"/>
    </row>
    <row r="2056" spans="1:2" x14ac:dyDescent="0.25">
      <c r="A2056"/>
      <c r="B2056"/>
    </row>
    <row r="2057" spans="1:2" x14ac:dyDescent="0.25">
      <c r="A2057"/>
      <c r="B2057"/>
    </row>
    <row r="2058" spans="1:2" x14ac:dyDescent="0.25">
      <c r="A2058"/>
      <c r="B2058"/>
    </row>
    <row r="2059" spans="1:2" x14ac:dyDescent="0.25">
      <c r="A2059"/>
      <c r="B2059"/>
    </row>
    <row r="2060" spans="1:2" x14ac:dyDescent="0.25">
      <c r="A2060"/>
      <c r="B2060"/>
    </row>
    <row r="2061" spans="1:2" x14ac:dyDescent="0.25">
      <c r="A2061"/>
      <c r="B2061"/>
    </row>
    <row r="2062" spans="1:2" x14ac:dyDescent="0.25">
      <c r="A2062"/>
      <c r="B2062"/>
    </row>
    <row r="2063" spans="1:2" x14ac:dyDescent="0.25">
      <c r="A2063"/>
      <c r="B2063"/>
    </row>
    <row r="2064" spans="1:2" x14ac:dyDescent="0.25">
      <c r="A2064"/>
      <c r="B2064"/>
    </row>
    <row r="2065" spans="1:2" x14ac:dyDescent="0.25">
      <c r="A2065"/>
      <c r="B2065"/>
    </row>
    <row r="2066" spans="1:2" x14ac:dyDescent="0.25">
      <c r="A2066"/>
      <c r="B2066"/>
    </row>
    <row r="2067" spans="1:2" x14ac:dyDescent="0.25">
      <c r="A2067"/>
      <c r="B2067"/>
    </row>
    <row r="2068" spans="1:2" x14ac:dyDescent="0.25">
      <c r="A2068"/>
      <c r="B2068"/>
    </row>
    <row r="2069" spans="1:2" x14ac:dyDescent="0.25">
      <c r="A2069"/>
      <c r="B2069"/>
    </row>
    <row r="2070" spans="1:2" x14ac:dyDescent="0.25">
      <c r="A2070"/>
      <c r="B2070"/>
    </row>
    <row r="2071" spans="1:2" x14ac:dyDescent="0.25">
      <c r="A2071"/>
      <c r="B2071"/>
    </row>
    <row r="2072" spans="1:2" x14ac:dyDescent="0.25">
      <c r="A2072"/>
      <c r="B2072"/>
    </row>
    <row r="2073" spans="1:2" x14ac:dyDescent="0.25">
      <c r="A2073"/>
      <c r="B2073"/>
    </row>
    <row r="2074" spans="1:2" x14ac:dyDescent="0.25">
      <c r="A2074"/>
      <c r="B2074"/>
    </row>
    <row r="2075" spans="1:2" x14ac:dyDescent="0.25">
      <c r="A2075"/>
      <c r="B2075"/>
    </row>
    <row r="2076" spans="1:2" x14ac:dyDescent="0.25">
      <c r="A2076"/>
      <c r="B2076"/>
    </row>
    <row r="2077" spans="1:2" x14ac:dyDescent="0.25">
      <c r="A2077"/>
      <c r="B2077"/>
    </row>
    <row r="2078" spans="1:2" x14ac:dyDescent="0.25">
      <c r="A2078"/>
      <c r="B2078"/>
    </row>
    <row r="2079" spans="1:2" x14ac:dyDescent="0.25">
      <c r="A2079"/>
      <c r="B2079"/>
    </row>
    <row r="2080" spans="1:2" x14ac:dyDescent="0.25">
      <c r="A2080"/>
      <c r="B2080"/>
    </row>
    <row r="2081" spans="1:2" x14ac:dyDescent="0.25">
      <c r="A2081"/>
      <c r="B2081"/>
    </row>
    <row r="2082" spans="1:2" x14ac:dyDescent="0.25">
      <c r="A2082"/>
      <c r="B2082"/>
    </row>
    <row r="2083" spans="1:2" x14ac:dyDescent="0.25">
      <c r="A2083"/>
      <c r="B2083"/>
    </row>
    <row r="2084" spans="1:2" x14ac:dyDescent="0.25">
      <c r="A2084"/>
      <c r="B2084"/>
    </row>
    <row r="2085" spans="1:2" x14ac:dyDescent="0.25">
      <c r="A2085"/>
      <c r="B2085"/>
    </row>
    <row r="2086" spans="1:2" x14ac:dyDescent="0.25">
      <c r="A2086"/>
      <c r="B2086"/>
    </row>
    <row r="2087" spans="1:2" x14ac:dyDescent="0.25">
      <c r="A2087"/>
      <c r="B2087"/>
    </row>
    <row r="2088" spans="1:2" x14ac:dyDescent="0.25">
      <c r="A2088"/>
      <c r="B2088"/>
    </row>
    <row r="2089" spans="1:2" x14ac:dyDescent="0.25">
      <c r="A2089"/>
      <c r="B2089"/>
    </row>
    <row r="2090" spans="1:2" x14ac:dyDescent="0.25">
      <c r="A2090"/>
      <c r="B2090"/>
    </row>
    <row r="2091" spans="1:2" x14ac:dyDescent="0.25">
      <c r="A2091"/>
      <c r="B2091"/>
    </row>
    <row r="2092" spans="1:2" x14ac:dyDescent="0.25">
      <c r="A2092"/>
      <c r="B2092"/>
    </row>
    <row r="2093" spans="1:2" x14ac:dyDescent="0.25">
      <c r="A2093"/>
      <c r="B2093"/>
    </row>
    <row r="2094" spans="1:2" x14ac:dyDescent="0.25">
      <c r="A2094"/>
      <c r="B2094"/>
    </row>
    <row r="2095" spans="1:2" x14ac:dyDescent="0.25">
      <c r="A2095"/>
      <c r="B2095"/>
    </row>
    <row r="2096" spans="1:2" x14ac:dyDescent="0.25">
      <c r="A2096"/>
      <c r="B2096"/>
    </row>
    <row r="2097" spans="1:2" x14ac:dyDescent="0.25">
      <c r="A2097"/>
      <c r="B2097"/>
    </row>
    <row r="2098" spans="1:2" x14ac:dyDescent="0.25">
      <c r="A2098"/>
      <c r="B2098"/>
    </row>
    <row r="2099" spans="1:2" x14ac:dyDescent="0.25">
      <c r="A2099"/>
      <c r="B2099"/>
    </row>
    <row r="2100" spans="1:2" x14ac:dyDescent="0.25">
      <c r="A2100"/>
      <c r="B2100"/>
    </row>
    <row r="2101" spans="1:2" x14ac:dyDescent="0.25">
      <c r="A2101"/>
      <c r="B2101"/>
    </row>
    <row r="2102" spans="1:2" x14ac:dyDescent="0.25">
      <c r="A2102"/>
      <c r="B2102"/>
    </row>
    <row r="2103" spans="1:2" x14ac:dyDescent="0.25">
      <c r="A2103"/>
      <c r="B2103"/>
    </row>
    <row r="2104" spans="1:2" x14ac:dyDescent="0.25">
      <c r="A2104"/>
      <c r="B2104"/>
    </row>
    <row r="2105" spans="1:2" x14ac:dyDescent="0.25">
      <c r="A2105"/>
      <c r="B2105"/>
    </row>
    <row r="2106" spans="1:2" x14ac:dyDescent="0.25">
      <c r="A2106"/>
      <c r="B2106"/>
    </row>
    <row r="2107" spans="1:2" x14ac:dyDescent="0.25">
      <c r="A2107"/>
      <c r="B2107"/>
    </row>
    <row r="2108" spans="1:2" x14ac:dyDescent="0.25">
      <c r="A2108"/>
      <c r="B2108"/>
    </row>
    <row r="2109" spans="1:2" x14ac:dyDescent="0.25">
      <c r="A2109"/>
      <c r="B2109"/>
    </row>
    <row r="2110" spans="1:2" x14ac:dyDescent="0.25">
      <c r="A2110"/>
      <c r="B2110"/>
    </row>
    <row r="2111" spans="1:2" x14ac:dyDescent="0.25">
      <c r="A2111"/>
      <c r="B2111"/>
    </row>
    <row r="2112" spans="1:2" x14ac:dyDescent="0.25">
      <c r="A2112"/>
      <c r="B2112"/>
    </row>
    <row r="2113" spans="1:2" x14ac:dyDescent="0.25">
      <c r="A2113"/>
      <c r="B2113"/>
    </row>
    <row r="2114" spans="1:2" x14ac:dyDescent="0.25">
      <c r="A2114"/>
      <c r="B2114"/>
    </row>
    <row r="2115" spans="1:2" x14ac:dyDescent="0.25">
      <c r="A2115"/>
      <c r="B2115"/>
    </row>
    <row r="2116" spans="1:2" x14ac:dyDescent="0.25">
      <c r="A2116"/>
      <c r="B2116"/>
    </row>
    <row r="2117" spans="1:2" x14ac:dyDescent="0.25">
      <c r="A2117"/>
      <c r="B2117"/>
    </row>
    <row r="2118" spans="1:2" x14ac:dyDescent="0.25">
      <c r="A2118"/>
      <c r="B2118"/>
    </row>
    <row r="2119" spans="1:2" x14ac:dyDescent="0.25">
      <c r="A2119"/>
      <c r="B2119"/>
    </row>
    <row r="2120" spans="1:2" x14ac:dyDescent="0.25">
      <c r="A2120"/>
      <c r="B2120"/>
    </row>
    <row r="2121" spans="1:2" x14ac:dyDescent="0.25">
      <c r="A2121"/>
      <c r="B2121"/>
    </row>
    <row r="2122" spans="1:2" x14ac:dyDescent="0.25">
      <c r="A2122"/>
      <c r="B2122"/>
    </row>
    <row r="2123" spans="1:2" x14ac:dyDescent="0.25">
      <c r="A2123"/>
      <c r="B2123"/>
    </row>
    <row r="2124" spans="1:2" x14ac:dyDescent="0.25">
      <c r="A2124"/>
      <c r="B2124"/>
    </row>
    <row r="2125" spans="1:2" x14ac:dyDescent="0.25">
      <c r="A2125"/>
      <c r="B2125"/>
    </row>
    <row r="2126" spans="1:2" x14ac:dyDescent="0.25">
      <c r="A2126"/>
      <c r="B2126"/>
    </row>
    <row r="2127" spans="1:2" x14ac:dyDescent="0.25">
      <c r="A2127"/>
      <c r="B2127"/>
    </row>
    <row r="2128" spans="1:2" x14ac:dyDescent="0.25">
      <c r="A2128"/>
      <c r="B2128"/>
    </row>
    <row r="2129" spans="1:2" x14ac:dyDescent="0.25">
      <c r="A2129"/>
      <c r="B2129"/>
    </row>
    <row r="2130" spans="1:2" x14ac:dyDescent="0.25">
      <c r="A2130"/>
      <c r="B2130"/>
    </row>
    <row r="2131" spans="1:2" x14ac:dyDescent="0.25">
      <c r="A2131"/>
      <c r="B2131"/>
    </row>
    <row r="2132" spans="1:2" x14ac:dyDescent="0.25">
      <c r="A2132"/>
      <c r="B2132"/>
    </row>
    <row r="2133" spans="1:2" x14ac:dyDescent="0.25">
      <c r="A2133"/>
      <c r="B2133"/>
    </row>
    <row r="2134" spans="1:2" x14ac:dyDescent="0.25">
      <c r="A2134"/>
      <c r="B2134"/>
    </row>
    <row r="2135" spans="1:2" x14ac:dyDescent="0.25">
      <c r="A2135"/>
      <c r="B2135"/>
    </row>
    <row r="2136" spans="1:2" x14ac:dyDescent="0.25">
      <c r="A2136"/>
      <c r="B2136"/>
    </row>
    <row r="2137" spans="1:2" x14ac:dyDescent="0.25">
      <c r="A2137"/>
      <c r="B2137"/>
    </row>
    <row r="2138" spans="1:2" x14ac:dyDescent="0.25">
      <c r="A2138"/>
      <c r="B2138"/>
    </row>
    <row r="2139" spans="1:2" x14ac:dyDescent="0.25">
      <c r="A2139"/>
      <c r="B2139"/>
    </row>
    <row r="2140" spans="1:2" x14ac:dyDescent="0.25">
      <c r="A2140"/>
      <c r="B2140"/>
    </row>
    <row r="2141" spans="1:2" x14ac:dyDescent="0.25">
      <c r="A2141"/>
      <c r="B2141"/>
    </row>
    <row r="2142" spans="1:2" x14ac:dyDescent="0.25">
      <c r="A2142"/>
      <c r="B2142"/>
    </row>
    <row r="2143" spans="1:2" x14ac:dyDescent="0.25">
      <c r="A2143"/>
      <c r="B2143"/>
    </row>
    <row r="2144" spans="1:2" x14ac:dyDescent="0.25">
      <c r="A2144"/>
      <c r="B2144"/>
    </row>
    <row r="2145" spans="1:2" x14ac:dyDescent="0.25">
      <c r="A2145"/>
      <c r="B2145"/>
    </row>
    <row r="2146" spans="1:2" x14ac:dyDescent="0.25">
      <c r="A2146"/>
      <c r="B2146"/>
    </row>
    <row r="2147" spans="1:2" x14ac:dyDescent="0.25">
      <c r="A2147"/>
      <c r="B2147"/>
    </row>
    <row r="2148" spans="1:2" x14ac:dyDescent="0.25">
      <c r="A2148"/>
      <c r="B2148"/>
    </row>
    <row r="2149" spans="1:2" x14ac:dyDescent="0.25">
      <c r="A2149"/>
      <c r="B2149"/>
    </row>
    <row r="2150" spans="1:2" x14ac:dyDescent="0.25">
      <c r="A2150"/>
      <c r="B2150"/>
    </row>
    <row r="2151" spans="1:2" x14ac:dyDescent="0.25">
      <c r="A2151"/>
      <c r="B2151"/>
    </row>
    <row r="2152" spans="1:2" x14ac:dyDescent="0.25">
      <c r="A2152"/>
      <c r="B2152"/>
    </row>
    <row r="2153" spans="1:2" x14ac:dyDescent="0.25">
      <c r="A2153"/>
      <c r="B2153"/>
    </row>
    <row r="2154" spans="1:2" x14ac:dyDescent="0.25">
      <c r="A2154"/>
      <c r="B2154"/>
    </row>
    <row r="2155" spans="1:2" x14ac:dyDescent="0.25">
      <c r="A2155"/>
      <c r="B2155"/>
    </row>
    <row r="2156" spans="1:2" x14ac:dyDescent="0.25">
      <c r="A2156"/>
      <c r="B2156"/>
    </row>
    <row r="2157" spans="1:2" x14ac:dyDescent="0.25">
      <c r="A2157"/>
      <c r="B2157"/>
    </row>
    <row r="2158" spans="1:2" x14ac:dyDescent="0.25">
      <c r="A2158"/>
      <c r="B2158"/>
    </row>
    <row r="2159" spans="1:2" x14ac:dyDescent="0.25">
      <c r="A2159"/>
      <c r="B2159"/>
    </row>
    <row r="2160" spans="1:2" x14ac:dyDescent="0.25">
      <c r="A2160"/>
      <c r="B2160"/>
    </row>
    <row r="2161" spans="1:2" x14ac:dyDescent="0.25">
      <c r="A2161"/>
      <c r="B2161"/>
    </row>
    <row r="2162" spans="1:2" x14ac:dyDescent="0.25">
      <c r="A2162"/>
      <c r="B2162"/>
    </row>
    <row r="2163" spans="1:2" x14ac:dyDescent="0.25">
      <c r="A2163"/>
      <c r="B2163"/>
    </row>
    <row r="2164" spans="1:2" x14ac:dyDescent="0.25">
      <c r="A2164"/>
      <c r="B2164"/>
    </row>
    <row r="2165" spans="1:2" x14ac:dyDescent="0.25">
      <c r="A2165"/>
      <c r="B2165"/>
    </row>
    <row r="2166" spans="1:2" x14ac:dyDescent="0.25">
      <c r="A2166"/>
      <c r="B2166"/>
    </row>
    <row r="2167" spans="1:2" x14ac:dyDescent="0.25">
      <c r="A2167"/>
      <c r="B2167"/>
    </row>
    <row r="2168" spans="1:2" x14ac:dyDescent="0.25">
      <c r="A2168"/>
      <c r="B2168"/>
    </row>
    <row r="2169" spans="1:2" x14ac:dyDescent="0.25">
      <c r="A2169"/>
      <c r="B2169"/>
    </row>
    <row r="2170" spans="1:2" x14ac:dyDescent="0.25">
      <c r="A2170"/>
      <c r="B2170"/>
    </row>
    <row r="2171" spans="1:2" x14ac:dyDescent="0.25">
      <c r="A2171"/>
      <c r="B2171"/>
    </row>
    <row r="2172" spans="1:2" x14ac:dyDescent="0.25">
      <c r="A2172"/>
      <c r="B2172"/>
    </row>
    <row r="2173" spans="1:2" x14ac:dyDescent="0.25">
      <c r="A2173"/>
      <c r="B2173"/>
    </row>
    <row r="2174" spans="1:2" x14ac:dyDescent="0.25">
      <c r="A2174"/>
      <c r="B2174"/>
    </row>
    <row r="2175" spans="1:2" x14ac:dyDescent="0.25">
      <c r="A2175"/>
      <c r="B2175"/>
    </row>
    <row r="2176" spans="1:2" x14ac:dyDescent="0.25">
      <c r="A2176"/>
      <c r="B2176"/>
    </row>
    <row r="2177" spans="1:2" x14ac:dyDescent="0.25">
      <c r="A2177"/>
      <c r="B2177"/>
    </row>
    <row r="2178" spans="1:2" x14ac:dyDescent="0.25">
      <c r="A2178"/>
      <c r="B2178"/>
    </row>
    <row r="2179" spans="1:2" x14ac:dyDescent="0.25">
      <c r="A2179"/>
      <c r="B2179"/>
    </row>
    <row r="2180" spans="1:2" x14ac:dyDescent="0.25">
      <c r="A2180"/>
      <c r="B2180"/>
    </row>
    <row r="2181" spans="1:2" x14ac:dyDescent="0.25">
      <c r="A2181"/>
      <c r="B2181"/>
    </row>
    <row r="2182" spans="1:2" x14ac:dyDescent="0.25">
      <c r="A2182"/>
      <c r="B2182"/>
    </row>
    <row r="2183" spans="1:2" x14ac:dyDescent="0.25">
      <c r="A2183"/>
      <c r="B2183"/>
    </row>
    <row r="2184" spans="1:2" x14ac:dyDescent="0.25">
      <c r="A2184"/>
      <c r="B2184"/>
    </row>
    <row r="2185" spans="1:2" x14ac:dyDescent="0.25">
      <c r="A2185"/>
      <c r="B2185"/>
    </row>
    <row r="2186" spans="1:2" x14ac:dyDescent="0.25">
      <c r="A2186"/>
      <c r="B2186"/>
    </row>
    <row r="2187" spans="1:2" x14ac:dyDescent="0.25">
      <c r="A2187"/>
      <c r="B2187"/>
    </row>
    <row r="2188" spans="1:2" x14ac:dyDescent="0.25">
      <c r="A2188"/>
      <c r="B2188"/>
    </row>
    <row r="2189" spans="1:2" x14ac:dyDescent="0.25">
      <c r="A2189"/>
      <c r="B2189"/>
    </row>
    <row r="2190" spans="1:2" x14ac:dyDescent="0.25">
      <c r="A2190"/>
      <c r="B2190"/>
    </row>
    <row r="2191" spans="1:2" x14ac:dyDescent="0.25">
      <c r="A2191"/>
      <c r="B2191"/>
    </row>
    <row r="2192" spans="1:2" x14ac:dyDescent="0.25">
      <c r="A2192"/>
      <c r="B2192"/>
    </row>
    <row r="2193" spans="1:2" x14ac:dyDescent="0.25">
      <c r="A2193"/>
      <c r="B2193"/>
    </row>
    <row r="2194" spans="1:2" x14ac:dyDescent="0.25">
      <c r="A2194"/>
      <c r="B2194"/>
    </row>
    <row r="2195" spans="1:2" x14ac:dyDescent="0.25">
      <c r="A2195"/>
      <c r="B2195"/>
    </row>
    <row r="2196" spans="1:2" x14ac:dyDescent="0.25">
      <c r="A2196"/>
      <c r="B2196"/>
    </row>
    <row r="2197" spans="1:2" x14ac:dyDescent="0.25">
      <c r="A2197"/>
      <c r="B2197"/>
    </row>
    <row r="2198" spans="1:2" x14ac:dyDescent="0.25">
      <c r="A2198"/>
      <c r="B2198"/>
    </row>
    <row r="2199" spans="1:2" x14ac:dyDescent="0.25">
      <c r="A2199"/>
      <c r="B2199"/>
    </row>
    <row r="2200" spans="1:2" x14ac:dyDescent="0.25">
      <c r="A2200"/>
      <c r="B2200"/>
    </row>
    <row r="2201" spans="1:2" x14ac:dyDescent="0.25">
      <c r="A2201"/>
      <c r="B2201"/>
    </row>
    <row r="2202" spans="1:2" x14ac:dyDescent="0.25">
      <c r="A2202"/>
      <c r="B2202"/>
    </row>
    <row r="2203" spans="1:2" x14ac:dyDescent="0.25">
      <c r="A2203"/>
      <c r="B2203"/>
    </row>
    <row r="2204" spans="1:2" x14ac:dyDescent="0.25">
      <c r="A2204"/>
      <c r="B2204"/>
    </row>
    <row r="2205" spans="1:2" x14ac:dyDescent="0.25">
      <c r="A2205"/>
      <c r="B2205"/>
    </row>
    <row r="2206" spans="1:2" x14ac:dyDescent="0.25">
      <c r="A2206"/>
      <c r="B2206"/>
    </row>
    <row r="2207" spans="1:2" x14ac:dyDescent="0.25">
      <c r="A2207"/>
      <c r="B2207"/>
    </row>
    <row r="2208" spans="1:2" x14ac:dyDescent="0.25">
      <c r="A2208"/>
      <c r="B2208"/>
    </row>
    <row r="2209" spans="1:2" x14ac:dyDescent="0.25">
      <c r="A2209"/>
      <c r="B2209"/>
    </row>
    <row r="2210" spans="1:2" x14ac:dyDescent="0.25">
      <c r="A2210"/>
      <c r="B2210"/>
    </row>
    <row r="2211" spans="1:2" x14ac:dyDescent="0.25">
      <c r="A2211"/>
      <c r="B2211"/>
    </row>
    <row r="2212" spans="1:2" x14ac:dyDescent="0.25">
      <c r="A2212"/>
      <c r="B2212"/>
    </row>
    <row r="2213" spans="1:2" x14ac:dyDescent="0.25">
      <c r="A2213"/>
      <c r="B2213"/>
    </row>
    <row r="2214" spans="1:2" x14ac:dyDescent="0.25">
      <c r="A2214"/>
      <c r="B2214"/>
    </row>
    <row r="2215" spans="1:2" x14ac:dyDescent="0.25">
      <c r="A2215"/>
      <c r="B2215"/>
    </row>
    <row r="2216" spans="1:2" x14ac:dyDescent="0.25">
      <c r="A2216"/>
      <c r="B2216"/>
    </row>
    <row r="2217" spans="1:2" x14ac:dyDescent="0.25">
      <c r="A2217"/>
      <c r="B2217"/>
    </row>
    <row r="2218" spans="1:2" x14ac:dyDescent="0.25">
      <c r="A2218"/>
      <c r="B2218"/>
    </row>
    <row r="2219" spans="1:2" x14ac:dyDescent="0.25">
      <c r="A2219"/>
      <c r="B2219"/>
    </row>
    <row r="2220" spans="1:2" x14ac:dyDescent="0.25">
      <c r="A2220"/>
      <c r="B2220"/>
    </row>
    <row r="2221" spans="1:2" x14ac:dyDescent="0.25">
      <c r="A2221"/>
      <c r="B2221"/>
    </row>
    <row r="2222" spans="1:2" x14ac:dyDescent="0.25">
      <c r="A2222"/>
      <c r="B2222"/>
    </row>
    <row r="2223" spans="1:2" x14ac:dyDescent="0.25">
      <c r="A2223"/>
      <c r="B2223"/>
    </row>
    <row r="2224" spans="1:2" x14ac:dyDescent="0.25">
      <c r="A2224"/>
      <c r="B2224"/>
    </row>
    <row r="2225" spans="1:2" x14ac:dyDescent="0.25">
      <c r="A2225"/>
      <c r="B2225"/>
    </row>
    <row r="2226" spans="1:2" x14ac:dyDescent="0.25">
      <c r="A2226"/>
      <c r="B2226"/>
    </row>
    <row r="2227" spans="1:2" x14ac:dyDescent="0.25">
      <c r="A2227"/>
      <c r="B2227"/>
    </row>
    <row r="2228" spans="1:2" x14ac:dyDescent="0.25">
      <c r="A2228"/>
      <c r="B2228"/>
    </row>
    <row r="2229" spans="1:2" x14ac:dyDescent="0.25">
      <c r="A2229"/>
      <c r="B2229"/>
    </row>
    <row r="2230" spans="1:2" x14ac:dyDescent="0.25">
      <c r="A2230"/>
      <c r="B2230"/>
    </row>
    <row r="2231" spans="1:2" x14ac:dyDescent="0.25">
      <c r="A2231"/>
      <c r="B2231"/>
    </row>
    <row r="2232" spans="1:2" x14ac:dyDescent="0.25">
      <c r="A2232"/>
      <c r="B2232"/>
    </row>
    <row r="2233" spans="1:2" x14ac:dyDescent="0.25">
      <c r="A2233"/>
      <c r="B2233"/>
    </row>
    <row r="2234" spans="1:2" x14ac:dyDescent="0.25">
      <c r="A2234"/>
      <c r="B2234"/>
    </row>
    <row r="2235" spans="1:2" x14ac:dyDescent="0.25">
      <c r="A2235"/>
      <c r="B2235"/>
    </row>
    <row r="2236" spans="1:2" x14ac:dyDescent="0.25">
      <c r="A2236"/>
      <c r="B2236"/>
    </row>
    <row r="2237" spans="1:2" x14ac:dyDescent="0.25">
      <c r="A2237"/>
      <c r="B2237"/>
    </row>
    <row r="2238" spans="1:2" x14ac:dyDescent="0.25">
      <c r="A2238"/>
      <c r="B2238"/>
    </row>
    <row r="2239" spans="1:2" x14ac:dyDescent="0.25">
      <c r="A2239"/>
      <c r="B2239"/>
    </row>
    <row r="2240" spans="1:2" x14ac:dyDescent="0.25">
      <c r="A2240"/>
      <c r="B2240"/>
    </row>
    <row r="2241" spans="1:2" x14ac:dyDescent="0.25">
      <c r="A2241"/>
      <c r="B2241"/>
    </row>
    <row r="2242" spans="1:2" x14ac:dyDescent="0.25">
      <c r="A2242"/>
      <c r="B2242"/>
    </row>
    <row r="2243" spans="1:2" x14ac:dyDescent="0.25">
      <c r="A2243"/>
      <c r="B2243"/>
    </row>
    <row r="2244" spans="1:2" x14ac:dyDescent="0.25">
      <c r="A2244"/>
      <c r="B2244"/>
    </row>
    <row r="2245" spans="1:2" x14ac:dyDescent="0.25">
      <c r="A2245"/>
      <c r="B2245"/>
    </row>
    <row r="2246" spans="1:2" x14ac:dyDescent="0.25">
      <c r="A2246"/>
      <c r="B2246"/>
    </row>
    <row r="2247" spans="1:2" x14ac:dyDescent="0.25">
      <c r="A2247"/>
      <c r="B2247"/>
    </row>
    <row r="2248" spans="1:2" x14ac:dyDescent="0.25">
      <c r="A2248"/>
      <c r="B2248"/>
    </row>
    <row r="2249" spans="1:2" x14ac:dyDescent="0.25">
      <c r="A2249"/>
      <c r="B2249"/>
    </row>
    <row r="2250" spans="1:2" x14ac:dyDescent="0.25">
      <c r="A2250"/>
      <c r="B2250"/>
    </row>
    <row r="2251" spans="1:2" x14ac:dyDescent="0.25">
      <c r="A2251"/>
      <c r="B2251"/>
    </row>
    <row r="2252" spans="1:2" x14ac:dyDescent="0.25">
      <c r="A2252"/>
      <c r="B2252"/>
    </row>
    <row r="2253" spans="1:2" x14ac:dyDescent="0.25">
      <c r="A2253"/>
      <c r="B2253"/>
    </row>
    <row r="2254" spans="1:2" x14ac:dyDescent="0.25">
      <c r="A2254"/>
      <c r="B2254"/>
    </row>
    <row r="2255" spans="1:2" x14ac:dyDescent="0.25">
      <c r="A2255"/>
      <c r="B2255"/>
    </row>
    <row r="2256" spans="1:2" x14ac:dyDescent="0.25">
      <c r="A2256"/>
      <c r="B2256"/>
    </row>
    <row r="2257" spans="1:2" x14ac:dyDescent="0.25">
      <c r="A2257"/>
      <c r="B2257"/>
    </row>
    <row r="2258" spans="1:2" x14ac:dyDescent="0.25">
      <c r="A2258"/>
      <c r="B2258"/>
    </row>
    <row r="2259" spans="1:2" x14ac:dyDescent="0.25">
      <c r="A2259"/>
      <c r="B2259"/>
    </row>
    <row r="2260" spans="1:2" x14ac:dyDescent="0.25">
      <c r="A2260"/>
      <c r="B2260"/>
    </row>
    <row r="2261" spans="1:2" x14ac:dyDescent="0.25">
      <c r="A2261"/>
      <c r="B2261"/>
    </row>
    <row r="2262" spans="1:2" x14ac:dyDescent="0.25">
      <c r="A2262"/>
      <c r="B2262"/>
    </row>
    <row r="2263" spans="1:2" x14ac:dyDescent="0.25">
      <c r="A2263"/>
      <c r="B2263"/>
    </row>
    <row r="2264" spans="1:2" x14ac:dyDescent="0.25">
      <c r="A2264"/>
      <c r="B2264"/>
    </row>
    <row r="2265" spans="1:2" x14ac:dyDescent="0.25">
      <c r="A2265"/>
      <c r="B2265"/>
    </row>
    <row r="2266" spans="1:2" x14ac:dyDescent="0.25">
      <c r="A2266"/>
      <c r="B2266"/>
    </row>
    <row r="2267" spans="1:2" x14ac:dyDescent="0.25">
      <c r="A2267"/>
      <c r="B2267"/>
    </row>
    <row r="2268" spans="1:2" x14ac:dyDescent="0.25">
      <c r="A2268"/>
      <c r="B2268"/>
    </row>
    <row r="2269" spans="1:2" x14ac:dyDescent="0.25">
      <c r="A2269"/>
      <c r="B2269"/>
    </row>
    <row r="2270" spans="1:2" x14ac:dyDescent="0.25">
      <c r="A2270"/>
      <c r="B2270"/>
    </row>
    <row r="2271" spans="1:2" x14ac:dyDescent="0.25">
      <c r="A2271"/>
      <c r="B2271"/>
    </row>
    <row r="2272" spans="1:2" x14ac:dyDescent="0.25">
      <c r="A2272"/>
      <c r="B2272"/>
    </row>
    <row r="2273" spans="1:2" x14ac:dyDescent="0.25">
      <c r="A2273"/>
      <c r="B2273"/>
    </row>
    <row r="2274" spans="1:2" x14ac:dyDescent="0.25">
      <c r="A2274"/>
      <c r="B2274"/>
    </row>
    <row r="2275" spans="1:2" x14ac:dyDescent="0.25">
      <c r="A2275"/>
      <c r="B2275"/>
    </row>
    <row r="2276" spans="1:2" x14ac:dyDescent="0.25">
      <c r="A2276"/>
      <c r="B2276"/>
    </row>
    <row r="2277" spans="1:2" x14ac:dyDescent="0.25">
      <c r="A2277"/>
      <c r="B2277"/>
    </row>
    <row r="2278" spans="1:2" x14ac:dyDescent="0.25">
      <c r="A2278"/>
      <c r="B2278"/>
    </row>
    <row r="2279" spans="1:2" x14ac:dyDescent="0.25">
      <c r="A2279"/>
      <c r="B2279"/>
    </row>
    <row r="2280" spans="1:2" x14ac:dyDescent="0.25">
      <c r="A2280"/>
      <c r="B2280"/>
    </row>
    <row r="2281" spans="1:2" x14ac:dyDescent="0.25">
      <c r="A2281"/>
      <c r="B2281"/>
    </row>
    <row r="2282" spans="1:2" x14ac:dyDescent="0.25">
      <c r="A2282"/>
      <c r="B2282"/>
    </row>
    <row r="2283" spans="1:2" x14ac:dyDescent="0.25">
      <c r="A2283"/>
      <c r="B2283"/>
    </row>
    <row r="2284" spans="1:2" x14ac:dyDescent="0.25">
      <c r="A2284"/>
      <c r="B2284"/>
    </row>
    <row r="2285" spans="1:2" x14ac:dyDescent="0.25">
      <c r="A2285"/>
      <c r="B2285"/>
    </row>
    <row r="2286" spans="1:2" x14ac:dyDescent="0.25">
      <c r="A2286"/>
      <c r="B2286"/>
    </row>
    <row r="2287" spans="1:2" x14ac:dyDescent="0.25">
      <c r="A2287"/>
      <c r="B2287"/>
    </row>
    <row r="2288" spans="1:2" x14ac:dyDescent="0.25">
      <c r="A2288"/>
      <c r="B2288"/>
    </row>
    <row r="2289" spans="1:2" x14ac:dyDescent="0.25">
      <c r="A2289"/>
      <c r="B2289"/>
    </row>
    <row r="2290" spans="1:2" x14ac:dyDescent="0.25">
      <c r="A2290"/>
      <c r="B2290"/>
    </row>
    <row r="2291" spans="1:2" x14ac:dyDescent="0.25">
      <c r="A2291"/>
      <c r="B2291"/>
    </row>
    <row r="2292" spans="1:2" x14ac:dyDescent="0.25">
      <c r="A2292"/>
      <c r="B2292"/>
    </row>
    <row r="2293" spans="1:2" x14ac:dyDescent="0.25">
      <c r="A2293"/>
      <c r="B2293"/>
    </row>
    <row r="2294" spans="1:2" x14ac:dyDescent="0.25">
      <c r="A2294"/>
      <c r="B2294"/>
    </row>
    <row r="2295" spans="1:2" x14ac:dyDescent="0.25">
      <c r="A2295"/>
      <c r="B2295"/>
    </row>
    <row r="2296" spans="1:2" x14ac:dyDescent="0.25">
      <c r="A2296"/>
      <c r="B2296"/>
    </row>
    <row r="2297" spans="1:2" x14ac:dyDescent="0.25">
      <c r="A2297"/>
      <c r="B2297"/>
    </row>
    <row r="2298" spans="1:2" x14ac:dyDescent="0.25">
      <c r="A2298"/>
      <c r="B2298"/>
    </row>
    <row r="2299" spans="1:2" x14ac:dyDescent="0.25">
      <c r="A2299"/>
      <c r="B2299"/>
    </row>
    <row r="2300" spans="1:2" x14ac:dyDescent="0.25">
      <c r="A2300"/>
      <c r="B2300"/>
    </row>
    <row r="2301" spans="1:2" x14ac:dyDescent="0.25">
      <c r="A2301"/>
      <c r="B2301"/>
    </row>
    <row r="2302" spans="1:2" x14ac:dyDescent="0.25">
      <c r="A2302"/>
      <c r="B2302"/>
    </row>
    <row r="2303" spans="1:2" x14ac:dyDescent="0.25">
      <c r="A2303"/>
      <c r="B2303"/>
    </row>
    <row r="2304" spans="1:2" x14ac:dyDescent="0.25">
      <c r="A2304"/>
      <c r="B2304"/>
    </row>
    <row r="2305" spans="1:2" x14ac:dyDescent="0.25">
      <c r="A2305"/>
      <c r="B2305"/>
    </row>
    <row r="2306" spans="1:2" x14ac:dyDescent="0.25">
      <c r="A2306"/>
      <c r="B2306"/>
    </row>
    <row r="2307" spans="1:2" x14ac:dyDescent="0.25">
      <c r="A2307"/>
      <c r="B2307"/>
    </row>
    <row r="2308" spans="1:2" x14ac:dyDescent="0.25">
      <c r="A2308"/>
      <c r="B2308"/>
    </row>
    <row r="2309" spans="1:2" x14ac:dyDescent="0.25">
      <c r="A2309"/>
      <c r="B2309"/>
    </row>
    <row r="2310" spans="1:2" x14ac:dyDescent="0.25">
      <c r="A2310"/>
      <c r="B2310"/>
    </row>
    <row r="2311" spans="1:2" x14ac:dyDescent="0.25">
      <c r="A2311"/>
      <c r="B2311"/>
    </row>
    <row r="2312" spans="1:2" x14ac:dyDescent="0.25">
      <c r="A2312"/>
      <c r="B2312"/>
    </row>
    <row r="2313" spans="1:2" x14ac:dyDescent="0.25">
      <c r="A2313"/>
      <c r="B2313"/>
    </row>
    <row r="2314" spans="1:2" x14ac:dyDescent="0.25">
      <c r="A2314"/>
      <c r="B2314"/>
    </row>
    <row r="2315" spans="1:2" x14ac:dyDescent="0.25">
      <c r="A2315"/>
      <c r="B2315"/>
    </row>
    <row r="2316" spans="1:2" x14ac:dyDescent="0.25">
      <c r="A2316"/>
      <c r="B2316"/>
    </row>
    <row r="2317" spans="1:2" x14ac:dyDescent="0.25">
      <c r="A2317"/>
      <c r="B2317"/>
    </row>
    <row r="2318" spans="1:2" x14ac:dyDescent="0.25">
      <c r="A2318"/>
      <c r="B2318"/>
    </row>
    <row r="2319" spans="1:2" x14ac:dyDescent="0.25">
      <c r="A2319"/>
      <c r="B2319"/>
    </row>
    <row r="2320" spans="1:2" x14ac:dyDescent="0.25">
      <c r="A2320"/>
      <c r="B2320"/>
    </row>
    <row r="2321" spans="1:2" x14ac:dyDescent="0.25">
      <c r="A2321"/>
      <c r="B2321"/>
    </row>
    <row r="2322" spans="1:2" x14ac:dyDescent="0.25">
      <c r="A2322"/>
      <c r="B2322"/>
    </row>
    <row r="2323" spans="1:2" x14ac:dyDescent="0.25">
      <c r="A2323"/>
      <c r="B2323"/>
    </row>
    <row r="2324" spans="1:2" x14ac:dyDescent="0.25">
      <c r="A2324"/>
      <c r="B2324"/>
    </row>
    <row r="2325" spans="1:2" x14ac:dyDescent="0.25">
      <c r="A2325"/>
      <c r="B2325"/>
    </row>
    <row r="2326" spans="1:2" x14ac:dyDescent="0.25">
      <c r="A2326"/>
      <c r="B2326"/>
    </row>
    <row r="2327" spans="1:2" x14ac:dyDescent="0.25">
      <c r="A2327"/>
      <c r="B2327"/>
    </row>
    <row r="2328" spans="1:2" x14ac:dyDescent="0.25">
      <c r="A2328"/>
      <c r="B2328"/>
    </row>
    <row r="2329" spans="1:2" x14ac:dyDescent="0.25">
      <c r="A2329"/>
      <c r="B2329"/>
    </row>
    <row r="2330" spans="1:2" x14ac:dyDescent="0.25">
      <c r="A2330"/>
      <c r="B2330"/>
    </row>
    <row r="2331" spans="1:2" x14ac:dyDescent="0.25">
      <c r="A2331"/>
      <c r="B2331"/>
    </row>
    <row r="2332" spans="1:2" x14ac:dyDescent="0.25">
      <c r="A2332"/>
      <c r="B2332"/>
    </row>
    <row r="2333" spans="1:2" x14ac:dyDescent="0.25">
      <c r="A2333"/>
      <c r="B2333"/>
    </row>
    <row r="2334" spans="1:2" x14ac:dyDescent="0.25">
      <c r="A2334"/>
      <c r="B2334"/>
    </row>
    <row r="2335" spans="1:2" x14ac:dyDescent="0.25">
      <c r="A2335"/>
      <c r="B2335"/>
    </row>
    <row r="2336" spans="1:2" x14ac:dyDescent="0.25">
      <c r="A2336"/>
      <c r="B2336"/>
    </row>
    <row r="2337" spans="1:2" x14ac:dyDescent="0.25">
      <c r="A2337"/>
      <c r="B2337"/>
    </row>
    <row r="2338" spans="1:2" x14ac:dyDescent="0.25">
      <c r="A2338"/>
      <c r="B2338"/>
    </row>
    <row r="2339" spans="1:2" x14ac:dyDescent="0.25">
      <c r="A2339"/>
      <c r="B2339"/>
    </row>
    <row r="2340" spans="1:2" x14ac:dyDescent="0.25">
      <c r="A2340"/>
      <c r="B2340"/>
    </row>
    <row r="2341" spans="1:2" x14ac:dyDescent="0.25">
      <c r="A2341"/>
      <c r="B2341"/>
    </row>
    <row r="2342" spans="1:2" x14ac:dyDescent="0.25">
      <c r="A2342"/>
      <c r="B2342"/>
    </row>
    <row r="2343" spans="1:2" x14ac:dyDescent="0.25">
      <c r="A2343"/>
      <c r="B2343"/>
    </row>
    <row r="2344" spans="1:2" x14ac:dyDescent="0.25">
      <c r="A2344"/>
      <c r="B2344"/>
    </row>
    <row r="2345" spans="1:2" x14ac:dyDescent="0.25">
      <c r="A2345"/>
      <c r="B2345"/>
    </row>
    <row r="2346" spans="1:2" x14ac:dyDescent="0.25">
      <c r="A2346"/>
      <c r="B2346"/>
    </row>
    <row r="2347" spans="1:2" x14ac:dyDescent="0.25">
      <c r="A2347"/>
      <c r="B2347"/>
    </row>
    <row r="2348" spans="1:2" x14ac:dyDescent="0.25">
      <c r="A2348"/>
      <c r="B2348"/>
    </row>
    <row r="2349" spans="1:2" x14ac:dyDescent="0.25">
      <c r="A2349"/>
      <c r="B2349"/>
    </row>
    <row r="2350" spans="1:2" x14ac:dyDescent="0.25">
      <c r="A2350"/>
      <c r="B2350"/>
    </row>
    <row r="2351" spans="1:2" x14ac:dyDescent="0.25">
      <c r="A2351"/>
      <c r="B2351"/>
    </row>
    <row r="2352" spans="1:2" x14ac:dyDescent="0.25">
      <c r="A2352"/>
      <c r="B2352"/>
    </row>
    <row r="2353" spans="1:2" x14ac:dyDescent="0.25">
      <c r="A2353"/>
      <c r="B2353"/>
    </row>
    <row r="2354" spans="1:2" x14ac:dyDescent="0.25">
      <c r="A2354"/>
      <c r="B2354"/>
    </row>
    <row r="2355" spans="1:2" x14ac:dyDescent="0.25">
      <c r="A2355"/>
      <c r="B2355"/>
    </row>
    <row r="2356" spans="1:2" x14ac:dyDescent="0.25">
      <c r="A2356"/>
      <c r="B2356"/>
    </row>
    <row r="2357" spans="1:2" x14ac:dyDescent="0.25">
      <c r="A2357"/>
      <c r="B2357"/>
    </row>
    <row r="2358" spans="1:2" x14ac:dyDescent="0.25">
      <c r="A2358"/>
      <c r="B2358"/>
    </row>
    <row r="2359" spans="1:2" x14ac:dyDescent="0.25">
      <c r="A2359"/>
      <c r="B2359"/>
    </row>
    <row r="2360" spans="1:2" x14ac:dyDescent="0.25">
      <c r="A2360"/>
      <c r="B2360"/>
    </row>
    <row r="2361" spans="1:2" x14ac:dyDescent="0.25">
      <c r="A2361"/>
      <c r="B2361"/>
    </row>
    <row r="2362" spans="1:2" x14ac:dyDescent="0.25">
      <c r="A2362"/>
      <c r="B2362"/>
    </row>
    <row r="2363" spans="1:2" x14ac:dyDescent="0.25">
      <c r="A2363"/>
      <c r="B2363"/>
    </row>
    <row r="2364" spans="1:2" x14ac:dyDescent="0.25">
      <c r="A2364"/>
      <c r="B2364"/>
    </row>
    <row r="2365" spans="1:2" x14ac:dyDescent="0.25">
      <c r="A2365"/>
      <c r="B2365"/>
    </row>
    <row r="2366" spans="1:2" x14ac:dyDescent="0.25">
      <c r="A2366"/>
      <c r="B2366"/>
    </row>
    <row r="2367" spans="1:2" x14ac:dyDescent="0.25">
      <c r="A2367"/>
      <c r="B2367"/>
    </row>
    <row r="2368" spans="1:2" x14ac:dyDescent="0.25">
      <c r="A2368"/>
      <c r="B2368"/>
    </row>
    <row r="2369" spans="1:2" x14ac:dyDescent="0.25">
      <c r="A2369"/>
      <c r="B2369"/>
    </row>
    <row r="2370" spans="1:2" x14ac:dyDescent="0.25">
      <c r="A2370"/>
      <c r="B2370"/>
    </row>
    <row r="2371" spans="1:2" x14ac:dyDescent="0.25">
      <c r="A2371"/>
      <c r="B2371"/>
    </row>
    <row r="2372" spans="1:2" x14ac:dyDescent="0.25">
      <c r="A2372"/>
      <c r="B2372"/>
    </row>
    <row r="2373" spans="1:2" x14ac:dyDescent="0.25">
      <c r="A2373"/>
      <c r="B2373"/>
    </row>
    <row r="2374" spans="1:2" x14ac:dyDescent="0.25">
      <c r="A2374"/>
      <c r="B2374"/>
    </row>
    <row r="2375" spans="1:2" x14ac:dyDescent="0.25">
      <c r="A2375"/>
      <c r="B2375"/>
    </row>
    <row r="2376" spans="1:2" x14ac:dyDescent="0.25">
      <c r="A2376"/>
      <c r="B2376"/>
    </row>
    <row r="2377" spans="1:2" x14ac:dyDescent="0.25">
      <c r="A2377"/>
      <c r="B2377"/>
    </row>
    <row r="2378" spans="1:2" x14ac:dyDescent="0.25">
      <c r="A2378"/>
      <c r="B2378"/>
    </row>
    <row r="2379" spans="1:2" x14ac:dyDescent="0.25">
      <c r="A2379"/>
      <c r="B2379"/>
    </row>
    <row r="2380" spans="1:2" x14ac:dyDescent="0.25">
      <c r="A2380"/>
      <c r="B2380"/>
    </row>
    <row r="2381" spans="1:2" x14ac:dyDescent="0.25">
      <c r="A2381"/>
      <c r="B2381"/>
    </row>
    <row r="2382" spans="1:2" x14ac:dyDescent="0.25">
      <c r="A2382"/>
      <c r="B2382"/>
    </row>
    <row r="2383" spans="1:2" x14ac:dyDescent="0.25">
      <c r="A2383"/>
      <c r="B2383"/>
    </row>
    <row r="2384" spans="1:2" x14ac:dyDescent="0.25">
      <c r="A2384"/>
      <c r="B2384"/>
    </row>
    <row r="2385" spans="1:2" x14ac:dyDescent="0.25">
      <c r="A2385"/>
      <c r="B2385"/>
    </row>
    <row r="2386" spans="1:2" x14ac:dyDescent="0.25">
      <c r="A2386"/>
      <c r="B2386"/>
    </row>
    <row r="2387" spans="1:2" x14ac:dyDescent="0.25">
      <c r="A2387"/>
      <c r="B2387"/>
    </row>
    <row r="2388" spans="1:2" x14ac:dyDescent="0.25">
      <c r="A2388"/>
      <c r="B2388"/>
    </row>
    <row r="2389" spans="1:2" x14ac:dyDescent="0.25">
      <c r="A2389"/>
      <c r="B2389"/>
    </row>
    <row r="2390" spans="1:2" x14ac:dyDescent="0.25">
      <c r="A2390"/>
      <c r="B2390"/>
    </row>
    <row r="2391" spans="1:2" x14ac:dyDescent="0.25">
      <c r="A2391"/>
      <c r="B2391"/>
    </row>
    <row r="2392" spans="1:2" x14ac:dyDescent="0.25">
      <c r="A2392"/>
      <c r="B2392"/>
    </row>
    <row r="2393" spans="1:2" x14ac:dyDescent="0.25">
      <c r="A2393"/>
      <c r="B2393"/>
    </row>
    <row r="2394" spans="1:2" x14ac:dyDescent="0.25">
      <c r="A2394"/>
      <c r="B2394"/>
    </row>
    <row r="2395" spans="1:2" x14ac:dyDescent="0.25">
      <c r="A2395"/>
      <c r="B2395"/>
    </row>
    <row r="2396" spans="1:2" x14ac:dyDescent="0.25">
      <c r="A2396"/>
      <c r="B2396"/>
    </row>
    <row r="2397" spans="1:2" x14ac:dyDescent="0.25">
      <c r="A2397"/>
      <c r="B2397"/>
    </row>
    <row r="2398" spans="1:2" x14ac:dyDescent="0.25">
      <c r="A2398"/>
      <c r="B2398"/>
    </row>
    <row r="2399" spans="1:2" x14ac:dyDescent="0.25">
      <c r="A2399"/>
      <c r="B2399"/>
    </row>
    <row r="2400" spans="1:2" x14ac:dyDescent="0.25">
      <c r="A2400"/>
      <c r="B2400"/>
    </row>
    <row r="2401" spans="1:2" x14ac:dyDescent="0.25">
      <c r="A2401"/>
      <c r="B2401"/>
    </row>
    <row r="2402" spans="1:2" x14ac:dyDescent="0.25">
      <c r="A2402"/>
      <c r="B2402"/>
    </row>
    <row r="2403" spans="1:2" x14ac:dyDescent="0.25">
      <c r="A2403"/>
      <c r="B2403"/>
    </row>
    <row r="2404" spans="1:2" x14ac:dyDescent="0.25">
      <c r="A2404"/>
      <c r="B2404"/>
    </row>
    <row r="2405" spans="1:2" x14ac:dyDescent="0.25">
      <c r="A2405"/>
      <c r="B2405"/>
    </row>
    <row r="2406" spans="1:2" x14ac:dyDescent="0.25">
      <c r="A2406"/>
      <c r="B2406"/>
    </row>
    <row r="2407" spans="1:2" x14ac:dyDescent="0.25">
      <c r="A2407"/>
      <c r="B2407"/>
    </row>
    <row r="2408" spans="1:2" x14ac:dyDescent="0.25">
      <c r="A2408"/>
      <c r="B2408"/>
    </row>
    <row r="2409" spans="1:2" x14ac:dyDescent="0.25">
      <c r="A2409"/>
      <c r="B2409"/>
    </row>
    <row r="2410" spans="1:2" x14ac:dyDescent="0.25">
      <c r="A2410"/>
      <c r="B2410"/>
    </row>
    <row r="2411" spans="1:2" x14ac:dyDescent="0.25">
      <c r="A2411"/>
      <c r="B2411"/>
    </row>
    <row r="2412" spans="1:2" x14ac:dyDescent="0.25">
      <c r="A2412"/>
      <c r="B2412"/>
    </row>
    <row r="2413" spans="1:2" x14ac:dyDescent="0.25">
      <c r="A2413"/>
      <c r="B2413"/>
    </row>
    <row r="2414" spans="1:2" x14ac:dyDescent="0.25">
      <c r="A2414"/>
      <c r="B2414"/>
    </row>
    <row r="2415" spans="1:2" x14ac:dyDescent="0.25">
      <c r="A2415"/>
      <c r="B2415"/>
    </row>
    <row r="2416" spans="1:2" x14ac:dyDescent="0.25">
      <c r="A2416"/>
      <c r="B2416"/>
    </row>
    <row r="2417" spans="1:2" x14ac:dyDescent="0.25">
      <c r="A2417"/>
      <c r="B2417"/>
    </row>
    <row r="2418" spans="1:2" x14ac:dyDescent="0.25">
      <c r="A2418"/>
      <c r="B2418"/>
    </row>
    <row r="2419" spans="1:2" x14ac:dyDescent="0.25">
      <c r="A2419"/>
      <c r="B2419"/>
    </row>
    <row r="2420" spans="1:2" x14ac:dyDescent="0.25">
      <c r="A2420"/>
      <c r="B2420"/>
    </row>
    <row r="2421" spans="1:2" x14ac:dyDescent="0.25">
      <c r="A2421"/>
      <c r="B2421"/>
    </row>
    <row r="2422" spans="1:2" x14ac:dyDescent="0.25">
      <c r="A2422"/>
      <c r="B2422"/>
    </row>
    <row r="2423" spans="1:2" x14ac:dyDescent="0.25">
      <c r="A2423"/>
      <c r="B2423"/>
    </row>
    <row r="2424" spans="1:2" x14ac:dyDescent="0.25">
      <c r="A2424"/>
      <c r="B2424"/>
    </row>
    <row r="2425" spans="1:2" x14ac:dyDescent="0.25">
      <c r="A2425"/>
      <c r="B2425"/>
    </row>
    <row r="2426" spans="1:2" x14ac:dyDescent="0.25">
      <c r="A2426"/>
      <c r="B2426"/>
    </row>
    <row r="2427" spans="1:2" x14ac:dyDescent="0.25">
      <c r="A2427"/>
      <c r="B2427"/>
    </row>
    <row r="2428" spans="1:2" x14ac:dyDescent="0.25">
      <c r="A2428"/>
      <c r="B2428"/>
    </row>
    <row r="2429" spans="1:2" x14ac:dyDescent="0.25">
      <c r="A2429"/>
      <c r="B2429"/>
    </row>
    <row r="2430" spans="1:2" x14ac:dyDescent="0.25">
      <c r="A2430"/>
      <c r="B2430"/>
    </row>
    <row r="2431" spans="1:2" x14ac:dyDescent="0.25">
      <c r="A2431"/>
      <c r="B2431"/>
    </row>
    <row r="2432" spans="1:2" x14ac:dyDescent="0.25">
      <c r="A2432"/>
      <c r="B2432"/>
    </row>
    <row r="2433" spans="1:2" x14ac:dyDescent="0.25">
      <c r="A2433"/>
      <c r="B2433"/>
    </row>
    <row r="2434" spans="1:2" x14ac:dyDescent="0.25">
      <c r="A2434"/>
      <c r="B2434"/>
    </row>
    <row r="2435" spans="1:2" x14ac:dyDescent="0.25">
      <c r="A2435"/>
      <c r="B2435"/>
    </row>
    <row r="2436" spans="1:2" x14ac:dyDescent="0.25">
      <c r="A2436"/>
      <c r="B2436"/>
    </row>
    <row r="2437" spans="1:2" x14ac:dyDescent="0.25">
      <c r="A2437"/>
      <c r="B2437"/>
    </row>
    <row r="2438" spans="1:2" x14ac:dyDescent="0.25">
      <c r="A2438"/>
      <c r="B2438"/>
    </row>
    <row r="2439" spans="1:2" x14ac:dyDescent="0.25">
      <c r="A2439"/>
      <c r="B2439"/>
    </row>
    <row r="2440" spans="1:2" x14ac:dyDescent="0.25">
      <c r="A2440"/>
      <c r="B2440"/>
    </row>
    <row r="2441" spans="1:2" x14ac:dyDescent="0.25">
      <c r="A2441"/>
      <c r="B2441"/>
    </row>
    <row r="2442" spans="1:2" x14ac:dyDescent="0.25">
      <c r="A2442"/>
      <c r="B2442"/>
    </row>
    <row r="2443" spans="1:2" x14ac:dyDescent="0.25">
      <c r="A2443"/>
      <c r="B2443"/>
    </row>
    <row r="2444" spans="1:2" x14ac:dyDescent="0.25">
      <c r="A2444"/>
      <c r="B2444"/>
    </row>
    <row r="2445" spans="1:2" x14ac:dyDescent="0.25">
      <c r="A2445"/>
      <c r="B2445"/>
    </row>
    <row r="2446" spans="1:2" x14ac:dyDescent="0.25">
      <c r="A2446"/>
      <c r="B2446"/>
    </row>
    <row r="2447" spans="1:2" x14ac:dyDescent="0.25">
      <c r="A2447"/>
      <c r="B2447"/>
    </row>
    <row r="2448" spans="1:2" x14ac:dyDescent="0.25">
      <c r="A2448"/>
      <c r="B2448"/>
    </row>
    <row r="2449" spans="1:2" x14ac:dyDescent="0.25">
      <c r="A2449"/>
      <c r="B2449"/>
    </row>
    <row r="2450" spans="1:2" x14ac:dyDescent="0.25">
      <c r="A2450"/>
      <c r="B2450"/>
    </row>
    <row r="2451" spans="1:2" x14ac:dyDescent="0.25">
      <c r="A2451"/>
      <c r="B2451"/>
    </row>
    <row r="2452" spans="1:2" x14ac:dyDescent="0.25">
      <c r="A2452"/>
      <c r="B2452"/>
    </row>
    <row r="2453" spans="1:2" x14ac:dyDescent="0.25">
      <c r="A2453"/>
      <c r="B2453"/>
    </row>
    <row r="2454" spans="1:2" x14ac:dyDescent="0.25">
      <c r="A2454"/>
      <c r="B2454"/>
    </row>
    <row r="2455" spans="1:2" x14ac:dyDescent="0.25">
      <c r="A2455"/>
      <c r="B2455"/>
    </row>
    <row r="2456" spans="1:2" x14ac:dyDescent="0.25">
      <c r="A2456"/>
      <c r="B2456"/>
    </row>
    <row r="2457" spans="1:2" x14ac:dyDescent="0.25">
      <c r="A2457"/>
      <c r="B2457"/>
    </row>
    <row r="2458" spans="1:2" x14ac:dyDescent="0.25">
      <c r="A2458"/>
      <c r="B2458"/>
    </row>
    <row r="2459" spans="1:2" x14ac:dyDescent="0.25">
      <c r="A2459"/>
      <c r="B2459"/>
    </row>
    <row r="2460" spans="1:2" x14ac:dyDescent="0.25">
      <c r="A2460"/>
      <c r="B2460"/>
    </row>
    <row r="2461" spans="1:2" x14ac:dyDescent="0.25">
      <c r="A2461"/>
      <c r="B2461"/>
    </row>
    <row r="2462" spans="1:2" x14ac:dyDescent="0.25">
      <c r="A2462"/>
      <c r="B2462"/>
    </row>
    <row r="2463" spans="1:2" x14ac:dyDescent="0.25">
      <c r="A2463"/>
      <c r="B2463"/>
    </row>
    <row r="2464" spans="1:2" x14ac:dyDescent="0.25">
      <c r="A2464"/>
      <c r="B2464"/>
    </row>
    <row r="2465" spans="1:2" x14ac:dyDescent="0.25">
      <c r="A2465"/>
      <c r="B2465"/>
    </row>
    <row r="2466" spans="1:2" x14ac:dyDescent="0.25">
      <c r="A2466"/>
      <c r="B2466"/>
    </row>
    <row r="2467" spans="1:2" x14ac:dyDescent="0.25">
      <c r="A2467"/>
      <c r="B2467"/>
    </row>
    <row r="2468" spans="1:2" x14ac:dyDescent="0.25">
      <c r="A2468"/>
      <c r="B2468"/>
    </row>
    <row r="2469" spans="1:2" x14ac:dyDescent="0.25">
      <c r="A2469"/>
      <c r="B2469"/>
    </row>
    <row r="2470" spans="1:2" x14ac:dyDescent="0.25">
      <c r="A2470"/>
      <c r="B2470"/>
    </row>
    <row r="2471" spans="1:2" x14ac:dyDescent="0.25">
      <c r="A2471"/>
      <c r="B2471"/>
    </row>
    <row r="2472" spans="1:2" x14ac:dyDescent="0.25">
      <c r="A2472"/>
      <c r="B2472"/>
    </row>
    <row r="2473" spans="1:2" x14ac:dyDescent="0.25">
      <c r="A2473"/>
      <c r="B2473"/>
    </row>
    <row r="2474" spans="1:2" x14ac:dyDescent="0.25">
      <c r="A2474"/>
      <c r="B2474"/>
    </row>
    <row r="2475" spans="1:2" x14ac:dyDescent="0.25">
      <c r="A2475"/>
      <c r="B2475"/>
    </row>
    <row r="2476" spans="1:2" x14ac:dyDescent="0.25">
      <c r="A2476"/>
      <c r="B2476"/>
    </row>
    <row r="2477" spans="1:2" x14ac:dyDescent="0.25">
      <c r="A2477"/>
      <c r="B2477"/>
    </row>
    <row r="2478" spans="1:2" x14ac:dyDescent="0.25">
      <c r="A2478"/>
      <c r="B2478"/>
    </row>
    <row r="2479" spans="1:2" x14ac:dyDescent="0.25">
      <c r="A2479"/>
      <c r="B2479"/>
    </row>
    <row r="2480" spans="1:2" x14ac:dyDescent="0.25">
      <c r="A2480"/>
      <c r="B2480"/>
    </row>
    <row r="2481" spans="1:2" x14ac:dyDescent="0.25">
      <c r="A2481"/>
      <c r="B2481"/>
    </row>
    <row r="2482" spans="1:2" x14ac:dyDescent="0.25">
      <c r="A2482"/>
      <c r="B2482"/>
    </row>
    <row r="2483" spans="1:2" x14ac:dyDescent="0.25">
      <c r="A2483"/>
      <c r="B2483"/>
    </row>
    <row r="2484" spans="1:2" x14ac:dyDescent="0.25">
      <c r="A2484"/>
      <c r="B2484"/>
    </row>
    <row r="2485" spans="1:2" x14ac:dyDescent="0.25">
      <c r="A2485"/>
      <c r="B2485"/>
    </row>
    <row r="2486" spans="1:2" x14ac:dyDescent="0.25">
      <c r="A2486"/>
      <c r="B2486"/>
    </row>
    <row r="2487" spans="1:2" x14ac:dyDescent="0.25">
      <c r="A2487"/>
      <c r="B2487"/>
    </row>
    <row r="2488" spans="1:2" x14ac:dyDescent="0.25">
      <c r="A2488"/>
      <c r="B2488"/>
    </row>
    <row r="2489" spans="1:2" x14ac:dyDescent="0.25">
      <c r="A2489"/>
      <c r="B2489"/>
    </row>
    <row r="2490" spans="1:2" x14ac:dyDescent="0.25">
      <c r="A2490"/>
      <c r="B2490"/>
    </row>
    <row r="2491" spans="1:2" x14ac:dyDescent="0.25">
      <c r="A2491"/>
      <c r="B2491"/>
    </row>
    <row r="2492" spans="1:2" x14ac:dyDescent="0.25">
      <c r="A2492"/>
      <c r="B2492"/>
    </row>
    <row r="2493" spans="1:2" x14ac:dyDescent="0.25">
      <c r="A2493"/>
      <c r="B2493"/>
    </row>
    <row r="2494" spans="1:2" x14ac:dyDescent="0.25">
      <c r="A2494"/>
      <c r="B2494"/>
    </row>
    <row r="2495" spans="1:2" x14ac:dyDescent="0.25">
      <c r="A2495"/>
      <c r="B2495"/>
    </row>
    <row r="2496" spans="1:2" x14ac:dyDescent="0.25">
      <c r="A2496"/>
      <c r="B2496"/>
    </row>
    <row r="2497" spans="1:2" x14ac:dyDescent="0.25">
      <c r="A2497"/>
      <c r="B2497"/>
    </row>
    <row r="2498" spans="1:2" x14ac:dyDescent="0.25">
      <c r="A2498"/>
      <c r="B2498"/>
    </row>
    <row r="2499" spans="1:2" x14ac:dyDescent="0.25">
      <c r="A2499"/>
      <c r="B2499"/>
    </row>
    <row r="2500" spans="1:2" x14ac:dyDescent="0.25">
      <c r="A2500"/>
      <c r="B2500"/>
    </row>
    <row r="2501" spans="1:2" x14ac:dyDescent="0.25">
      <c r="A2501"/>
      <c r="B2501"/>
    </row>
    <row r="2502" spans="1:2" x14ac:dyDescent="0.25">
      <c r="A2502"/>
      <c r="B2502"/>
    </row>
    <row r="2503" spans="1:2" x14ac:dyDescent="0.25">
      <c r="A2503"/>
      <c r="B2503"/>
    </row>
    <row r="2504" spans="1:2" x14ac:dyDescent="0.25">
      <c r="A2504"/>
      <c r="B2504"/>
    </row>
    <row r="2505" spans="1:2" x14ac:dyDescent="0.25">
      <c r="A2505"/>
      <c r="B2505"/>
    </row>
    <row r="2506" spans="1:2" x14ac:dyDescent="0.25">
      <c r="A2506"/>
      <c r="B2506"/>
    </row>
    <row r="2507" spans="1:2" x14ac:dyDescent="0.25">
      <c r="A2507"/>
      <c r="B2507"/>
    </row>
    <row r="2508" spans="1:2" x14ac:dyDescent="0.25">
      <c r="A2508"/>
      <c r="B2508"/>
    </row>
    <row r="2509" spans="1:2" x14ac:dyDescent="0.25">
      <c r="A2509"/>
      <c r="B2509"/>
    </row>
    <row r="2510" spans="1:2" x14ac:dyDescent="0.25">
      <c r="A2510"/>
      <c r="B2510"/>
    </row>
    <row r="2511" spans="1:2" x14ac:dyDescent="0.25">
      <c r="A2511"/>
      <c r="B2511"/>
    </row>
    <row r="2512" spans="1:2" x14ac:dyDescent="0.25">
      <c r="A2512"/>
      <c r="B2512"/>
    </row>
    <row r="2513" spans="1:2" x14ac:dyDescent="0.25">
      <c r="A2513"/>
      <c r="B2513"/>
    </row>
    <row r="2514" spans="1:2" x14ac:dyDescent="0.25">
      <c r="A2514"/>
      <c r="B2514"/>
    </row>
    <row r="2515" spans="1:2" x14ac:dyDescent="0.25">
      <c r="A2515"/>
      <c r="B2515"/>
    </row>
    <row r="2516" spans="1:2" x14ac:dyDescent="0.25">
      <c r="A2516"/>
      <c r="B2516"/>
    </row>
    <row r="2517" spans="1:2" x14ac:dyDescent="0.25">
      <c r="A2517"/>
      <c r="B2517"/>
    </row>
    <row r="2518" spans="1:2" x14ac:dyDescent="0.25">
      <c r="A2518"/>
      <c r="B2518"/>
    </row>
    <row r="2519" spans="1:2" x14ac:dyDescent="0.25">
      <c r="A2519"/>
      <c r="B2519"/>
    </row>
    <row r="2520" spans="1:2" x14ac:dyDescent="0.25">
      <c r="A2520"/>
      <c r="B2520"/>
    </row>
    <row r="2521" spans="1:2" x14ac:dyDescent="0.25">
      <c r="A2521"/>
      <c r="B2521"/>
    </row>
    <row r="2522" spans="1:2" x14ac:dyDescent="0.25">
      <c r="A2522"/>
      <c r="B2522"/>
    </row>
    <row r="2523" spans="1:2" x14ac:dyDescent="0.25">
      <c r="A2523"/>
      <c r="B2523"/>
    </row>
    <row r="2524" spans="1:2" x14ac:dyDescent="0.25">
      <c r="A2524"/>
      <c r="B2524"/>
    </row>
    <row r="2525" spans="1:2" x14ac:dyDescent="0.25">
      <c r="A2525"/>
      <c r="B2525"/>
    </row>
    <row r="2526" spans="1:2" x14ac:dyDescent="0.25">
      <c r="A2526"/>
      <c r="B2526"/>
    </row>
    <row r="2527" spans="1:2" x14ac:dyDescent="0.25">
      <c r="A2527"/>
      <c r="B2527"/>
    </row>
    <row r="2528" spans="1:2" x14ac:dyDescent="0.25">
      <c r="A2528"/>
      <c r="B2528"/>
    </row>
    <row r="2529" spans="1:2" x14ac:dyDescent="0.25">
      <c r="A2529"/>
      <c r="B2529"/>
    </row>
    <row r="2530" spans="1:2" x14ac:dyDescent="0.25">
      <c r="A2530"/>
      <c r="B2530"/>
    </row>
    <row r="2531" spans="1:2" x14ac:dyDescent="0.25">
      <c r="A2531"/>
      <c r="B2531"/>
    </row>
    <row r="2532" spans="1:2" x14ac:dyDescent="0.25">
      <c r="A2532"/>
      <c r="B2532"/>
    </row>
    <row r="2533" spans="1:2" x14ac:dyDescent="0.25">
      <c r="A2533"/>
      <c r="B2533"/>
    </row>
    <row r="2534" spans="1:2" x14ac:dyDescent="0.25">
      <c r="A2534"/>
      <c r="B2534"/>
    </row>
    <row r="2535" spans="1:2" x14ac:dyDescent="0.25">
      <c r="A2535"/>
      <c r="B2535"/>
    </row>
    <row r="2536" spans="1:2" x14ac:dyDescent="0.25">
      <c r="A2536"/>
      <c r="B2536"/>
    </row>
    <row r="2537" spans="1:2" x14ac:dyDescent="0.25">
      <c r="A2537"/>
      <c r="B2537"/>
    </row>
    <row r="2538" spans="1:2" x14ac:dyDescent="0.25">
      <c r="A2538"/>
      <c r="B2538"/>
    </row>
    <row r="2539" spans="1:2" x14ac:dyDescent="0.25">
      <c r="A2539"/>
      <c r="B2539"/>
    </row>
    <row r="2540" spans="1:2" x14ac:dyDescent="0.25">
      <c r="A2540"/>
      <c r="B2540"/>
    </row>
    <row r="2541" spans="1:2" x14ac:dyDescent="0.25">
      <c r="A2541"/>
      <c r="B2541"/>
    </row>
    <row r="2542" spans="1:2" x14ac:dyDescent="0.25">
      <c r="A2542"/>
      <c r="B2542"/>
    </row>
    <row r="2543" spans="1:2" x14ac:dyDescent="0.25">
      <c r="A2543"/>
      <c r="B2543"/>
    </row>
    <row r="2544" spans="1:2" x14ac:dyDescent="0.25">
      <c r="A2544"/>
      <c r="B2544"/>
    </row>
    <row r="2545" spans="1:2" x14ac:dyDescent="0.25">
      <c r="A2545"/>
      <c r="B2545"/>
    </row>
    <row r="2546" spans="1:2" x14ac:dyDescent="0.25">
      <c r="A2546"/>
      <c r="B2546"/>
    </row>
    <row r="2547" spans="1:2" x14ac:dyDescent="0.25">
      <c r="A2547"/>
      <c r="B2547"/>
    </row>
    <row r="2548" spans="1:2" x14ac:dyDescent="0.25">
      <c r="A2548"/>
      <c r="B2548"/>
    </row>
    <row r="2549" spans="1:2" x14ac:dyDescent="0.25">
      <c r="A2549"/>
      <c r="B2549"/>
    </row>
    <row r="2550" spans="1:2" x14ac:dyDescent="0.25">
      <c r="A2550"/>
      <c r="B2550"/>
    </row>
    <row r="2551" spans="1:2" x14ac:dyDescent="0.25">
      <c r="A2551"/>
      <c r="B2551"/>
    </row>
    <row r="2552" spans="1:2" x14ac:dyDescent="0.25">
      <c r="A2552"/>
      <c r="B2552"/>
    </row>
    <row r="2553" spans="1:2" x14ac:dyDescent="0.25">
      <c r="A2553"/>
      <c r="B2553"/>
    </row>
    <row r="2554" spans="1:2" x14ac:dyDescent="0.25">
      <c r="A2554"/>
      <c r="B2554"/>
    </row>
    <row r="2555" spans="1:2" x14ac:dyDescent="0.25">
      <c r="A2555"/>
      <c r="B2555"/>
    </row>
    <row r="2556" spans="1:2" x14ac:dyDescent="0.25">
      <c r="A2556"/>
      <c r="B2556"/>
    </row>
    <row r="2557" spans="1:2" x14ac:dyDescent="0.25">
      <c r="A2557"/>
      <c r="B2557"/>
    </row>
    <row r="2558" spans="1:2" x14ac:dyDescent="0.25">
      <c r="A2558"/>
      <c r="B2558"/>
    </row>
    <row r="2559" spans="1:2" x14ac:dyDescent="0.25">
      <c r="A2559"/>
      <c r="B2559"/>
    </row>
    <row r="2560" spans="1:2" x14ac:dyDescent="0.25">
      <c r="A2560"/>
      <c r="B2560"/>
    </row>
    <row r="2561" spans="1:2" x14ac:dyDescent="0.25">
      <c r="A2561"/>
      <c r="B2561"/>
    </row>
    <row r="2562" spans="1:2" x14ac:dyDescent="0.25">
      <c r="A2562"/>
      <c r="B2562"/>
    </row>
    <row r="2563" spans="1:2" x14ac:dyDescent="0.25">
      <c r="A2563"/>
      <c r="B2563"/>
    </row>
    <row r="2564" spans="1:2" x14ac:dyDescent="0.25">
      <c r="A2564"/>
      <c r="B2564"/>
    </row>
    <row r="2565" spans="1:2" x14ac:dyDescent="0.25">
      <c r="A2565"/>
      <c r="B2565"/>
    </row>
    <row r="2566" spans="1:2" x14ac:dyDescent="0.25">
      <c r="A2566"/>
      <c r="B2566"/>
    </row>
    <row r="2567" spans="1:2" x14ac:dyDescent="0.25">
      <c r="A2567"/>
      <c r="B2567"/>
    </row>
    <row r="2568" spans="1:2" x14ac:dyDescent="0.25">
      <c r="A2568"/>
      <c r="B2568"/>
    </row>
    <row r="2569" spans="1:2" x14ac:dyDescent="0.25">
      <c r="A2569"/>
      <c r="B2569"/>
    </row>
    <row r="2570" spans="1:2" x14ac:dyDescent="0.25">
      <c r="A2570"/>
      <c r="B2570"/>
    </row>
    <row r="2571" spans="1:2" x14ac:dyDescent="0.25">
      <c r="A2571"/>
      <c r="B2571"/>
    </row>
    <row r="2572" spans="1:2" x14ac:dyDescent="0.25">
      <c r="A2572"/>
      <c r="B2572"/>
    </row>
    <row r="2573" spans="1:2" x14ac:dyDescent="0.25">
      <c r="A2573"/>
      <c r="B2573"/>
    </row>
    <row r="2574" spans="1:2" x14ac:dyDescent="0.25">
      <c r="A2574"/>
      <c r="B2574"/>
    </row>
    <row r="2575" spans="1:2" x14ac:dyDescent="0.25">
      <c r="A2575"/>
      <c r="B2575"/>
    </row>
    <row r="2576" spans="1:2" x14ac:dyDescent="0.25">
      <c r="A2576"/>
      <c r="B2576"/>
    </row>
    <row r="2577" spans="1:2" x14ac:dyDescent="0.25">
      <c r="A2577"/>
      <c r="B2577"/>
    </row>
    <row r="2578" spans="1:2" x14ac:dyDescent="0.25">
      <c r="A2578"/>
      <c r="B2578"/>
    </row>
    <row r="2579" spans="1:2" x14ac:dyDescent="0.25">
      <c r="A2579"/>
      <c r="B2579"/>
    </row>
    <row r="2580" spans="1:2" x14ac:dyDescent="0.25">
      <c r="A2580"/>
      <c r="B2580"/>
    </row>
    <row r="2581" spans="1:2" x14ac:dyDescent="0.25">
      <c r="A2581"/>
      <c r="B2581"/>
    </row>
    <row r="2582" spans="1:2" x14ac:dyDescent="0.25">
      <c r="A2582"/>
      <c r="B2582"/>
    </row>
    <row r="2583" spans="1:2" x14ac:dyDescent="0.25">
      <c r="A2583"/>
      <c r="B2583"/>
    </row>
    <row r="2584" spans="1:2" x14ac:dyDescent="0.25">
      <c r="A2584"/>
      <c r="B2584"/>
    </row>
    <row r="2585" spans="1:2" x14ac:dyDescent="0.25">
      <c r="A2585"/>
      <c r="B2585"/>
    </row>
    <row r="2586" spans="1:2" x14ac:dyDescent="0.25">
      <c r="A2586"/>
      <c r="B2586"/>
    </row>
    <row r="2587" spans="1:2" x14ac:dyDescent="0.25">
      <c r="A2587"/>
      <c r="B2587"/>
    </row>
    <row r="2588" spans="1:2" x14ac:dyDescent="0.25">
      <c r="A2588"/>
      <c r="B2588"/>
    </row>
    <row r="2589" spans="1:2" x14ac:dyDescent="0.25">
      <c r="A2589"/>
      <c r="B2589"/>
    </row>
    <row r="2590" spans="1:2" x14ac:dyDescent="0.25">
      <c r="A2590"/>
      <c r="B2590"/>
    </row>
    <row r="2591" spans="1:2" x14ac:dyDescent="0.25">
      <c r="A2591"/>
      <c r="B2591"/>
    </row>
    <row r="2592" spans="1:2" x14ac:dyDescent="0.25">
      <c r="A2592"/>
      <c r="B2592"/>
    </row>
    <row r="2593" spans="1:2" x14ac:dyDescent="0.25">
      <c r="A2593"/>
      <c r="B2593"/>
    </row>
    <row r="2594" spans="1:2" x14ac:dyDescent="0.25">
      <c r="A2594"/>
      <c r="B2594"/>
    </row>
    <row r="2595" spans="1:2" x14ac:dyDescent="0.25">
      <c r="A2595"/>
      <c r="B2595"/>
    </row>
    <row r="2596" spans="1:2" x14ac:dyDescent="0.25">
      <c r="A2596"/>
      <c r="B2596"/>
    </row>
    <row r="2597" spans="1:2" x14ac:dyDescent="0.25">
      <c r="A2597"/>
      <c r="B2597"/>
    </row>
    <row r="2598" spans="1:2" x14ac:dyDescent="0.25">
      <c r="A2598"/>
      <c r="B2598"/>
    </row>
    <row r="2599" spans="1:2" x14ac:dyDescent="0.25">
      <c r="A2599"/>
      <c r="B2599"/>
    </row>
    <row r="2600" spans="1:2" x14ac:dyDescent="0.25">
      <c r="A2600"/>
      <c r="B2600"/>
    </row>
    <row r="2601" spans="1:2" x14ac:dyDescent="0.25">
      <c r="A2601"/>
      <c r="B2601"/>
    </row>
    <row r="2602" spans="1:2" x14ac:dyDescent="0.25">
      <c r="A2602"/>
      <c r="B2602"/>
    </row>
    <row r="2603" spans="1:2" x14ac:dyDescent="0.25">
      <c r="A2603"/>
      <c r="B2603"/>
    </row>
    <row r="2604" spans="1:2" x14ac:dyDescent="0.25">
      <c r="A2604"/>
      <c r="B2604"/>
    </row>
    <row r="2605" spans="1:2" x14ac:dyDescent="0.25">
      <c r="A2605"/>
      <c r="B2605"/>
    </row>
    <row r="2606" spans="1:2" x14ac:dyDescent="0.25">
      <c r="A2606"/>
      <c r="B2606"/>
    </row>
    <row r="2607" spans="1:2" x14ac:dyDescent="0.25">
      <c r="A2607"/>
      <c r="B2607"/>
    </row>
    <row r="2608" spans="1:2" x14ac:dyDescent="0.25">
      <c r="A2608"/>
      <c r="B2608"/>
    </row>
    <row r="2609" spans="1:2" x14ac:dyDescent="0.25">
      <c r="A2609"/>
      <c r="B2609"/>
    </row>
    <row r="2610" spans="1:2" x14ac:dyDescent="0.25">
      <c r="A2610"/>
      <c r="B2610"/>
    </row>
    <row r="2611" spans="1:2" x14ac:dyDescent="0.25">
      <c r="A2611"/>
      <c r="B2611"/>
    </row>
    <row r="2612" spans="1:2" x14ac:dyDescent="0.25">
      <c r="A2612"/>
      <c r="B2612"/>
    </row>
    <row r="2613" spans="1:2" x14ac:dyDescent="0.25">
      <c r="A2613"/>
      <c r="B2613"/>
    </row>
    <row r="2614" spans="1:2" x14ac:dyDescent="0.25">
      <c r="A2614"/>
      <c r="B2614"/>
    </row>
    <row r="2615" spans="1:2" x14ac:dyDescent="0.25">
      <c r="A2615"/>
      <c r="B2615"/>
    </row>
    <row r="2616" spans="1:2" x14ac:dyDescent="0.25">
      <c r="A2616"/>
      <c r="B2616"/>
    </row>
    <row r="2617" spans="1:2" x14ac:dyDescent="0.25">
      <c r="A2617"/>
      <c r="B2617"/>
    </row>
    <row r="2618" spans="1:2" x14ac:dyDescent="0.25">
      <c r="A2618"/>
      <c r="B2618"/>
    </row>
    <row r="2619" spans="1:2" x14ac:dyDescent="0.25">
      <c r="A2619"/>
      <c r="B2619"/>
    </row>
    <row r="2620" spans="1:2" x14ac:dyDescent="0.25">
      <c r="A2620"/>
      <c r="B2620"/>
    </row>
    <row r="2621" spans="1:2" x14ac:dyDescent="0.25">
      <c r="A2621"/>
      <c r="B2621"/>
    </row>
    <row r="2622" spans="1:2" x14ac:dyDescent="0.25">
      <c r="A2622"/>
      <c r="B2622"/>
    </row>
    <row r="2623" spans="1:2" x14ac:dyDescent="0.25">
      <c r="A2623"/>
      <c r="B2623"/>
    </row>
    <row r="2624" spans="1:2" x14ac:dyDescent="0.25">
      <c r="A2624"/>
      <c r="B2624"/>
    </row>
    <row r="2625" spans="1:2" x14ac:dyDescent="0.25">
      <c r="A2625"/>
      <c r="B2625"/>
    </row>
    <row r="2626" spans="1:2" x14ac:dyDescent="0.25">
      <c r="A2626"/>
      <c r="B2626"/>
    </row>
    <row r="2627" spans="1:2" x14ac:dyDescent="0.25">
      <c r="A2627"/>
      <c r="B2627"/>
    </row>
    <row r="2628" spans="1:2" x14ac:dyDescent="0.25">
      <c r="A2628"/>
      <c r="B2628"/>
    </row>
    <row r="2629" spans="1:2" x14ac:dyDescent="0.25">
      <c r="A2629"/>
      <c r="B2629"/>
    </row>
    <row r="2630" spans="1:2" x14ac:dyDescent="0.25">
      <c r="A2630"/>
      <c r="B2630"/>
    </row>
    <row r="2631" spans="1:2" x14ac:dyDescent="0.25">
      <c r="A2631"/>
      <c r="B2631"/>
    </row>
    <row r="2632" spans="1:2" x14ac:dyDescent="0.25">
      <c r="A2632"/>
      <c r="B2632"/>
    </row>
    <row r="2633" spans="1:2" x14ac:dyDescent="0.25">
      <c r="A2633"/>
      <c r="B2633"/>
    </row>
    <row r="2634" spans="1:2" x14ac:dyDescent="0.25">
      <c r="A2634"/>
      <c r="B2634"/>
    </row>
    <row r="2635" spans="1:2" x14ac:dyDescent="0.25">
      <c r="A2635"/>
      <c r="B2635"/>
    </row>
    <row r="2636" spans="1:2" x14ac:dyDescent="0.25">
      <c r="A2636"/>
      <c r="B2636"/>
    </row>
    <row r="2637" spans="1:2" x14ac:dyDescent="0.25">
      <c r="A2637"/>
      <c r="B2637"/>
    </row>
    <row r="2638" spans="1:2" x14ac:dyDescent="0.25">
      <c r="A2638"/>
      <c r="B2638"/>
    </row>
    <row r="2639" spans="1:2" x14ac:dyDescent="0.25">
      <c r="A2639"/>
      <c r="B2639"/>
    </row>
    <row r="2640" spans="1:2" x14ac:dyDescent="0.25">
      <c r="A2640"/>
      <c r="B2640"/>
    </row>
    <row r="2641" spans="1:2" x14ac:dyDescent="0.25">
      <c r="A2641"/>
      <c r="B2641"/>
    </row>
    <row r="2642" spans="1:2" x14ac:dyDescent="0.25">
      <c r="A2642"/>
      <c r="B2642"/>
    </row>
    <row r="2643" spans="1:2" x14ac:dyDescent="0.25">
      <c r="A2643"/>
      <c r="B2643"/>
    </row>
    <row r="2644" spans="1:2" x14ac:dyDescent="0.25">
      <c r="A2644"/>
      <c r="B2644"/>
    </row>
    <row r="2645" spans="1:2" x14ac:dyDescent="0.25">
      <c r="A2645"/>
      <c r="B2645"/>
    </row>
    <row r="2646" spans="1:2" x14ac:dyDescent="0.25">
      <c r="A2646"/>
      <c r="B2646"/>
    </row>
    <row r="2647" spans="1:2" x14ac:dyDescent="0.25">
      <c r="A2647"/>
      <c r="B2647"/>
    </row>
    <row r="2648" spans="1:2" x14ac:dyDescent="0.25">
      <c r="A2648"/>
      <c r="B2648"/>
    </row>
    <row r="2649" spans="1:2" x14ac:dyDescent="0.25">
      <c r="A2649"/>
      <c r="B2649"/>
    </row>
    <row r="2650" spans="1:2" x14ac:dyDescent="0.25">
      <c r="A2650"/>
      <c r="B2650"/>
    </row>
    <row r="2651" spans="1:2" x14ac:dyDescent="0.25">
      <c r="A2651"/>
      <c r="B2651"/>
    </row>
    <row r="2652" spans="1:2" x14ac:dyDescent="0.25">
      <c r="A2652"/>
      <c r="B2652"/>
    </row>
    <row r="2653" spans="1:2" x14ac:dyDescent="0.25">
      <c r="A2653"/>
      <c r="B2653"/>
    </row>
    <row r="2654" spans="1:2" x14ac:dyDescent="0.25">
      <c r="A2654"/>
      <c r="B2654"/>
    </row>
    <row r="2655" spans="1:2" x14ac:dyDescent="0.25">
      <c r="A2655"/>
      <c r="B2655"/>
    </row>
    <row r="2656" spans="1:2" x14ac:dyDescent="0.25">
      <c r="A2656"/>
      <c r="B2656"/>
    </row>
    <row r="2657" spans="1:2" x14ac:dyDescent="0.25">
      <c r="A2657"/>
      <c r="B2657"/>
    </row>
    <row r="2658" spans="1:2" x14ac:dyDescent="0.25">
      <c r="A2658"/>
      <c r="B2658"/>
    </row>
    <row r="2659" spans="1:2" x14ac:dyDescent="0.25">
      <c r="A2659"/>
      <c r="B2659"/>
    </row>
    <row r="2660" spans="1:2" x14ac:dyDescent="0.25">
      <c r="A2660"/>
      <c r="B2660"/>
    </row>
    <row r="2661" spans="1:2" x14ac:dyDescent="0.25">
      <c r="A2661"/>
      <c r="B2661"/>
    </row>
    <row r="2662" spans="1:2" x14ac:dyDescent="0.25">
      <c r="A2662"/>
      <c r="B2662"/>
    </row>
    <row r="2663" spans="1:2" x14ac:dyDescent="0.25">
      <c r="A2663"/>
      <c r="B2663"/>
    </row>
    <row r="2664" spans="1:2" x14ac:dyDescent="0.25">
      <c r="A2664"/>
      <c r="B2664"/>
    </row>
    <row r="2665" spans="1:2" x14ac:dyDescent="0.25">
      <c r="A2665"/>
      <c r="B2665"/>
    </row>
    <row r="2666" spans="1:2" x14ac:dyDescent="0.25">
      <c r="A2666"/>
      <c r="B2666"/>
    </row>
    <row r="2667" spans="1:2" x14ac:dyDescent="0.25">
      <c r="A2667"/>
      <c r="B2667"/>
    </row>
    <row r="2668" spans="1:2" x14ac:dyDescent="0.25">
      <c r="A2668"/>
      <c r="B2668"/>
    </row>
    <row r="2669" spans="1:2" x14ac:dyDescent="0.25">
      <c r="A2669"/>
      <c r="B2669"/>
    </row>
    <row r="2670" spans="1:2" x14ac:dyDescent="0.25">
      <c r="A2670"/>
      <c r="B2670"/>
    </row>
    <row r="2671" spans="1:2" x14ac:dyDescent="0.25">
      <c r="A2671"/>
      <c r="B2671"/>
    </row>
    <row r="2672" spans="1:2" x14ac:dyDescent="0.25">
      <c r="A2672"/>
      <c r="B2672"/>
    </row>
    <row r="2673" spans="1:2" x14ac:dyDescent="0.25">
      <c r="A2673"/>
      <c r="B2673"/>
    </row>
    <row r="2674" spans="1:2" x14ac:dyDescent="0.25">
      <c r="A2674"/>
      <c r="B2674"/>
    </row>
    <row r="2675" spans="1:2" x14ac:dyDescent="0.25">
      <c r="A2675"/>
      <c r="B2675"/>
    </row>
    <row r="2676" spans="1:2" x14ac:dyDescent="0.25">
      <c r="A2676"/>
      <c r="B2676"/>
    </row>
    <row r="2677" spans="1:2" x14ac:dyDescent="0.25">
      <c r="A2677"/>
      <c r="B2677"/>
    </row>
    <row r="2678" spans="1:2" x14ac:dyDescent="0.25">
      <c r="A2678"/>
      <c r="B2678"/>
    </row>
    <row r="2679" spans="1:2" x14ac:dyDescent="0.25">
      <c r="A2679"/>
      <c r="B2679"/>
    </row>
    <row r="2680" spans="1:2" x14ac:dyDescent="0.25">
      <c r="A2680"/>
      <c r="B2680"/>
    </row>
    <row r="2681" spans="1:2" x14ac:dyDescent="0.25">
      <c r="A2681"/>
      <c r="B2681"/>
    </row>
    <row r="2682" spans="1:2" x14ac:dyDescent="0.25">
      <c r="A2682"/>
      <c r="B2682"/>
    </row>
    <row r="2683" spans="1:2" x14ac:dyDescent="0.25">
      <c r="A2683"/>
      <c r="B2683"/>
    </row>
    <row r="2684" spans="1:2" x14ac:dyDescent="0.25">
      <c r="A2684"/>
      <c r="B2684"/>
    </row>
    <row r="2685" spans="1:2" x14ac:dyDescent="0.25">
      <c r="A2685"/>
      <c r="B2685"/>
    </row>
    <row r="2686" spans="1:2" x14ac:dyDescent="0.25">
      <c r="A2686"/>
      <c r="B2686"/>
    </row>
    <row r="2687" spans="1:2" x14ac:dyDescent="0.25">
      <c r="A2687"/>
      <c r="B2687"/>
    </row>
    <row r="2688" spans="1:2" x14ac:dyDescent="0.25">
      <c r="A2688"/>
      <c r="B2688"/>
    </row>
    <row r="2689" spans="1:2" x14ac:dyDescent="0.25">
      <c r="A2689"/>
      <c r="B2689"/>
    </row>
    <row r="2690" spans="1:2" x14ac:dyDescent="0.25">
      <c r="A2690"/>
      <c r="B2690"/>
    </row>
    <row r="2691" spans="1:2" x14ac:dyDescent="0.25">
      <c r="A2691"/>
      <c r="B2691"/>
    </row>
    <row r="2692" spans="1:2" x14ac:dyDescent="0.25">
      <c r="A2692"/>
      <c r="B2692"/>
    </row>
    <row r="2693" spans="1:2" x14ac:dyDescent="0.25">
      <c r="A2693"/>
      <c r="B2693"/>
    </row>
    <row r="2694" spans="1:2" x14ac:dyDescent="0.25">
      <c r="A2694"/>
      <c r="B2694"/>
    </row>
    <row r="2695" spans="1:2" x14ac:dyDescent="0.25">
      <c r="A2695"/>
      <c r="B2695"/>
    </row>
    <row r="2696" spans="1:2" x14ac:dyDescent="0.25">
      <c r="A2696"/>
      <c r="B2696"/>
    </row>
    <row r="2697" spans="1:2" x14ac:dyDescent="0.25">
      <c r="A2697"/>
      <c r="B2697"/>
    </row>
    <row r="2698" spans="1:2" x14ac:dyDescent="0.25">
      <c r="A2698"/>
      <c r="B2698"/>
    </row>
    <row r="2699" spans="1:2" x14ac:dyDescent="0.25">
      <c r="A2699"/>
      <c r="B2699"/>
    </row>
    <row r="2700" spans="1:2" x14ac:dyDescent="0.25">
      <c r="A2700"/>
      <c r="B2700"/>
    </row>
    <row r="2701" spans="1:2" x14ac:dyDescent="0.25">
      <c r="A2701"/>
      <c r="B2701"/>
    </row>
    <row r="2702" spans="1:2" x14ac:dyDescent="0.25">
      <c r="A2702"/>
      <c r="B2702"/>
    </row>
    <row r="2703" spans="1:2" x14ac:dyDescent="0.25">
      <c r="A2703"/>
      <c r="B2703"/>
    </row>
    <row r="2704" spans="1:2" x14ac:dyDescent="0.25">
      <c r="A2704"/>
      <c r="B2704"/>
    </row>
    <row r="2705" spans="1:2" x14ac:dyDescent="0.25">
      <c r="A2705"/>
      <c r="B2705"/>
    </row>
    <row r="2706" spans="1:2" x14ac:dyDescent="0.25">
      <c r="A2706"/>
      <c r="B2706"/>
    </row>
    <row r="2707" spans="1:2" x14ac:dyDescent="0.25">
      <c r="A2707"/>
      <c r="B2707"/>
    </row>
    <row r="2708" spans="1:2" x14ac:dyDescent="0.25">
      <c r="A2708"/>
      <c r="B2708"/>
    </row>
    <row r="2709" spans="1:2" x14ac:dyDescent="0.25">
      <c r="A2709"/>
      <c r="B2709"/>
    </row>
    <row r="2710" spans="1:2" x14ac:dyDescent="0.25">
      <c r="A2710"/>
      <c r="B2710"/>
    </row>
    <row r="2711" spans="1:2" x14ac:dyDescent="0.25">
      <c r="A2711"/>
      <c r="B2711"/>
    </row>
    <row r="2712" spans="1:2" x14ac:dyDescent="0.25">
      <c r="A2712"/>
      <c r="B2712"/>
    </row>
    <row r="2713" spans="1:2" x14ac:dyDescent="0.25">
      <c r="A2713"/>
      <c r="B2713"/>
    </row>
    <row r="2714" spans="1:2" x14ac:dyDescent="0.25">
      <c r="A2714"/>
      <c r="B2714"/>
    </row>
    <row r="2715" spans="1:2" x14ac:dyDescent="0.25">
      <c r="A2715"/>
      <c r="B2715"/>
    </row>
    <row r="2716" spans="1:2" x14ac:dyDescent="0.25">
      <c r="A2716"/>
      <c r="B2716"/>
    </row>
    <row r="2717" spans="1:2" x14ac:dyDescent="0.25">
      <c r="A2717"/>
      <c r="B2717"/>
    </row>
    <row r="2718" spans="1:2" x14ac:dyDescent="0.25">
      <c r="A2718"/>
      <c r="B2718"/>
    </row>
    <row r="2719" spans="1:2" x14ac:dyDescent="0.25">
      <c r="A2719"/>
      <c r="B2719"/>
    </row>
    <row r="2720" spans="1:2" x14ac:dyDescent="0.25">
      <c r="A2720"/>
      <c r="B2720"/>
    </row>
    <row r="2721" spans="1:2" x14ac:dyDescent="0.25">
      <c r="A2721"/>
      <c r="B2721"/>
    </row>
    <row r="2722" spans="1:2" x14ac:dyDescent="0.25">
      <c r="A2722"/>
      <c r="B2722"/>
    </row>
    <row r="2723" spans="1:2" x14ac:dyDescent="0.25">
      <c r="A2723"/>
      <c r="B2723"/>
    </row>
    <row r="2724" spans="1:2" x14ac:dyDescent="0.25">
      <c r="A2724"/>
      <c r="B2724"/>
    </row>
    <row r="2725" spans="1:2" x14ac:dyDescent="0.25">
      <c r="A2725"/>
      <c r="B2725"/>
    </row>
    <row r="2726" spans="1:2" x14ac:dyDescent="0.25">
      <c r="A2726"/>
      <c r="B2726"/>
    </row>
    <row r="2727" spans="1:2" x14ac:dyDescent="0.25">
      <c r="A2727"/>
      <c r="B2727"/>
    </row>
    <row r="2728" spans="1:2" x14ac:dyDescent="0.25">
      <c r="A2728"/>
      <c r="B2728"/>
    </row>
    <row r="2729" spans="1:2" x14ac:dyDescent="0.25">
      <c r="A2729"/>
      <c r="B2729"/>
    </row>
    <row r="2730" spans="1:2" x14ac:dyDescent="0.25">
      <c r="A2730"/>
      <c r="B2730"/>
    </row>
    <row r="2731" spans="1:2" x14ac:dyDescent="0.25">
      <c r="A2731"/>
      <c r="B2731"/>
    </row>
    <row r="2732" spans="1:2" x14ac:dyDescent="0.25">
      <c r="A2732"/>
      <c r="B2732"/>
    </row>
    <row r="2733" spans="1:2" x14ac:dyDescent="0.25">
      <c r="A2733"/>
      <c r="B2733"/>
    </row>
    <row r="2734" spans="1:2" x14ac:dyDescent="0.25">
      <c r="A2734"/>
      <c r="B2734"/>
    </row>
    <row r="2735" spans="1:2" x14ac:dyDescent="0.25">
      <c r="A2735"/>
      <c r="B2735"/>
    </row>
    <row r="2736" spans="1:2" x14ac:dyDescent="0.25">
      <c r="A2736"/>
      <c r="B2736"/>
    </row>
    <row r="2737" spans="1:2" x14ac:dyDescent="0.25">
      <c r="A2737"/>
      <c r="B2737"/>
    </row>
    <row r="2738" spans="1:2" x14ac:dyDescent="0.25">
      <c r="A2738"/>
      <c r="B2738"/>
    </row>
    <row r="2739" spans="1:2" x14ac:dyDescent="0.25">
      <c r="A2739"/>
      <c r="B2739"/>
    </row>
    <row r="2740" spans="1:2" x14ac:dyDescent="0.25">
      <c r="A2740"/>
      <c r="B2740"/>
    </row>
    <row r="2741" spans="1:2" x14ac:dyDescent="0.25">
      <c r="A2741"/>
      <c r="B2741"/>
    </row>
    <row r="2742" spans="1:2" x14ac:dyDescent="0.25">
      <c r="A2742"/>
      <c r="B2742"/>
    </row>
    <row r="2743" spans="1:2" x14ac:dyDescent="0.25">
      <c r="A2743"/>
      <c r="B2743"/>
    </row>
    <row r="2744" spans="1:2" x14ac:dyDescent="0.25">
      <c r="A2744"/>
      <c r="B2744"/>
    </row>
    <row r="2745" spans="1:2" x14ac:dyDescent="0.25">
      <c r="A2745"/>
      <c r="B2745"/>
    </row>
    <row r="2746" spans="1:2" x14ac:dyDescent="0.25">
      <c r="A2746"/>
      <c r="B2746"/>
    </row>
    <row r="2747" spans="1:2" x14ac:dyDescent="0.25">
      <c r="A2747"/>
      <c r="B2747"/>
    </row>
    <row r="2748" spans="1:2" x14ac:dyDescent="0.25">
      <c r="A2748"/>
      <c r="B2748"/>
    </row>
    <row r="2749" spans="1:2" x14ac:dyDescent="0.25">
      <c r="A2749"/>
      <c r="B2749"/>
    </row>
    <row r="2750" spans="1:2" x14ac:dyDescent="0.25">
      <c r="A2750"/>
      <c r="B2750"/>
    </row>
    <row r="2751" spans="1:2" x14ac:dyDescent="0.25">
      <c r="A2751"/>
      <c r="B2751"/>
    </row>
    <row r="2752" spans="1:2" x14ac:dyDescent="0.25">
      <c r="A2752"/>
      <c r="B2752"/>
    </row>
    <row r="2753" spans="1:2" x14ac:dyDescent="0.25">
      <c r="A2753"/>
      <c r="B2753"/>
    </row>
    <row r="2754" spans="1:2" x14ac:dyDescent="0.25">
      <c r="A2754"/>
      <c r="B2754"/>
    </row>
    <row r="2755" spans="1:2" x14ac:dyDescent="0.25">
      <c r="A2755"/>
      <c r="B2755"/>
    </row>
    <row r="2756" spans="1:2" x14ac:dyDescent="0.25">
      <c r="A2756"/>
      <c r="B2756"/>
    </row>
    <row r="2757" spans="1:2" x14ac:dyDescent="0.25">
      <c r="A2757"/>
      <c r="B2757"/>
    </row>
    <row r="2758" spans="1:2" x14ac:dyDescent="0.25">
      <c r="A2758"/>
      <c r="B2758"/>
    </row>
    <row r="2759" spans="1:2" x14ac:dyDescent="0.25">
      <c r="A2759"/>
      <c r="B2759"/>
    </row>
    <row r="2760" spans="1:2" x14ac:dyDescent="0.25">
      <c r="A2760"/>
      <c r="B2760"/>
    </row>
    <row r="2761" spans="1:2" x14ac:dyDescent="0.25">
      <c r="A2761"/>
      <c r="B2761"/>
    </row>
    <row r="2762" spans="1:2" x14ac:dyDescent="0.25">
      <c r="A2762"/>
      <c r="B2762"/>
    </row>
    <row r="2763" spans="1:2" x14ac:dyDescent="0.25">
      <c r="A2763"/>
      <c r="B2763"/>
    </row>
    <row r="2764" spans="1:2" x14ac:dyDescent="0.25">
      <c r="A2764"/>
      <c r="B2764"/>
    </row>
    <row r="2765" spans="1:2" x14ac:dyDescent="0.25">
      <c r="A2765"/>
      <c r="B2765"/>
    </row>
    <row r="2766" spans="1:2" x14ac:dyDescent="0.25">
      <c r="A2766"/>
      <c r="B2766"/>
    </row>
    <row r="2767" spans="1:2" x14ac:dyDescent="0.25">
      <c r="A2767"/>
      <c r="B2767"/>
    </row>
    <row r="2768" spans="1:2" x14ac:dyDescent="0.25">
      <c r="A2768"/>
      <c r="B2768"/>
    </row>
    <row r="2769" spans="1:2" x14ac:dyDescent="0.25">
      <c r="A2769"/>
      <c r="B2769"/>
    </row>
    <row r="2770" spans="1:2" x14ac:dyDescent="0.25">
      <c r="A2770"/>
      <c r="B2770"/>
    </row>
    <row r="2771" spans="1:2" x14ac:dyDescent="0.25">
      <c r="A2771"/>
      <c r="B2771"/>
    </row>
    <row r="2772" spans="1:2" x14ac:dyDescent="0.25">
      <c r="A2772"/>
      <c r="B2772"/>
    </row>
    <row r="2773" spans="1:2" x14ac:dyDescent="0.25">
      <c r="A2773"/>
      <c r="B2773"/>
    </row>
    <row r="2774" spans="1:2" x14ac:dyDescent="0.25">
      <c r="A2774"/>
      <c r="B2774"/>
    </row>
    <row r="2775" spans="1:2" x14ac:dyDescent="0.25">
      <c r="A2775"/>
      <c r="B2775"/>
    </row>
    <row r="2776" spans="1:2" x14ac:dyDescent="0.25">
      <c r="A2776"/>
      <c r="B2776"/>
    </row>
    <row r="2777" spans="1:2" x14ac:dyDescent="0.25">
      <c r="A2777"/>
      <c r="B2777"/>
    </row>
    <row r="2778" spans="1:2" x14ac:dyDescent="0.25">
      <c r="A2778"/>
      <c r="B2778"/>
    </row>
    <row r="2779" spans="1:2" x14ac:dyDescent="0.25">
      <c r="A2779"/>
      <c r="B2779"/>
    </row>
    <row r="2780" spans="1:2" x14ac:dyDescent="0.25">
      <c r="A2780"/>
      <c r="B2780"/>
    </row>
    <row r="2781" spans="1:2" x14ac:dyDescent="0.25">
      <c r="A2781"/>
      <c r="B2781"/>
    </row>
    <row r="2782" spans="1:2" x14ac:dyDescent="0.25">
      <c r="A2782"/>
      <c r="B2782"/>
    </row>
    <row r="2783" spans="1:2" x14ac:dyDescent="0.25">
      <c r="A2783"/>
      <c r="B2783"/>
    </row>
    <row r="2784" spans="1:2" x14ac:dyDescent="0.25">
      <c r="A2784"/>
      <c r="B2784"/>
    </row>
    <row r="2785" spans="1:2" x14ac:dyDescent="0.25">
      <c r="A2785"/>
      <c r="B2785"/>
    </row>
    <row r="2786" spans="1:2" x14ac:dyDescent="0.25">
      <c r="A2786"/>
      <c r="B2786"/>
    </row>
    <row r="2787" spans="1:2" x14ac:dyDescent="0.25">
      <c r="A2787"/>
      <c r="B2787"/>
    </row>
    <row r="2788" spans="1:2" x14ac:dyDescent="0.25">
      <c r="A2788"/>
      <c r="B2788"/>
    </row>
    <row r="2789" spans="1:2" x14ac:dyDescent="0.25">
      <c r="A2789"/>
      <c r="B2789"/>
    </row>
    <row r="2790" spans="1:2" x14ac:dyDescent="0.25">
      <c r="A2790"/>
      <c r="B2790"/>
    </row>
    <row r="2791" spans="1:2" x14ac:dyDescent="0.25">
      <c r="A2791"/>
      <c r="B2791"/>
    </row>
    <row r="2792" spans="1:2" x14ac:dyDescent="0.25">
      <c r="A2792"/>
      <c r="B2792"/>
    </row>
    <row r="2793" spans="1:2" x14ac:dyDescent="0.25">
      <c r="A2793"/>
      <c r="B2793"/>
    </row>
    <row r="2794" spans="1:2" x14ac:dyDescent="0.25">
      <c r="A2794"/>
      <c r="B2794"/>
    </row>
    <row r="2795" spans="1:2" x14ac:dyDescent="0.25">
      <c r="A2795"/>
      <c r="B2795"/>
    </row>
    <row r="2796" spans="1:2" x14ac:dyDescent="0.25">
      <c r="A2796"/>
      <c r="B2796"/>
    </row>
    <row r="2797" spans="1:2" x14ac:dyDescent="0.25">
      <c r="A2797"/>
      <c r="B2797"/>
    </row>
    <row r="2798" spans="1:2" x14ac:dyDescent="0.25">
      <c r="A2798"/>
      <c r="B2798"/>
    </row>
    <row r="2799" spans="1:2" x14ac:dyDescent="0.25">
      <c r="A2799"/>
      <c r="B2799"/>
    </row>
    <row r="2800" spans="1:2" x14ac:dyDescent="0.25">
      <c r="A2800"/>
      <c r="B2800"/>
    </row>
    <row r="2801" spans="1:2" x14ac:dyDescent="0.25">
      <c r="A2801"/>
      <c r="B2801"/>
    </row>
    <row r="2802" spans="1:2" x14ac:dyDescent="0.25">
      <c r="A2802"/>
      <c r="B2802"/>
    </row>
    <row r="2803" spans="1:2" x14ac:dyDescent="0.25">
      <c r="A2803"/>
      <c r="B2803"/>
    </row>
    <row r="2804" spans="1:2" x14ac:dyDescent="0.25">
      <c r="A2804"/>
      <c r="B2804"/>
    </row>
    <row r="2805" spans="1:2" x14ac:dyDescent="0.25">
      <c r="A2805"/>
      <c r="B2805"/>
    </row>
    <row r="2806" spans="1:2" x14ac:dyDescent="0.25">
      <c r="A2806"/>
      <c r="B2806"/>
    </row>
    <row r="2807" spans="1:2" x14ac:dyDescent="0.25">
      <c r="A2807"/>
      <c r="B2807"/>
    </row>
    <row r="2808" spans="1:2" x14ac:dyDescent="0.25">
      <c r="A2808"/>
      <c r="B2808"/>
    </row>
    <row r="2809" spans="1:2" x14ac:dyDescent="0.25">
      <c r="A2809"/>
      <c r="B2809"/>
    </row>
    <row r="2810" spans="1:2" x14ac:dyDescent="0.25">
      <c r="A2810"/>
      <c r="B2810"/>
    </row>
    <row r="2811" spans="1:2" x14ac:dyDescent="0.25">
      <c r="A2811"/>
      <c r="B2811"/>
    </row>
    <row r="2812" spans="1:2" x14ac:dyDescent="0.25">
      <c r="A2812"/>
      <c r="B2812"/>
    </row>
    <row r="2813" spans="1:2" x14ac:dyDescent="0.25">
      <c r="A2813"/>
      <c r="B2813"/>
    </row>
    <row r="2814" spans="1:2" x14ac:dyDescent="0.25">
      <c r="A2814"/>
      <c r="B2814"/>
    </row>
    <row r="2815" spans="1:2" x14ac:dyDescent="0.25">
      <c r="A2815"/>
      <c r="B2815"/>
    </row>
    <row r="2816" spans="1:2" x14ac:dyDescent="0.25">
      <c r="A2816"/>
      <c r="B2816"/>
    </row>
    <row r="2817" spans="1:2" x14ac:dyDescent="0.25">
      <c r="A2817"/>
      <c r="B2817"/>
    </row>
    <row r="2818" spans="1:2" x14ac:dyDescent="0.25">
      <c r="A2818"/>
      <c r="B2818"/>
    </row>
    <row r="2819" spans="1:2" x14ac:dyDescent="0.25">
      <c r="A2819"/>
      <c r="B2819"/>
    </row>
    <row r="2820" spans="1:2" x14ac:dyDescent="0.25">
      <c r="A2820"/>
      <c r="B2820"/>
    </row>
    <row r="2821" spans="1:2" x14ac:dyDescent="0.25">
      <c r="A2821"/>
      <c r="B2821"/>
    </row>
    <row r="2822" spans="1:2" x14ac:dyDescent="0.25">
      <c r="A2822"/>
      <c r="B2822"/>
    </row>
    <row r="2823" spans="1:2" x14ac:dyDescent="0.25">
      <c r="A2823"/>
      <c r="B2823"/>
    </row>
    <row r="2824" spans="1:2" x14ac:dyDescent="0.25">
      <c r="A2824"/>
      <c r="B2824"/>
    </row>
    <row r="2825" spans="1:2" x14ac:dyDescent="0.25">
      <c r="A2825"/>
      <c r="B2825"/>
    </row>
    <row r="2826" spans="1:2" x14ac:dyDescent="0.25">
      <c r="A2826"/>
      <c r="B2826"/>
    </row>
    <row r="2827" spans="1:2" x14ac:dyDescent="0.25">
      <c r="A2827"/>
      <c r="B2827"/>
    </row>
    <row r="2828" spans="1:2" x14ac:dyDescent="0.25">
      <c r="A2828"/>
      <c r="B2828"/>
    </row>
    <row r="2829" spans="1:2" x14ac:dyDescent="0.25">
      <c r="A2829"/>
      <c r="B2829"/>
    </row>
    <row r="2830" spans="1:2" x14ac:dyDescent="0.25">
      <c r="A2830"/>
      <c r="B2830"/>
    </row>
    <row r="2831" spans="1:2" x14ac:dyDescent="0.25">
      <c r="A2831"/>
      <c r="B2831"/>
    </row>
    <row r="2832" spans="1:2" x14ac:dyDescent="0.25">
      <c r="A2832"/>
      <c r="B2832"/>
    </row>
    <row r="2833" spans="1:2" x14ac:dyDescent="0.25">
      <c r="A2833"/>
      <c r="B2833"/>
    </row>
    <row r="2834" spans="1:2" x14ac:dyDescent="0.25">
      <c r="A2834"/>
      <c r="B2834"/>
    </row>
    <row r="2835" spans="1:2" x14ac:dyDescent="0.25">
      <c r="A2835"/>
      <c r="B2835"/>
    </row>
    <row r="2836" spans="1:2" x14ac:dyDescent="0.25">
      <c r="A2836"/>
      <c r="B2836"/>
    </row>
    <row r="2837" spans="1:2" x14ac:dyDescent="0.25">
      <c r="A2837"/>
      <c r="B2837"/>
    </row>
    <row r="2838" spans="1:2" x14ac:dyDescent="0.25">
      <c r="A2838"/>
      <c r="B2838"/>
    </row>
    <row r="2839" spans="1:2" x14ac:dyDescent="0.25">
      <c r="A2839"/>
      <c r="B2839"/>
    </row>
    <row r="2840" spans="1:2" x14ac:dyDescent="0.25">
      <c r="A2840"/>
      <c r="B2840"/>
    </row>
    <row r="2841" spans="1:2" x14ac:dyDescent="0.25">
      <c r="A2841"/>
      <c r="B2841"/>
    </row>
    <row r="2842" spans="1:2" x14ac:dyDescent="0.25">
      <c r="A2842"/>
      <c r="B2842"/>
    </row>
    <row r="2843" spans="1:2" x14ac:dyDescent="0.25">
      <c r="A2843"/>
      <c r="B2843"/>
    </row>
    <row r="2844" spans="1:2" x14ac:dyDescent="0.25">
      <c r="A2844"/>
      <c r="B2844"/>
    </row>
    <row r="2845" spans="1:2" x14ac:dyDescent="0.25">
      <c r="A2845"/>
      <c r="B2845"/>
    </row>
    <row r="2846" spans="1:2" x14ac:dyDescent="0.25">
      <c r="A2846"/>
      <c r="B2846"/>
    </row>
    <row r="2847" spans="1:2" x14ac:dyDescent="0.25">
      <c r="A2847"/>
      <c r="B2847"/>
    </row>
    <row r="2848" spans="1:2" x14ac:dyDescent="0.25">
      <c r="A2848"/>
      <c r="B2848"/>
    </row>
    <row r="2849" spans="1:2" x14ac:dyDescent="0.25">
      <c r="A2849"/>
      <c r="B2849"/>
    </row>
    <row r="2850" spans="1:2" x14ac:dyDescent="0.25">
      <c r="A2850"/>
      <c r="B2850"/>
    </row>
    <row r="2851" spans="1:2" x14ac:dyDescent="0.25">
      <c r="A2851"/>
      <c r="B2851"/>
    </row>
    <row r="2852" spans="1:2" x14ac:dyDescent="0.25">
      <c r="A2852"/>
      <c r="B2852"/>
    </row>
    <row r="2853" spans="1:2" x14ac:dyDescent="0.25">
      <c r="A2853"/>
      <c r="B2853"/>
    </row>
    <row r="2854" spans="1:2" x14ac:dyDescent="0.25">
      <c r="A2854"/>
      <c r="B2854"/>
    </row>
    <row r="2855" spans="1:2" x14ac:dyDescent="0.25">
      <c r="A2855"/>
      <c r="B2855"/>
    </row>
    <row r="2856" spans="1:2" x14ac:dyDescent="0.25">
      <c r="A2856"/>
      <c r="B2856"/>
    </row>
    <row r="2857" spans="1:2" x14ac:dyDescent="0.25">
      <c r="A2857"/>
      <c r="B2857"/>
    </row>
    <row r="2858" spans="1:2" x14ac:dyDescent="0.25">
      <c r="A2858"/>
      <c r="B2858"/>
    </row>
    <row r="2859" spans="1:2" x14ac:dyDescent="0.25">
      <c r="A2859"/>
      <c r="B2859"/>
    </row>
    <row r="2860" spans="1:2" x14ac:dyDescent="0.25">
      <c r="A2860"/>
      <c r="B2860"/>
    </row>
    <row r="2861" spans="1:2" x14ac:dyDescent="0.25">
      <c r="A2861"/>
      <c r="B2861"/>
    </row>
    <row r="2862" spans="1:2" x14ac:dyDescent="0.25">
      <c r="A2862"/>
      <c r="B2862"/>
    </row>
    <row r="2863" spans="1:2" x14ac:dyDescent="0.25">
      <c r="A2863"/>
      <c r="B2863"/>
    </row>
    <row r="2864" spans="1:2" x14ac:dyDescent="0.25">
      <c r="A2864"/>
      <c r="B2864"/>
    </row>
    <row r="2865" spans="1:2" x14ac:dyDescent="0.25">
      <c r="A2865"/>
      <c r="B2865"/>
    </row>
    <row r="2866" spans="1:2" x14ac:dyDescent="0.25">
      <c r="A2866"/>
      <c r="B2866"/>
    </row>
    <row r="2867" spans="1:2" x14ac:dyDescent="0.25">
      <c r="A2867"/>
      <c r="B2867"/>
    </row>
    <row r="2868" spans="1:2" x14ac:dyDescent="0.25">
      <c r="A2868"/>
      <c r="B2868"/>
    </row>
    <row r="2869" spans="1:2" x14ac:dyDescent="0.25">
      <c r="A2869"/>
      <c r="B2869"/>
    </row>
    <row r="2870" spans="1:2" x14ac:dyDescent="0.25">
      <c r="A2870"/>
      <c r="B2870"/>
    </row>
    <row r="2871" spans="1:2" x14ac:dyDescent="0.25">
      <c r="A2871"/>
      <c r="B2871"/>
    </row>
    <row r="2872" spans="1:2" x14ac:dyDescent="0.25">
      <c r="A2872"/>
      <c r="B2872"/>
    </row>
    <row r="2873" spans="1:2" x14ac:dyDescent="0.25">
      <c r="A2873"/>
      <c r="B2873"/>
    </row>
    <row r="2874" spans="1:2" x14ac:dyDescent="0.25">
      <c r="A2874"/>
      <c r="B2874"/>
    </row>
    <row r="2875" spans="1:2" x14ac:dyDescent="0.25">
      <c r="A2875"/>
      <c r="B2875"/>
    </row>
    <row r="2876" spans="1:2" x14ac:dyDescent="0.25">
      <c r="A2876"/>
      <c r="B2876"/>
    </row>
    <row r="2877" spans="1:2" x14ac:dyDescent="0.25">
      <c r="A2877"/>
      <c r="B2877"/>
    </row>
    <row r="2878" spans="1:2" x14ac:dyDescent="0.25">
      <c r="A2878"/>
      <c r="B2878"/>
    </row>
    <row r="2879" spans="1:2" x14ac:dyDescent="0.25">
      <c r="A2879"/>
      <c r="B2879"/>
    </row>
    <row r="2880" spans="1:2" x14ac:dyDescent="0.25">
      <c r="A2880"/>
      <c r="B2880"/>
    </row>
    <row r="2881" spans="1:2" x14ac:dyDescent="0.25">
      <c r="A2881"/>
      <c r="B2881"/>
    </row>
    <row r="2882" spans="1:2" x14ac:dyDescent="0.25">
      <c r="A2882"/>
      <c r="B2882"/>
    </row>
    <row r="2883" spans="1:2" x14ac:dyDescent="0.25">
      <c r="A2883"/>
      <c r="B2883"/>
    </row>
    <row r="2884" spans="1:2" x14ac:dyDescent="0.25">
      <c r="A2884"/>
      <c r="B2884"/>
    </row>
    <row r="2885" spans="1:2" x14ac:dyDescent="0.25">
      <c r="A2885"/>
      <c r="B2885"/>
    </row>
    <row r="2886" spans="1:2" x14ac:dyDescent="0.25">
      <c r="A2886"/>
      <c r="B2886"/>
    </row>
    <row r="2887" spans="1:2" x14ac:dyDescent="0.25">
      <c r="A2887"/>
      <c r="B2887"/>
    </row>
    <row r="2888" spans="1:2" x14ac:dyDescent="0.25">
      <c r="A2888"/>
      <c r="B2888"/>
    </row>
    <row r="2889" spans="1:2" x14ac:dyDescent="0.25">
      <c r="A2889"/>
      <c r="B2889"/>
    </row>
    <row r="2890" spans="1:2" x14ac:dyDescent="0.25">
      <c r="A2890"/>
      <c r="B2890"/>
    </row>
    <row r="2891" spans="1:2" x14ac:dyDescent="0.25">
      <c r="A2891"/>
      <c r="B2891"/>
    </row>
    <row r="2892" spans="1:2" x14ac:dyDescent="0.25">
      <c r="A2892"/>
      <c r="B2892"/>
    </row>
    <row r="2893" spans="1:2" x14ac:dyDescent="0.25">
      <c r="A2893"/>
      <c r="B2893"/>
    </row>
    <row r="2894" spans="1:2" x14ac:dyDescent="0.25">
      <c r="A2894"/>
      <c r="B2894"/>
    </row>
    <row r="2895" spans="1:2" x14ac:dyDescent="0.25">
      <c r="A2895"/>
      <c r="B2895"/>
    </row>
    <row r="2896" spans="1:2" x14ac:dyDescent="0.25">
      <c r="A2896"/>
      <c r="B2896"/>
    </row>
    <row r="2897" spans="1:2" x14ac:dyDescent="0.25">
      <c r="A2897"/>
      <c r="B2897"/>
    </row>
    <row r="2898" spans="1:2" x14ac:dyDescent="0.25">
      <c r="A2898"/>
      <c r="B2898"/>
    </row>
    <row r="2899" spans="1:2" x14ac:dyDescent="0.25">
      <c r="A2899"/>
      <c r="B2899"/>
    </row>
    <row r="2900" spans="1:2" x14ac:dyDescent="0.25">
      <c r="A2900"/>
      <c r="B2900"/>
    </row>
    <row r="2901" spans="1:2" x14ac:dyDescent="0.25">
      <c r="A2901"/>
      <c r="B2901"/>
    </row>
    <row r="2902" spans="1:2" x14ac:dyDescent="0.25">
      <c r="A2902"/>
      <c r="B2902"/>
    </row>
    <row r="2903" spans="1:2" x14ac:dyDescent="0.25">
      <c r="A2903"/>
      <c r="B2903"/>
    </row>
    <row r="2904" spans="1:2" x14ac:dyDescent="0.25">
      <c r="A2904"/>
      <c r="B2904"/>
    </row>
    <row r="2905" spans="1:2" x14ac:dyDescent="0.25">
      <c r="A2905"/>
      <c r="B2905"/>
    </row>
    <row r="2906" spans="1:2" x14ac:dyDescent="0.25">
      <c r="A2906"/>
      <c r="B2906"/>
    </row>
    <row r="2907" spans="1:2" x14ac:dyDescent="0.25">
      <c r="A2907"/>
      <c r="B2907"/>
    </row>
    <row r="2908" spans="1:2" x14ac:dyDescent="0.25">
      <c r="A2908"/>
      <c r="B2908"/>
    </row>
    <row r="2909" spans="1:2" x14ac:dyDescent="0.25">
      <c r="A2909"/>
      <c r="B2909"/>
    </row>
    <row r="2910" spans="1:2" x14ac:dyDescent="0.25">
      <c r="A2910"/>
      <c r="B2910"/>
    </row>
    <row r="2911" spans="1:2" x14ac:dyDescent="0.25">
      <c r="A2911"/>
      <c r="B2911"/>
    </row>
    <row r="2912" spans="1:2" x14ac:dyDescent="0.25">
      <c r="A2912"/>
      <c r="B2912"/>
    </row>
    <row r="2913" spans="1:2" x14ac:dyDescent="0.25">
      <c r="A2913"/>
      <c r="B2913"/>
    </row>
    <row r="2914" spans="1:2" x14ac:dyDescent="0.25">
      <c r="A2914"/>
      <c r="B2914"/>
    </row>
    <row r="2915" spans="1:2" x14ac:dyDescent="0.25">
      <c r="A2915"/>
      <c r="B2915"/>
    </row>
    <row r="2916" spans="1:2" x14ac:dyDescent="0.25">
      <c r="A2916"/>
      <c r="B2916"/>
    </row>
    <row r="2917" spans="1:2" x14ac:dyDescent="0.25">
      <c r="A2917"/>
      <c r="B2917"/>
    </row>
    <row r="2918" spans="1:2" x14ac:dyDescent="0.25">
      <c r="A2918"/>
      <c r="B2918"/>
    </row>
    <row r="2919" spans="1:2" x14ac:dyDescent="0.25">
      <c r="A2919"/>
      <c r="B2919"/>
    </row>
    <row r="2920" spans="1:2" x14ac:dyDescent="0.25">
      <c r="A2920"/>
      <c r="B2920"/>
    </row>
    <row r="2921" spans="1:2" x14ac:dyDescent="0.25">
      <c r="A2921"/>
      <c r="B2921"/>
    </row>
    <row r="2922" spans="1:2" x14ac:dyDescent="0.25">
      <c r="A2922"/>
      <c r="B2922"/>
    </row>
    <row r="2923" spans="1:2" x14ac:dyDescent="0.25">
      <c r="A2923"/>
      <c r="B2923"/>
    </row>
    <row r="2924" spans="1:2" x14ac:dyDescent="0.25">
      <c r="A2924"/>
      <c r="B2924"/>
    </row>
    <row r="2925" spans="1:2" x14ac:dyDescent="0.25">
      <c r="A2925"/>
      <c r="B2925"/>
    </row>
    <row r="2926" spans="1:2" x14ac:dyDescent="0.25">
      <c r="A2926"/>
      <c r="B2926"/>
    </row>
    <row r="2927" spans="1:2" x14ac:dyDescent="0.25">
      <c r="A2927"/>
      <c r="B2927"/>
    </row>
    <row r="2928" spans="1:2" x14ac:dyDescent="0.25">
      <c r="A2928"/>
      <c r="B2928"/>
    </row>
    <row r="2929" spans="1:2" x14ac:dyDescent="0.25">
      <c r="A2929"/>
      <c r="B2929"/>
    </row>
    <row r="2930" spans="1:2" x14ac:dyDescent="0.25">
      <c r="A2930"/>
      <c r="B2930"/>
    </row>
    <row r="2931" spans="1:2" x14ac:dyDescent="0.25">
      <c r="A2931"/>
      <c r="B2931"/>
    </row>
    <row r="2932" spans="1:2" x14ac:dyDescent="0.25">
      <c r="A2932"/>
      <c r="B2932"/>
    </row>
    <row r="2933" spans="1:2" x14ac:dyDescent="0.25">
      <c r="A2933"/>
      <c r="B2933"/>
    </row>
    <row r="2934" spans="1:2" x14ac:dyDescent="0.25">
      <c r="A2934"/>
      <c r="B2934"/>
    </row>
    <row r="2935" spans="1:2" x14ac:dyDescent="0.25">
      <c r="A2935"/>
      <c r="B2935"/>
    </row>
    <row r="2936" spans="1:2" x14ac:dyDescent="0.25">
      <c r="A2936"/>
      <c r="B2936"/>
    </row>
    <row r="2937" spans="1:2" x14ac:dyDescent="0.25">
      <c r="A2937"/>
      <c r="B2937"/>
    </row>
    <row r="2938" spans="1:2" x14ac:dyDescent="0.25">
      <c r="A2938"/>
      <c r="B2938"/>
    </row>
    <row r="2939" spans="1:2" x14ac:dyDescent="0.25">
      <c r="A2939"/>
      <c r="B2939"/>
    </row>
    <row r="2940" spans="1:2" x14ac:dyDescent="0.25">
      <c r="A2940"/>
      <c r="B2940"/>
    </row>
    <row r="2941" spans="1:2" x14ac:dyDescent="0.25">
      <c r="A2941"/>
      <c r="B2941"/>
    </row>
    <row r="2942" spans="1:2" x14ac:dyDescent="0.25">
      <c r="A2942"/>
      <c r="B2942"/>
    </row>
    <row r="2943" spans="1:2" x14ac:dyDescent="0.25">
      <c r="A2943"/>
      <c r="B2943"/>
    </row>
    <row r="2944" spans="1:2" x14ac:dyDescent="0.25">
      <c r="A2944"/>
      <c r="B2944"/>
    </row>
    <row r="2945" spans="1:2" x14ac:dyDescent="0.25">
      <c r="A2945"/>
      <c r="B2945"/>
    </row>
    <row r="2946" spans="1:2" x14ac:dyDescent="0.25">
      <c r="A2946"/>
      <c r="B2946"/>
    </row>
    <row r="2947" spans="1:2" x14ac:dyDescent="0.25">
      <c r="A2947"/>
      <c r="B2947"/>
    </row>
    <row r="2948" spans="1:2" x14ac:dyDescent="0.25">
      <c r="A2948"/>
      <c r="B2948"/>
    </row>
    <row r="2949" spans="1:2" x14ac:dyDescent="0.25">
      <c r="A2949"/>
      <c r="B2949"/>
    </row>
    <row r="2950" spans="1:2" x14ac:dyDescent="0.25">
      <c r="A2950"/>
      <c r="B2950"/>
    </row>
    <row r="2951" spans="1:2" x14ac:dyDescent="0.25">
      <c r="A2951"/>
      <c r="B2951"/>
    </row>
    <row r="2952" spans="1:2" x14ac:dyDescent="0.25">
      <c r="A2952"/>
      <c r="B2952"/>
    </row>
    <row r="2953" spans="1:2" x14ac:dyDescent="0.25">
      <c r="A2953"/>
      <c r="B2953"/>
    </row>
    <row r="2954" spans="1:2" x14ac:dyDescent="0.25">
      <c r="A2954"/>
      <c r="B2954"/>
    </row>
    <row r="2955" spans="1:2" x14ac:dyDescent="0.25">
      <c r="A2955"/>
      <c r="B2955"/>
    </row>
    <row r="2956" spans="1:2" x14ac:dyDescent="0.25">
      <c r="A2956"/>
      <c r="B2956"/>
    </row>
    <row r="2957" spans="1:2" x14ac:dyDescent="0.25">
      <c r="A2957"/>
      <c r="B2957"/>
    </row>
    <row r="2958" spans="1:2" x14ac:dyDescent="0.25">
      <c r="A2958"/>
      <c r="B2958"/>
    </row>
    <row r="2959" spans="1:2" x14ac:dyDescent="0.25">
      <c r="A2959"/>
      <c r="B2959"/>
    </row>
    <row r="2960" spans="1:2" x14ac:dyDescent="0.25">
      <c r="A2960"/>
      <c r="B2960"/>
    </row>
    <row r="2961" spans="1:2" x14ac:dyDescent="0.25">
      <c r="A2961"/>
      <c r="B2961"/>
    </row>
    <row r="2962" spans="1:2" x14ac:dyDescent="0.25">
      <c r="A2962"/>
      <c r="B2962"/>
    </row>
    <row r="2963" spans="1:2" x14ac:dyDescent="0.25">
      <c r="A2963"/>
      <c r="B2963"/>
    </row>
    <row r="2964" spans="1:2" x14ac:dyDescent="0.25">
      <c r="A2964"/>
      <c r="B2964"/>
    </row>
    <row r="2965" spans="1:2" x14ac:dyDescent="0.25">
      <c r="A2965"/>
      <c r="B2965"/>
    </row>
    <row r="2966" spans="1:2" x14ac:dyDescent="0.25">
      <c r="A2966"/>
      <c r="B2966"/>
    </row>
    <row r="2967" spans="1:2" x14ac:dyDescent="0.25">
      <c r="A2967"/>
      <c r="B2967"/>
    </row>
    <row r="2968" spans="1:2" x14ac:dyDescent="0.25">
      <c r="A2968"/>
      <c r="B2968"/>
    </row>
    <row r="2969" spans="1:2" x14ac:dyDescent="0.25">
      <c r="A2969"/>
      <c r="B2969"/>
    </row>
    <row r="2970" spans="1:2" x14ac:dyDescent="0.25">
      <c r="A2970"/>
      <c r="B2970"/>
    </row>
    <row r="2971" spans="1:2" x14ac:dyDescent="0.25">
      <c r="A2971"/>
      <c r="B2971"/>
    </row>
    <row r="2972" spans="1:2" x14ac:dyDescent="0.25">
      <c r="A2972"/>
      <c r="B2972"/>
    </row>
    <row r="2973" spans="1:2" x14ac:dyDescent="0.25">
      <c r="A2973"/>
      <c r="B2973"/>
    </row>
    <row r="2974" spans="1:2" x14ac:dyDescent="0.25">
      <c r="A2974"/>
      <c r="B2974"/>
    </row>
    <row r="2975" spans="1:2" x14ac:dyDescent="0.25">
      <c r="A2975"/>
      <c r="B2975"/>
    </row>
    <row r="2976" spans="1:2" x14ac:dyDescent="0.25">
      <c r="A2976"/>
      <c r="B2976"/>
    </row>
    <row r="2977" spans="1:2" x14ac:dyDescent="0.25">
      <c r="A2977"/>
      <c r="B2977"/>
    </row>
    <row r="2978" spans="1:2" x14ac:dyDescent="0.25">
      <c r="A2978"/>
      <c r="B2978"/>
    </row>
    <row r="2979" spans="1:2" x14ac:dyDescent="0.25">
      <c r="A2979"/>
      <c r="B2979"/>
    </row>
    <row r="2980" spans="1:2" x14ac:dyDescent="0.25">
      <c r="A2980"/>
      <c r="B2980"/>
    </row>
    <row r="2981" spans="1:2" x14ac:dyDescent="0.25">
      <c r="A2981"/>
      <c r="B2981"/>
    </row>
    <row r="2982" spans="1:2" x14ac:dyDescent="0.25">
      <c r="A2982"/>
      <c r="B2982"/>
    </row>
    <row r="2983" spans="1:2" x14ac:dyDescent="0.25">
      <c r="A2983"/>
      <c r="B2983"/>
    </row>
    <row r="2984" spans="1:2" x14ac:dyDescent="0.25">
      <c r="A2984"/>
      <c r="B2984"/>
    </row>
    <row r="2985" spans="1:2" x14ac:dyDescent="0.25">
      <c r="A2985"/>
      <c r="B2985"/>
    </row>
    <row r="2986" spans="1:2" x14ac:dyDescent="0.25">
      <c r="A2986"/>
      <c r="B2986"/>
    </row>
    <row r="2987" spans="1:2" x14ac:dyDescent="0.25">
      <c r="A2987"/>
      <c r="B2987"/>
    </row>
    <row r="2988" spans="1:2" x14ac:dyDescent="0.25">
      <c r="A2988"/>
      <c r="B2988"/>
    </row>
    <row r="2989" spans="1:2" x14ac:dyDescent="0.25">
      <c r="A2989"/>
      <c r="B2989"/>
    </row>
    <row r="2990" spans="1:2" x14ac:dyDescent="0.25">
      <c r="A2990"/>
      <c r="B2990"/>
    </row>
    <row r="2991" spans="1:2" x14ac:dyDescent="0.25">
      <c r="A2991"/>
      <c r="B2991"/>
    </row>
    <row r="2992" spans="1:2" x14ac:dyDescent="0.25">
      <c r="A2992"/>
      <c r="B2992"/>
    </row>
    <row r="2993" spans="1:2" x14ac:dyDescent="0.25">
      <c r="A2993"/>
      <c r="B2993"/>
    </row>
    <row r="2994" spans="1:2" x14ac:dyDescent="0.25">
      <c r="A2994"/>
      <c r="B2994"/>
    </row>
    <row r="2995" spans="1:2" x14ac:dyDescent="0.25">
      <c r="A2995"/>
      <c r="B2995"/>
    </row>
    <row r="2996" spans="1:2" x14ac:dyDescent="0.25">
      <c r="A2996"/>
      <c r="B2996"/>
    </row>
    <row r="2997" spans="1:2" x14ac:dyDescent="0.25">
      <c r="A2997"/>
      <c r="B2997"/>
    </row>
    <row r="2998" spans="1:2" x14ac:dyDescent="0.25">
      <c r="A2998"/>
      <c r="B2998"/>
    </row>
    <row r="2999" spans="1:2" x14ac:dyDescent="0.25">
      <c r="A2999"/>
      <c r="B2999"/>
    </row>
    <row r="3000" spans="1:2" x14ac:dyDescent="0.25">
      <c r="A3000"/>
      <c r="B3000"/>
    </row>
    <row r="3001" spans="1:2" x14ac:dyDescent="0.25">
      <c r="A3001"/>
      <c r="B3001"/>
    </row>
    <row r="3002" spans="1:2" x14ac:dyDescent="0.25">
      <c r="A3002"/>
      <c r="B3002"/>
    </row>
    <row r="3003" spans="1:2" x14ac:dyDescent="0.25">
      <c r="A3003"/>
      <c r="B3003"/>
    </row>
    <row r="3004" spans="1:2" x14ac:dyDescent="0.25">
      <c r="A3004"/>
      <c r="B3004"/>
    </row>
    <row r="3005" spans="1:2" x14ac:dyDescent="0.25">
      <c r="A3005"/>
      <c r="B3005"/>
    </row>
    <row r="3006" spans="1:2" x14ac:dyDescent="0.25">
      <c r="A3006"/>
      <c r="B3006"/>
    </row>
    <row r="3007" spans="1:2" x14ac:dyDescent="0.25">
      <c r="A3007"/>
      <c r="B3007"/>
    </row>
    <row r="3008" spans="1:2" x14ac:dyDescent="0.25">
      <c r="A3008"/>
      <c r="B3008"/>
    </row>
    <row r="3009" spans="1:2" x14ac:dyDescent="0.25">
      <c r="A3009"/>
      <c r="B3009"/>
    </row>
    <row r="3010" spans="1:2" x14ac:dyDescent="0.25">
      <c r="A3010"/>
      <c r="B3010"/>
    </row>
    <row r="3011" spans="1:2" x14ac:dyDescent="0.25">
      <c r="A3011"/>
      <c r="B3011"/>
    </row>
    <row r="3012" spans="1:2" x14ac:dyDescent="0.25">
      <c r="A3012"/>
      <c r="B3012"/>
    </row>
    <row r="3013" spans="1:2" x14ac:dyDescent="0.25">
      <c r="A3013"/>
      <c r="B3013"/>
    </row>
    <row r="3014" spans="1:2" x14ac:dyDescent="0.25">
      <c r="A3014"/>
      <c r="B3014"/>
    </row>
    <row r="3015" spans="1:2" x14ac:dyDescent="0.25">
      <c r="A3015"/>
      <c r="B3015"/>
    </row>
    <row r="3016" spans="1:2" x14ac:dyDescent="0.25">
      <c r="A3016"/>
      <c r="B3016"/>
    </row>
    <row r="3017" spans="1:2" x14ac:dyDescent="0.25">
      <c r="A3017"/>
      <c r="B3017"/>
    </row>
    <row r="3018" spans="1:2" x14ac:dyDescent="0.25">
      <c r="A3018"/>
      <c r="B3018"/>
    </row>
    <row r="3019" spans="1:2" x14ac:dyDescent="0.25">
      <c r="A3019"/>
      <c r="B3019"/>
    </row>
    <row r="3020" spans="1:2" x14ac:dyDescent="0.25">
      <c r="A3020"/>
      <c r="B3020"/>
    </row>
    <row r="3021" spans="1:2" x14ac:dyDescent="0.25">
      <c r="A3021"/>
      <c r="B3021"/>
    </row>
    <row r="3022" spans="1:2" x14ac:dyDescent="0.25">
      <c r="A3022"/>
      <c r="B3022"/>
    </row>
    <row r="3023" spans="1:2" x14ac:dyDescent="0.25">
      <c r="A3023"/>
      <c r="B3023"/>
    </row>
    <row r="3024" spans="1:2" x14ac:dyDescent="0.25">
      <c r="A3024"/>
      <c r="B3024"/>
    </row>
    <row r="3025" spans="1:2" x14ac:dyDescent="0.25">
      <c r="A3025"/>
      <c r="B3025"/>
    </row>
    <row r="3026" spans="1:2" x14ac:dyDescent="0.25">
      <c r="A3026"/>
      <c r="B3026"/>
    </row>
    <row r="3027" spans="1:2" x14ac:dyDescent="0.25">
      <c r="A3027"/>
      <c r="B3027"/>
    </row>
    <row r="3028" spans="1:2" x14ac:dyDescent="0.25">
      <c r="A3028"/>
      <c r="B3028"/>
    </row>
    <row r="3029" spans="1:2" x14ac:dyDescent="0.25">
      <c r="A3029"/>
      <c r="B3029"/>
    </row>
    <row r="3030" spans="1:2" x14ac:dyDescent="0.25">
      <c r="A3030"/>
      <c r="B3030"/>
    </row>
    <row r="3031" spans="1:2" x14ac:dyDescent="0.25">
      <c r="A3031"/>
      <c r="B3031"/>
    </row>
    <row r="3032" spans="1:2" x14ac:dyDescent="0.25">
      <c r="A3032"/>
      <c r="B3032"/>
    </row>
    <row r="3033" spans="1:2" x14ac:dyDescent="0.25">
      <c r="A3033"/>
      <c r="B3033"/>
    </row>
    <row r="3034" spans="1:2" x14ac:dyDescent="0.25">
      <c r="A3034"/>
      <c r="B3034"/>
    </row>
    <row r="3035" spans="1:2" x14ac:dyDescent="0.25">
      <c r="A3035"/>
      <c r="B3035"/>
    </row>
    <row r="3036" spans="1:2" x14ac:dyDescent="0.25">
      <c r="A3036"/>
      <c r="B3036"/>
    </row>
    <row r="3037" spans="1:2" x14ac:dyDescent="0.25">
      <c r="A3037"/>
      <c r="B3037"/>
    </row>
    <row r="3038" spans="1:2" x14ac:dyDescent="0.25">
      <c r="A3038"/>
      <c r="B3038"/>
    </row>
    <row r="3039" spans="1:2" x14ac:dyDescent="0.25">
      <c r="A3039"/>
      <c r="B3039"/>
    </row>
    <row r="3040" spans="1:2" x14ac:dyDescent="0.25">
      <c r="A3040"/>
      <c r="B3040"/>
    </row>
    <row r="3041" spans="1:2" x14ac:dyDescent="0.25">
      <c r="A3041"/>
      <c r="B3041"/>
    </row>
    <row r="3042" spans="1:2" x14ac:dyDescent="0.25">
      <c r="A3042"/>
      <c r="B3042"/>
    </row>
    <row r="3043" spans="1:2" x14ac:dyDescent="0.25">
      <c r="A3043"/>
      <c r="B3043"/>
    </row>
    <row r="3044" spans="1:2" x14ac:dyDescent="0.25">
      <c r="A3044"/>
      <c r="B3044"/>
    </row>
    <row r="3045" spans="1:2" x14ac:dyDescent="0.25">
      <c r="A3045"/>
      <c r="B3045"/>
    </row>
    <row r="3046" spans="1:2" x14ac:dyDescent="0.25">
      <c r="A3046"/>
      <c r="B3046"/>
    </row>
    <row r="3047" spans="1:2" x14ac:dyDescent="0.25">
      <c r="A3047"/>
      <c r="B3047"/>
    </row>
    <row r="3048" spans="1:2" x14ac:dyDescent="0.25">
      <c r="A3048"/>
      <c r="B3048"/>
    </row>
    <row r="3049" spans="1:2" x14ac:dyDescent="0.25">
      <c r="A3049"/>
      <c r="B3049"/>
    </row>
    <row r="3050" spans="1:2" x14ac:dyDescent="0.25">
      <c r="A3050"/>
      <c r="B3050"/>
    </row>
    <row r="3051" spans="1:2" x14ac:dyDescent="0.25">
      <c r="A3051"/>
      <c r="B3051"/>
    </row>
    <row r="3052" spans="1:2" x14ac:dyDescent="0.25">
      <c r="A3052"/>
      <c r="B3052"/>
    </row>
    <row r="3053" spans="1:2" x14ac:dyDescent="0.25">
      <c r="A3053"/>
      <c r="B3053"/>
    </row>
    <row r="3054" spans="1:2" x14ac:dyDescent="0.25">
      <c r="A3054"/>
      <c r="B3054"/>
    </row>
    <row r="3055" spans="1:2" x14ac:dyDescent="0.25">
      <c r="A3055"/>
      <c r="B3055"/>
    </row>
    <row r="3056" spans="1:2" x14ac:dyDescent="0.25">
      <c r="A3056"/>
      <c r="B3056"/>
    </row>
    <row r="3057" spans="1:2" x14ac:dyDescent="0.25">
      <c r="A3057"/>
      <c r="B3057"/>
    </row>
    <row r="3058" spans="1:2" x14ac:dyDescent="0.25">
      <c r="A3058"/>
      <c r="B3058"/>
    </row>
    <row r="3059" spans="1:2" x14ac:dyDescent="0.25">
      <c r="A3059"/>
      <c r="B3059"/>
    </row>
    <row r="3060" spans="1:2" x14ac:dyDescent="0.25">
      <c r="A3060"/>
      <c r="B3060"/>
    </row>
    <row r="3061" spans="1:2" x14ac:dyDescent="0.25">
      <c r="A3061"/>
      <c r="B3061"/>
    </row>
    <row r="3062" spans="1:2" x14ac:dyDescent="0.25">
      <c r="A3062"/>
      <c r="B3062"/>
    </row>
    <row r="3063" spans="1:2" x14ac:dyDescent="0.25">
      <c r="A3063"/>
      <c r="B3063"/>
    </row>
    <row r="3064" spans="1:2" x14ac:dyDescent="0.25">
      <c r="A3064"/>
      <c r="B3064"/>
    </row>
    <row r="3065" spans="1:2" x14ac:dyDescent="0.25">
      <c r="A3065"/>
      <c r="B3065"/>
    </row>
    <row r="3066" spans="1:2" x14ac:dyDescent="0.25">
      <c r="A3066"/>
      <c r="B3066"/>
    </row>
    <row r="3067" spans="1:2" x14ac:dyDescent="0.25">
      <c r="A3067"/>
      <c r="B3067"/>
    </row>
    <row r="3068" spans="1:2" x14ac:dyDescent="0.25">
      <c r="A3068"/>
      <c r="B3068"/>
    </row>
    <row r="3069" spans="1:2" x14ac:dyDescent="0.25">
      <c r="A3069"/>
      <c r="B3069"/>
    </row>
    <row r="3070" spans="1:2" x14ac:dyDescent="0.25">
      <c r="A3070"/>
      <c r="B3070"/>
    </row>
    <row r="3071" spans="1:2" x14ac:dyDescent="0.25">
      <c r="A3071"/>
      <c r="B3071"/>
    </row>
    <row r="3072" spans="1:2" x14ac:dyDescent="0.25">
      <c r="A3072"/>
      <c r="B3072"/>
    </row>
    <row r="3073" spans="1:2" x14ac:dyDescent="0.25">
      <c r="A3073"/>
      <c r="B3073"/>
    </row>
    <row r="3074" spans="1:2" x14ac:dyDescent="0.25">
      <c r="A3074"/>
      <c r="B3074"/>
    </row>
    <row r="3075" spans="1:2" x14ac:dyDescent="0.25">
      <c r="A3075"/>
      <c r="B3075"/>
    </row>
    <row r="3076" spans="1:2" x14ac:dyDescent="0.25">
      <c r="A3076"/>
      <c r="B3076"/>
    </row>
    <row r="3077" spans="1:2" x14ac:dyDescent="0.25">
      <c r="A3077"/>
      <c r="B3077"/>
    </row>
    <row r="3078" spans="1:2" x14ac:dyDescent="0.25">
      <c r="A3078"/>
      <c r="B3078"/>
    </row>
    <row r="3079" spans="1:2" x14ac:dyDescent="0.25">
      <c r="A3079"/>
      <c r="B3079"/>
    </row>
    <row r="3080" spans="1:2" x14ac:dyDescent="0.25">
      <c r="A3080"/>
      <c r="B3080"/>
    </row>
    <row r="3081" spans="1:2" x14ac:dyDescent="0.25">
      <c r="A3081"/>
      <c r="B3081"/>
    </row>
    <row r="3082" spans="1:2" x14ac:dyDescent="0.25">
      <c r="A3082"/>
      <c r="B3082"/>
    </row>
    <row r="3083" spans="1:2" x14ac:dyDescent="0.25">
      <c r="A3083"/>
      <c r="B3083"/>
    </row>
    <row r="3084" spans="1:2" x14ac:dyDescent="0.25">
      <c r="A3084"/>
      <c r="B3084"/>
    </row>
    <row r="3085" spans="1:2" x14ac:dyDescent="0.25">
      <c r="A3085"/>
      <c r="B3085"/>
    </row>
    <row r="3086" spans="1:2" x14ac:dyDescent="0.25">
      <c r="A3086"/>
      <c r="B3086"/>
    </row>
    <row r="3087" spans="1:2" x14ac:dyDescent="0.25">
      <c r="A3087"/>
      <c r="B3087"/>
    </row>
    <row r="3088" spans="1:2" x14ac:dyDescent="0.25">
      <c r="A3088"/>
      <c r="B3088"/>
    </row>
    <row r="3089" spans="1:2" x14ac:dyDescent="0.25">
      <c r="A3089"/>
      <c r="B3089"/>
    </row>
    <row r="3090" spans="1:2" x14ac:dyDescent="0.25">
      <c r="A3090"/>
      <c r="B3090"/>
    </row>
    <row r="3091" spans="1:2" x14ac:dyDescent="0.25">
      <c r="A3091"/>
      <c r="B3091"/>
    </row>
    <row r="3092" spans="1:2" x14ac:dyDescent="0.25">
      <c r="A3092"/>
      <c r="B3092"/>
    </row>
    <row r="3093" spans="1:2" x14ac:dyDescent="0.25">
      <c r="A3093"/>
      <c r="B3093"/>
    </row>
    <row r="3094" spans="1:2" x14ac:dyDescent="0.25">
      <c r="A3094"/>
      <c r="B3094"/>
    </row>
    <row r="3095" spans="1:2" x14ac:dyDescent="0.25">
      <c r="A3095"/>
      <c r="B3095"/>
    </row>
    <row r="3096" spans="1:2" x14ac:dyDescent="0.25">
      <c r="A3096"/>
      <c r="B3096"/>
    </row>
    <row r="3097" spans="1:2" x14ac:dyDescent="0.25">
      <c r="A3097"/>
      <c r="B3097"/>
    </row>
    <row r="3098" spans="1:2" x14ac:dyDescent="0.25">
      <c r="A3098"/>
      <c r="B3098"/>
    </row>
    <row r="3099" spans="1:2" x14ac:dyDescent="0.25">
      <c r="A3099"/>
      <c r="B3099"/>
    </row>
    <row r="3100" spans="1:2" x14ac:dyDescent="0.25">
      <c r="A3100"/>
      <c r="B3100"/>
    </row>
    <row r="3101" spans="1:2" x14ac:dyDescent="0.25">
      <c r="A3101"/>
      <c r="B3101"/>
    </row>
    <row r="3102" spans="1:2" x14ac:dyDescent="0.25">
      <c r="A3102"/>
      <c r="B3102"/>
    </row>
    <row r="3103" spans="1:2" x14ac:dyDescent="0.25">
      <c r="A3103"/>
      <c r="B3103"/>
    </row>
    <row r="3104" spans="1:2" x14ac:dyDescent="0.25">
      <c r="A3104"/>
      <c r="B3104"/>
    </row>
    <row r="3105" spans="1:2" x14ac:dyDescent="0.25">
      <c r="A3105"/>
      <c r="B3105"/>
    </row>
    <row r="3106" spans="1:2" x14ac:dyDescent="0.25">
      <c r="A3106"/>
      <c r="B3106"/>
    </row>
    <row r="3107" spans="1:2" x14ac:dyDescent="0.25">
      <c r="A3107"/>
      <c r="B3107"/>
    </row>
    <row r="3108" spans="1:2" x14ac:dyDescent="0.25">
      <c r="A3108"/>
      <c r="B3108"/>
    </row>
    <row r="3109" spans="1:2" x14ac:dyDescent="0.25">
      <c r="A3109"/>
      <c r="B3109"/>
    </row>
    <row r="3110" spans="1:2" x14ac:dyDescent="0.25">
      <c r="A3110"/>
      <c r="B3110"/>
    </row>
    <row r="3111" spans="1:2" x14ac:dyDescent="0.25">
      <c r="A3111"/>
      <c r="B3111"/>
    </row>
    <row r="3112" spans="1:2" x14ac:dyDescent="0.25">
      <c r="A3112"/>
      <c r="B3112"/>
    </row>
    <row r="3113" spans="1:2" x14ac:dyDescent="0.25">
      <c r="A3113"/>
      <c r="B3113"/>
    </row>
    <row r="3114" spans="1:2" x14ac:dyDescent="0.25">
      <c r="A3114"/>
      <c r="B3114"/>
    </row>
    <row r="3115" spans="1:2" x14ac:dyDescent="0.25">
      <c r="A3115"/>
      <c r="B3115"/>
    </row>
    <row r="3116" spans="1:2" x14ac:dyDescent="0.25">
      <c r="A3116"/>
      <c r="B3116"/>
    </row>
    <row r="3117" spans="1:2" x14ac:dyDescent="0.25">
      <c r="A3117"/>
      <c r="B3117"/>
    </row>
    <row r="3118" spans="1:2" x14ac:dyDescent="0.25">
      <c r="A3118"/>
      <c r="B3118"/>
    </row>
    <row r="3119" spans="1:2" x14ac:dyDescent="0.25">
      <c r="A3119"/>
      <c r="B3119"/>
    </row>
    <row r="3120" spans="1:2" x14ac:dyDescent="0.25">
      <c r="A3120"/>
      <c r="B3120"/>
    </row>
    <row r="3121" spans="1:2" x14ac:dyDescent="0.25">
      <c r="A3121"/>
      <c r="B3121"/>
    </row>
    <row r="3122" spans="1:2" x14ac:dyDescent="0.25">
      <c r="A3122"/>
      <c r="B3122"/>
    </row>
    <row r="3123" spans="1:2" x14ac:dyDescent="0.25">
      <c r="A3123"/>
      <c r="B3123"/>
    </row>
    <row r="3124" spans="1:2" x14ac:dyDescent="0.25">
      <c r="A3124"/>
      <c r="B3124"/>
    </row>
    <row r="3125" spans="1:2" x14ac:dyDescent="0.25">
      <c r="A3125"/>
      <c r="B3125"/>
    </row>
    <row r="3126" spans="1:2" x14ac:dyDescent="0.25">
      <c r="A3126"/>
      <c r="B3126"/>
    </row>
    <row r="3127" spans="1:2" x14ac:dyDescent="0.25">
      <c r="A3127"/>
      <c r="B3127"/>
    </row>
    <row r="3128" spans="1:2" x14ac:dyDescent="0.25">
      <c r="A3128"/>
      <c r="B3128"/>
    </row>
    <row r="3129" spans="1:2" x14ac:dyDescent="0.25">
      <c r="A3129"/>
      <c r="B3129"/>
    </row>
    <row r="3130" spans="1:2" x14ac:dyDescent="0.25">
      <c r="A3130"/>
      <c r="B3130"/>
    </row>
    <row r="3131" spans="1:2" x14ac:dyDescent="0.25">
      <c r="A3131"/>
      <c r="B3131"/>
    </row>
    <row r="3132" spans="1:2" x14ac:dyDescent="0.25">
      <c r="A3132"/>
      <c r="B3132"/>
    </row>
    <row r="3133" spans="1:2" x14ac:dyDescent="0.25">
      <c r="A3133"/>
      <c r="B3133"/>
    </row>
    <row r="3134" spans="1:2" x14ac:dyDescent="0.25">
      <c r="A3134"/>
      <c r="B3134"/>
    </row>
    <row r="3135" spans="1:2" x14ac:dyDescent="0.25">
      <c r="A3135"/>
      <c r="B3135"/>
    </row>
    <row r="3136" spans="1:2" x14ac:dyDescent="0.25">
      <c r="A3136"/>
      <c r="B3136"/>
    </row>
    <row r="3137" spans="1:2" x14ac:dyDescent="0.25">
      <c r="A3137"/>
      <c r="B3137"/>
    </row>
    <row r="3138" spans="1:2" x14ac:dyDescent="0.25">
      <c r="A3138"/>
      <c r="B3138"/>
    </row>
    <row r="3139" spans="1:2" x14ac:dyDescent="0.25">
      <c r="A3139"/>
      <c r="B3139"/>
    </row>
    <row r="3140" spans="1:2" x14ac:dyDescent="0.25">
      <c r="A3140"/>
      <c r="B3140"/>
    </row>
    <row r="3141" spans="1:2" x14ac:dyDescent="0.25">
      <c r="A3141"/>
      <c r="B3141"/>
    </row>
    <row r="3142" spans="1:2" x14ac:dyDescent="0.25">
      <c r="A3142"/>
      <c r="B3142"/>
    </row>
    <row r="3143" spans="1:2" x14ac:dyDescent="0.25">
      <c r="A3143"/>
      <c r="B3143"/>
    </row>
    <row r="3144" spans="1:2" x14ac:dyDescent="0.25">
      <c r="A3144"/>
      <c r="B3144"/>
    </row>
    <row r="3145" spans="1:2" x14ac:dyDescent="0.25">
      <c r="A3145"/>
      <c r="B3145"/>
    </row>
    <row r="3146" spans="1:2" x14ac:dyDescent="0.25">
      <c r="A3146"/>
      <c r="B3146"/>
    </row>
    <row r="3147" spans="1:2" x14ac:dyDescent="0.25">
      <c r="A3147"/>
      <c r="B3147"/>
    </row>
    <row r="3148" spans="1:2" x14ac:dyDescent="0.25">
      <c r="A3148"/>
      <c r="B3148"/>
    </row>
    <row r="3149" spans="1:2" x14ac:dyDescent="0.25">
      <c r="A3149"/>
      <c r="B3149"/>
    </row>
    <row r="3150" spans="1:2" x14ac:dyDescent="0.25">
      <c r="A3150"/>
      <c r="B3150"/>
    </row>
    <row r="3151" spans="1:2" x14ac:dyDescent="0.25">
      <c r="A3151"/>
      <c r="B3151"/>
    </row>
    <row r="3152" spans="1:2" x14ac:dyDescent="0.25">
      <c r="A3152"/>
      <c r="B3152"/>
    </row>
    <row r="3153" spans="1:2" x14ac:dyDescent="0.25">
      <c r="A3153"/>
      <c r="B3153"/>
    </row>
    <row r="3154" spans="1:2" x14ac:dyDescent="0.25">
      <c r="A3154"/>
      <c r="B3154"/>
    </row>
    <row r="3155" spans="1:2" x14ac:dyDescent="0.25">
      <c r="A3155"/>
      <c r="B3155"/>
    </row>
    <row r="3156" spans="1:2" x14ac:dyDescent="0.25">
      <c r="A3156"/>
      <c r="B3156"/>
    </row>
    <row r="3157" spans="1:2" x14ac:dyDescent="0.25">
      <c r="A3157"/>
      <c r="B3157"/>
    </row>
    <row r="3158" spans="1:2" x14ac:dyDescent="0.25">
      <c r="A3158"/>
      <c r="B3158"/>
    </row>
    <row r="3159" spans="1:2" x14ac:dyDescent="0.25">
      <c r="A3159"/>
      <c r="B3159"/>
    </row>
    <row r="3160" spans="1:2" x14ac:dyDescent="0.25">
      <c r="A3160"/>
      <c r="B3160"/>
    </row>
    <row r="3161" spans="1:2" x14ac:dyDescent="0.25">
      <c r="A3161"/>
      <c r="B3161"/>
    </row>
    <row r="3162" spans="1:2" x14ac:dyDescent="0.25">
      <c r="A3162"/>
      <c r="B3162"/>
    </row>
    <row r="3163" spans="1:2" x14ac:dyDescent="0.25">
      <c r="A3163"/>
      <c r="B3163"/>
    </row>
    <row r="3164" spans="1:2" x14ac:dyDescent="0.25">
      <c r="A3164"/>
      <c r="B3164"/>
    </row>
    <row r="3165" spans="1:2" x14ac:dyDescent="0.25">
      <c r="A3165"/>
      <c r="B3165"/>
    </row>
    <row r="3166" spans="1:2" x14ac:dyDescent="0.25">
      <c r="A3166"/>
      <c r="B3166"/>
    </row>
    <row r="3167" spans="1:2" x14ac:dyDescent="0.25">
      <c r="A3167"/>
      <c r="B3167"/>
    </row>
    <row r="3168" spans="1:2" x14ac:dyDescent="0.25">
      <c r="A3168"/>
      <c r="B3168"/>
    </row>
    <row r="3169" spans="1:2" x14ac:dyDescent="0.25">
      <c r="A3169"/>
      <c r="B3169"/>
    </row>
    <row r="3170" spans="1:2" x14ac:dyDescent="0.25">
      <c r="A3170"/>
      <c r="B3170"/>
    </row>
    <row r="3171" spans="1:2" x14ac:dyDescent="0.25">
      <c r="A3171"/>
      <c r="B3171"/>
    </row>
    <row r="3172" spans="1:2" x14ac:dyDescent="0.25">
      <c r="A3172"/>
      <c r="B3172"/>
    </row>
    <row r="3173" spans="1:2" x14ac:dyDescent="0.25">
      <c r="A3173"/>
      <c r="B3173"/>
    </row>
    <row r="3174" spans="1:2" x14ac:dyDescent="0.25">
      <c r="A3174"/>
      <c r="B3174"/>
    </row>
    <row r="3175" spans="1:2" x14ac:dyDescent="0.25">
      <c r="A3175"/>
      <c r="B3175"/>
    </row>
    <row r="3176" spans="1:2" x14ac:dyDescent="0.25">
      <c r="A3176"/>
      <c r="B3176"/>
    </row>
    <row r="3177" spans="1:2" x14ac:dyDescent="0.25">
      <c r="A3177"/>
      <c r="B3177"/>
    </row>
    <row r="3178" spans="1:2" x14ac:dyDescent="0.25">
      <c r="A3178"/>
      <c r="B3178"/>
    </row>
    <row r="3179" spans="1:2" x14ac:dyDescent="0.25">
      <c r="A3179"/>
      <c r="B3179"/>
    </row>
    <row r="3180" spans="1:2" x14ac:dyDescent="0.25">
      <c r="A3180"/>
      <c r="B3180"/>
    </row>
    <row r="3181" spans="1:2" x14ac:dyDescent="0.25">
      <c r="A3181"/>
      <c r="B3181"/>
    </row>
    <row r="3182" spans="1:2" x14ac:dyDescent="0.25">
      <c r="A3182"/>
      <c r="B3182"/>
    </row>
    <row r="3183" spans="1:2" x14ac:dyDescent="0.25">
      <c r="A3183"/>
      <c r="B3183"/>
    </row>
    <row r="3184" spans="1:2" x14ac:dyDescent="0.25">
      <c r="A3184"/>
      <c r="B3184"/>
    </row>
    <row r="3185" spans="1:2" x14ac:dyDescent="0.25">
      <c r="A3185"/>
      <c r="B3185"/>
    </row>
    <row r="3186" spans="1:2" x14ac:dyDescent="0.25">
      <c r="A3186"/>
      <c r="B3186"/>
    </row>
    <row r="3187" spans="1:2" x14ac:dyDescent="0.25">
      <c r="A3187"/>
      <c r="B3187"/>
    </row>
    <row r="3188" spans="1:2" x14ac:dyDescent="0.25">
      <c r="A3188"/>
      <c r="B3188"/>
    </row>
    <row r="3189" spans="1:2" x14ac:dyDescent="0.25">
      <c r="A3189"/>
      <c r="B3189"/>
    </row>
    <row r="3190" spans="1:2" x14ac:dyDescent="0.25">
      <c r="A3190"/>
      <c r="B3190"/>
    </row>
    <row r="3191" spans="1:2" x14ac:dyDescent="0.25">
      <c r="A3191"/>
      <c r="B3191"/>
    </row>
    <row r="3192" spans="1:2" x14ac:dyDescent="0.25">
      <c r="A3192"/>
      <c r="B3192"/>
    </row>
    <row r="3193" spans="1:2" x14ac:dyDescent="0.25">
      <c r="A3193"/>
      <c r="B3193"/>
    </row>
    <row r="3194" spans="1:2" x14ac:dyDescent="0.25">
      <c r="A3194"/>
      <c r="B3194"/>
    </row>
    <row r="3195" spans="1:2" x14ac:dyDescent="0.25">
      <c r="A3195"/>
      <c r="B3195"/>
    </row>
    <row r="3196" spans="1:2" x14ac:dyDescent="0.25">
      <c r="A3196"/>
      <c r="B3196"/>
    </row>
    <row r="3197" spans="1:2" x14ac:dyDescent="0.25">
      <c r="A3197"/>
      <c r="B3197"/>
    </row>
    <row r="3198" spans="1:2" x14ac:dyDescent="0.25">
      <c r="A3198"/>
      <c r="B3198"/>
    </row>
    <row r="3199" spans="1:2" x14ac:dyDescent="0.25">
      <c r="A3199"/>
      <c r="B3199"/>
    </row>
    <row r="3200" spans="1:2" x14ac:dyDescent="0.25">
      <c r="A3200"/>
      <c r="B3200"/>
    </row>
    <row r="3201" spans="1:2" x14ac:dyDescent="0.25">
      <c r="A3201"/>
      <c r="B3201"/>
    </row>
    <row r="3202" spans="1:2" x14ac:dyDescent="0.25">
      <c r="A3202"/>
      <c r="B3202"/>
    </row>
    <row r="3203" spans="1:2" x14ac:dyDescent="0.25">
      <c r="A3203"/>
      <c r="B3203"/>
    </row>
    <row r="3204" spans="1:2" x14ac:dyDescent="0.25">
      <c r="A3204"/>
      <c r="B3204"/>
    </row>
    <row r="3205" spans="1:2" x14ac:dyDescent="0.25">
      <c r="A3205"/>
      <c r="B3205"/>
    </row>
    <row r="3206" spans="1:2" x14ac:dyDescent="0.25">
      <c r="A3206"/>
      <c r="B3206"/>
    </row>
    <row r="3207" spans="1:2" x14ac:dyDescent="0.25">
      <c r="A3207"/>
      <c r="B3207"/>
    </row>
    <row r="3208" spans="1:2" x14ac:dyDescent="0.25">
      <c r="A3208"/>
      <c r="B3208"/>
    </row>
    <row r="3209" spans="1:2" x14ac:dyDescent="0.25">
      <c r="A3209"/>
      <c r="B3209"/>
    </row>
    <row r="3210" spans="1:2" x14ac:dyDescent="0.25">
      <c r="A3210"/>
      <c r="B3210"/>
    </row>
    <row r="3211" spans="1:2" x14ac:dyDescent="0.25">
      <c r="A3211"/>
      <c r="B3211"/>
    </row>
    <row r="3212" spans="1:2" x14ac:dyDescent="0.25">
      <c r="A3212"/>
      <c r="B3212"/>
    </row>
    <row r="3213" spans="1:2" x14ac:dyDescent="0.25">
      <c r="A3213"/>
      <c r="B3213"/>
    </row>
    <row r="3214" spans="1:2" x14ac:dyDescent="0.25">
      <c r="A3214"/>
      <c r="B3214"/>
    </row>
    <row r="3215" spans="1:2" x14ac:dyDescent="0.25">
      <c r="A3215"/>
      <c r="B3215"/>
    </row>
    <row r="3216" spans="1:2" x14ac:dyDescent="0.25">
      <c r="A3216"/>
      <c r="B3216"/>
    </row>
    <row r="3217" spans="1:2" x14ac:dyDescent="0.25">
      <c r="A3217"/>
      <c r="B3217"/>
    </row>
    <row r="3218" spans="1:2" x14ac:dyDescent="0.25">
      <c r="A3218"/>
      <c r="B3218"/>
    </row>
    <row r="3219" spans="1:2" x14ac:dyDescent="0.25">
      <c r="A3219"/>
      <c r="B3219"/>
    </row>
    <row r="3220" spans="1:2" x14ac:dyDescent="0.25">
      <c r="A3220"/>
      <c r="B3220"/>
    </row>
    <row r="3221" spans="1:2" x14ac:dyDescent="0.25">
      <c r="A3221"/>
      <c r="B3221"/>
    </row>
    <row r="3222" spans="1:2" x14ac:dyDescent="0.25">
      <c r="A3222"/>
      <c r="B3222"/>
    </row>
    <row r="3223" spans="1:2" x14ac:dyDescent="0.25">
      <c r="A3223"/>
      <c r="B3223"/>
    </row>
    <row r="3224" spans="1:2" x14ac:dyDescent="0.25">
      <c r="A3224"/>
      <c r="B3224"/>
    </row>
    <row r="3225" spans="1:2" x14ac:dyDescent="0.25">
      <c r="A3225"/>
      <c r="B3225"/>
    </row>
    <row r="3226" spans="1:2" x14ac:dyDescent="0.25">
      <c r="A3226"/>
      <c r="B3226"/>
    </row>
    <row r="3227" spans="1:2" x14ac:dyDescent="0.25">
      <c r="A3227"/>
      <c r="B3227"/>
    </row>
    <row r="3228" spans="1:2" x14ac:dyDescent="0.25">
      <c r="A3228"/>
      <c r="B3228"/>
    </row>
    <row r="3229" spans="1:2" x14ac:dyDescent="0.25">
      <c r="A3229"/>
      <c r="B3229"/>
    </row>
    <row r="3230" spans="1:2" x14ac:dyDescent="0.25">
      <c r="A3230"/>
      <c r="B3230"/>
    </row>
    <row r="3231" spans="1:2" x14ac:dyDescent="0.25">
      <c r="A3231"/>
      <c r="B3231"/>
    </row>
    <row r="3232" spans="1:2" x14ac:dyDescent="0.25">
      <c r="A3232"/>
      <c r="B3232"/>
    </row>
    <row r="3233" spans="1:2" x14ac:dyDescent="0.25">
      <c r="A3233"/>
      <c r="B3233"/>
    </row>
    <row r="3234" spans="1:2" x14ac:dyDescent="0.25">
      <c r="A3234"/>
      <c r="B3234"/>
    </row>
    <row r="3235" spans="1:2" x14ac:dyDescent="0.25">
      <c r="A3235"/>
      <c r="B3235"/>
    </row>
    <row r="3236" spans="1:2" x14ac:dyDescent="0.25">
      <c r="A3236"/>
      <c r="B3236"/>
    </row>
    <row r="3237" spans="1:2" x14ac:dyDescent="0.25">
      <c r="A3237"/>
      <c r="B3237"/>
    </row>
    <row r="3238" spans="1:2" x14ac:dyDescent="0.25">
      <c r="A3238"/>
      <c r="B3238"/>
    </row>
    <row r="3239" spans="1:2" x14ac:dyDescent="0.25">
      <c r="A3239"/>
      <c r="B3239"/>
    </row>
    <row r="3240" spans="1:2" x14ac:dyDescent="0.25">
      <c r="A3240"/>
      <c r="B3240"/>
    </row>
    <row r="3241" spans="1:2" x14ac:dyDescent="0.25">
      <c r="A3241"/>
      <c r="B3241"/>
    </row>
    <row r="3242" spans="1:2" x14ac:dyDescent="0.25">
      <c r="A3242"/>
      <c r="B3242"/>
    </row>
    <row r="3243" spans="1:2" x14ac:dyDescent="0.25">
      <c r="A3243"/>
      <c r="B3243"/>
    </row>
    <row r="3244" spans="1:2" x14ac:dyDescent="0.25">
      <c r="A3244"/>
      <c r="B3244"/>
    </row>
    <row r="3245" spans="1:2" x14ac:dyDescent="0.25">
      <c r="A3245"/>
      <c r="B3245"/>
    </row>
    <row r="3246" spans="1:2" x14ac:dyDescent="0.25">
      <c r="A3246"/>
      <c r="B3246"/>
    </row>
    <row r="3247" spans="1:2" x14ac:dyDescent="0.25">
      <c r="A3247"/>
      <c r="B3247"/>
    </row>
    <row r="3248" spans="1:2" x14ac:dyDescent="0.25">
      <c r="A3248"/>
      <c r="B3248"/>
    </row>
    <row r="3249" spans="1:2" x14ac:dyDescent="0.25">
      <c r="A3249"/>
      <c r="B3249"/>
    </row>
    <row r="3250" spans="1:2" x14ac:dyDescent="0.25">
      <c r="A3250"/>
      <c r="B3250"/>
    </row>
    <row r="3251" spans="1:2" x14ac:dyDescent="0.25">
      <c r="A3251"/>
      <c r="B3251"/>
    </row>
    <row r="3252" spans="1:2" x14ac:dyDescent="0.25">
      <c r="A3252"/>
      <c r="B3252"/>
    </row>
    <row r="3253" spans="1:2" x14ac:dyDescent="0.25">
      <c r="A3253"/>
      <c r="B3253"/>
    </row>
    <row r="3254" spans="1:2" x14ac:dyDescent="0.25">
      <c r="A3254"/>
      <c r="B3254"/>
    </row>
    <row r="3255" spans="1:2" x14ac:dyDescent="0.25">
      <c r="A3255"/>
      <c r="B3255"/>
    </row>
    <row r="3256" spans="1:2" x14ac:dyDescent="0.25">
      <c r="A3256"/>
      <c r="B3256"/>
    </row>
    <row r="3257" spans="1:2" x14ac:dyDescent="0.25">
      <c r="A3257"/>
      <c r="B3257"/>
    </row>
    <row r="3258" spans="1:2" x14ac:dyDescent="0.25">
      <c r="A3258"/>
      <c r="B3258"/>
    </row>
    <row r="3259" spans="1:2" x14ac:dyDescent="0.25">
      <c r="A3259"/>
      <c r="B3259"/>
    </row>
    <row r="3260" spans="1:2" x14ac:dyDescent="0.25">
      <c r="A3260"/>
      <c r="B3260"/>
    </row>
    <row r="3261" spans="1:2" x14ac:dyDescent="0.25">
      <c r="A3261"/>
      <c r="B3261"/>
    </row>
    <row r="3262" spans="1:2" x14ac:dyDescent="0.25">
      <c r="A3262"/>
      <c r="B3262"/>
    </row>
    <row r="3263" spans="1:2" x14ac:dyDescent="0.25">
      <c r="A3263"/>
      <c r="B3263"/>
    </row>
    <row r="3264" spans="1:2" x14ac:dyDescent="0.25">
      <c r="A3264"/>
      <c r="B3264"/>
    </row>
    <row r="3265" spans="1:2" x14ac:dyDescent="0.25">
      <c r="A3265"/>
      <c r="B3265"/>
    </row>
    <row r="3266" spans="1:2" x14ac:dyDescent="0.25">
      <c r="A3266"/>
      <c r="B3266"/>
    </row>
    <row r="3267" spans="1:2" x14ac:dyDescent="0.25">
      <c r="A3267"/>
      <c r="B3267"/>
    </row>
    <row r="3268" spans="1:2" x14ac:dyDescent="0.25">
      <c r="A3268"/>
      <c r="B3268"/>
    </row>
    <row r="3269" spans="1:2" x14ac:dyDescent="0.25">
      <c r="A3269"/>
      <c r="B3269"/>
    </row>
    <row r="3270" spans="1:2" x14ac:dyDescent="0.25">
      <c r="A3270"/>
      <c r="B3270"/>
    </row>
    <row r="3271" spans="1:2" x14ac:dyDescent="0.25">
      <c r="A3271"/>
      <c r="B3271"/>
    </row>
    <row r="3272" spans="1:2" x14ac:dyDescent="0.25">
      <c r="A3272"/>
      <c r="B3272"/>
    </row>
    <row r="3273" spans="1:2" x14ac:dyDescent="0.25">
      <c r="A3273"/>
      <c r="B3273"/>
    </row>
    <row r="3274" spans="1:2" x14ac:dyDescent="0.25">
      <c r="A3274"/>
      <c r="B3274"/>
    </row>
    <row r="3275" spans="1:2" x14ac:dyDescent="0.25">
      <c r="A3275"/>
      <c r="B3275"/>
    </row>
    <row r="3276" spans="1:2" x14ac:dyDescent="0.25">
      <c r="A3276"/>
      <c r="B3276"/>
    </row>
    <row r="3277" spans="1:2" x14ac:dyDescent="0.25">
      <c r="A3277"/>
      <c r="B3277"/>
    </row>
    <row r="3278" spans="1:2" x14ac:dyDescent="0.25">
      <c r="A3278"/>
      <c r="B3278"/>
    </row>
    <row r="3279" spans="1:2" x14ac:dyDescent="0.25">
      <c r="A3279"/>
      <c r="B3279"/>
    </row>
    <row r="3280" spans="1:2" x14ac:dyDescent="0.25">
      <c r="A3280"/>
      <c r="B3280"/>
    </row>
    <row r="3281" spans="1:2" x14ac:dyDescent="0.25">
      <c r="A3281"/>
      <c r="B3281"/>
    </row>
    <row r="3282" spans="1:2" x14ac:dyDescent="0.25">
      <c r="A3282"/>
      <c r="B3282"/>
    </row>
    <row r="3283" spans="1:2" x14ac:dyDescent="0.25">
      <c r="A3283"/>
      <c r="B3283"/>
    </row>
    <row r="3284" spans="1:2" x14ac:dyDescent="0.25">
      <c r="A3284"/>
      <c r="B3284"/>
    </row>
    <row r="3285" spans="1:2" x14ac:dyDescent="0.25">
      <c r="A3285"/>
      <c r="B3285"/>
    </row>
    <row r="3286" spans="1:2" x14ac:dyDescent="0.25">
      <c r="A3286"/>
      <c r="B3286"/>
    </row>
    <row r="3287" spans="1:2" x14ac:dyDescent="0.25">
      <c r="A3287"/>
      <c r="B3287"/>
    </row>
    <row r="3288" spans="1:2" x14ac:dyDescent="0.25">
      <c r="A3288"/>
      <c r="B3288"/>
    </row>
    <row r="3289" spans="1:2" x14ac:dyDescent="0.25">
      <c r="A3289"/>
      <c r="B3289"/>
    </row>
    <row r="3290" spans="1:2" x14ac:dyDescent="0.25">
      <c r="A3290"/>
      <c r="B3290"/>
    </row>
    <row r="3291" spans="1:2" x14ac:dyDescent="0.25">
      <c r="A3291"/>
      <c r="B3291"/>
    </row>
    <row r="3292" spans="1:2" x14ac:dyDescent="0.25">
      <c r="A3292"/>
      <c r="B3292"/>
    </row>
    <row r="3293" spans="1:2" x14ac:dyDescent="0.25">
      <c r="A3293"/>
      <c r="B3293"/>
    </row>
    <row r="3294" spans="1:2" x14ac:dyDescent="0.25">
      <c r="A3294"/>
      <c r="B3294"/>
    </row>
    <row r="3295" spans="1:2" x14ac:dyDescent="0.25">
      <c r="A3295"/>
      <c r="B3295"/>
    </row>
    <row r="3296" spans="1:2" x14ac:dyDescent="0.25">
      <c r="A3296"/>
      <c r="B3296"/>
    </row>
    <row r="3297" spans="1:2" x14ac:dyDescent="0.25">
      <c r="A3297"/>
      <c r="B3297"/>
    </row>
    <row r="3298" spans="1:2" x14ac:dyDescent="0.25">
      <c r="A3298"/>
      <c r="B3298"/>
    </row>
    <row r="3299" spans="1:2" x14ac:dyDescent="0.25">
      <c r="A3299"/>
      <c r="B3299"/>
    </row>
    <row r="3300" spans="1:2" x14ac:dyDescent="0.25">
      <c r="A3300"/>
      <c r="B3300"/>
    </row>
    <row r="3301" spans="1:2" x14ac:dyDescent="0.25">
      <c r="A3301"/>
      <c r="B3301"/>
    </row>
    <row r="3302" spans="1:2" x14ac:dyDescent="0.25">
      <c r="A3302"/>
      <c r="B3302"/>
    </row>
    <row r="3303" spans="1:2" x14ac:dyDescent="0.25">
      <c r="A3303"/>
      <c r="B3303"/>
    </row>
    <row r="3304" spans="1:2" x14ac:dyDescent="0.25">
      <c r="A3304"/>
      <c r="B3304"/>
    </row>
    <row r="3305" spans="1:2" x14ac:dyDescent="0.25">
      <c r="A3305"/>
      <c r="B3305"/>
    </row>
    <row r="3306" spans="1:2" x14ac:dyDescent="0.25">
      <c r="A3306"/>
      <c r="B3306"/>
    </row>
    <row r="3307" spans="1:2" x14ac:dyDescent="0.25">
      <c r="A3307"/>
      <c r="B3307"/>
    </row>
    <row r="3308" spans="1:2" x14ac:dyDescent="0.25">
      <c r="A3308"/>
      <c r="B3308"/>
    </row>
    <row r="3309" spans="1:2" x14ac:dyDescent="0.25">
      <c r="A3309"/>
      <c r="B3309"/>
    </row>
    <row r="3310" spans="1:2" x14ac:dyDescent="0.25">
      <c r="A3310"/>
      <c r="B3310"/>
    </row>
    <row r="3311" spans="1:2" x14ac:dyDescent="0.25">
      <c r="A3311"/>
      <c r="B3311"/>
    </row>
    <row r="3312" spans="1:2" x14ac:dyDescent="0.25">
      <c r="A3312"/>
      <c r="B3312"/>
    </row>
    <row r="3313" spans="1:2" x14ac:dyDescent="0.25">
      <c r="A3313"/>
      <c r="B3313"/>
    </row>
    <row r="3314" spans="1:2" x14ac:dyDescent="0.25">
      <c r="A3314"/>
      <c r="B3314"/>
    </row>
    <row r="3315" spans="1:2" x14ac:dyDescent="0.25">
      <c r="A3315"/>
      <c r="B3315"/>
    </row>
    <row r="3316" spans="1:2" x14ac:dyDescent="0.25">
      <c r="A3316"/>
      <c r="B3316"/>
    </row>
    <row r="3317" spans="1:2" x14ac:dyDescent="0.25">
      <c r="A3317"/>
      <c r="B3317"/>
    </row>
    <row r="3318" spans="1:2" x14ac:dyDescent="0.25">
      <c r="A3318"/>
      <c r="B3318"/>
    </row>
    <row r="3319" spans="1:2" x14ac:dyDescent="0.25">
      <c r="A3319"/>
      <c r="B3319"/>
    </row>
    <row r="3320" spans="1:2" x14ac:dyDescent="0.25">
      <c r="A3320"/>
      <c r="B3320"/>
    </row>
    <row r="3321" spans="1:2" x14ac:dyDescent="0.25">
      <c r="A3321"/>
      <c r="B3321"/>
    </row>
    <row r="3322" spans="1:2" x14ac:dyDescent="0.25">
      <c r="A3322"/>
      <c r="B3322"/>
    </row>
    <row r="3323" spans="1:2" x14ac:dyDescent="0.25">
      <c r="A3323"/>
      <c r="B3323"/>
    </row>
    <row r="3324" spans="1:2" x14ac:dyDescent="0.25">
      <c r="A3324"/>
      <c r="B3324"/>
    </row>
    <row r="3325" spans="1:2" x14ac:dyDescent="0.25">
      <c r="A3325"/>
      <c r="B3325"/>
    </row>
    <row r="3326" spans="1:2" x14ac:dyDescent="0.25">
      <c r="A3326"/>
      <c r="B3326"/>
    </row>
    <row r="3327" spans="1:2" x14ac:dyDescent="0.25">
      <c r="A3327"/>
      <c r="B3327"/>
    </row>
    <row r="3328" spans="1:2" x14ac:dyDescent="0.25">
      <c r="A3328"/>
      <c r="B3328"/>
    </row>
    <row r="3329" spans="1:2" x14ac:dyDescent="0.25">
      <c r="A3329"/>
      <c r="B3329"/>
    </row>
    <row r="3330" spans="1:2" x14ac:dyDescent="0.25">
      <c r="A3330"/>
      <c r="B3330"/>
    </row>
    <row r="3331" spans="1:2" x14ac:dyDescent="0.25">
      <c r="A3331"/>
      <c r="B3331"/>
    </row>
    <row r="3332" spans="1:2" x14ac:dyDescent="0.25">
      <c r="A3332"/>
      <c r="B3332"/>
    </row>
    <row r="3333" spans="1:2" x14ac:dyDescent="0.25">
      <c r="A3333"/>
      <c r="B3333"/>
    </row>
    <row r="3334" spans="1:2" x14ac:dyDescent="0.25">
      <c r="A3334"/>
      <c r="B3334"/>
    </row>
    <row r="3335" spans="1:2" x14ac:dyDescent="0.25">
      <c r="A3335"/>
      <c r="B3335"/>
    </row>
    <row r="3336" spans="1:2" x14ac:dyDescent="0.25">
      <c r="A3336"/>
      <c r="B3336"/>
    </row>
    <row r="3337" spans="1:2" x14ac:dyDescent="0.25">
      <c r="A3337"/>
      <c r="B3337"/>
    </row>
    <row r="3338" spans="1:2" x14ac:dyDescent="0.25">
      <c r="A3338"/>
      <c r="B3338"/>
    </row>
    <row r="3339" spans="1:2" x14ac:dyDescent="0.25">
      <c r="A3339"/>
      <c r="B3339"/>
    </row>
    <row r="3340" spans="1:2" x14ac:dyDescent="0.25">
      <c r="A3340"/>
      <c r="B3340"/>
    </row>
    <row r="3341" spans="1:2" x14ac:dyDescent="0.25">
      <c r="A3341"/>
      <c r="B3341"/>
    </row>
    <row r="3342" spans="1:2" x14ac:dyDescent="0.25">
      <c r="A3342"/>
      <c r="B3342"/>
    </row>
    <row r="3343" spans="1:2" x14ac:dyDescent="0.25">
      <c r="A3343"/>
      <c r="B3343"/>
    </row>
    <row r="3344" spans="1:2" x14ac:dyDescent="0.25">
      <c r="A3344"/>
      <c r="B3344"/>
    </row>
    <row r="3345" spans="1:2" x14ac:dyDescent="0.25">
      <c r="A3345"/>
      <c r="B3345"/>
    </row>
    <row r="3346" spans="1:2" x14ac:dyDescent="0.25">
      <c r="A3346"/>
      <c r="B3346"/>
    </row>
    <row r="3347" spans="1:2" x14ac:dyDescent="0.25">
      <c r="A3347"/>
      <c r="B3347"/>
    </row>
    <row r="3348" spans="1:2" x14ac:dyDescent="0.25">
      <c r="A3348"/>
      <c r="B3348"/>
    </row>
    <row r="3349" spans="1:2" x14ac:dyDescent="0.25">
      <c r="A3349"/>
      <c r="B3349"/>
    </row>
    <row r="3350" spans="1:2" x14ac:dyDescent="0.25">
      <c r="A3350"/>
      <c r="B3350"/>
    </row>
    <row r="3351" spans="1:2" x14ac:dyDescent="0.25">
      <c r="A3351"/>
      <c r="B3351"/>
    </row>
    <row r="3352" spans="1:2" x14ac:dyDescent="0.25">
      <c r="A3352"/>
      <c r="B3352"/>
    </row>
    <row r="3353" spans="1:2" x14ac:dyDescent="0.25">
      <c r="A3353"/>
      <c r="B3353"/>
    </row>
    <row r="3354" spans="1:2" x14ac:dyDescent="0.25">
      <c r="A3354"/>
      <c r="B3354"/>
    </row>
    <row r="3355" spans="1:2" x14ac:dyDescent="0.25">
      <c r="A3355"/>
      <c r="B3355"/>
    </row>
    <row r="3356" spans="1:2" x14ac:dyDescent="0.25">
      <c r="A3356"/>
      <c r="B3356"/>
    </row>
    <row r="3357" spans="1:2" x14ac:dyDescent="0.25">
      <c r="A3357"/>
      <c r="B3357"/>
    </row>
    <row r="3358" spans="1:2" x14ac:dyDescent="0.25">
      <c r="A3358"/>
      <c r="B3358"/>
    </row>
    <row r="3359" spans="1:2" x14ac:dyDescent="0.25">
      <c r="A3359"/>
      <c r="B3359"/>
    </row>
    <row r="3360" spans="1:2" x14ac:dyDescent="0.25">
      <c r="A3360"/>
      <c r="B3360"/>
    </row>
    <row r="3361" spans="1:2" x14ac:dyDescent="0.25">
      <c r="A3361"/>
      <c r="B3361"/>
    </row>
    <row r="3362" spans="1:2" x14ac:dyDescent="0.25">
      <c r="A3362"/>
      <c r="B3362"/>
    </row>
    <row r="3363" spans="1:2" x14ac:dyDescent="0.25">
      <c r="A3363"/>
      <c r="B3363"/>
    </row>
    <row r="3364" spans="1:2" x14ac:dyDescent="0.25">
      <c r="A3364"/>
      <c r="B3364"/>
    </row>
    <row r="3365" spans="1:2" x14ac:dyDescent="0.25">
      <c r="A3365"/>
      <c r="B3365"/>
    </row>
    <row r="3366" spans="1:2" x14ac:dyDescent="0.25">
      <c r="A3366"/>
      <c r="B3366"/>
    </row>
    <row r="3367" spans="1:2" x14ac:dyDescent="0.25">
      <c r="A3367"/>
      <c r="B3367"/>
    </row>
    <row r="3368" spans="1:2" x14ac:dyDescent="0.25">
      <c r="A3368"/>
      <c r="B3368"/>
    </row>
    <row r="3369" spans="1:2" x14ac:dyDescent="0.25">
      <c r="A3369"/>
      <c r="B3369"/>
    </row>
    <row r="3370" spans="1:2" x14ac:dyDescent="0.25">
      <c r="A3370"/>
      <c r="B3370"/>
    </row>
    <row r="3371" spans="1:2" x14ac:dyDescent="0.25">
      <c r="A3371"/>
      <c r="B3371"/>
    </row>
    <row r="3372" spans="1:2" x14ac:dyDescent="0.25">
      <c r="A3372"/>
      <c r="B3372"/>
    </row>
    <row r="3373" spans="1:2" x14ac:dyDescent="0.25">
      <c r="A3373"/>
      <c r="B3373"/>
    </row>
    <row r="3374" spans="1:2" x14ac:dyDescent="0.25">
      <c r="A3374"/>
      <c r="B3374"/>
    </row>
    <row r="3375" spans="1:2" x14ac:dyDescent="0.25">
      <c r="A3375"/>
      <c r="B3375"/>
    </row>
    <row r="3376" spans="1:2" x14ac:dyDescent="0.25">
      <c r="A3376"/>
      <c r="B3376"/>
    </row>
    <row r="3377" spans="1:2" x14ac:dyDescent="0.25">
      <c r="A3377"/>
      <c r="B3377"/>
    </row>
    <row r="3378" spans="1:2" x14ac:dyDescent="0.25">
      <c r="A3378"/>
      <c r="B3378"/>
    </row>
    <row r="3379" spans="1:2" x14ac:dyDescent="0.25">
      <c r="A3379"/>
      <c r="B3379"/>
    </row>
    <row r="3380" spans="1:2" x14ac:dyDescent="0.25">
      <c r="A3380"/>
      <c r="B3380"/>
    </row>
    <row r="3381" spans="1:2" x14ac:dyDescent="0.25">
      <c r="A3381"/>
      <c r="B3381"/>
    </row>
    <row r="3382" spans="1:2" x14ac:dyDescent="0.25">
      <c r="A3382"/>
      <c r="B3382"/>
    </row>
    <row r="3383" spans="1:2" x14ac:dyDescent="0.25">
      <c r="A3383"/>
      <c r="B3383"/>
    </row>
    <row r="3384" spans="1:2" x14ac:dyDescent="0.25">
      <c r="A3384"/>
      <c r="B3384"/>
    </row>
    <row r="3385" spans="1:2" x14ac:dyDescent="0.25">
      <c r="A3385"/>
      <c r="B3385"/>
    </row>
    <row r="3386" spans="1:2" x14ac:dyDescent="0.25">
      <c r="A3386"/>
      <c r="B3386"/>
    </row>
    <row r="3387" spans="1:2" x14ac:dyDescent="0.25">
      <c r="A3387"/>
      <c r="B3387"/>
    </row>
    <row r="3388" spans="1:2" x14ac:dyDescent="0.25">
      <c r="A3388"/>
      <c r="B3388"/>
    </row>
    <row r="3389" spans="1:2" x14ac:dyDescent="0.25">
      <c r="A3389"/>
      <c r="B3389"/>
    </row>
    <row r="3390" spans="1:2" x14ac:dyDescent="0.25">
      <c r="A3390"/>
      <c r="B3390"/>
    </row>
    <row r="3391" spans="1:2" x14ac:dyDescent="0.25">
      <c r="A3391"/>
      <c r="B3391"/>
    </row>
    <row r="3392" spans="1:2" x14ac:dyDescent="0.25">
      <c r="A3392"/>
      <c r="B3392"/>
    </row>
    <row r="3393" spans="1:2" x14ac:dyDescent="0.25">
      <c r="A3393"/>
      <c r="B3393"/>
    </row>
    <row r="3394" spans="1:2" x14ac:dyDescent="0.25">
      <c r="A3394"/>
      <c r="B3394"/>
    </row>
    <row r="3395" spans="1:2" x14ac:dyDescent="0.25">
      <c r="A3395"/>
      <c r="B3395"/>
    </row>
    <row r="3396" spans="1:2" x14ac:dyDescent="0.25">
      <c r="A3396"/>
      <c r="B3396"/>
    </row>
    <row r="3397" spans="1:2" x14ac:dyDescent="0.25">
      <c r="A3397"/>
      <c r="B3397"/>
    </row>
    <row r="3398" spans="1:2" x14ac:dyDescent="0.25">
      <c r="A3398"/>
      <c r="B3398"/>
    </row>
    <row r="3399" spans="1:2" x14ac:dyDescent="0.25">
      <c r="A3399"/>
      <c r="B3399"/>
    </row>
    <row r="3400" spans="1:2" x14ac:dyDescent="0.25">
      <c r="A3400"/>
      <c r="B3400"/>
    </row>
    <row r="3401" spans="1:2" x14ac:dyDescent="0.25">
      <c r="A3401"/>
      <c r="B3401"/>
    </row>
    <row r="3402" spans="1:2" x14ac:dyDescent="0.25">
      <c r="A3402"/>
      <c r="B3402"/>
    </row>
    <row r="3403" spans="1:2" x14ac:dyDescent="0.25">
      <c r="A3403"/>
      <c r="B3403"/>
    </row>
    <row r="3404" spans="1:2" x14ac:dyDescent="0.25">
      <c r="A3404"/>
      <c r="B3404"/>
    </row>
    <row r="3405" spans="1:2" x14ac:dyDescent="0.25">
      <c r="A3405"/>
      <c r="B3405"/>
    </row>
    <row r="3406" spans="1:2" x14ac:dyDescent="0.25">
      <c r="A3406"/>
      <c r="B3406"/>
    </row>
    <row r="3407" spans="1:2" x14ac:dyDescent="0.25">
      <c r="A3407"/>
      <c r="B3407"/>
    </row>
    <row r="3408" spans="1:2" x14ac:dyDescent="0.25">
      <c r="A3408"/>
      <c r="B3408"/>
    </row>
    <row r="3409" spans="1:2" x14ac:dyDescent="0.25">
      <c r="A3409"/>
      <c r="B3409"/>
    </row>
    <row r="3410" spans="1:2" x14ac:dyDescent="0.25">
      <c r="A3410"/>
      <c r="B3410"/>
    </row>
    <row r="3411" spans="1:2" x14ac:dyDescent="0.25">
      <c r="A3411"/>
      <c r="B3411"/>
    </row>
    <row r="3412" spans="1:2" x14ac:dyDescent="0.25">
      <c r="A3412"/>
      <c r="B3412"/>
    </row>
    <row r="3413" spans="1:2" x14ac:dyDescent="0.25">
      <c r="A3413"/>
      <c r="B3413"/>
    </row>
    <row r="3414" spans="1:2" x14ac:dyDescent="0.25">
      <c r="A3414"/>
      <c r="B3414"/>
    </row>
    <row r="3415" spans="1:2" x14ac:dyDescent="0.25">
      <c r="A3415"/>
      <c r="B3415"/>
    </row>
    <row r="3416" spans="1:2" x14ac:dyDescent="0.25">
      <c r="A3416"/>
      <c r="B3416"/>
    </row>
    <row r="3417" spans="1:2" x14ac:dyDescent="0.25">
      <c r="A3417"/>
      <c r="B3417"/>
    </row>
    <row r="3418" spans="1:2" x14ac:dyDescent="0.25">
      <c r="A3418"/>
      <c r="B3418"/>
    </row>
    <row r="3419" spans="1:2" x14ac:dyDescent="0.25">
      <c r="A3419"/>
      <c r="B3419"/>
    </row>
    <row r="3420" spans="1:2" x14ac:dyDescent="0.25">
      <c r="A3420"/>
      <c r="B3420"/>
    </row>
    <row r="3421" spans="1:2" x14ac:dyDescent="0.25">
      <c r="A3421"/>
      <c r="B3421"/>
    </row>
    <row r="3422" spans="1:2" x14ac:dyDescent="0.25">
      <c r="A3422"/>
      <c r="B3422"/>
    </row>
    <row r="3423" spans="1:2" x14ac:dyDescent="0.25">
      <c r="A3423"/>
      <c r="B3423"/>
    </row>
    <row r="3424" spans="1:2" x14ac:dyDescent="0.25">
      <c r="A3424"/>
      <c r="B3424"/>
    </row>
    <row r="3425" spans="1:2" x14ac:dyDescent="0.25">
      <c r="A3425"/>
      <c r="B3425"/>
    </row>
    <row r="3426" spans="1:2" x14ac:dyDescent="0.25">
      <c r="A3426"/>
      <c r="B3426"/>
    </row>
    <row r="3427" spans="1:2" x14ac:dyDescent="0.25">
      <c r="A3427"/>
      <c r="B3427"/>
    </row>
    <row r="3428" spans="1:2" x14ac:dyDescent="0.25">
      <c r="A3428"/>
      <c r="B3428"/>
    </row>
    <row r="3429" spans="1:2" x14ac:dyDescent="0.25">
      <c r="A3429"/>
      <c r="B3429"/>
    </row>
    <row r="3430" spans="1:2" x14ac:dyDescent="0.25">
      <c r="A3430"/>
      <c r="B3430"/>
    </row>
    <row r="3431" spans="1:2" x14ac:dyDescent="0.25">
      <c r="A3431"/>
      <c r="B3431"/>
    </row>
    <row r="3432" spans="1:2" x14ac:dyDescent="0.25">
      <c r="A3432"/>
      <c r="B3432"/>
    </row>
    <row r="3433" spans="1:2" x14ac:dyDescent="0.25">
      <c r="A3433"/>
      <c r="B3433"/>
    </row>
    <row r="3434" spans="1:2" x14ac:dyDescent="0.25">
      <c r="A3434"/>
      <c r="B3434"/>
    </row>
    <row r="3435" spans="1:2" x14ac:dyDescent="0.25">
      <c r="A3435"/>
      <c r="B3435"/>
    </row>
    <row r="3436" spans="1:2" x14ac:dyDescent="0.25">
      <c r="A3436"/>
      <c r="B3436"/>
    </row>
    <row r="3437" spans="1:2" x14ac:dyDescent="0.25">
      <c r="A3437"/>
      <c r="B3437"/>
    </row>
    <row r="3438" spans="1:2" x14ac:dyDescent="0.25">
      <c r="A3438"/>
      <c r="B3438"/>
    </row>
    <row r="3439" spans="1:2" x14ac:dyDescent="0.25">
      <c r="A3439"/>
      <c r="B3439"/>
    </row>
    <row r="3440" spans="1:2" x14ac:dyDescent="0.25">
      <c r="A3440"/>
      <c r="B3440"/>
    </row>
    <row r="3441" spans="1:2" x14ac:dyDescent="0.25">
      <c r="A3441"/>
      <c r="B3441"/>
    </row>
    <row r="3442" spans="1:2" x14ac:dyDescent="0.25">
      <c r="A3442"/>
      <c r="B3442"/>
    </row>
    <row r="3443" spans="1:2" x14ac:dyDescent="0.25">
      <c r="A3443"/>
      <c r="B3443"/>
    </row>
    <row r="3444" spans="1:2" x14ac:dyDescent="0.25">
      <c r="A3444"/>
      <c r="B3444"/>
    </row>
    <row r="3445" spans="1:2" x14ac:dyDescent="0.25">
      <c r="A3445"/>
      <c r="B3445"/>
    </row>
    <row r="3446" spans="1:2" x14ac:dyDescent="0.25">
      <c r="A3446"/>
      <c r="B3446"/>
    </row>
    <row r="3447" spans="1:2" x14ac:dyDescent="0.25">
      <c r="A3447"/>
      <c r="B3447"/>
    </row>
    <row r="3448" spans="1:2" x14ac:dyDescent="0.25">
      <c r="A3448"/>
      <c r="B3448"/>
    </row>
    <row r="3449" spans="1:2" x14ac:dyDescent="0.25">
      <c r="A3449"/>
      <c r="B3449"/>
    </row>
    <row r="3450" spans="1:2" x14ac:dyDescent="0.25">
      <c r="A3450"/>
      <c r="B3450"/>
    </row>
    <row r="3451" spans="1:2" x14ac:dyDescent="0.25">
      <c r="A3451"/>
      <c r="B3451"/>
    </row>
    <row r="3452" spans="1:2" x14ac:dyDescent="0.25">
      <c r="A3452"/>
      <c r="B3452"/>
    </row>
    <row r="3453" spans="1:2" x14ac:dyDescent="0.25">
      <c r="A3453"/>
      <c r="B3453"/>
    </row>
    <row r="3454" spans="1:2" x14ac:dyDescent="0.25">
      <c r="A3454"/>
      <c r="B3454"/>
    </row>
    <row r="3455" spans="1:2" x14ac:dyDescent="0.25">
      <c r="A3455"/>
      <c r="B3455"/>
    </row>
    <row r="3456" spans="1:2" x14ac:dyDescent="0.25">
      <c r="A3456"/>
      <c r="B3456"/>
    </row>
    <row r="3457" spans="1:2" x14ac:dyDescent="0.25">
      <c r="A3457"/>
      <c r="B3457"/>
    </row>
    <row r="3458" spans="1:2" x14ac:dyDescent="0.25">
      <c r="A3458"/>
      <c r="B3458"/>
    </row>
    <row r="3459" spans="1:2" x14ac:dyDescent="0.25">
      <c r="A3459"/>
      <c r="B3459"/>
    </row>
    <row r="3460" spans="1:2" x14ac:dyDescent="0.25">
      <c r="A3460"/>
      <c r="B3460"/>
    </row>
    <row r="3461" spans="1:2" x14ac:dyDescent="0.25">
      <c r="A3461"/>
      <c r="B3461"/>
    </row>
    <row r="3462" spans="1:2" x14ac:dyDescent="0.25">
      <c r="A3462"/>
      <c r="B3462"/>
    </row>
    <row r="3463" spans="1:2" x14ac:dyDescent="0.25">
      <c r="A3463"/>
      <c r="B3463"/>
    </row>
    <row r="3464" spans="1:2" x14ac:dyDescent="0.25">
      <c r="A3464"/>
      <c r="B3464"/>
    </row>
    <row r="3465" spans="1:2" x14ac:dyDescent="0.25">
      <c r="A3465"/>
      <c r="B3465"/>
    </row>
    <row r="3466" spans="1:2" x14ac:dyDescent="0.25">
      <c r="A3466"/>
      <c r="B3466"/>
    </row>
    <row r="3467" spans="1:2" x14ac:dyDescent="0.25">
      <c r="A3467"/>
      <c r="B3467"/>
    </row>
    <row r="3468" spans="1:2" x14ac:dyDescent="0.25">
      <c r="A3468"/>
      <c r="B3468"/>
    </row>
    <row r="3469" spans="1:2" x14ac:dyDescent="0.25">
      <c r="A3469"/>
      <c r="B3469"/>
    </row>
    <row r="3470" spans="1:2" x14ac:dyDescent="0.25">
      <c r="A3470"/>
      <c r="B3470"/>
    </row>
    <row r="3471" spans="1:2" x14ac:dyDescent="0.25">
      <c r="A3471"/>
      <c r="B3471"/>
    </row>
    <row r="3472" spans="1:2" x14ac:dyDescent="0.25">
      <c r="A3472"/>
      <c r="B3472"/>
    </row>
    <row r="3473" spans="1:2" x14ac:dyDescent="0.25">
      <c r="A3473"/>
      <c r="B3473"/>
    </row>
    <row r="3474" spans="1:2" x14ac:dyDescent="0.25">
      <c r="A3474"/>
      <c r="B3474"/>
    </row>
    <row r="3475" spans="1:2" x14ac:dyDescent="0.25">
      <c r="A3475"/>
      <c r="B3475"/>
    </row>
    <row r="3476" spans="1:2" x14ac:dyDescent="0.25">
      <c r="A3476"/>
      <c r="B3476"/>
    </row>
    <row r="3477" spans="1:2" x14ac:dyDescent="0.25">
      <c r="A3477"/>
      <c r="B3477"/>
    </row>
    <row r="3478" spans="1:2" x14ac:dyDescent="0.25">
      <c r="A3478"/>
      <c r="B3478"/>
    </row>
    <row r="3479" spans="1:2" x14ac:dyDescent="0.25">
      <c r="A3479"/>
      <c r="B3479"/>
    </row>
    <row r="3480" spans="1:2" x14ac:dyDescent="0.25">
      <c r="A3480"/>
      <c r="B3480"/>
    </row>
    <row r="3481" spans="1:2" x14ac:dyDescent="0.25">
      <c r="A3481"/>
      <c r="B3481"/>
    </row>
    <row r="3482" spans="1:2" x14ac:dyDescent="0.25">
      <c r="A3482"/>
      <c r="B3482"/>
    </row>
    <row r="3483" spans="1:2" x14ac:dyDescent="0.25">
      <c r="A3483"/>
      <c r="B3483"/>
    </row>
    <row r="3484" spans="1:2" x14ac:dyDescent="0.25">
      <c r="A3484"/>
      <c r="B3484"/>
    </row>
    <row r="3485" spans="1:2" x14ac:dyDescent="0.25">
      <c r="A3485"/>
      <c r="B3485"/>
    </row>
    <row r="3486" spans="1:2" x14ac:dyDescent="0.25">
      <c r="A3486"/>
      <c r="B3486"/>
    </row>
    <row r="3487" spans="1:2" x14ac:dyDescent="0.25">
      <c r="A3487"/>
      <c r="B3487"/>
    </row>
    <row r="3488" spans="1:2" x14ac:dyDescent="0.25">
      <c r="A3488"/>
      <c r="B3488"/>
    </row>
    <row r="3489" spans="1:2" x14ac:dyDescent="0.25">
      <c r="A3489"/>
      <c r="B3489"/>
    </row>
    <row r="3490" spans="1:2" x14ac:dyDescent="0.25">
      <c r="A3490"/>
      <c r="B3490"/>
    </row>
    <row r="3491" spans="1:2" x14ac:dyDescent="0.25">
      <c r="A3491"/>
      <c r="B3491"/>
    </row>
    <row r="3492" spans="1:2" x14ac:dyDescent="0.25">
      <c r="A3492"/>
      <c r="B3492"/>
    </row>
    <row r="3493" spans="1:2" x14ac:dyDescent="0.25">
      <c r="A3493"/>
      <c r="B3493"/>
    </row>
    <row r="3494" spans="1:2" x14ac:dyDescent="0.25">
      <c r="A3494"/>
      <c r="B3494"/>
    </row>
    <row r="3495" spans="1:2" x14ac:dyDescent="0.25">
      <c r="A3495"/>
      <c r="B3495"/>
    </row>
    <row r="3496" spans="1:2" x14ac:dyDescent="0.25">
      <c r="A3496"/>
      <c r="B3496"/>
    </row>
    <row r="3497" spans="1:2" x14ac:dyDescent="0.25">
      <c r="A3497"/>
      <c r="B3497"/>
    </row>
    <row r="3498" spans="1:2" x14ac:dyDescent="0.25">
      <c r="A3498"/>
      <c r="B3498"/>
    </row>
    <row r="3499" spans="1:2" x14ac:dyDescent="0.25">
      <c r="A3499"/>
      <c r="B3499"/>
    </row>
    <row r="3500" spans="1:2" x14ac:dyDescent="0.25">
      <c r="A3500"/>
      <c r="B3500"/>
    </row>
    <row r="3501" spans="1:2" x14ac:dyDescent="0.25">
      <c r="A3501"/>
      <c r="B3501"/>
    </row>
    <row r="3502" spans="1:2" x14ac:dyDescent="0.25">
      <c r="A3502"/>
      <c r="B3502"/>
    </row>
    <row r="3503" spans="1:2" x14ac:dyDescent="0.25">
      <c r="A3503"/>
      <c r="B3503"/>
    </row>
    <row r="3504" spans="1:2" x14ac:dyDescent="0.25">
      <c r="A3504"/>
      <c r="B3504"/>
    </row>
    <row r="3505" spans="1:2" x14ac:dyDescent="0.25">
      <c r="A3505"/>
      <c r="B3505"/>
    </row>
    <row r="3506" spans="1:2" x14ac:dyDescent="0.25">
      <c r="A3506"/>
      <c r="B3506"/>
    </row>
    <row r="3507" spans="1:2" x14ac:dyDescent="0.25">
      <c r="A3507"/>
      <c r="B3507"/>
    </row>
    <row r="3508" spans="1:2" x14ac:dyDescent="0.25">
      <c r="A3508"/>
      <c r="B3508"/>
    </row>
    <row r="3509" spans="1:2" x14ac:dyDescent="0.25">
      <c r="A3509"/>
      <c r="B3509"/>
    </row>
    <row r="3510" spans="1:2" x14ac:dyDescent="0.25">
      <c r="A3510"/>
      <c r="B3510"/>
    </row>
    <row r="3511" spans="1:2" x14ac:dyDescent="0.25">
      <c r="A3511"/>
      <c r="B3511"/>
    </row>
    <row r="3512" spans="1:2" x14ac:dyDescent="0.25">
      <c r="A3512"/>
      <c r="B3512"/>
    </row>
    <row r="3513" spans="1:2" x14ac:dyDescent="0.25">
      <c r="A3513"/>
      <c r="B3513"/>
    </row>
    <row r="3514" spans="1:2" x14ac:dyDescent="0.25">
      <c r="A3514"/>
      <c r="B3514"/>
    </row>
    <row r="3515" spans="1:2" x14ac:dyDescent="0.25">
      <c r="A3515"/>
      <c r="B3515"/>
    </row>
    <row r="3516" spans="1:2" x14ac:dyDescent="0.25">
      <c r="A3516"/>
      <c r="B3516"/>
    </row>
    <row r="3517" spans="1:2" x14ac:dyDescent="0.25">
      <c r="A3517"/>
      <c r="B3517"/>
    </row>
    <row r="3518" spans="1:2" x14ac:dyDescent="0.25">
      <c r="A3518"/>
      <c r="B3518"/>
    </row>
    <row r="3519" spans="1:2" x14ac:dyDescent="0.25">
      <c r="A3519"/>
      <c r="B3519"/>
    </row>
    <row r="3520" spans="1:2" x14ac:dyDescent="0.25">
      <c r="A3520"/>
      <c r="B3520"/>
    </row>
    <row r="3521" spans="1:2" x14ac:dyDescent="0.25">
      <c r="A3521"/>
      <c r="B3521"/>
    </row>
    <row r="3522" spans="1:2" x14ac:dyDescent="0.25">
      <c r="A3522"/>
      <c r="B3522"/>
    </row>
    <row r="3523" spans="1:2" x14ac:dyDescent="0.25">
      <c r="A3523"/>
      <c r="B3523"/>
    </row>
    <row r="3524" spans="1:2" x14ac:dyDescent="0.25">
      <c r="A3524"/>
      <c r="B3524"/>
    </row>
    <row r="3525" spans="1:2" x14ac:dyDescent="0.25">
      <c r="A3525"/>
      <c r="B3525"/>
    </row>
    <row r="3526" spans="1:2" x14ac:dyDescent="0.25">
      <c r="A3526"/>
      <c r="B3526"/>
    </row>
    <row r="3527" spans="1:2" x14ac:dyDescent="0.25">
      <c r="A3527"/>
      <c r="B3527"/>
    </row>
    <row r="3528" spans="1:2" x14ac:dyDescent="0.25">
      <c r="A3528"/>
      <c r="B3528"/>
    </row>
    <row r="3529" spans="1:2" x14ac:dyDescent="0.25">
      <c r="A3529"/>
      <c r="B3529"/>
    </row>
    <row r="3530" spans="1:2" x14ac:dyDescent="0.25">
      <c r="A3530"/>
      <c r="B3530"/>
    </row>
    <row r="3531" spans="1:2" x14ac:dyDescent="0.25">
      <c r="A3531"/>
      <c r="B3531"/>
    </row>
    <row r="3532" spans="1:2" x14ac:dyDescent="0.25">
      <c r="A3532"/>
      <c r="B3532"/>
    </row>
    <row r="3533" spans="1:2" x14ac:dyDescent="0.25">
      <c r="A3533"/>
      <c r="B3533"/>
    </row>
    <row r="3534" spans="1:2" x14ac:dyDescent="0.25">
      <c r="A3534"/>
      <c r="B3534"/>
    </row>
    <row r="3535" spans="1:2" x14ac:dyDescent="0.25">
      <c r="A3535"/>
      <c r="B3535"/>
    </row>
    <row r="3536" spans="1:2" x14ac:dyDescent="0.25">
      <c r="A3536"/>
      <c r="B3536"/>
    </row>
    <row r="3537" spans="1:2" x14ac:dyDescent="0.25">
      <c r="A3537"/>
      <c r="B3537"/>
    </row>
    <row r="3538" spans="1:2" x14ac:dyDescent="0.25">
      <c r="A3538"/>
      <c r="B3538"/>
    </row>
    <row r="3539" spans="1:2" x14ac:dyDescent="0.25">
      <c r="A3539"/>
      <c r="B3539"/>
    </row>
    <row r="3540" spans="1:2" x14ac:dyDescent="0.25">
      <c r="A3540"/>
      <c r="B3540"/>
    </row>
    <row r="3541" spans="1:2" x14ac:dyDescent="0.25">
      <c r="A3541"/>
      <c r="B3541"/>
    </row>
    <row r="3542" spans="1:2" x14ac:dyDescent="0.25">
      <c r="A3542"/>
      <c r="B3542"/>
    </row>
    <row r="3543" spans="1:2" x14ac:dyDescent="0.25">
      <c r="A3543"/>
      <c r="B3543"/>
    </row>
    <row r="3544" spans="1:2" x14ac:dyDescent="0.25">
      <c r="A3544"/>
      <c r="B3544"/>
    </row>
    <row r="3545" spans="1:2" x14ac:dyDescent="0.25">
      <c r="A3545"/>
      <c r="B3545"/>
    </row>
    <row r="3546" spans="1:2" x14ac:dyDescent="0.25">
      <c r="A3546"/>
      <c r="B3546"/>
    </row>
    <row r="3547" spans="1:2" x14ac:dyDescent="0.25">
      <c r="A3547"/>
      <c r="B3547"/>
    </row>
    <row r="3548" spans="1:2" x14ac:dyDescent="0.25">
      <c r="A3548"/>
      <c r="B3548"/>
    </row>
    <row r="3549" spans="1:2" x14ac:dyDescent="0.25">
      <c r="A3549"/>
      <c r="B3549"/>
    </row>
    <row r="3550" spans="1:2" x14ac:dyDescent="0.25">
      <c r="A3550"/>
      <c r="B3550"/>
    </row>
    <row r="3551" spans="1:2" x14ac:dyDescent="0.25">
      <c r="A3551"/>
      <c r="B3551"/>
    </row>
    <row r="3552" spans="1:2" x14ac:dyDescent="0.25">
      <c r="A3552"/>
      <c r="B3552"/>
    </row>
    <row r="3553" spans="1:2" x14ac:dyDescent="0.25">
      <c r="A3553"/>
      <c r="B3553"/>
    </row>
    <row r="3554" spans="1:2" x14ac:dyDescent="0.25">
      <c r="A3554"/>
      <c r="B3554"/>
    </row>
    <row r="3555" spans="1:2" x14ac:dyDescent="0.25">
      <c r="A3555"/>
      <c r="B3555"/>
    </row>
    <row r="3556" spans="1:2" x14ac:dyDescent="0.25">
      <c r="A3556"/>
      <c r="B3556"/>
    </row>
    <row r="3557" spans="1:2" x14ac:dyDescent="0.25">
      <c r="A3557"/>
      <c r="B3557"/>
    </row>
    <row r="3558" spans="1:2" x14ac:dyDescent="0.25">
      <c r="A3558"/>
      <c r="B3558"/>
    </row>
    <row r="3559" spans="1:2" x14ac:dyDescent="0.25">
      <c r="A3559"/>
      <c r="B3559"/>
    </row>
    <row r="3560" spans="1:2" x14ac:dyDescent="0.25">
      <c r="A3560"/>
      <c r="B3560"/>
    </row>
    <row r="3561" spans="1:2" x14ac:dyDescent="0.25">
      <c r="A3561"/>
      <c r="B3561"/>
    </row>
    <row r="3562" spans="1:2" x14ac:dyDescent="0.25">
      <c r="A3562"/>
      <c r="B3562"/>
    </row>
    <row r="3563" spans="1:2" x14ac:dyDescent="0.25">
      <c r="A3563"/>
      <c r="B3563"/>
    </row>
    <row r="3564" spans="1:2" x14ac:dyDescent="0.25">
      <c r="A3564"/>
      <c r="B3564"/>
    </row>
    <row r="3565" spans="1:2" x14ac:dyDescent="0.25">
      <c r="A3565"/>
      <c r="B3565"/>
    </row>
    <row r="3566" spans="1:2" x14ac:dyDescent="0.25">
      <c r="A3566"/>
      <c r="B3566"/>
    </row>
    <row r="3567" spans="1:2" x14ac:dyDescent="0.25">
      <c r="A3567"/>
      <c r="B3567"/>
    </row>
    <row r="3568" spans="1:2" x14ac:dyDescent="0.25">
      <c r="A3568"/>
      <c r="B3568"/>
    </row>
    <row r="3569" spans="1:2" x14ac:dyDescent="0.25">
      <c r="A3569"/>
      <c r="B3569"/>
    </row>
    <row r="3570" spans="1:2" x14ac:dyDescent="0.25">
      <c r="A3570"/>
      <c r="B3570"/>
    </row>
    <row r="3571" spans="1:2" x14ac:dyDescent="0.25">
      <c r="A3571"/>
      <c r="B3571"/>
    </row>
    <row r="3572" spans="1:2" x14ac:dyDescent="0.25">
      <c r="A3572"/>
      <c r="B3572"/>
    </row>
    <row r="3573" spans="1:2" x14ac:dyDescent="0.25">
      <c r="A3573"/>
      <c r="B3573"/>
    </row>
    <row r="3574" spans="1:2" x14ac:dyDescent="0.25">
      <c r="A3574"/>
      <c r="B3574"/>
    </row>
    <row r="3575" spans="1:2" x14ac:dyDescent="0.25">
      <c r="A3575"/>
      <c r="B3575"/>
    </row>
    <row r="3576" spans="1:2" x14ac:dyDescent="0.25">
      <c r="A3576"/>
      <c r="B3576"/>
    </row>
    <row r="3577" spans="1:2" x14ac:dyDescent="0.25">
      <c r="A3577"/>
      <c r="B3577"/>
    </row>
    <row r="3578" spans="1:2" x14ac:dyDescent="0.25">
      <c r="A3578"/>
      <c r="B3578"/>
    </row>
    <row r="3579" spans="1:2" x14ac:dyDescent="0.25">
      <c r="A3579"/>
      <c r="B3579"/>
    </row>
    <row r="3580" spans="1:2" x14ac:dyDescent="0.25">
      <c r="A3580"/>
      <c r="B3580"/>
    </row>
    <row r="3581" spans="1:2" x14ac:dyDescent="0.25">
      <c r="A3581"/>
      <c r="B3581"/>
    </row>
    <row r="3582" spans="1:2" x14ac:dyDescent="0.25">
      <c r="A3582"/>
      <c r="B3582"/>
    </row>
    <row r="3583" spans="1:2" x14ac:dyDescent="0.25">
      <c r="A3583"/>
      <c r="B3583"/>
    </row>
    <row r="3584" spans="1:2" x14ac:dyDescent="0.25">
      <c r="A3584"/>
      <c r="B3584"/>
    </row>
    <row r="3585" spans="1:2" x14ac:dyDescent="0.25">
      <c r="A3585"/>
      <c r="B3585"/>
    </row>
    <row r="3586" spans="1:2" x14ac:dyDescent="0.25">
      <c r="A3586"/>
      <c r="B3586"/>
    </row>
    <row r="3587" spans="1:2" x14ac:dyDescent="0.25">
      <c r="A3587"/>
      <c r="B3587"/>
    </row>
    <row r="3588" spans="1:2" x14ac:dyDescent="0.25">
      <c r="A3588"/>
      <c r="B3588"/>
    </row>
    <row r="3589" spans="1:2" x14ac:dyDescent="0.25">
      <c r="A3589"/>
      <c r="B3589"/>
    </row>
    <row r="3590" spans="1:2" x14ac:dyDescent="0.25">
      <c r="A3590"/>
      <c r="B3590"/>
    </row>
    <row r="3591" spans="1:2" x14ac:dyDescent="0.25">
      <c r="A3591"/>
      <c r="B3591"/>
    </row>
    <row r="3592" spans="1:2" x14ac:dyDescent="0.25">
      <c r="A3592"/>
      <c r="B3592"/>
    </row>
    <row r="3593" spans="1:2" x14ac:dyDescent="0.25">
      <c r="A3593"/>
      <c r="B3593"/>
    </row>
    <row r="3594" spans="1:2" x14ac:dyDescent="0.25">
      <c r="A3594"/>
      <c r="B3594"/>
    </row>
    <row r="3595" spans="1:2" x14ac:dyDescent="0.25">
      <c r="A3595"/>
      <c r="B3595"/>
    </row>
    <row r="3596" spans="1:2" x14ac:dyDescent="0.25">
      <c r="A3596"/>
      <c r="B3596"/>
    </row>
    <row r="3597" spans="1:2" x14ac:dyDescent="0.25">
      <c r="A3597"/>
      <c r="B3597"/>
    </row>
    <row r="3598" spans="1:2" x14ac:dyDescent="0.25">
      <c r="A3598"/>
      <c r="B3598"/>
    </row>
    <row r="3599" spans="1:2" x14ac:dyDescent="0.25">
      <c r="A3599"/>
      <c r="B3599"/>
    </row>
    <row r="3600" spans="1:2" x14ac:dyDescent="0.25">
      <c r="A3600"/>
      <c r="B3600"/>
    </row>
    <row r="3601" spans="1:2" x14ac:dyDescent="0.25">
      <c r="A3601"/>
      <c r="B3601"/>
    </row>
    <row r="3602" spans="1:2" x14ac:dyDescent="0.25">
      <c r="A3602"/>
      <c r="B3602"/>
    </row>
    <row r="3603" spans="1:2" x14ac:dyDescent="0.25">
      <c r="A3603"/>
      <c r="B3603"/>
    </row>
    <row r="3604" spans="1:2" x14ac:dyDescent="0.25">
      <c r="A3604"/>
      <c r="B3604"/>
    </row>
    <row r="3605" spans="1:2" x14ac:dyDescent="0.25">
      <c r="A3605"/>
      <c r="B3605"/>
    </row>
    <row r="3606" spans="1:2" x14ac:dyDescent="0.25">
      <c r="A3606"/>
      <c r="B3606"/>
    </row>
    <row r="3607" spans="1:2" x14ac:dyDescent="0.25">
      <c r="A3607"/>
      <c r="B3607"/>
    </row>
    <row r="3608" spans="1:2" x14ac:dyDescent="0.25">
      <c r="A3608"/>
      <c r="B3608"/>
    </row>
    <row r="3609" spans="1:2" x14ac:dyDescent="0.25">
      <c r="A3609"/>
      <c r="B3609"/>
    </row>
    <row r="3610" spans="1:2" x14ac:dyDescent="0.25">
      <c r="A3610"/>
      <c r="B3610"/>
    </row>
    <row r="3611" spans="1:2" x14ac:dyDescent="0.25">
      <c r="A3611"/>
      <c r="B3611"/>
    </row>
    <row r="3612" spans="1:2" x14ac:dyDescent="0.25">
      <c r="A3612"/>
      <c r="B3612"/>
    </row>
    <row r="3613" spans="1:2" x14ac:dyDescent="0.25">
      <c r="A3613"/>
      <c r="B3613"/>
    </row>
    <row r="3614" spans="1:2" x14ac:dyDescent="0.25">
      <c r="A3614"/>
      <c r="B3614"/>
    </row>
    <row r="3615" spans="1:2" x14ac:dyDescent="0.25">
      <c r="A3615"/>
      <c r="B3615"/>
    </row>
    <row r="3616" spans="1:2" x14ac:dyDescent="0.25">
      <c r="A3616"/>
      <c r="B3616"/>
    </row>
    <row r="3617" spans="1:2" x14ac:dyDescent="0.25">
      <c r="A3617"/>
      <c r="B3617"/>
    </row>
    <row r="3618" spans="1:2" x14ac:dyDescent="0.25">
      <c r="A3618"/>
      <c r="B3618"/>
    </row>
    <row r="3619" spans="1:2" x14ac:dyDescent="0.25">
      <c r="A3619"/>
      <c r="B3619"/>
    </row>
    <row r="3620" spans="1:2" x14ac:dyDescent="0.25">
      <c r="A3620"/>
      <c r="B3620"/>
    </row>
    <row r="3621" spans="1:2" x14ac:dyDescent="0.25">
      <c r="A3621"/>
      <c r="B3621"/>
    </row>
    <row r="3622" spans="1:2" x14ac:dyDescent="0.25">
      <c r="A3622"/>
      <c r="B3622"/>
    </row>
    <row r="3623" spans="1:2" x14ac:dyDescent="0.25">
      <c r="A3623"/>
      <c r="B3623"/>
    </row>
    <row r="3624" spans="1:2" x14ac:dyDescent="0.25">
      <c r="A3624"/>
      <c r="B3624"/>
    </row>
    <row r="3625" spans="1:2" x14ac:dyDescent="0.25">
      <c r="A3625"/>
      <c r="B3625"/>
    </row>
    <row r="3626" spans="1:2" x14ac:dyDescent="0.25">
      <c r="A3626"/>
      <c r="B3626"/>
    </row>
    <row r="3627" spans="1:2" x14ac:dyDescent="0.25">
      <c r="A3627"/>
      <c r="B3627"/>
    </row>
    <row r="3628" spans="1:2" x14ac:dyDescent="0.25">
      <c r="A3628"/>
      <c r="B3628"/>
    </row>
    <row r="3629" spans="1:2" x14ac:dyDescent="0.25">
      <c r="A3629"/>
      <c r="B3629"/>
    </row>
    <row r="3630" spans="1:2" x14ac:dyDescent="0.25">
      <c r="A3630"/>
      <c r="B3630"/>
    </row>
    <row r="3631" spans="1:2" x14ac:dyDescent="0.25">
      <c r="A3631"/>
      <c r="B3631"/>
    </row>
    <row r="3632" spans="1:2" x14ac:dyDescent="0.25">
      <c r="A3632"/>
      <c r="B3632"/>
    </row>
    <row r="3633" spans="1:2" x14ac:dyDescent="0.25">
      <c r="A3633"/>
      <c r="B3633"/>
    </row>
    <row r="3634" spans="1:2" x14ac:dyDescent="0.25">
      <c r="A3634"/>
      <c r="B3634"/>
    </row>
    <row r="3635" spans="1:2" x14ac:dyDescent="0.25">
      <c r="A3635"/>
      <c r="B3635"/>
    </row>
    <row r="3636" spans="1:2" x14ac:dyDescent="0.25">
      <c r="A3636"/>
      <c r="B3636"/>
    </row>
    <row r="3637" spans="1:2" x14ac:dyDescent="0.25">
      <c r="A3637"/>
      <c r="B3637"/>
    </row>
    <row r="3638" spans="1:2" x14ac:dyDescent="0.25">
      <c r="A3638"/>
      <c r="B3638"/>
    </row>
    <row r="3639" spans="1:2" x14ac:dyDescent="0.25">
      <c r="A3639"/>
      <c r="B3639"/>
    </row>
    <row r="3640" spans="1:2" x14ac:dyDescent="0.25">
      <c r="A3640"/>
      <c r="B3640"/>
    </row>
    <row r="3641" spans="1:2" x14ac:dyDescent="0.25">
      <c r="A3641"/>
      <c r="B3641"/>
    </row>
    <row r="3642" spans="1:2" x14ac:dyDescent="0.25">
      <c r="A3642"/>
      <c r="B3642"/>
    </row>
    <row r="3643" spans="1:2" x14ac:dyDescent="0.25">
      <c r="A3643"/>
      <c r="B3643"/>
    </row>
    <row r="3644" spans="1:2" x14ac:dyDescent="0.25">
      <c r="A3644"/>
      <c r="B3644"/>
    </row>
    <row r="3645" spans="1:2" x14ac:dyDescent="0.25">
      <c r="A3645"/>
      <c r="B3645"/>
    </row>
    <row r="3646" spans="1:2" x14ac:dyDescent="0.25">
      <c r="A3646"/>
      <c r="B3646"/>
    </row>
    <row r="3647" spans="1:2" x14ac:dyDescent="0.25">
      <c r="A3647"/>
      <c r="B3647"/>
    </row>
    <row r="3648" spans="1:2" x14ac:dyDescent="0.25">
      <c r="A3648"/>
      <c r="B3648"/>
    </row>
    <row r="3649" spans="1:2" x14ac:dyDescent="0.25">
      <c r="A3649"/>
      <c r="B3649"/>
    </row>
    <row r="3650" spans="1:2" x14ac:dyDescent="0.25">
      <c r="A3650"/>
      <c r="B3650"/>
    </row>
    <row r="3651" spans="1:2" x14ac:dyDescent="0.25">
      <c r="A3651"/>
      <c r="B3651"/>
    </row>
    <row r="3652" spans="1:2" x14ac:dyDescent="0.25">
      <c r="A3652"/>
      <c r="B3652"/>
    </row>
    <row r="3653" spans="1:2" x14ac:dyDescent="0.25">
      <c r="A3653"/>
      <c r="B3653"/>
    </row>
    <row r="3654" spans="1:2" x14ac:dyDescent="0.25">
      <c r="A3654"/>
      <c r="B3654"/>
    </row>
    <row r="3655" spans="1:2" x14ac:dyDescent="0.25">
      <c r="A3655"/>
      <c r="B3655"/>
    </row>
    <row r="3656" spans="1:2" x14ac:dyDescent="0.25">
      <c r="A3656"/>
      <c r="B3656"/>
    </row>
    <row r="3657" spans="1:2" x14ac:dyDescent="0.25">
      <c r="A3657"/>
      <c r="B3657"/>
    </row>
    <row r="3658" spans="1:2" x14ac:dyDescent="0.25">
      <c r="A3658"/>
      <c r="B3658"/>
    </row>
    <row r="3659" spans="1:2" x14ac:dyDescent="0.25">
      <c r="A3659"/>
      <c r="B3659"/>
    </row>
    <row r="3660" spans="1:2" x14ac:dyDescent="0.25">
      <c r="A3660"/>
      <c r="B3660"/>
    </row>
    <row r="3661" spans="1:2" x14ac:dyDescent="0.25">
      <c r="A3661"/>
      <c r="B3661"/>
    </row>
    <row r="3662" spans="1:2" x14ac:dyDescent="0.25">
      <c r="A3662"/>
      <c r="B3662"/>
    </row>
    <row r="3663" spans="1:2" x14ac:dyDescent="0.25">
      <c r="A3663"/>
      <c r="B3663"/>
    </row>
    <row r="3664" spans="1:2" x14ac:dyDescent="0.25">
      <c r="A3664"/>
      <c r="B3664"/>
    </row>
    <row r="3665" spans="1:2" x14ac:dyDescent="0.25">
      <c r="A3665"/>
      <c r="B3665"/>
    </row>
    <row r="3666" spans="1:2" x14ac:dyDescent="0.25">
      <c r="A3666"/>
      <c r="B3666"/>
    </row>
    <row r="3667" spans="1:2" x14ac:dyDescent="0.25">
      <c r="A3667"/>
      <c r="B3667"/>
    </row>
    <row r="3668" spans="1:2" x14ac:dyDescent="0.25">
      <c r="A3668"/>
      <c r="B3668"/>
    </row>
    <row r="3669" spans="1:2" x14ac:dyDescent="0.25">
      <c r="A3669"/>
      <c r="B3669"/>
    </row>
    <row r="3670" spans="1:2" x14ac:dyDescent="0.25">
      <c r="A3670"/>
      <c r="B3670"/>
    </row>
    <row r="3671" spans="1:2" x14ac:dyDescent="0.25">
      <c r="A3671"/>
      <c r="B3671"/>
    </row>
    <row r="3672" spans="1:2" x14ac:dyDescent="0.25">
      <c r="A3672"/>
      <c r="B3672"/>
    </row>
    <row r="3673" spans="1:2" x14ac:dyDescent="0.25">
      <c r="A3673"/>
      <c r="B3673"/>
    </row>
    <row r="3674" spans="1:2" x14ac:dyDescent="0.25">
      <c r="A3674"/>
      <c r="B3674"/>
    </row>
    <row r="3675" spans="1:2" x14ac:dyDescent="0.25">
      <c r="A3675"/>
      <c r="B3675"/>
    </row>
    <row r="3676" spans="1:2" x14ac:dyDescent="0.25">
      <c r="A3676"/>
      <c r="B3676"/>
    </row>
    <row r="3677" spans="1:2" x14ac:dyDescent="0.25">
      <c r="A3677"/>
      <c r="B3677"/>
    </row>
    <row r="3678" spans="1:2" x14ac:dyDescent="0.25">
      <c r="A3678"/>
      <c r="B3678"/>
    </row>
    <row r="3679" spans="1:2" x14ac:dyDescent="0.25">
      <c r="A3679"/>
      <c r="B3679"/>
    </row>
    <row r="3680" spans="1:2" x14ac:dyDescent="0.25">
      <c r="A3680"/>
      <c r="B3680"/>
    </row>
    <row r="3681" spans="1:2" x14ac:dyDescent="0.25">
      <c r="A3681"/>
      <c r="B3681"/>
    </row>
    <row r="3682" spans="1:2" x14ac:dyDescent="0.25">
      <c r="A3682"/>
      <c r="B3682"/>
    </row>
    <row r="3683" spans="1:2" x14ac:dyDescent="0.25">
      <c r="A3683"/>
      <c r="B3683"/>
    </row>
    <row r="3684" spans="1:2" x14ac:dyDescent="0.25">
      <c r="A3684"/>
      <c r="B3684"/>
    </row>
    <row r="3685" spans="1:2" x14ac:dyDescent="0.25">
      <c r="A3685"/>
      <c r="B3685"/>
    </row>
    <row r="3686" spans="1:2" x14ac:dyDescent="0.25">
      <c r="A3686"/>
      <c r="B3686"/>
    </row>
    <row r="3687" spans="1:2" x14ac:dyDescent="0.25">
      <c r="A3687"/>
      <c r="B3687"/>
    </row>
    <row r="3688" spans="1:2" x14ac:dyDescent="0.25">
      <c r="A3688"/>
      <c r="B3688"/>
    </row>
    <row r="3689" spans="1:2" x14ac:dyDescent="0.25">
      <c r="A3689"/>
      <c r="B3689"/>
    </row>
    <row r="3690" spans="1:2" x14ac:dyDescent="0.25">
      <c r="A3690"/>
      <c r="B3690"/>
    </row>
    <row r="3691" spans="1:2" x14ac:dyDescent="0.25">
      <c r="A3691"/>
      <c r="B3691"/>
    </row>
    <row r="3692" spans="1:2" x14ac:dyDescent="0.25">
      <c r="A3692"/>
      <c r="B3692"/>
    </row>
    <row r="3693" spans="1:2" x14ac:dyDescent="0.25">
      <c r="A3693"/>
      <c r="B3693"/>
    </row>
    <row r="3694" spans="1:2" x14ac:dyDescent="0.25">
      <c r="A3694"/>
      <c r="B3694"/>
    </row>
    <row r="3695" spans="1:2" x14ac:dyDescent="0.25">
      <c r="A3695"/>
      <c r="B3695"/>
    </row>
    <row r="3696" spans="1:2" x14ac:dyDescent="0.25">
      <c r="A3696"/>
      <c r="B3696"/>
    </row>
    <row r="3697" spans="1:2" x14ac:dyDescent="0.25">
      <c r="A3697"/>
      <c r="B3697"/>
    </row>
    <row r="3698" spans="1:2" x14ac:dyDescent="0.25">
      <c r="A3698"/>
      <c r="B3698"/>
    </row>
    <row r="3699" spans="1:2" x14ac:dyDescent="0.25">
      <c r="A3699"/>
      <c r="B3699"/>
    </row>
    <row r="3700" spans="1:2" x14ac:dyDescent="0.25">
      <c r="A3700"/>
      <c r="B3700"/>
    </row>
    <row r="3701" spans="1:2" x14ac:dyDescent="0.25">
      <c r="A3701"/>
      <c r="B3701"/>
    </row>
    <row r="3702" spans="1:2" x14ac:dyDescent="0.25">
      <c r="A3702"/>
      <c r="B3702"/>
    </row>
    <row r="3703" spans="1:2" x14ac:dyDescent="0.25">
      <c r="A3703"/>
      <c r="B3703"/>
    </row>
    <row r="3704" spans="1:2" x14ac:dyDescent="0.25">
      <c r="A3704"/>
      <c r="B3704"/>
    </row>
    <row r="3705" spans="1:2" x14ac:dyDescent="0.25">
      <c r="A3705"/>
      <c r="B3705"/>
    </row>
    <row r="3706" spans="1:2" x14ac:dyDescent="0.25">
      <c r="A3706"/>
      <c r="B3706"/>
    </row>
    <row r="3707" spans="1:2" x14ac:dyDescent="0.25">
      <c r="A3707"/>
      <c r="B3707"/>
    </row>
    <row r="3708" spans="1:2" x14ac:dyDescent="0.25">
      <c r="A3708"/>
      <c r="B3708"/>
    </row>
    <row r="3709" spans="1:2" x14ac:dyDescent="0.25">
      <c r="A3709"/>
      <c r="B3709"/>
    </row>
    <row r="3710" spans="1:2" x14ac:dyDescent="0.25">
      <c r="A3710"/>
      <c r="B3710"/>
    </row>
    <row r="3711" spans="1:2" x14ac:dyDescent="0.25">
      <c r="A3711"/>
      <c r="B3711"/>
    </row>
    <row r="3712" spans="1:2" x14ac:dyDescent="0.25">
      <c r="A3712"/>
      <c r="B3712"/>
    </row>
    <row r="3713" spans="1:2" x14ac:dyDescent="0.25">
      <c r="A3713"/>
      <c r="B3713"/>
    </row>
    <row r="3714" spans="1:2" x14ac:dyDescent="0.25">
      <c r="A3714"/>
      <c r="B3714"/>
    </row>
    <row r="3715" spans="1:2" x14ac:dyDescent="0.25">
      <c r="A3715"/>
      <c r="B3715"/>
    </row>
    <row r="3716" spans="1:2" x14ac:dyDescent="0.25">
      <c r="A3716"/>
      <c r="B3716"/>
    </row>
    <row r="3717" spans="1:2" x14ac:dyDescent="0.25">
      <c r="A3717"/>
      <c r="B3717"/>
    </row>
    <row r="3718" spans="1:2" x14ac:dyDescent="0.25">
      <c r="A3718"/>
      <c r="B3718"/>
    </row>
    <row r="3719" spans="1:2" x14ac:dyDescent="0.25">
      <c r="A3719"/>
      <c r="B3719"/>
    </row>
    <row r="3720" spans="1:2" x14ac:dyDescent="0.25">
      <c r="A3720"/>
      <c r="B3720"/>
    </row>
    <row r="3721" spans="1:2" x14ac:dyDescent="0.25">
      <c r="A3721"/>
      <c r="B3721"/>
    </row>
    <row r="3722" spans="1:2" x14ac:dyDescent="0.25">
      <c r="A3722"/>
      <c r="B3722"/>
    </row>
    <row r="3723" spans="1:2" x14ac:dyDescent="0.25">
      <c r="A3723"/>
      <c r="B3723"/>
    </row>
    <row r="3724" spans="1:2" x14ac:dyDescent="0.25">
      <c r="A3724"/>
      <c r="B3724"/>
    </row>
    <row r="3725" spans="1:2" x14ac:dyDescent="0.25">
      <c r="A3725"/>
      <c r="B3725"/>
    </row>
    <row r="3726" spans="1:2" x14ac:dyDescent="0.25">
      <c r="A3726"/>
      <c r="B3726"/>
    </row>
    <row r="3727" spans="1:2" x14ac:dyDescent="0.25">
      <c r="A3727"/>
      <c r="B3727"/>
    </row>
    <row r="3728" spans="1:2" x14ac:dyDescent="0.25">
      <c r="A3728"/>
      <c r="B3728"/>
    </row>
    <row r="3729" spans="1:2" x14ac:dyDescent="0.25">
      <c r="A3729"/>
      <c r="B3729"/>
    </row>
    <row r="3730" spans="1:2" x14ac:dyDescent="0.25">
      <c r="A3730"/>
      <c r="B3730"/>
    </row>
    <row r="3731" spans="1:2" x14ac:dyDescent="0.25">
      <c r="A3731"/>
      <c r="B3731"/>
    </row>
    <row r="3732" spans="1:2" x14ac:dyDescent="0.25">
      <c r="A3732"/>
      <c r="B3732"/>
    </row>
    <row r="3733" spans="1:2" x14ac:dyDescent="0.25">
      <c r="A3733"/>
      <c r="B3733"/>
    </row>
    <row r="3734" spans="1:2" x14ac:dyDescent="0.25">
      <c r="A3734"/>
      <c r="B3734"/>
    </row>
    <row r="3735" spans="1:2" x14ac:dyDescent="0.25">
      <c r="A3735"/>
      <c r="B3735"/>
    </row>
    <row r="3736" spans="1:2" x14ac:dyDescent="0.25">
      <c r="A3736"/>
      <c r="B3736"/>
    </row>
    <row r="3737" spans="1:2" x14ac:dyDescent="0.25">
      <c r="A3737"/>
      <c r="B3737"/>
    </row>
    <row r="3738" spans="1:2" x14ac:dyDescent="0.25">
      <c r="A3738"/>
      <c r="B3738"/>
    </row>
    <row r="3739" spans="1:2" x14ac:dyDescent="0.25">
      <c r="A3739"/>
      <c r="B3739"/>
    </row>
    <row r="3740" spans="1:2" x14ac:dyDescent="0.25">
      <c r="A3740"/>
      <c r="B3740"/>
    </row>
    <row r="3741" spans="1:2" x14ac:dyDescent="0.25">
      <c r="A3741"/>
      <c r="B3741"/>
    </row>
    <row r="3742" spans="1:2" x14ac:dyDescent="0.25">
      <c r="A3742"/>
      <c r="B3742"/>
    </row>
    <row r="3743" spans="1:2" x14ac:dyDescent="0.25">
      <c r="A3743"/>
      <c r="B3743"/>
    </row>
    <row r="3744" spans="1:2" x14ac:dyDescent="0.25">
      <c r="A3744"/>
      <c r="B3744"/>
    </row>
    <row r="3745" spans="1:2" x14ac:dyDescent="0.25">
      <c r="A3745"/>
      <c r="B3745"/>
    </row>
    <row r="3746" spans="1:2" x14ac:dyDescent="0.25">
      <c r="A3746"/>
      <c r="B3746"/>
    </row>
    <row r="3747" spans="1:2" x14ac:dyDescent="0.25">
      <c r="A3747"/>
      <c r="B3747"/>
    </row>
    <row r="3748" spans="1:2" x14ac:dyDescent="0.25">
      <c r="A3748"/>
      <c r="B3748"/>
    </row>
    <row r="3749" spans="1:2" x14ac:dyDescent="0.25">
      <c r="A3749"/>
      <c r="B3749"/>
    </row>
    <row r="3750" spans="1:2" x14ac:dyDescent="0.25">
      <c r="A3750"/>
      <c r="B3750"/>
    </row>
    <row r="3751" spans="1:2" x14ac:dyDescent="0.25">
      <c r="A3751"/>
      <c r="B3751"/>
    </row>
    <row r="3752" spans="1:2" x14ac:dyDescent="0.25">
      <c r="A3752"/>
      <c r="B3752"/>
    </row>
    <row r="3753" spans="1:2" x14ac:dyDescent="0.25">
      <c r="A3753"/>
      <c r="B3753"/>
    </row>
    <row r="3754" spans="1:2" x14ac:dyDescent="0.25">
      <c r="A3754"/>
      <c r="B3754"/>
    </row>
    <row r="3755" spans="1:2" x14ac:dyDescent="0.25">
      <c r="A3755"/>
      <c r="B3755"/>
    </row>
    <row r="3756" spans="1:2" x14ac:dyDescent="0.25">
      <c r="A3756"/>
      <c r="B3756"/>
    </row>
    <row r="3757" spans="1:2" x14ac:dyDescent="0.25">
      <c r="A3757"/>
      <c r="B3757"/>
    </row>
    <row r="3758" spans="1:2" x14ac:dyDescent="0.25">
      <c r="A3758"/>
      <c r="B3758"/>
    </row>
    <row r="3759" spans="1:2" x14ac:dyDescent="0.25">
      <c r="A3759"/>
      <c r="B3759"/>
    </row>
    <row r="3760" spans="1:2" x14ac:dyDescent="0.25">
      <c r="A3760"/>
      <c r="B3760"/>
    </row>
    <row r="3761" spans="1:2" x14ac:dyDescent="0.25">
      <c r="A3761"/>
      <c r="B3761"/>
    </row>
    <row r="3762" spans="1:2" x14ac:dyDescent="0.25">
      <c r="A3762"/>
      <c r="B3762"/>
    </row>
    <row r="3763" spans="1:2" x14ac:dyDescent="0.25">
      <c r="A3763"/>
      <c r="B3763"/>
    </row>
    <row r="3764" spans="1:2" x14ac:dyDescent="0.25">
      <c r="A3764"/>
      <c r="B3764"/>
    </row>
    <row r="3765" spans="1:2" x14ac:dyDescent="0.25">
      <c r="A3765"/>
      <c r="B3765"/>
    </row>
    <row r="3766" spans="1:2" x14ac:dyDescent="0.25">
      <c r="A3766"/>
      <c r="B3766"/>
    </row>
    <row r="3767" spans="1:2" x14ac:dyDescent="0.25">
      <c r="A3767"/>
      <c r="B3767"/>
    </row>
    <row r="3768" spans="1:2" x14ac:dyDescent="0.25">
      <c r="A3768"/>
      <c r="B3768"/>
    </row>
    <row r="3769" spans="1:2" x14ac:dyDescent="0.25">
      <c r="A3769"/>
      <c r="B3769"/>
    </row>
    <row r="3770" spans="1:2" x14ac:dyDescent="0.25">
      <c r="A3770"/>
      <c r="B3770"/>
    </row>
    <row r="3771" spans="1:2" x14ac:dyDescent="0.25">
      <c r="A3771"/>
      <c r="B3771"/>
    </row>
    <row r="3772" spans="1:2" x14ac:dyDescent="0.25">
      <c r="A3772"/>
      <c r="B3772"/>
    </row>
    <row r="3773" spans="1:2" x14ac:dyDescent="0.25">
      <c r="A3773"/>
      <c r="B3773"/>
    </row>
    <row r="3774" spans="1:2" x14ac:dyDescent="0.25">
      <c r="A3774"/>
      <c r="B3774"/>
    </row>
    <row r="3775" spans="1:2" x14ac:dyDescent="0.25">
      <c r="A3775"/>
      <c r="B3775"/>
    </row>
    <row r="3776" spans="1:2" x14ac:dyDescent="0.25">
      <c r="A3776"/>
      <c r="B3776"/>
    </row>
    <row r="3777" spans="1:2" x14ac:dyDescent="0.25">
      <c r="A3777"/>
      <c r="B3777"/>
    </row>
    <row r="3778" spans="1:2" x14ac:dyDescent="0.25">
      <c r="A3778"/>
      <c r="B3778"/>
    </row>
    <row r="3779" spans="1:2" x14ac:dyDescent="0.25">
      <c r="A3779"/>
      <c r="B3779"/>
    </row>
    <row r="3780" spans="1:2" x14ac:dyDescent="0.25">
      <c r="A3780"/>
      <c r="B3780"/>
    </row>
    <row r="3781" spans="1:2" x14ac:dyDescent="0.25">
      <c r="A3781"/>
      <c r="B3781"/>
    </row>
    <row r="3782" spans="1:2" x14ac:dyDescent="0.25">
      <c r="A3782"/>
      <c r="B3782"/>
    </row>
    <row r="3783" spans="1:2" x14ac:dyDescent="0.25">
      <c r="A3783"/>
      <c r="B3783"/>
    </row>
    <row r="3784" spans="1:2" x14ac:dyDescent="0.25">
      <c r="A3784"/>
      <c r="B3784"/>
    </row>
    <row r="3785" spans="1:2" x14ac:dyDescent="0.25">
      <c r="A3785"/>
      <c r="B3785"/>
    </row>
    <row r="3786" spans="1:2" x14ac:dyDescent="0.25">
      <c r="A3786"/>
      <c r="B3786"/>
    </row>
    <row r="3787" spans="1:2" x14ac:dyDescent="0.25">
      <c r="A3787"/>
      <c r="B3787"/>
    </row>
    <row r="3788" spans="1:2" x14ac:dyDescent="0.25">
      <c r="A3788"/>
      <c r="B3788"/>
    </row>
    <row r="3789" spans="1:2" x14ac:dyDescent="0.25">
      <c r="A3789"/>
      <c r="B3789"/>
    </row>
    <row r="3790" spans="1:2" x14ac:dyDescent="0.25">
      <c r="A3790"/>
      <c r="B3790"/>
    </row>
    <row r="3791" spans="1:2" x14ac:dyDescent="0.25">
      <c r="A3791"/>
      <c r="B3791"/>
    </row>
    <row r="3792" spans="1:2" x14ac:dyDescent="0.25">
      <c r="A3792"/>
      <c r="B3792"/>
    </row>
    <row r="3793" spans="1:2" x14ac:dyDescent="0.25">
      <c r="A3793"/>
      <c r="B3793"/>
    </row>
    <row r="3794" spans="1:2" x14ac:dyDescent="0.25">
      <c r="A3794"/>
      <c r="B3794"/>
    </row>
    <row r="3795" spans="1:2" x14ac:dyDescent="0.25">
      <c r="A3795"/>
      <c r="B3795"/>
    </row>
    <row r="3796" spans="1:2" x14ac:dyDescent="0.25">
      <c r="A3796"/>
      <c r="B3796"/>
    </row>
    <row r="3797" spans="1:2" x14ac:dyDescent="0.25">
      <c r="A3797"/>
      <c r="B3797"/>
    </row>
    <row r="3798" spans="1:2" x14ac:dyDescent="0.25">
      <c r="A3798"/>
      <c r="B3798"/>
    </row>
    <row r="3799" spans="1:2" x14ac:dyDescent="0.25">
      <c r="A3799"/>
      <c r="B3799"/>
    </row>
    <row r="3800" spans="1:2" x14ac:dyDescent="0.25">
      <c r="A3800"/>
      <c r="B3800"/>
    </row>
    <row r="3801" spans="1:2" x14ac:dyDescent="0.25">
      <c r="A3801"/>
      <c r="B3801"/>
    </row>
    <row r="3802" spans="1:2" x14ac:dyDescent="0.25">
      <c r="A3802"/>
      <c r="B3802"/>
    </row>
    <row r="3803" spans="1:2" x14ac:dyDescent="0.25">
      <c r="A3803"/>
      <c r="B3803"/>
    </row>
    <row r="3804" spans="1:2" x14ac:dyDescent="0.25">
      <c r="A3804"/>
      <c r="B3804"/>
    </row>
    <row r="3805" spans="1:2" x14ac:dyDescent="0.25">
      <c r="A3805"/>
      <c r="B3805"/>
    </row>
    <row r="3806" spans="1:2" x14ac:dyDescent="0.25">
      <c r="A3806"/>
      <c r="B3806"/>
    </row>
    <row r="3807" spans="1:2" x14ac:dyDescent="0.25">
      <c r="A3807"/>
      <c r="B3807"/>
    </row>
    <row r="3808" spans="1:2" x14ac:dyDescent="0.25">
      <c r="A3808"/>
      <c r="B3808"/>
    </row>
    <row r="3809" spans="1:2" x14ac:dyDescent="0.25">
      <c r="A3809"/>
      <c r="B3809"/>
    </row>
    <row r="3810" spans="1:2" x14ac:dyDescent="0.25">
      <c r="A3810"/>
      <c r="B3810"/>
    </row>
    <row r="3811" spans="1:2" x14ac:dyDescent="0.25">
      <c r="A3811"/>
      <c r="B3811"/>
    </row>
    <row r="3812" spans="1:2" x14ac:dyDescent="0.25">
      <c r="A3812"/>
      <c r="B3812"/>
    </row>
    <row r="3813" spans="1:2" x14ac:dyDescent="0.25">
      <c r="A3813"/>
      <c r="B3813"/>
    </row>
    <row r="3814" spans="1:2" x14ac:dyDescent="0.25">
      <c r="A3814"/>
      <c r="B3814"/>
    </row>
    <row r="3815" spans="1:2" x14ac:dyDescent="0.25">
      <c r="A3815"/>
      <c r="B3815"/>
    </row>
    <row r="3816" spans="1:2" x14ac:dyDescent="0.25">
      <c r="A3816"/>
      <c r="B3816"/>
    </row>
    <row r="3817" spans="1:2" x14ac:dyDescent="0.25">
      <c r="A3817"/>
      <c r="B3817"/>
    </row>
    <row r="3818" spans="1:2" x14ac:dyDescent="0.25">
      <c r="A3818"/>
      <c r="B3818"/>
    </row>
    <row r="3819" spans="1:2" x14ac:dyDescent="0.25">
      <c r="A3819"/>
      <c r="B3819"/>
    </row>
    <row r="3820" spans="1:2" x14ac:dyDescent="0.25">
      <c r="A3820"/>
      <c r="B3820"/>
    </row>
    <row r="3821" spans="1:2" x14ac:dyDescent="0.25">
      <c r="A3821"/>
      <c r="B3821"/>
    </row>
    <row r="3822" spans="1:2" x14ac:dyDescent="0.25">
      <c r="A3822"/>
      <c r="B3822"/>
    </row>
    <row r="3823" spans="1:2" x14ac:dyDescent="0.25">
      <c r="A3823"/>
      <c r="B3823"/>
    </row>
    <row r="3824" spans="1:2" x14ac:dyDescent="0.25">
      <c r="A3824"/>
      <c r="B3824"/>
    </row>
    <row r="3825" spans="1:2" x14ac:dyDescent="0.25">
      <c r="A3825"/>
      <c r="B3825"/>
    </row>
    <row r="3826" spans="1:2" x14ac:dyDescent="0.25">
      <c r="A3826"/>
      <c r="B3826"/>
    </row>
    <row r="3827" spans="1:2" x14ac:dyDescent="0.25">
      <c r="A3827"/>
      <c r="B3827"/>
    </row>
    <row r="3828" spans="1:2" x14ac:dyDescent="0.25">
      <c r="A3828"/>
      <c r="B3828"/>
    </row>
    <row r="3829" spans="1:2" x14ac:dyDescent="0.25">
      <c r="A3829"/>
      <c r="B3829"/>
    </row>
    <row r="3830" spans="1:2" x14ac:dyDescent="0.25">
      <c r="A3830"/>
      <c r="B3830"/>
    </row>
    <row r="3831" spans="1:2" x14ac:dyDescent="0.25">
      <c r="A3831"/>
      <c r="B3831"/>
    </row>
    <row r="3832" spans="1:2" x14ac:dyDescent="0.25">
      <c r="A3832"/>
      <c r="B3832"/>
    </row>
    <row r="3833" spans="1:2" x14ac:dyDescent="0.25">
      <c r="A3833"/>
      <c r="B3833"/>
    </row>
    <row r="3834" spans="1:2" x14ac:dyDescent="0.25">
      <c r="A3834"/>
      <c r="B3834"/>
    </row>
    <row r="3835" spans="1:2" x14ac:dyDescent="0.25">
      <c r="A3835"/>
      <c r="B3835"/>
    </row>
    <row r="3836" spans="1:2" x14ac:dyDescent="0.25">
      <c r="A3836"/>
      <c r="B3836"/>
    </row>
    <row r="3837" spans="1:2" x14ac:dyDescent="0.25">
      <c r="A3837"/>
      <c r="B3837"/>
    </row>
    <row r="3838" spans="1:2" x14ac:dyDescent="0.25">
      <c r="A3838"/>
      <c r="B3838"/>
    </row>
    <row r="3839" spans="1:2" x14ac:dyDescent="0.25">
      <c r="A3839"/>
      <c r="B3839"/>
    </row>
    <row r="3840" spans="1:2" x14ac:dyDescent="0.25">
      <c r="A3840"/>
      <c r="B3840"/>
    </row>
    <row r="3841" spans="1:2" x14ac:dyDescent="0.25">
      <c r="A3841"/>
      <c r="B3841"/>
    </row>
    <row r="3842" spans="1:2" x14ac:dyDescent="0.25">
      <c r="A3842"/>
      <c r="B3842"/>
    </row>
    <row r="3843" spans="1:2" x14ac:dyDescent="0.25">
      <c r="A3843"/>
      <c r="B3843"/>
    </row>
    <row r="3844" spans="1:2" x14ac:dyDescent="0.25">
      <c r="A3844"/>
      <c r="B3844"/>
    </row>
    <row r="3845" spans="1:2" x14ac:dyDescent="0.25">
      <c r="A3845"/>
      <c r="B3845"/>
    </row>
    <row r="3846" spans="1:2" x14ac:dyDescent="0.25">
      <c r="A3846"/>
      <c r="B3846"/>
    </row>
    <row r="3847" spans="1:2" x14ac:dyDescent="0.25">
      <c r="A3847"/>
      <c r="B3847"/>
    </row>
    <row r="3848" spans="1:2" x14ac:dyDescent="0.25">
      <c r="A3848"/>
      <c r="B3848"/>
    </row>
    <row r="3849" spans="1:2" x14ac:dyDescent="0.25">
      <c r="A3849"/>
      <c r="B3849"/>
    </row>
    <row r="3850" spans="1:2" x14ac:dyDescent="0.25">
      <c r="A3850"/>
      <c r="B3850"/>
    </row>
    <row r="3851" spans="1:2" x14ac:dyDescent="0.25">
      <c r="A3851"/>
      <c r="B3851"/>
    </row>
    <row r="3852" spans="1:2" x14ac:dyDescent="0.25">
      <c r="A3852"/>
      <c r="B3852"/>
    </row>
    <row r="3853" spans="1:2" x14ac:dyDescent="0.25">
      <c r="A3853"/>
      <c r="B3853"/>
    </row>
    <row r="3854" spans="1:2" x14ac:dyDescent="0.25">
      <c r="A3854"/>
      <c r="B3854"/>
    </row>
    <row r="3855" spans="1:2" x14ac:dyDescent="0.25">
      <c r="A3855"/>
      <c r="B3855"/>
    </row>
    <row r="3856" spans="1:2" x14ac:dyDescent="0.25">
      <c r="A3856"/>
      <c r="B3856"/>
    </row>
    <row r="3857" spans="1:2" x14ac:dyDescent="0.25">
      <c r="A3857"/>
      <c r="B3857"/>
    </row>
    <row r="3858" spans="1:2" x14ac:dyDescent="0.25">
      <c r="A3858"/>
      <c r="B3858"/>
    </row>
    <row r="3859" spans="1:2" x14ac:dyDescent="0.25">
      <c r="A3859"/>
      <c r="B3859"/>
    </row>
    <row r="3860" spans="1:2" x14ac:dyDescent="0.25">
      <c r="A3860"/>
      <c r="B3860"/>
    </row>
    <row r="3861" spans="1:2" x14ac:dyDescent="0.25">
      <c r="A3861"/>
      <c r="B3861"/>
    </row>
    <row r="3862" spans="1:2" x14ac:dyDescent="0.25">
      <c r="A3862"/>
      <c r="B3862"/>
    </row>
    <row r="3863" spans="1:2" x14ac:dyDescent="0.25">
      <c r="A3863"/>
      <c r="B3863"/>
    </row>
    <row r="3864" spans="1:2" x14ac:dyDescent="0.25">
      <c r="A3864"/>
      <c r="B3864"/>
    </row>
    <row r="3865" spans="1:2" x14ac:dyDescent="0.25">
      <c r="A3865"/>
      <c r="B3865"/>
    </row>
    <row r="3866" spans="1:2" x14ac:dyDescent="0.25">
      <c r="A3866"/>
      <c r="B3866"/>
    </row>
    <row r="3867" spans="1:2" x14ac:dyDescent="0.25">
      <c r="A3867"/>
      <c r="B3867"/>
    </row>
    <row r="3868" spans="1:2" x14ac:dyDescent="0.25">
      <c r="A3868"/>
      <c r="B3868"/>
    </row>
    <row r="3869" spans="1:2" x14ac:dyDescent="0.25">
      <c r="A3869"/>
      <c r="B3869"/>
    </row>
    <row r="3870" spans="1:2" x14ac:dyDescent="0.25">
      <c r="A3870"/>
      <c r="B3870"/>
    </row>
    <row r="3871" spans="1:2" x14ac:dyDescent="0.25">
      <c r="A3871"/>
      <c r="B3871"/>
    </row>
    <row r="3872" spans="1:2" x14ac:dyDescent="0.25">
      <c r="A3872"/>
      <c r="B3872"/>
    </row>
    <row r="3873" spans="1:2" x14ac:dyDescent="0.25">
      <c r="A3873"/>
      <c r="B3873"/>
    </row>
    <row r="3874" spans="1:2" x14ac:dyDescent="0.25">
      <c r="A3874"/>
      <c r="B3874"/>
    </row>
    <row r="3875" spans="1:2" x14ac:dyDescent="0.25">
      <c r="A3875"/>
      <c r="B3875"/>
    </row>
    <row r="3876" spans="1:2" x14ac:dyDescent="0.25">
      <c r="A3876"/>
      <c r="B3876"/>
    </row>
    <row r="3877" spans="1:2" x14ac:dyDescent="0.25">
      <c r="A3877"/>
      <c r="B3877"/>
    </row>
    <row r="3878" spans="1:2" x14ac:dyDescent="0.25">
      <c r="A3878"/>
      <c r="B3878"/>
    </row>
    <row r="3879" spans="1:2" x14ac:dyDescent="0.25">
      <c r="A3879"/>
      <c r="B3879"/>
    </row>
    <row r="3880" spans="1:2" x14ac:dyDescent="0.25">
      <c r="A3880"/>
      <c r="B3880"/>
    </row>
    <row r="3881" spans="1:2" x14ac:dyDescent="0.25">
      <c r="A3881"/>
      <c r="B3881"/>
    </row>
    <row r="3882" spans="1:2" x14ac:dyDescent="0.25">
      <c r="A3882"/>
      <c r="B3882"/>
    </row>
    <row r="3883" spans="1:2" x14ac:dyDescent="0.25">
      <c r="A3883"/>
      <c r="B3883"/>
    </row>
    <row r="3884" spans="1:2" x14ac:dyDescent="0.25">
      <c r="A3884"/>
      <c r="B3884"/>
    </row>
    <row r="3885" spans="1:2" x14ac:dyDescent="0.25">
      <c r="A3885"/>
      <c r="B3885"/>
    </row>
    <row r="3886" spans="1:2" x14ac:dyDescent="0.25">
      <c r="A3886"/>
      <c r="B3886"/>
    </row>
    <row r="3887" spans="1:2" x14ac:dyDescent="0.25">
      <c r="A3887"/>
      <c r="B3887"/>
    </row>
    <row r="3888" spans="1:2" x14ac:dyDescent="0.25">
      <c r="A3888"/>
      <c r="B3888"/>
    </row>
    <row r="3889" spans="1:2" x14ac:dyDescent="0.25">
      <c r="A3889"/>
      <c r="B3889"/>
    </row>
    <row r="3890" spans="1:2" x14ac:dyDescent="0.25">
      <c r="A3890"/>
      <c r="B3890"/>
    </row>
    <row r="3891" spans="1:2" x14ac:dyDescent="0.25">
      <c r="A3891"/>
      <c r="B3891"/>
    </row>
    <row r="3892" spans="1:2" x14ac:dyDescent="0.25">
      <c r="A3892"/>
      <c r="B3892"/>
    </row>
    <row r="3893" spans="1:2" x14ac:dyDescent="0.25">
      <c r="A3893"/>
      <c r="B3893"/>
    </row>
    <row r="3894" spans="1:2" x14ac:dyDescent="0.25">
      <c r="A3894"/>
      <c r="B3894"/>
    </row>
    <row r="3895" spans="1:2" x14ac:dyDescent="0.25">
      <c r="A3895"/>
      <c r="B3895"/>
    </row>
    <row r="3896" spans="1:2" x14ac:dyDescent="0.25">
      <c r="A3896"/>
      <c r="B3896"/>
    </row>
    <row r="3897" spans="1:2" x14ac:dyDescent="0.25">
      <c r="A3897"/>
      <c r="B3897"/>
    </row>
    <row r="3898" spans="1:2" x14ac:dyDescent="0.25">
      <c r="A3898"/>
      <c r="B3898"/>
    </row>
    <row r="3899" spans="1:2" x14ac:dyDescent="0.25">
      <c r="A3899"/>
      <c r="B3899"/>
    </row>
    <row r="3900" spans="1:2" x14ac:dyDescent="0.25">
      <c r="A3900"/>
      <c r="B3900"/>
    </row>
    <row r="3901" spans="1:2" x14ac:dyDescent="0.25">
      <c r="A3901"/>
      <c r="B3901"/>
    </row>
    <row r="3902" spans="1:2" x14ac:dyDescent="0.25">
      <c r="A3902"/>
      <c r="B3902"/>
    </row>
    <row r="3903" spans="1:2" x14ac:dyDescent="0.25">
      <c r="A3903"/>
      <c r="B3903"/>
    </row>
    <row r="3904" spans="1:2" x14ac:dyDescent="0.25">
      <c r="A3904"/>
      <c r="B3904"/>
    </row>
    <row r="3905" spans="1:2" x14ac:dyDescent="0.25">
      <c r="A3905"/>
      <c r="B3905"/>
    </row>
    <row r="3906" spans="1:2" x14ac:dyDescent="0.25">
      <c r="A3906"/>
      <c r="B3906"/>
    </row>
    <row r="3907" spans="1:2" x14ac:dyDescent="0.25">
      <c r="A3907"/>
      <c r="B3907"/>
    </row>
    <row r="3908" spans="1:2" x14ac:dyDescent="0.25">
      <c r="A3908"/>
      <c r="B3908"/>
    </row>
    <row r="3909" spans="1:2" x14ac:dyDescent="0.25">
      <c r="A3909"/>
      <c r="B3909"/>
    </row>
    <row r="3910" spans="1:2" x14ac:dyDescent="0.25">
      <c r="A3910"/>
      <c r="B3910"/>
    </row>
    <row r="3911" spans="1:2" x14ac:dyDescent="0.25">
      <c r="A3911"/>
      <c r="B3911"/>
    </row>
    <row r="3912" spans="1:2" x14ac:dyDescent="0.25">
      <c r="A3912"/>
      <c r="B3912"/>
    </row>
    <row r="3913" spans="1:2" x14ac:dyDescent="0.25">
      <c r="A3913"/>
      <c r="B3913"/>
    </row>
    <row r="3914" spans="1:2" x14ac:dyDescent="0.25">
      <c r="A3914"/>
      <c r="B3914"/>
    </row>
    <row r="3915" spans="1:2" x14ac:dyDescent="0.25">
      <c r="A3915"/>
      <c r="B3915"/>
    </row>
    <row r="3916" spans="1:2" x14ac:dyDescent="0.25">
      <c r="A3916"/>
      <c r="B3916"/>
    </row>
    <row r="3917" spans="1:2" x14ac:dyDescent="0.25">
      <c r="A3917"/>
      <c r="B3917"/>
    </row>
    <row r="3918" spans="1:2" x14ac:dyDescent="0.25">
      <c r="A3918"/>
      <c r="B3918"/>
    </row>
    <row r="3919" spans="1:2" x14ac:dyDescent="0.25">
      <c r="A3919"/>
      <c r="B3919"/>
    </row>
    <row r="3920" spans="1:2" x14ac:dyDescent="0.25">
      <c r="A3920"/>
      <c r="B3920"/>
    </row>
    <row r="3921" spans="1:2" x14ac:dyDescent="0.25">
      <c r="A3921"/>
      <c r="B3921"/>
    </row>
    <row r="3922" spans="1:2" x14ac:dyDescent="0.25">
      <c r="A3922"/>
      <c r="B3922"/>
    </row>
    <row r="3923" spans="1:2" x14ac:dyDescent="0.25">
      <c r="A3923"/>
      <c r="B3923"/>
    </row>
    <row r="3924" spans="1:2" x14ac:dyDescent="0.25">
      <c r="A3924"/>
      <c r="B3924"/>
    </row>
    <row r="3925" spans="1:2" x14ac:dyDescent="0.25">
      <c r="A3925"/>
      <c r="B3925"/>
    </row>
    <row r="3926" spans="1:2" x14ac:dyDescent="0.25">
      <c r="A3926"/>
      <c r="B3926"/>
    </row>
    <row r="3927" spans="1:2" x14ac:dyDescent="0.25">
      <c r="A3927"/>
      <c r="B3927"/>
    </row>
    <row r="3928" spans="1:2" x14ac:dyDescent="0.25">
      <c r="A3928"/>
      <c r="B3928"/>
    </row>
    <row r="3929" spans="1:2" x14ac:dyDescent="0.25">
      <c r="A3929"/>
      <c r="B3929"/>
    </row>
    <row r="3930" spans="1:2" x14ac:dyDescent="0.25">
      <c r="A3930"/>
      <c r="B3930"/>
    </row>
    <row r="3931" spans="1:2" x14ac:dyDescent="0.25">
      <c r="A3931"/>
      <c r="B3931"/>
    </row>
    <row r="3932" spans="1:2" x14ac:dyDescent="0.25">
      <c r="A3932"/>
      <c r="B3932"/>
    </row>
    <row r="3933" spans="1:2" x14ac:dyDescent="0.25">
      <c r="A3933"/>
      <c r="B3933"/>
    </row>
    <row r="3934" spans="1:2" x14ac:dyDescent="0.25">
      <c r="A3934"/>
      <c r="B3934"/>
    </row>
    <row r="3935" spans="1:2" x14ac:dyDescent="0.25">
      <c r="A3935"/>
      <c r="B3935"/>
    </row>
    <row r="3936" spans="1:2" x14ac:dyDescent="0.25">
      <c r="A3936"/>
      <c r="B3936"/>
    </row>
    <row r="3937" spans="1:2" x14ac:dyDescent="0.25">
      <c r="A3937"/>
      <c r="B3937"/>
    </row>
    <row r="3938" spans="1:2" x14ac:dyDescent="0.25">
      <c r="A3938"/>
      <c r="B3938"/>
    </row>
    <row r="3939" spans="1:2" x14ac:dyDescent="0.25">
      <c r="A3939"/>
      <c r="B3939"/>
    </row>
    <row r="3940" spans="1:2" x14ac:dyDescent="0.25">
      <c r="A3940"/>
      <c r="B3940"/>
    </row>
    <row r="3941" spans="1:2" x14ac:dyDescent="0.25">
      <c r="A3941"/>
      <c r="B3941"/>
    </row>
    <row r="3942" spans="1:2" x14ac:dyDescent="0.25">
      <c r="A3942"/>
      <c r="B3942"/>
    </row>
    <row r="3943" spans="1:2" x14ac:dyDescent="0.25">
      <c r="A3943"/>
      <c r="B3943"/>
    </row>
    <row r="3944" spans="1:2" x14ac:dyDescent="0.25">
      <c r="A3944"/>
      <c r="B3944"/>
    </row>
    <row r="3945" spans="1:2" x14ac:dyDescent="0.25">
      <c r="A3945"/>
      <c r="B3945"/>
    </row>
    <row r="3946" spans="1:2" x14ac:dyDescent="0.25">
      <c r="A3946"/>
      <c r="B3946"/>
    </row>
    <row r="3947" spans="1:2" x14ac:dyDescent="0.25">
      <c r="A3947"/>
      <c r="B3947"/>
    </row>
    <row r="3948" spans="1:2" x14ac:dyDescent="0.25">
      <c r="A3948"/>
      <c r="B3948"/>
    </row>
    <row r="3949" spans="1:2" x14ac:dyDescent="0.25">
      <c r="A3949"/>
      <c r="B3949"/>
    </row>
    <row r="3950" spans="1:2" x14ac:dyDescent="0.25">
      <c r="A3950"/>
      <c r="B3950"/>
    </row>
    <row r="3951" spans="1:2" x14ac:dyDescent="0.25">
      <c r="A3951"/>
      <c r="B3951"/>
    </row>
    <row r="3952" spans="1:2" x14ac:dyDescent="0.25">
      <c r="A3952"/>
      <c r="B3952"/>
    </row>
    <row r="3953" spans="1:2" x14ac:dyDescent="0.25">
      <c r="A3953"/>
      <c r="B3953"/>
    </row>
    <row r="3954" spans="1:2" x14ac:dyDescent="0.25">
      <c r="A3954"/>
      <c r="B3954"/>
    </row>
    <row r="3955" spans="1:2" x14ac:dyDescent="0.25">
      <c r="A3955"/>
      <c r="B3955"/>
    </row>
    <row r="3956" spans="1:2" x14ac:dyDescent="0.25">
      <c r="A3956"/>
      <c r="B3956"/>
    </row>
    <row r="3957" spans="1:2" x14ac:dyDescent="0.25">
      <c r="A3957"/>
      <c r="B3957"/>
    </row>
    <row r="3958" spans="1:2" x14ac:dyDescent="0.25">
      <c r="A3958"/>
      <c r="B3958"/>
    </row>
    <row r="3959" spans="1:2" x14ac:dyDescent="0.25">
      <c r="A3959"/>
      <c r="B3959"/>
    </row>
    <row r="3960" spans="1:2" x14ac:dyDescent="0.25">
      <c r="A3960"/>
      <c r="B3960"/>
    </row>
    <row r="3961" spans="1:2" x14ac:dyDescent="0.25">
      <c r="A3961"/>
      <c r="B3961"/>
    </row>
    <row r="3962" spans="1:2" x14ac:dyDescent="0.25">
      <c r="A3962"/>
      <c r="B3962"/>
    </row>
    <row r="3963" spans="1:2" x14ac:dyDescent="0.25">
      <c r="A3963"/>
      <c r="B3963"/>
    </row>
    <row r="3964" spans="1:2" x14ac:dyDescent="0.25">
      <c r="A3964"/>
      <c r="B3964"/>
    </row>
    <row r="3965" spans="1:2" x14ac:dyDescent="0.25">
      <c r="A3965"/>
      <c r="B3965"/>
    </row>
    <row r="3966" spans="1:2" x14ac:dyDescent="0.25">
      <c r="A3966"/>
      <c r="B3966"/>
    </row>
    <row r="3967" spans="1:2" x14ac:dyDescent="0.25">
      <c r="A3967"/>
      <c r="B3967"/>
    </row>
    <row r="3968" spans="1:2" x14ac:dyDescent="0.25">
      <c r="A3968"/>
      <c r="B3968"/>
    </row>
    <row r="3969" spans="1:2" x14ac:dyDescent="0.25">
      <c r="A3969"/>
      <c r="B3969"/>
    </row>
    <row r="3970" spans="1:2" x14ac:dyDescent="0.25">
      <c r="A3970"/>
      <c r="B3970"/>
    </row>
    <row r="3971" spans="1:2" x14ac:dyDescent="0.25">
      <c r="A3971"/>
      <c r="B3971"/>
    </row>
    <row r="3972" spans="1:2" x14ac:dyDescent="0.25">
      <c r="A3972"/>
      <c r="B3972"/>
    </row>
    <row r="3973" spans="1:2" x14ac:dyDescent="0.25">
      <c r="A3973"/>
      <c r="B3973"/>
    </row>
    <row r="3974" spans="1:2" x14ac:dyDescent="0.25">
      <c r="A3974"/>
      <c r="B3974"/>
    </row>
    <row r="3975" spans="1:2" x14ac:dyDescent="0.25">
      <c r="A3975"/>
      <c r="B3975"/>
    </row>
    <row r="3976" spans="1:2" x14ac:dyDescent="0.25">
      <c r="A3976"/>
      <c r="B3976"/>
    </row>
    <row r="3977" spans="1:2" x14ac:dyDescent="0.25">
      <c r="A3977"/>
      <c r="B3977"/>
    </row>
    <row r="3978" spans="1:2" x14ac:dyDescent="0.25">
      <c r="A3978"/>
      <c r="B3978"/>
    </row>
    <row r="3979" spans="1:2" x14ac:dyDescent="0.25">
      <c r="A3979"/>
      <c r="B3979"/>
    </row>
    <row r="3980" spans="1:2" x14ac:dyDescent="0.25">
      <c r="A3980"/>
      <c r="B3980"/>
    </row>
    <row r="3981" spans="1:2" x14ac:dyDescent="0.25">
      <c r="A3981"/>
      <c r="B3981"/>
    </row>
    <row r="3982" spans="1:2" x14ac:dyDescent="0.25">
      <c r="A3982"/>
      <c r="B3982"/>
    </row>
    <row r="3983" spans="1:2" x14ac:dyDescent="0.25">
      <c r="A3983"/>
      <c r="B3983"/>
    </row>
    <row r="3984" spans="1:2" x14ac:dyDescent="0.25">
      <c r="A3984"/>
      <c r="B3984"/>
    </row>
    <row r="3985" spans="1:2" x14ac:dyDescent="0.25">
      <c r="A3985"/>
      <c r="B3985"/>
    </row>
    <row r="3986" spans="1:2" x14ac:dyDescent="0.25">
      <c r="A3986"/>
      <c r="B3986"/>
    </row>
    <row r="3987" spans="1:2" x14ac:dyDescent="0.25">
      <c r="A3987"/>
      <c r="B3987"/>
    </row>
    <row r="3988" spans="1:2" x14ac:dyDescent="0.25">
      <c r="A3988"/>
      <c r="B3988"/>
    </row>
    <row r="3989" spans="1:2" x14ac:dyDescent="0.25">
      <c r="A3989"/>
      <c r="B3989"/>
    </row>
    <row r="3990" spans="1:2" x14ac:dyDescent="0.25">
      <c r="A3990"/>
      <c r="B3990"/>
    </row>
    <row r="3991" spans="1:2" x14ac:dyDescent="0.25">
      <c r="A3991"/>
      <c r="B3991"/>
    </row>
    <row r="3992" spans="1:2" x14ac:dyDescent="0.25">
      <c r="A3992"/>
      <c r="B3992"/>
    </row>
    <row r="3993" spans="1:2" x14ac:dyDescent="0.25">
      <c r="A3993"/>
      <c r="B3993"/>
    </row>
    <row r="3994" spans="1:2" x14ac:dyDescent="0.25">
      <c r="A3994"/>
      <c r="B3994"/>
    </row>
    <row r="3995" spans="1:2" x14ac:dyDescent="0.25">
      <c r="A3995"/>
      <c r="B3995"/>
    </row>
    <row r="3996" spans="1:2" x14ac:dyDescent="0.25">
      <c r="A3996"/>
      <c r="B3996"/>
    </row>
    <row r="3997" spans="1:2" x14ac:dyDescent="0.25">
      <c r="A3997"/>
      <c r="B3997"/>
    </row>
    <row r="3998" spans="1:2" x14ac:dyDescent="0.25">
      <c r="A3998"/>
      <c r="B3998"/>
    </row>
    <row r="3999" spans="1:2" x14ac:dyDescent="0.25">
      <c r="A3999"/>
      <c r="B3999"/>
    </row>
    <row r="4000" spans="1:2" x14ac:dyDescent="0.25">
      <c r="A4000"/>
      <c r="B4000"/>
    </row>
    <row r="4001" spans="1:2" x14ac:dyDescent="0.25">
      <c r="A4001"/>
      <c r="B4001"/>
    </row>
    <row r="4002" spans="1:2" x14ac:dyDescent="0.25">
      <c r="A4002"/>
      <c r="B4002"/>
    </row>
    <row r="4003" spans="1:2" x14ac:dyDescent="0.25">
      <c r="A4003"/>
      <c r="B4003"/>
    </row>
    <row r="4004" spans="1:2" x14ac:dyDescent="0.25">
      <c r="A4004"/>
      <c r="B4004"/>
    </row>
    <row r="4005" spans="1:2" x14ac:dyDescent="0.25">
      <c r="A4005"/>
      <c r="B4005"/>
    </row>
    <row r="4006" spans="1:2" x14ac:dyDescent="0.25">
      <c r="A4006"/>
      <c r="B4006"/>
    </row>
    <row r="4007" spans="1:2" x14ac:dyDescent="0.25">
      <c r="A4007"/>
      <c r="B4007"/>
    </row>
    <row r="4008" spans="1:2" x14ac:dyDescent="0.25">
      <c r="A4008"/>
      <c r="B4008"/>
    </row>
    <row r="4009" spans="1:2" x14ac:dyDescent="0.25">
      <c r="A4009"/>
      <c r="B4009"/>
    </row>
    <row r="4010" spans="1:2" x14ac:dyDescent="0.25">
      <c r="A4010"/>
      <c r="B4010"/>
    </row>
    <row r="4011" spans="1:2" x14ac:dyDescent="0.25">
      <c r="A4011"/>
      <c r="B4011"/>
    </row>
    <row r="4012" spans="1:2" x14ac:dyDescent="0.25">
      <c r="A4012"/>
      <c r="B4012"/>
    </row>
    <row r="4013" spans="1:2" x14ac:dyDescent="0.25">
      <c r="A4013"/>
      <c r="B4013"/>
    </row>
    <row r="4014" spans="1:2" x14ac:dyDescent="0.25">
      <c r="A4014"/>
      <c r="B4014"/>
    </row>
    <row r="4015" spans="1:2" x14ac:dyDescent="0.25">
      <c r="A4015"/>
      <c r="B4015"/>
    </row>
    <row r="4016" spans="1:2" x14ac:dyDescent="0.25">
      <c r="A4016"/>
      <c r="B4016"/>
    </row>
    <row r="4017" spans="1:2" x14ac:dyDescent="0.25">
      <c r="A4017"/>
      <c r="B4017"/>
    </row>
    <row r="4018" spans="1:2" x14ac:dyDescent="0.25">
      <c r="A4018"/>
      <c r="B4018"/>
    </row>
    <row r="4019" spans="1:2" x14ac:dyDescent="0.25">
      <c r="A4019"/>
      <c r="B4019"/>
    </row>
    <row r="4020" spans="1:2" x14ac:dyDescent="0.25">
      <c r="A4020"/>
      <c r="B4020"/>
    </row>
    <row r="4021" spans="1:2" x14ac:dyDescent="0.25">
      <c r="A4021"/>
      <c r="B4021"/>
    </row>
    <row r="4022" spans="1:2" x14ac:dyDescent="0.25">
      <c r="A4022"/>
      <c r="B4022"/>
    </row>
    <row r="4023" spans="1:2" x14ac:dyDescent="0.25">
      <c r="A4023"/>
      <c r="B4023"/>
    </row>
    <row r="4024" spans="1:2" x14ac:dyDescent="0.25">
      <c r="A4024"/>
      <c r="B4024"/>
    </row>
    <row r="4025" spans="1:2" x14ac:dyDescent="0.25">
      <c r="A4025"/>
      <c r="B4025"/>
    </row>
    <row r="4026" spans="1:2" x14ac:dyDescent="0.25">
      <c r="A4026"/>
      <c r="B4026"/>
    </row>
    <row r="4027" spans="1:2" x14ac:dyDescent="0.25">
      <c r="A4027"/>
      <c r="B4027"/>
    </row>
    <row r="4028" spans="1:2" x14ac:dyDescent="0.25">
      <c r="A4028"/>
      <c r="B4028"/>
    </row>
    <row r="4029" spans="1:2" x14ac:dyDescent="0.25">
      <c r="A4029"/>
      <c r="B4029"/>
    </row>
    <row r="4030" spans="1:2" x14ac:dyDescent="0.25">
      <c r="A4030"/>
      <c r="B4030"/>
    </row>
    <row r="4031" spans="1:2" x14ac:dyDescent="0.25">
      <c r="A4031"/>
      <c r="B4031"/>
    </row>
    <row r="4032" spans="1:2" x14ac:dyDescent="0.25">
      <c r="A4032"/>
      <c r="B4032"/>
    </row>
    <row r="4033" spans="1:2" x14ac:dyDescent="0.25">
      <c r="A4033"/>
      <c r="B4033"/>
    </row>
    <row r="4034" spans="1:2" x14ac:dyDescent="0.25">
      <c r="A4034"/>
      <c r="B4034"/>
    </row>
    <row r="4035" spans="1:2" x14ac:dyDescent="0.25">
      <c r="A4035"/>
      <c r="B4035"/>
    </row>
    <row r="4036" spans="1:2" x14ac:dyDescent="0.25">
      <c r="A4036"/>
      <c r="B4036"/>
    </row>
    <row r="4037" spans="1:2" x14ac:dyDescent="0.25">
      <c r="A4037"/>
      <c r="B4037"/>
    </row>
    <row r="4038" spans="1:2" x14ac:dyDescent="0.25">
      <c r="A4038"/>
      <c r="B4038"/>
    </row>
    <row r="4039" spans="1:2" x14ac:dyDescent="0.25">
      <c r="A4039"/>
      <c r="B4039"/>
    </row>
    <row r="4040" spans="1:2" x14ac:dyDescent="0.25">
      <c r="A4040"/>
      <c r="B4040"/>
    </row>
    <row r="4041" spans="1:2" x14ac:dyDescent="0.25">
      <c r="A4041"/>
      <c r="B4041"/>
    </row>
    <row r="4042" spans="1:2" x14ac:dyDescent="0.25">
      <c r="A4042"/>
      <c r="B4042"/>
    </row>
    <row r="4043" spans="1:2" x14ac:dyDescent="0.25">
      <c r="A4043"/>
      <c r="B4043"/>
    </row>
    <row r="4044" spans="1:2" x14ac:dyDescent="0.25">
      <c r="A4044"/>
      <c r="B4044"/>
    </row>
    <row r="4045" spans="1:2" x14ac:dyDescent="0.25">
      <c r="A4045"/>
      <c r="B4045"/>
    </row>
    <row r="4046" spans="1:2" x14ac:dyDescent="0.25">
      <c r="A4046"/>
      <c r="B4046"/>
    </row>
    <row r="4047" spans="1:2" x14ac:dyDescent="0.25">
      <c r="A4047"/>
      <c r="B4047"/>
    </row>
    <row r="4048" spans="1:2" x14ac:dyDescent="0.25">
      <c r="A4048"/>
      <c r="B4048"/>
    </row>
    <row r="4049" spans="1:2" x14ac:dyDescent="0.25">
      <c r="A4049"/>
      <c r="B4049"/>
    </row>
    <row r="4050" spans="1:2" x14ac:dyDescent="0.25">
      <c r="A4050"/>
      <c r="B4050"/>
    </row>
    <row r="4051" spans="1:2" x14ac:dyDescent="0.25">
      <c r="A4051"/>
      <c r="B4051"/>
    </row>
    <row r="4052" spans="1:2" x14ac:dyDescent="0.25">
      <c r="A4052"/>
      <c r="B4052"/>
    </row>
    <row r="4053" spans="1:2" x14ac:dyDescent="0.25">
      <c r="A4053"/>
      <c r="B4053"/>
    </row>
    <row r="4054" spans="1:2" x14ac:dyDescent="0.25">
      <c r="A4054"/>
      <c r="B4054"/>
    </row>
    <row r="4055" spans="1:2" x14ac:dyDescent="0.25">
      <c r="A4055"/>
      <c r="B4055"/>
    </row>
    <row r="4056" spans="1:2" x14ac:dyDescent="0.25">
      <c r="A4056"/>
      <c r="B4056"/>
    </row>
    <row r="4057" spans="1:2" x14ac:dyDescent="0.25">
      <c r="A4057"/>
      <c r="B4057"/>
    </row>
    <row r="4058" spans="1:2" x14ac:dyDescent="0.25">
      <c r="A4058"/>
      <c r="B4058"/>
    </row>
    <row r="4059" spans="1:2" x14ac:dyDescent="0.25">
      <c r="A4059"/>
      <c r="B4059"/>
    </row>
    <row r="4060" spans="1:2" x14ac:dyDescent="0.25">
      <c r="A4060"/>
      <c r="B4060"/>
    </row>
    <row r="4061" spans="1:2" x14ac:dyDescent="0.25">
      <c r="A4061"/>
      <c r="B4061"/>
    </row>
    <row r="4062" spans="1:2" x14ac:dyDescent="0.25">
      <c r="A4062"/>
      <c r="B4062"/>
    </row>
    <row r="4063" spans="1:2" x14ac:dyDescent="0.25">
      <c r="A4063"/>
      <c r="B4063"/>
    </row>
    <row r="4064" spans="1:2" x14ac:dyDescent="0.25">
      <c r="A4064"/>
      <c r="B4064"/>
    </row>
    <row r="4065" spans="1:2" x14ac:dyDescent="0.25">
      <c r="A4065"/>
      <c r="B4065"/>
    </row>
    <row r="4066" spans="1:2" x14ac:dyDescent="0.25">
      <c r="A4066"/>
      <c r="B4066"/>
    </row>
    <row r="4067" spans="1:2" x14ac:dyDescent="0.25">
      <c r="A4067"/>
      <c r="B4067"/>
    </row>
    <row r="4068" spans="1:2" x14ac:dyDescent="0.25">
      <c r="A4068"/>
      <c r="B4068"/>
    </row>
    <row r="4069" spans="1:2" x14ac:dyDescent="0.25">
      <c r="A4069"/>
      <c r="B4069"/>
    </row>
    <row r="4070" spans="1:2" x14ac:dyDescent="0.25">
      <c r="A4070"/>
      <c r="B4070"/>
    </row>
    <row r="4071" spans="1:2" x14ac:dyDescent="0.25">
      <c r="A4071"/>
      <c r="B4071"/>
    </row>
    <row r="4072" spans="1:2" x14ac:dyDescent="0.25">
      <c r="A4072"/>
      <c r="B4072"/>
    </row>
    <row r="4073" spans="1:2" x14ac:dyDescent="0.25">
      <c r="A4073"/>
      <c r="B4073"/>
    </row>
    <row r="4074" spans="1:2" x14ac:dyDescent="0.25">
      <c r="A4074"/>
      <c r="B4074"/>
    </row>
    <row r="4075" spans="1:2" x14ac:dyDescent="0.25">
      <c r="A4075"/>
      <c r="B4075"/>
    </row>
    <row r="4076" spans="1:2" x14ac:dyDescent="0.25">
      <c r="A4076"/>
      <c r="B4076"/>
    </row>
    <row r="4077" spans="1:2" x14ac:dyDescent="0.25">
      <c r="A4077"/>
      <c r="B4077"/>
    </row>
    <row r="4078" spans="1:2" x14ac:dyDescent="0.25">
      <c r="A4078"/>
      <c r="B4078"/>
    </row>
    <row r="4079" spans="1:2" x14ac:dyDescent="0.25">
      <c r="A4079"/>
      <c r="B4079"/>
    </row>
    <row r="4080" spans="1:2" x14ac:dyDescent="0.25">
      <c r="A4080"/>
      <c r="B4080"/>
    </row>
    <row r="4081" spans="1:2" x14ac:dyDescent="0.25">
      <c r="A4081"/>
      <c r="B4081"/>
    </row>
    <row r="4082" spans="1:2" x14ac:dyDescent="0.25">
      <c r="A4082"/>
      <c r="B4082"/>
    </row>
    <row r="4083" spans="1:2" x14ac:dyDescent="0.25">
      <c r="A4083"/>
      <c r="B4083"/>
    </row>
    <row r="4084" spans="1:2" x14ac:dyDescent="0.25">
      <c r="A4084"/>
      <c r="B4084"/>
    </row>
    <row r="4085" spans="1:2" x14ac:dyDescent="0.25">
      <c r="A4085"/>
      <c r="B4085"/>
    </row>
    <row r="4086" spans="1:2" x14ac:dyDescent="0.25">
      <c r="A4086"/>
      <c r="B4086"/>
    </row>
    <row r="4087" spans="1:2" x14ac:dyDescent="0.25">
      <c r="A4087"/>
      <c r="B4087"/>
    </row>
    <row r="4088" spans="1:2" x14ac:dyDescent="0.25">
      <c r="A4088"/>
      <c r="B4088"/>
    </row>
    <row r="4089" spans="1:2" x14ac:dyDescent="0.25">
      <c r="A4089"/>
      <c r="B4089"/>
    </row>
    <row r="4090" spans="1:2" x14ac:dyDescent="0.25">
      <c r="A4090"/>
      <c r="B4090"/>
    </row>
    <row r="4091" spans="1:2" x14ac:dyDescent="0.25">
      <c r="A4091"/>
      <c r="B4091"/>
    </row>
    <row r="4092" spans="1:2" x14ac:dyDescent="0.25">
      <c r="A4092"/>
      <c r="B4092"/>
    </row>
    <row r="4093" spans="1:2" x14ac:dyDescent="0.25">
      <c r="A4093"/>
      <c r="B4093"/>
    </row>
    <row r="4094" spans="1:2" x14ac:dyDescent="0.25">
      <c r="A4094"/>
      <c r="B4094"/>
    </row>
    <row r="4095" spans="1:2" x14ac:dyDescent="0.25">
      <c r="A4095"/>
      <c r="B4095"/>
    </row>
    <row r="4096" spans="1:2" x14ac:dyDescent="0.25">
      <c r="A4096"/>
      <c r="B4096"/>
    </row>
    <row r="4097" spans="1:2" x14ac:dyDescent="0.25">
      <c r="A4097"/>
      <c r="B4097"/>
    </row>
    <row r="4098" spans="1:2" x14ac:dyDescent="0.25">
      <c r="A4098"/>
      <c r="B4098"/>
    </row>
    <row r="4099" spans="1:2" x14ac:dyDescent="0.25">
      <c r="A4099"/>
      <c r="B4099"/>
    </row>
    <row r="4100" spans="1:2" x14ac:dyDescent="0.25">
      <c r="A4100"/>
      <c r="B4100"/>
    </row>
    <row r="4101" spans="1:2" x14ac:dyDescent="0.25">
      <c r="A4101"/>
      <c r="B4101"/>
    </row>
    <row r="4102" spans="1:2" x14ac:dyDescent="0.25">
      <c r="A4102"/>
      <c r="B4102"/>
    </row>
    <row r="4103" spans="1:2" x14ac:dyDescent="0.25">
      <c r="A4103"/>
      <c r="B4103"/>
    </row>
    <row r="4104" spans="1:2" x14ac:dyDescent="0.25">
      <c r="A4104"/>
      <c r="B4104"/>
    </row>
    <row r="4105" spans="1:2" x14ac:dyDescent="0.25">
      <c r="A4105"/>
      <c r="B4105"/>
    </row>
    <row r="4106" spans="1:2" x14ac:dyDescent="0.25">
      <c r="A4106"/>
      <c r="B4106"/>
    </row>
    <row r="4107" spans="1:2" x14ac:dyDescent="0.25">
      <c r="A4107"/>
      <c r="B4107"/>
    </row>
    <row r="4108" spans="1:2" x14ac:dyDescent="0.25">
      <c r="A4108"/>
      <c r="B4108"/>
    </row>
    <row r="4109" spans="1:2" x14ac:dyDescent="0.25">
      <c r="A4109"/>
      <c r="B4109"/>
    </row>
    <row r="4110" spans="1:2" x14ac:dyDescent="0.25">
      <c r="A4110"/>
      <c r="B4110"/>
    </row>
    <row r="4111" spans="1:2" x14ac:dyDescent="0.25">
      <c r="A4111"/>
      <c r="B4111"/>
    </row>
    <row r="4112" spans="1:2" x14ac:dyDescent="0.25">
      <c r="A4112"/>
      <c r="B4112"/>
    </row>
    <row r="4113" spans="1:2" x14ac:dyDescent="0.25">
      <c r="A4113"/>
      <c r="B4113"/>
    </row>
    <row r="4114" spans="1:2" x14ac:dyDescent="0.25">
      <c r="A4114"/>
      <c r="B4114"/>
    </row>
    <row r="4115" spans="1:2" x14ac:dyDescent="0.25">
      <c r="A4115"/>
      <c r="B4115"/>
    </row>
    <row r="4116" spans="1:2" x14ac:dyDescent="0.25">
      <c r="A4116"/>
      <c r="B4116"/>
    </row>
    <row r="4117" spans="1:2" x14ac:dyDescent="0.25">
      <c r="A4117"/>
      <c r="B4117"/>
    </row>
    <row r="4118" spans="1:2" x14ac:dyDescent="0.25">
      <c r="A4118"/>
      <c r="B4118"/>
    </row>
    <row r="4119" spans="1:2" x14ac:dyDescent="0.25">
      <c r="A4119"/>
      <c r="B4119"/>
    </row>
    <row r="4120" spans="1:2" x14ac:dyDescent="0.25">
      <c r="A4120"/>
      <c r="B4120"/>
    </row>
    <row r="4121" spans="1:2" x14ac:dyDescent="0.25">
      <c r="A4121"/>
      <c r="B4121"/>
    </row>
    <row r="4122" spans="1:2" x14ac:dyDescent="0.25">
      <c r="A4122"/>
      <c r="B4122"/>
    </row>
    <row r="4123" spans="1:2" x14ac:dyDescent="0.25">
      <c r="A4123"/>
      <c r="B4123"/>
    </row>
    <row r="4124" spans="1:2" x14ac:dyDescent="0.25">
      <c r="A4124"/>
      <c r="B4124"/>
    </row>
    <row r="4125" spans="1:2" x14ac:dyDescent="0.25">
      <c r="A4125"/>
      <c r="B4125"/>
    </row>
    <row r="4126" spans="1:2" x14ac:dyDescent="0.25">
      <c r="A4126"/>
      <c r="B4126"/>
    </row>
    <row r="4127" spans="1:2" x14ac:dyDescent="0.25">
      <c r="A4127"/>
      <c r="B4127"/>
    </row>
    <row r="4128" spans="1:2" x14ac:dyDescent="0.25">
      <c r="A4128"/>
      <c r="B4128"/>
    </row>
    <row r="4129" spans="1:2" x14ac:dyDescent="0.25">
      <c r="A4129"/>
      <c r="B4129"/>
    </row>
    <row r="4130" spans="1:2" x14ac:dyDescent="0.25">
      <c r="A4130"/>
      <c r="B4130"/>
    </row>
    <row r="4131" spans="1:2" x14ac:dyDescent="0.25">
      <c r="A4131"/>
      <c r="B4131"/>
    </row>
    <row r="4132" spans="1:2" x14ac:dyDescent="0.25">
      <c r="A4132"/>
      <c r="B4132"/>
    </row>
    <row r="4133" spans="1:2" x14ac:dyDescent="0.25">
      <c r="A4133"/>
      <c r="B4133"/>
    </row>
    <row r="4134" spans="1:2" x14ac:dyDescent="0.25">
      <c r="A4134"/>
      <c r="B4134"/>
    </row>
    <row r="4135" spans="1:2" x14ac:dyDescent="0.25">
      <c r="A4135"/>
      <c r="B4135"/>
    </row>
    <row r="4136" spans="1:2" x14ac:dyDescent="0.25">
      <c r="A4136"/>
      <c r="B4136"/>
    </row>
    <row r="4137" spans="1:2" x14ac:dyDescent="0.25">
      <c r="A4137"/>
      <c r="B4137"/>
    </row>
    <row r="4138" spans="1:2" x14ac:dyDescent="0.25">
      <c r="A4138"/>
      <c r="B4138"/>
    </row>
    <row r="4139" spans="1:2" x14ac:dyDescent="0.25">
      <c r="A4139"/>
      <c r="B4139"/>
    </row>
    <row r="4140" spans="1:2" x14ac:dyDescent="0.25">
      <c r="A4140"/>
      <c r="B4140"/>
    </row>
    <row r="4141" spans="1:2" x14ac:dyDescent="0.25">
      <c r="A4141"/>
      <c r="B4141"/>
    </row>
    <row r="4142" spans="1:2" x14ac:dyDescent="0.25">
      <c r="A4142"/>
      <c r="B4142"/>
    </row>
    <row r="4143" spans="1:2" x14ac:dyDescent="0.25">
      <c r="A4143"/>
      <c r="B4143"/>
    </row>
    <row r="4144" spans="1:2" x14ac:dyDescent="0.25">
      <c r="A4144"/>
      <c r="B4144"/>
    </row>
    <row r="4145" spans="1:2" x14ac:dyDescent="0.25">
      <c r="A4145"/>
      <c r="B4145"/>
    </row>
    <row r="4146" spans="1:2" x14ac:dyDescent="0.25">
      <c r="A4146"/>
      <c r="B4146"/>
    </row>
    <row r="4147" spans="1:2" x14ac:dyDescent="0.25">
      <c r="A4147"/>
      <c r="B4147"/>
    </row>
    <row r="4148" spans="1:2" x14ac:dyDescent="0.25">
      <c r="A4148"/>
      <c r="B4148"/>
    </row>
    <row r="4149" spans="1:2" x14ac:dyDescent="0.25">
      <c r="A4149"/>
      <c r="B4149"/>
    </row>
    <row r="4150" spans="1:2" x14ac:dyDescent="0.25">
      <c r="A4150"/>
      <c r="B4150"/>
    </row>
    <row r="4151" spans="1:2" x14ac:dyDescent="0.25">
      <c r="A4151"/>
      <c r="B4151"/>
    </row>
    <row r="4152" spans="1:2" x14ac:dyDescent="0.25">
      <c r="A4152"/>
      <c r="B4152"/>
    </row>
    <row r="4153" spans="1:2" x14ac:dyDescent="0.25">
      <c r="A4153"/>
      <c r="B4153"/>
    </row>
    <row r="4154" spans="1:2" x14ac:dyDescent="0.25">
      <c r="A4154"/>
      <c r="B4154"/>
    </row>
    <row r="4155" spans="1:2" x14ac:dyDescent="0.25">
      <c r="A4155"/>
      <c r="B4155"/>
    </row>
    <row r="4156" spans="1:2" x14ac:dyDescent="0.25">
      <c r="A4156"/>
      <c r="B4156"/>
    </row>
    <row r="4157" spans="1:2" x14ac:dyDescent="0.25">
      <c r="A4157"/>
      <c r="B4157"/>
    </row>
    <row r="4158" spans="1:2" x14ac:dyDescent="0.25">
      <c r="A4158"/>
      <c r="B4158"/>
    </row>
    <row r="4159" spans="1:2" x14ac:dyDescent="0.25">
      <c r="A4159"/>
      <c r="B4159"/>
    </row>
    <row r="4160" spans="1:2" x14ac:dyDescent="0.25">
      <c r="A4160"/>
      <c r="B4160"/>
    </row>
    <row r="4161" spans="1:2" x14ac:dyDescent="0.25">
      <c r="A4161"/>
      <c r="B4161"/>
    </row>
    <row r="4162" spans="1:2" x14ac:dyDescent="0.25">
      <c r="A4162"/>
      <c r="B4162"/>
    </row>
    <row r="4163" spans="1:2" x14ac:dyDescent="0.25">
      <c r="A4163"/>
      <c r="B4163"/>
    </row>
    <row r="4164" spans="1:2" x14ac:dyDescent="0.25">
      <c r="A4164"/>
      <c r="B4164"/>
    </row>
    <row r="4165" spans="1:2" x14ac:dyDescent="0.25">
      <c r="A4165"/>
      <c r="B4165"/>
    </row>
    <row r="4166" spans="1:2" x14ac:dyDescent="0.25">
      <c r="A4166"/>
      <c r="B4166"/>
    </row>
    <row r="4167" spans="1:2" x14ac:dyDescent="0.25">
      <c r="A4167"/>
      <c r="B4167"/>
    </row>
    <row r="4168" spans="1:2" x14ac:dyDescent="0.25">
      <c r="A4168"/>
      <c r="B4168"/>
    </row>
    <row r="4169" spans="1:2" x14ac:dyDescent="0.25">
      <c r="A4169"/>
      <c r="B4169"/>
    </row>
    <row r="4170" spans="1:2" x14ac:dyDescent="0.25">
      <c r="A4170"/>
      <c r="B4170"/>
    </row>
    <row r="4171" spans="1:2" x14ac:dyDescent="0.25">
      <c r="A4171"/>
      <c r="B4171"/>
    </row>
    <row r="4172" spans="1:2" x14ac:dyDescent="0.25">
      <c r="A4172"/>
      <c r="B4172"/>
    </row>
    <row r="4173" spans="1:2" x14ac:dyDescent="0.25">
      <c r="A4173"/>
      <c r="B4173"/>
    </row>
    <row r="4174" spans="1:2" x14ac:dyDescent="0.25">
      <c r="A4174"/>
      <c r="B4174"/>
    </row>
    <row r="4175" spans="1:2" x14ac:dyDescent="0.25">
      <c r="A4175"/>
      <c r="B4175"/>
    </row>
    <row r="4176" spans="1:2" x14ac:dyDescent="0.25">
      <c r="A4176"/>
      <c r="B4176"/>
    </row>
    <row r="4177" spans="1:2" x14ac:dyDescent="0.25">
      <c r="A4177"/>
      <c r="B4177"/>
    </row>
    <row r="4178" spans="1:2" x14ac:dyDescent="0.25">
      <c r="A4178"/>
      <c r="B4178"/>
    </row>
    <row r="4179" spans="1:2" x14ac:dyDescent="0.25">
      <c r="A4179"/>
      <c r="B4179"/>
    </row>
    <row r="4180" spans="1:2" x14ac:dyDescent="0.25">
      <c r="A4180"/>
      <c r="B4180"/>
    </row>
    <row r="4181" spans="1:2" x14ac:dyDescent="0.25">
      <c r="A4181"/>
      <c r="B4181"/>
    </row>
    <row r="4182" spans="1:2" x14ac:dyDescent="0.25">
      <c r="A4182"/>
      <c r="B4182"/>
    </row>
    <row r="4183" spans="1:2" x14ac:dyDescent="0.25">
      <c r="A4183"/>
      <c r="B4183"/>
    </row>
    <row r="4184" spans="1:2" x14ac:dyDescent="0.25">
      <c r="A4184"/>
      <c r="B4184"/>
    </row>
    <row r="4185" spans="1:2" x14ac:dyDescent="0.25">
      <c r="A4185"/>
      <c r="B4185"/>
    </row>
    <row r="4186" spans="1:2" x14ac:dyDescent="0.25">
      <c r="A4186"/>
      <c r="B4186"/>
    </row>
    <row r="4187" spans="1:2" x14ac:dyDescent="0.25">
      <c r="A4187"/>
      <c r="B4187"/>
    </row>
    <row r="4188" spans="1:2" x14ac:dyDescent="0.25">
      <c r="A4188"/>
      <c r="B4188"/>
    </row>
    <row r="4189" spans="1:2" x14ac:dyDescent="0.25">
      <c r="A4189"/>
      <c r="B4189"/>
    </row>
    <row r="4190" spans="1:2" x14ac:dyDescent="0.25">
      <c r="A4190"/>
      <c r="B4190"/>
    </row>
    <row r="4191" spans="1:2" x14ac:dyDescent="0.25">
      <c r="A4191"/>
      <c r="B4191"/>
    </row>
    <row r="4192" spans="1:2" x14ac:dyDescent="0.25">
      <c r="A4192"/>
      <c r="B4192"/>
    </row>
    <row r="4193" spans="1:2" x14ac:dyDescent="0.25">
      <c r="A4193"/>
      <c r="B4193"/>
    </row>
    <row r="4194" spans="1:2" x14ac:dyDescent="0.25">
      <c r="A4194"/>
      <c r="B4194"/>
    </row>
    <row r="4195" spans="1:2" x14ac:dyDescent="0.25">
      <c r="A4195"/>
      <c r="B4195"/>
    </row>
    <row r="4196" spans="1:2" x14ac:dyDescent="0.25">
      <c r="A4196"/>
      <c r="B4196"/>
    </row>
    <row r="4197" spans="1:2" x14ac:dyDescent="0.25">
      <c r="A4197"/>
      <c r="B4197"/>
    </row>
    <row r="4198" spans="1:2" x14ac:dyDescent="0.25">
      <c r="A4198"/>
      <c r="B4198"/>
    </row>
    <row r="4199" spans="1:2" x14ac:dyDescent="0.25">
      <c r="A4199"/>
      <c r="B4199"/>
    </row>
    <row r="4200" spans="1:2" x14ac:dyDescent="0.25">
      <c r="A4200"/>
      <c r="B4200"/>
    </row>
    <row r="4201" spans="1:2" x14ac:dyDescent="0.25">
      <c r="A4201"/>
      <c r="B4201"/>
    </row>
    <row r="4202" spans="1:2" x14ac:dyDescent="0.25">
      <c r="A4202"/>
      <c r="B4202"/>
    </row>
    <row r="4203" spans="1:2" x14ac:dyDescent="0.25">
      <c r="A4203"/>
      <c r="B4203"/>
    </row>
    <row r="4204" spans="1:2" x14ac:dyDescent="0.25">
      <c r="A4204"/>
      <c r="B4204"/>
    </row>
    <row r="4205" spans="1:2" x14ac:dyDescent="0.25">
      <c r="A4205"/>
      <c r="B4205"/>
    </row>
    <row r="4206" spans="1:2" x14ac:dyDescent="0.25">
      <c r="A4206"/>
      <c r="B4206"/>
    </row>
    <row r="4207" spans="1:2" x14ac:dyDescent="0.25">
      <c r="A4207"/>
      <c r="B4207"/>
    </row>
    <row r="4208" spans="1:2" x14ac:dyDescent="0.25">
      <c r="A4208"/>
      <c r="B4208"/>
    </row>
    <row r="4209" spans="1:2" x14ac:dyDescent="0.25">
      <c r="A4209"/>
      <c r="B4209"/>
    </row>
    <row r="4210" spans="1:2" x14ac:dyDescent="0.25">
      <c r="A4210"/>
      <c r="B4210"/>
    </row>
    <row r="4211" spans="1:2" x14ac:dyDescent="0.25">
      <c r="A4211"/>
      <c r="B4211"/>
    </row>
    <row r="4212" spans="1:2" x14ac:dyDescent="0.25">
      <c r="A4212"/>
      <c r="B4212"/>
    </row>
    <row r="4213" spans="1:2" x14ac:dyDescent="0.25">
      <c r="A4213"/>
      <c r="B4213"/>
    </row>
    <row r="4214" spans="1:2" x14ac:dyDescent="0.25">
      <c r="A4214"/>
      <c r="B4214"/>
    </row>
    <row r="4215" spans="1:2" x14ac:dyDescent="0.25">
      <c r="A4215"/>
      <c r="B4215"/>
    </row>
    <row r="4216" spans="1:2" x14ac:dyDescent="0.25">
      <c r="A4216"/>
      <c r="B4216"/>
    </row>
    <row r="4217" spans="1:2" x14ac:dyDescent="0.25">
      <c r="A4217"/>
      <c r="B4217"/>
    </row>
    <row r="4218" spans="1:2" x14ac:dyDescent="0.25">
      <c r="A4218"/>
      <c r="B4218"/>
    </row>
    <row r="4219" spans="1:2" x14ac:dyDescent="0.25">
      <c r="A4219"/>
      <c r="B4219"/>
    </row>
    <row r="4220" spans="1:2" x14ac:dyDescent="0.25">
      <c r="A4220"/>
      <c r="B4220"/>
    </row>
    <row r="4221" spans="1:2" x14ac:dyDescent="0.25">
      <c r="A4221"/>
      <c r="B4221"/>
    </row>
    <row r="4222" spans="1:2" x14ac:dyDescent="0.25">
      <c r="A4222"/>
      <c r="B4222"/>
    </row>
    <row r="4223" spans="1:2" x14ac:dyDescent="0.25">
      <c r="A4223"/>
      <c r="B4223"/>
    </row>
    <row r="4224" spans="1:2" x14ac:dyDescent="0.25">
      <c r="A4224"/>
      <c r="B4224"/>
    </row>
    <row r="4225" spans="1:2" x14ac:dyDescent="0.25">
      <c r="A4225"/>
      <c r="B4225"/>
    </row>
    <row r="4226" spans="1:2" x14ac:dyDescent="0.25">
      <c r="A4226"/>
      <c r="B4226"/>
    </row>
    <row r="4227" spans="1:2" x14ac:dyDescent="0.25">
      <c r="A4227"/>
      <c r="B4227"/>
    </row>
    <row r="4228" spans="1:2" x14ac:dyDescent="0.25">
      <c r="A4228"/>
      <c r="B4228"/>
    </row>
    <row r="4229" spans="1:2" x14ac:dyDescent="0.25">
      <c r="A4229"/>
      <c r="B4229"/>
    </row>
    <row r="4230" spans="1:2" x14ac:dyDescent="0.25">
      <c r="A4230"/>
      <c r="B4230"/>
    </row>
    <row r="4231" spans="1:2" x14ac:dyDescent="0.25">
      <c r="A4231"/>
      <c r="B4231"/>
    </row>
    <row r="4232" spans="1:2" x14ac:dyDescent="0.25">
      <c r="A4232"/>
      <c r="B4232"/>
    </row>
    <row r="4233" spans="1:2" x14ac:dyDescent="0.25">
      <c r="A4233"/>
      <c r="B4233"/>
    </row>
    <row r="4234" spans="1:2" x14ac:dyDescent="0.25">
      <c r="A4234"/>
      <c r="B4234"/>
    </row>
    <row r="4235" spans="1:2" x14ac:dyDescent="0.25">
      <c r="A4235"/>
      <c r="B4235"/>
    </row>
    <row r="4236" spans="1:2" x14ac:dyDescent="0.25">
      <c r="A4236"/>
      <c r="B4236"/>
    </row>
    <row r="4237" spans="1:2" x14ac:dyDescent="0.25">
      <c r="A4237"/>
      <c r="B4237"/>
    </row>
    <row r="4238" spans="1:2" x14ac:dyDescent="0.25">
      <c r="A4238"/>
      <c r="B4238"/>
    </row>
    <row r="4239" spans="1:2" x14ac:dyDescent="0.25">
      <c r="A4239"/>
      <c r="B4239"/>
    </row>
    <row r="4240" spans="1:2" x14ac:dyDescent="0.25">
      <c r="A4240"/>
      <c r="B4240"/>
    </row>
    <row r="4241" spans="1:2" x14ac:dyDescent="0.25">
      <c r="A4241"/>
      <c r="B4241"/>
    </row>
    <row r="4242" spans="1:2" x14ac:dyDescent="0.25">
      <c r="A4242"/>
      <c r="B4242"/>
    </row>
    <row r="4243" spans="1:2" x14ac:dyDescent="0.25">
      <c r="A4243"/>
      <c r="B4243"/>
    </row>
    <row r="4244" spans="1:2" x14ac:dyDescent="0.25">
      <c r="A4244"/>
      <c r="B4244"/>
    </row>
    <row r="4245" spans="1:2" x14ac:dyDescent="0.25">
      <c r="A4245"/>
      <c r="B4245"/>
    </row>
    <row r="4246" spans="1:2" x14ac:dyDescent="0.25">
      <c r="A4246"/>
      <c r="B4246"/>
    </row>
    <row r="4247" spans="1:2" x14ac:dyDescent="0.25">
      <c r="A4247"/>
      <c r="B4247"/>
    </row>
    <row r="4248" spans="1:2" x14ac:dyDescent="0.25">
      <c r="A4248"/>
      <c r="B4248"/>
    </row>
    <row r="4249" spans="1:2" x14ac:dyDescent="0.25">
      <c r="A4249"/>
      <c r="B4249"/>
    </row>
    <row r="4250" spans="1:2" x14ac:dyDescent="0.25">
      <c r="A4250"/>
      <c r="B4250"/>
    </row>
    <row r="4251" spans="1:2" x14ac:dyDescent="0.25">
      <c r="A4251"/>
      <c r="B4251"/>
    </row>
    <row r="4252" spans="1:2" x14ac:dyDescent="0.25">
      <c r="A4252"/>
      <c r="B4252"/>
    </row>
    <row r="4253" spans="1:2" x14ac:dyDescent="0.25">
      <c r="A4253"/>
      <c r="B4253"/>
    </row>
    <row r="4254" spans="1:2" x14ac:dyDescent="0.25">
      <c r="A4254"/>
      <c r="B4254"/>
    </row>
    <row r="4255" spans="1:2" x14ac:dyDescent="0.25">
      <c r="A4255"/>
      <c r="B4255"/>
    </row>
    <row r="4256" spans="1:2" x14ac:dyDescent="0.25">
      <c r="A4256"/>
      <c r="B4256"/>
    </row>
    <row r="4257" spans="1:2" x14ac:dyDescent="0.25">
      <c r="A4257"/>
      <c r="B4257"/>
    </row>
    <row r="4258" spans="1:2" x14ac:dyDescent="0.25">
      <c r="A4258"/>
      <c r="B4258"/>
    </row>
    <row r="4259" spans="1:2" x14ac:dyDescent="0.25">
      <c r="A4259"/>
      <c r="B4259"/>
    </row>
    <row r="4260" spans="1:2" x14ac:dyDescent="0.25">
      <c r="A4260"/>
      <c r="B4260"/>
    </row>
    <row r="4261" spans="1:2" x14ac:dyDescent="0.25">
      <c r="A4261"/>
      <c r="B4261"/>
    </row>
    <row r="4262" spans="1:2" x14ac:dyDescent="0.25">
      <c r="A4262"/>
      <c r="B4262"/>
    </row>
    <row r="4263" spans="1:2" x14ac:dyDescent="0.25">
      <c r="A4263"/>
      <c r="B4263"/>
    </row>
    <row r="4264" spans="1:2" x14ac:dyDescent="0.25">
      <c r="A4264"/>
      <c r="B4264"/>
    </row>
    <row r="4265" spans="1:2" x14ac:dyDescent="0.25">
      <c r="A4265"/>
      <c r="B4265"/>
    </row>
    <row r="4266" spans="1:2" x14ac:dyDescent="0.25">
      <c r="A4266"/>
      <c r="B4266"/>
    </row>
    <row r="4267" spans="1:2" x14ac:dyDescent="0.25">
      <c r="A4267"/>
      <c r="B4267"/>
    </row>
    <row r="4268" spans="1:2" x14ac:dyDescent="0.25">
      <c r="A4268"/>
      <c r="B4268"/>
    </row>
    <row r="4269" spans="1:2" x14ac:dyDescent="0.25">
      <c r="A4269"/>
      <c r="B4269"/>
    </row>
    <row r="4270" spans="1:2" x14ac:dyDescent="0.25">
      <c r="A4270"/>
      <c r="B4270"/>
    </row>
    <row r="4271" spans="1:2" x14ac:dyDescent="0.25">
      <c r="A4271"/>
      <c r="B4271"/>
    </row>
    <row r="4272" spans="1:2" x14ac:dyDescent="0.25">
      <c r="A4272"/>
      <c r="B4272"/>
    </row>
    <row r="4273" spans="1:2" x14ac:dyDescent="0.25">
      <c r="A4273"/>
      <c r="B4273"/>
    </row>
    <row r="4274" spans="1:2" x14ac:dyDescent="0.25">
      <c r="A4274"/>
      <c r="B4274"/>
    </row>
    <row r="4275" spans="1:2" x14ac:dyDescent="0.25">
      <c r="A4275"/>
      <c r="B4275"/>
    </row>
    <row r="4276" spans="1:2" x14ac:dyDescent="0.25">
      <c r="A4276"/>
      <c r="B4276"/>
    </row>
    <row r="4277" spans="1:2" x14ac:dyDescent="0.25">
      <c r="A4277"/>
      <c r="B4277"/>
    </row>
    <row r="4278" spans="1:2" x14ac:dyDescent="0.25">
      <c r="A4278"/>
      <c r="B4278"/>
    </row>
    <row r="4279" spans="1:2" x14ac:dyDescent="0.25">
      <c r="A4279"/>
      <c r="B4279"/>
    </row>
    <row r="4280" spans="1:2" x14ac:dyDescent="0.25">
      <c r="A4280"/>
      <c r="B4280"/>
    </row>
    <row r="4281" spans="1:2" x14ac:dyDescent="0.25">
      <c r="A4281"/>
      <c r="B4281"/>
    </row>
    <row r="4282" spans="1:2" x14ac:dyDescent="0.25">
      <c r="A4282"/>
      <c r="B4282"/>
    </row>
    <row r="4283" spans="1:2" x14ac:dyDescent="0.25">
      <c r="A4283"/>
      <c r="B4283"/>
    </row>
    <row r="4284" spans="1:2" x14ac:dyDescent="0.25">
      <c r="A4284"/>
      <c r="B4284"/>
    </row>
    <row r="4285" spans="1:2" x14ac:dyDescent="0.25">
      <c r="A4285"/>
      <c r="B4285"/>
    </row>
    <row r="4286" spans="1:2" x14ac:dyDescent="0.25">
      <c r="A4286"/>
      <c r="B4286"/>
    </row>
    <row r="4287" spans="1:2" x14ac:dyDescent="0.25">
      <c r="A4287"/>
      <c r="B4287"/>
    </row>
    <row r="4288" spans="1:2" x14ac:dyDescent="0.25">
      <c r="A4288"/>
      <c r="B4288"/>
    </row>
    <row r="4289" spans="1:2" x14ac:dyDescent="0.25">
      <c r="A4289"/>
      <c r="B4289"/>
    </row>
    <row r="4290" spans="1:2" x14ac:dyDescent="0.25">
      <c r="A4290"/>
      <c r="B4290"/>
    </row>
    <row r="4291" spans="1:2" x14ac:dyDescent="0.25">
      <c r="A4291"/>
      <c r="B4291"/>
    </row>
    <row r="4292" spans="1:2" x14ac:dyDescent="0.25">
      <c r="A4292"/>
      <c r="B4292"/>
    </row>
    <row r="4293" spans="1:2" x14ac:dyDescent="0.25">
      <c r="A4293"/>
      <c r="B4293"/>
    </row>
    <row r="4294" spans="1:2" x14ac:dyDescent="0.25">
      <c r="A4294"/>
      <c r="B4294"/>
    </row>
    <row r="4295" spans="1:2" x14ac:dyDescent="0.25">
      <c r="A4295"/>
      <c r="B4295"/>
    </row>
    <row r="4296" spans="1:2" x14ac:dyDescent="0.25">
      <c r="A4296"/>
      <c r="B4296"/>
    </row>
    <row r="4297" spans="1:2" x14ac:dyDescent="0.25">
      <c r="A4297"/>
      <c r="B4297"/>
    </row>
    <row r="4298" spans="1:2" x14ac:dyDescent="0.25">
      <c r="A4298"/>
      <c r="B4298"/>
    </row>
    <row r="4299" spans="1:2" x14ac:dyDescent="0.25">
      <c r="A4299"/>
      <c r="B4299"/>
    </row>
    <row r="4300" spans="1:2" x14ac:dyDescent="0.25">
      <c r="A4300"/>
      <c r="B4300"/>
    </row>
    <row r="4301" spans="1:2" x14ac:dyDescent="0.25">
      <c r="A4301"/>
      <c r="B4301"/>
    </row>
    <row r="4302" spans="1:2" x14ac:dyDescent="0.25">
      <c r="A4302"/>
      <c r="B4302"/>
    </row>
    <row r="4303" spans="1:2" x14ac:dyDescent="0.25">
      <c r="A4303"/>
      <c r="B4303"/>
    </row>
    <row r="4304" spans="1:2" x14ac:dyDescent="0.25">
      <c r="A4304"/>
      <c r="B4304"/>
    </row>
    <row r="4305" spans="1:2" x14ac:dyDescent="0.25">
      <c r="A4305"/>
      <c r="B4305"/>
    </row>
    <row r="4306" spans="1:2" x14ac:dyDescent="0.25">
      <c r="A4306"/>
      <c r="B4306"/>
    </row>
    <row r="4307" spans="1:2" x14ac:dyDescent="0.25">
      <c r="A4307"/>
      <c r="B4307"/>
    </row>
    <row r="4308" spans="1:2" x14ac:dyDescent="0.25">
      <c r="A4308"/>
      <c r="B4308"/>
    </row>
    <row r="4309" spans="1:2" x14ac:dyDescent="0.25">
      <c r="A4309"/>
      <c r="B4309"/>
    </row>
    <row r="4310" spans="1:2" x14ac:dyDescent="0.25">
      <c r="A4310"/>
      <c r="B4310"/>
    </row>
    <row r="4311" spans="1:2" x14ac:dyDescent="0.25">
      <c r="A4311"/>
      <c r="B4311"/>
    </row>
    <row r="4312" spans="1:2" x14ac:dyDescent="0.25">
      <c r="A4312"/>
      <c r="B4312"/>
    </row>
    <row r="4313" spans="1:2" x14ac:dyDescent="0.25">
      <c r="A4313"/>
      <c r="B4313"/>
    </row>
    <row r="4314" spans="1:2" x14ac:dyDescent="0.25">
      <c r="A4314"/>
      <c r="B4314"/>
    </row>
    <row r="4315" spans="1:2" x14ac:dyDescent="0.25">
      <c r="A4315"/>
      <c r="B4315"/>
    </row>
    <row r="4316" spans="1:2" x14ac:dyDescent="0.25">
      <c r="A4316"/>
      <c r="B4316"/>
    </row>
    <row r="4317" spans="1:2" x14ac:dyDescent="0.25">
      <c r="A4317"/>
      <c r="B4317"/>
    </row>
    <row r="4318" spans="1:2" x14ac:dyDescent="0.25">
      <c r="A4318"/>
      <c r="B4318"/>
    </row>
    <row r="4319" spans="1:2" x14ac:dyDescent="0.25">
      <c r="A4319"/>
      <c r="B4319"/>
    </row>
    <row r="4320" spans="1:2" x14ac:dyDescent="0.25">
      <c r="A4320"/>
      <c r="B4320"/>
    </row>
    <row r="4321" spans="1:2" x14ac:dyDescent="0.25">
      <c r="A4321"/>
      <c r="B4321"/>
    </row>
    <row r="4322" spans="1:2" x14ac:dyDescent="0.25">
      <c r="A4322"/>
      <c r="B4322"/>
    </row>
    <row r="4323" spans="1:2" x14ac:dyDescent="0.25">
      <c r="A4323"/>
      <c r="B4323"/>
    </row>
    <row r="4324" spans="1:2" x14ac:dyDescent="0.25">
      <c r="A4324"/>
      <c r="B4324"/>
    </row>
    <row r="4325" spans="1:2" x14ac:dyDescent="0.25">
      <c r="A4325"/>
      <c r="B4325"/>
    </row>
    <row r="4326" spans="1:2" x14ac:dyDescent="0.25">
      <c r="A4326"/>
      <c r="B4326"/>
    </row>
    <row r="4327" spans="1:2" x14ac:dyDescent="0.25">
      <c r="A4327"/>
      <c r="B4327"/>
    </row>
    <row r="4328" spans="1:2" x14ac:dyDescent="0.25">
      <c r="A4328"/>
      <c r="B4328"/>
    </row>
    <row r="4329" spans="1:2" x14ac:dyDescent="0.25">
      <c r="A4329"/>
      <c r="B4329"/>
    </row>
    <row r="4330" spans="1:2" x14ac:dyDescent="0.25">
      <c r="A4330"/>
      <c r="B4330"/>
    </row>
    <row r="4331" spans="1:2" x14ac:dyDescent="0.25">
      <c r="A4331"/>
      <c r="B4331"/>
    </row>
    <row r="4332" spans="1:2" x14ac:dyDescent="0.25">
      <c r="A4332"/>
      <c r="B4332"/>
    </row>
    <row r="4333" spans="1:2" x14ac:dyDescent="0.25">
      <c r="A4333"/>
      <c r="B4333"/>
    </row>
    <row r="4334" spans="1:2" x14ac:dyDescent="0.25">
      <c r="A4334"/>
      <c r="B4334"/>
    </row>
    <row r="4335" spans="1:2" x14ac:dyDescent="0.25">
      <c r="A4335"/>
      <c r="B4335"/>
    </row>
    <row r="4336" spans="1:2" x14ac:dyDescent="0.25">
      <c r="A4336"/>
      <c r="B4336"/>
    </row>
    <row r="4337" spans="1:2" x14ac:dyDescent="0.25">
      <c r="A4337"/>
      <c r="B4337"/>
    </row>
    <row r="4338" spans="1:2" x14ac:dyDescent="0.25">
      <c r="A4338"/>
      <c r="B4338"/>
    </row>
    <row r="4339" spans="1:2" x14ac:dyDescent="0.25">
      <c r="A4339"/>
      <c r="B4339"/>
    </row>
    <row r="4340" spans="1:2" x14ac:dyDescent="0.25">
      <c r="A4340"/>
      <c r="B4340"/>
    </row>
    <row r="4341" spans="1:2" x14ac:dyDescent="0.25">
      <c r="A4341"/>
      <c r="B4341"/>
    </row>
    <row r="4342" spans="1:2" x14ac:dyDescent="0.25">
      <c r="A4342"/>
      <c r="B4342"/>
    </row>
    <row r="4343" spans="1:2" x14ac:dyDescent="0.25">
      <c r="A4343"/>
      <c r="B4343"/>
    </row>
    <row r="4344" spans="1:2" x14ac:dyDescent="0.25">
      <c r="A4344"/>
      <c r="B4344"/>
    </row>
    <row r="4345" spans="1:2" x14ac:dyDescent="0.25">
      <c r="A4345"/>
      <c r="B4345"/>
    </row>
    <row r="4346" spans="1:2" x14ac:dyDescent="0.25">
      <c r="A4346"/>
      <c r="B4346"/>
    </row>
    <row r="4347" spans="1:2" x14ac:dyDescent="0.25">
      <c r="A4347"/>
      <c r="B4347"/>
    </row>
    <row r="4348" spans="1:2" x14ac:dyDescent="0.25">
      <c r="A4348"/>
      <c r="B4348"/>
    </row>
    <row r="4349" spans="1:2" x14ac:dyDescent="0.25">
      <c r="A4349"/>
      <c r="B4349"/>
    </row>
    <row r="4350" spans="1:2" x14ac:dyDescent="0.25">
      <c r="A4350"/>
      <c r="B4350"/>
    </row>
    <row r="4351" spans="1:2" x14ac:dyDescent="0.25">
      <c r="A4351"/>
      <c r="B4351"/>
    </row>
    <row r="4352" spans="1:2" x14ac:dyDescent="0.25">
      <c r="A4352"/>
      <c r="B4352"/>
    </row>
    <row r="4353" spans="1:2" x14ac:dyDescent="0.25">
      <c r="A4353"/>
      <c r="B4353"/>
    </row>
    <row r="4354" spans="1:2" x14ac:dyDescent="0.25">
      <c r="A4354"/>
      <c r="B4354"/>
    </row>
    <row r="4355" spans="1:2" x14ac:dyDescent="0.25">
      <c r="A4355"/>
      <c r="B4355"/>
    </row>
    <row r="4356" spans="1:2" x14ac:dyDescent="0.25">
      <c r="A4356"/>
      <c r="B4356"/>
    </row>
    <row r="4357" spans="1:2" x14ac:dyDescent="0.25">
      <c r="A4357"/>
      <c r="B4357"/>
    </row>
    <row r="4358" spans="1:2" x14ac:dyDescent="0.25">
      <c r="A4358"/>
      <c r="B4358"/>
    </row>
    <row r="4359" spans="1:2" x14ac:dyDescent="0.25">
      <c r="A4359"/>
      <c r="B4359"/>
    </row>
    <row r="4360" spans="1:2" x14ac:dyDescent="0.25">
      <c r="A4360"/>
      <c r="B4360"/>
    </row>
    <row r="4361" spans="1:2" x14ac:dyDescent="0.25">
      <c r="A4361"/>
      <c r="B4361"/>
    </row>
    <row r="4362" spans="1:2" x14ac:dyDescent="0.25">
      <c r="A4362"/>
      <c r="B4362"/>
    </row>
    <row r="4363" spans="1:2" x14ac:dyDescent="0.25">
      <c r="A4363"/>
      <c r="B4363"/>
    </row>
    <row r="4364" spans="1:2" x14ac:dyDescent="0.25">
      <c r="A4364"/>
      <c r="B4364"/>
    </row>
    <row r="4365" spans="1:2" x14ac:dyDescent="0.25">
      <c r="A4365"/>
      <c r="B4365"/>
    </row>
    <row r="4366" spans="1:2" x14ac:dyDescent="0.25">
      <c r="A4366"/>
      <c r="B4366"/>
    </row>
    <row r="4367" spans="1:2" x14ac:dyDescent="0.25">
      <c r="A4367"/>
      <c r="B4367"/>
    </row>
    <row r="4368" spans="1:2" x14ac:dyDescent="0.25">
      <c r="A4368"/>
      <c r="B4368"/>
    </row>
    <row r="4369" spans="1:2" x14ac:dyDescent="0.25">
      <c r="A4369"/>
      <c r="B4369"/>
    </row>
    <row r="4370" spans="1:2" x14ac:dyDescent="0.25">
      <c r="A4370"/>
      <c r="B4370"/>
    </row>
    <row r="4371" spans="1:2" x14ac:dyDescent="0.25">
      <c r="A4371"/>
      <c r="B4371"/>
    </row>
    <row r="4372" spans="1:2" x14ac:dyDescent="0.25">
      <c r="A4372"/>
      <c r="B4372"/>
    </row>
    <row r="4373" spans="1:2" x14ac:dyDescent="0.25">
      <c r="A4373"/>
      <c r="B4373"/>
    </row>
    <row r="4374" spans="1:2" x14ac:dyDescent="0.25">
      <c r="A4374"/>
      <c r="B4374"/>
    </row>
    <row r="4375" spans="1:2" x14ac:dyDescent="0.25">
      <c r="A4375"/>
      <c r="B4375"/>
    </row>
    <row r="4376" spans="1:2" x14ac:dyDescent="0.25">
      <c r="A4376"/>
      <c r="B4376"/>
    </row>
    <row r="4377" spans="1:2" x14ac:dyDescent="0.25">
      <c r="A4377"/>
      <c r="B4377"/>
    </row>
    <row r="4378" spans="1:2" x14ac:dyDescent="0.25">
      <c r="A4378"/>
      <c r="B4378"/>
    </row>
    <row r="4379" spans="1:2" x14ac:dyDescent="0.25">
      <c r="A4379"/>
      <c r="B4379"/>
    </row>
    <row r="4380" spans="1:2" x14ac:dyDescent="0.25">
      <c r="A4380"/>
      <c r="B4380"/>
    </row>
    <row r="4381" spans="1:2" x14ac:dyDescent="0.25">
      <c r="A4381"/>
      <c r="B4381"/>
    </row>
    <row r="4382" spans="1:2" x14ac:dyDescent="0.25">
      <c r="A4382"/>
      <c r="B4382"/>
    </row>
    <row r="4383" spans="1:2" x14ac:dyDescent="0.25">
      <c r="A4383"/>
      <c r="B4383"/>
    </row>
    <row r="4384" spans="1:2" x14ac:dyDescent="0.25">
      <c r="A4384"/>
      <c r="B4384"/>
    </row>
    <row r="4385" spans="1:2" x14ac:dyDescent="0.25">
      <c r="A4385"/>
      <c r="B4385"/>
    </row>
    <row r="4386" spans="1:2" x14ac:dyDescent="0.25">
      <c r="A4386"/>
      <c r="B4386"/>
    </row>
    <row r="4387" spans="1:2" x14ac:dyDescent="0.25">
      <c r="A4387"/>
      <c r="B4387"/>
    </row>
    <row r="4388" spans="1:2" x14ac:dyDescent="0.25">
      <c r="A4388"/>
      <c r="B4388"/>
    </row>
    <row r="4389" spans="1:2" x14ac:dyDescent="0.25">
      <c r="A4389"/>
      <c r="B4389"/>
    </row>
    <row r="4390" spans="1:2" x14ac:dyDescent="0.25">
      <c r="A4390"/>
      <c r="B4390"/>
    </row>
    <row r="4391" spans="1:2" x14ac:dyDescent="0.25">
      <c r="A4391"/>
      <c r="B4391"/>
    </row>
    <row r="4392" spans="1:2" x14ac:dyDescent="0.25">
      <c r="A4392"/>
      <c r="B4392"/>
    </row>
    <row r="4393" spans="1:2" x14ac:dyDescent="0.25">
      <c r="A4393"/>
      <c r="B4393"/>
    </row>
    <row r="4394" spans="1:2" x14ac:dyDescent="0.25">
      <c r="A4394"/>
      <c r="B4394"/>
    </row>
    <row r="4395" spans="1:2" x14ac:dyDescent="0.25">
      <c r="A4395"/>
      <c r="B4395"/>
    </row>
    <row r="4396" spans="1:2" x14ac:dyDescent="0.25">
      <c r="A4396"/>
      <c r="B4396"/>
    </row>
    <row r="4397" spans="1:2" x14ac:dyDescent="0.25">
      <c r="A4397"/>
      <c r="B4397"/>
    </row>
    <row r="4398" spans="1:2" x14ac:dyDescent="0.25">
      <c r="A4398"/>
      <c r="B4398"/>
    </row>
    <row r="4399" spans="1:2" x14ac:dyDescent="0.25">
      <c r="A4399"/>
      <c r="B4399"/>
    </row>
    <row r="4400" spans="1:2" x14ac:dyDescent="0.25">
      <c r="A4400"/>
      <c r="B4400"/>
    </row>
    <row r="4401" spans="1:2" x14ac:dyDescent="0.25">
      <c r="A4401"/>
      <c r="B4401"/>
    </row>
    <row r="4402" spans="1:2" x14ac:dyDescent="0.25">
      <c r="A4402"/>
      <c r="B4402"/>
    </row>
    <row r="4403" spans="1:2" x14ac:dyDescent="0.25">
      <c r="A4403"/>
      <c r="B4403"/>
    </row>
    <row r="4404" spans="1:2" x14ac:dyDescent="0.25">
      <c r="A4404"/>
      <c r="B4404"/>
    </row>
    <row r="4405" spans="1:2" x14ac:dyDescent="0.25">
      <c r="A4405"/>
      <c r="B4405"/>
    </row>
    <row r="4406" spans="1:2" x14ac:dyDescent="0.25">
      <c r="A4406"/>
      <c r="B4406"/>
    </row>
    <row r="4407" spans="1:2" x14ac:dyDescent="0.25">
      <c r="A4407"/>
      <c r="B4407"/>
    </row>
    <row r="4408" spans="1:2" x14ac:dyDescent="0.25">
      <c r="A4408"/>
      <c r="B4408"/>
    </row>
    <row r="4409" spans="1:2" x14ac:dyDescent="0.25">
      <c r="A4409"/>
      <c r="B4409"/>
    </row>
    <row r="4410" spans="1:2" x14ac:dyDescent="0.25">
      <c r="A4410"/>
      <c r="B4410"/>
    </row>
    <row r="4411" spans="1:2" x14ac:dyDescent="0.25">
      <c r="A4411"/>
      <c r="B4411"/>
    </row>
    <row r="4412" spans="1:2" x14ac:dyDescent="0.25">
      <c r="A4412"/>
      <c r="B4412"/>
    </row>
    <row r="4413" spans="1:2" x14ac:dyDescent="0.25">
      <c r="A4413"/>
      <c r="B4413"/>
    </row>
    <row r="4414" spans="1:2" x14ac:dyDescent="0.25">
      <c r="A4414"/>
      <c r="B4414"/>
    </row>
    <row r="4415" spans="1:2" x14ac:dyDescent="0.25">
      <c r="A4415"/>
      <c r="B4415"/>
    </row>
    <row r="4416" spans="1:2" x14ac:dyDescent="0.25">
      <c r="A4416"/>
      <c r="B4416"/>
    </row>
    <row r="4417" spans="1:2" x14ac:dyDescent="0.25">
      <c r="A4417"/>
      <c r="B4417"/>
    </row>
    <row r="4418" spans="1:2" x14ac:dyDescent="0.25">
      <c r="A4418"/>
      <c r="B4418"/>
    </row>
    <row r="4419" spans="1:2" x14ac:dyDescent="0.25">
      <c r="A4419"/>
      <c r="B4419"/>
    </row>
    <row r="4420" spans="1:2" x14ac:dyDescent="0.25">
      <c r="A4420"/>
      <c r="B4420"/>
    </row>
    <row r="4421" spans="1:2" x14ac:dyDescent="0.25">
      <c r="A4421"/>
      <c r="B4421"/>
    </row>
    <row r="4422" spans="1:2" x14ac:dyDescent="0.25">
      <c r="A4422"/>
      <c r="B4422"/>
    </row>
    <row r="4423" spans="1:2" x14ac:dyDescent="0.25">
      <c r="A4423"/>
      <c r="B4423"/>
    </row>
    <row r="4424" spans="1:2" x14ac:dyDescent="0.25">
      <c r="A4424"/>
      <c r="B4424"/>
    </row>
    <row r="4425" spans="1:2" x14ac:dyDescent="0.25">
      <c r="A4425"/>
      <c r="B4425"/>
    </row>
    <row r="4426" spans="1:2" x14ac:dyDescent="0.25">
      <c r="A4426"/>
      <c r="B4426"/>
    </row>
    <row r="4427" spans="1:2" x14ac:dyDescent="0.25">
      <c r="A4427"/>
      <c r="B4427"/>
    </row>
    <row r="4428" spans="1:2" x14ac:dyDescent="0.25">
      <c r="A4428"/>
      <c r="B4428"/>
    </row>
    <row r="4429" spans="1:2" x14ac:dyDescent="0.25">
      <c r="A4429"/>
      <c r="B4429"/>
    </row>
    <row r="4430" spans="1:2" x14ac:dyDescent="0.25">
      <c r="A4430"/>
      <c r="B4430"/>
    </row>
    <row r="4431" spans="1:2" x14ac:dyDescent="0.25">
      <c r="A4431"/>
      <c r="B4431"/>
    </row>
    <row r="4432" spans="1:2" x14ac:dyDescent="0.25">
      <c r="A4432"/>
      <c r="B4432"/>
    </row>
    <row r="4433" spans="1:2" x14ac:dyDescent="0.25">
      <c r="A4433"/>
      <c r="B4433"/>
    </row>
    <row r="4434" spans="1:2" x14ac:dyDescent="0.25">
      <c r="A4434"/>
      <c r="B4434"/>
    </row>
    <row r="4435" spans="1:2" x14ac:dyDescent="0.25">
      <c r="A4435"/>
      <c r="B4435"/>
    </row>
    <row r="4436" spans="1:2" x14ac:dyDescent="0.25">
      <c r="A4436"/>
      <c r="B4436"/>
    </row>
    <row r="4437" spans="1:2" x14ac:dyDescent="0.25">
      <c r="A4437"/>
      <c r="B4437"/>
    </row>
    <row r="4438" spans="1:2" x14ac:dyDescent="0.25">
      <c r="A4438"/>
      <c r="B4438"/>
    </row>
    <row r="4439" spans="1:2" x14ac:dyDescent="0.25">
      <c r="A4439"/>
      <c r="B4439"/>
    </row>
    <row r="4440" spans="1:2" x14ac:dyDescent="0.25">
      <c r="A4440"/>
      <c r="B4440"/>
    </row>
    <row r="4441" spans="1:2" x14ac:dyDescent="0.25">
      <c r="A4441"/>
      <c r="B4441"/>
    </row>
    <row r="4442" spans="1:2" x14ac:dyDescent="0.25">
      <c r="A4442"/>
      <c r="B4442"/>
    </row>
    <row r="4443" spans="1:2" x14ac:dyDescent="0.25">
      <c r="A4443"/>
      <c r="B4443"/>
    </row>
    <row r="4444" spans="1:2" x14ac:dyDescent="0.25">
      <c r="A4444"/>
      <c r="B4444"/>
    </row>
    <row r="4445" spans="1:2" x14ac:dyDescent="0.25">
      <c r="A4445"/>
      <c r="B4445"/>
    </row>
    <row r="4446" spans="1:2" x14ac:dyDescent="0.25">
      <c r="A4446"/>
      <c r="B4446"/>
    </row>
    <row r="4447" spans="1:2" x14ac:dyDescent="0.25">
      <c r="A4447"/>
      <c r="B4447"/>
    </row>
    <row r="4448" spans="1:2" x14ac:dyDescent="0.25">
      <c r="A4448"/>
      <c r="B4448"/>
    </row>
    <row r="4449" spans="1:2" x14ac:dyDescent="0.25">
      <c r="A4449"/>
      <c r="B4449"/>
    </row>
    <row r="4450" spans="1:2" x14ac:dyDescent="0.25">
      <c r="A4450"/>
      <c r="B4450"/>
    </row>
    <row r="4451" spans="1:2" x14ac:dyDescent="0.25">
      <c r="A4451"/>
      <c r="B4451"/>
    </row>
    <row r="4452" spans="1:2" x14ac:dyDescent="0.25">
      <c r="A4452"/>
      <c r="B4452"/>
    </row>
    <row r="4453" spans="1:2" x14ac:dyDescent="0.25">
      <c r="A4453"/>
      <c r="B4453"/>
    </row>
    <row r="4454" spans="1:2" x14ac:dyDescent="0.25">
      <c r="A4454"/>
      <c r="B4454"/>
    </row>
    <row r="4455" spans="1:2" x14ac:dyDescent="0.25">
      <c r="A4455"/>
      <c r="B4455"/>
    </row>
    <row r="4456" spans="1:2" x14ac:dyDescent="0.25">
      <c r="A4456"/>
      <c r="B4456"/>
    </row>
    <row r="4457" spans="1:2" x14ac:dyDescent="0.25">
      <c r="A4457"/>
      <c r="B4457"/>
    </row>
    <row r="4458" spans="1:2" x14ac:dyDescent="0.25">
      <c r="A4458"/>
      <c r="B4458"/>
    </row>
    <row r="4459" spans="1:2" x14ac:dyDescent="0.25">
      <c r="A4459"/>
      <c r="B4459"/>
    </row>
    <row r="4460" spans="1:2" x14ac:dyDescent="0.25">
      <c r="A4460"/>
      <c r="B4460"/>
    </row>
    <row r="4461" spans="1:2" x14ac:dyDescent="0.25">
      <c r="A4461"/>
      <c r="B4461"/>
    </row>
    <row r="4462" spans="1:2" x14ac:dyDescent="0.25">
      <c r="A4462"/>
      <c r="B4462"/>
    </row>
    <row r="4463" spans="1:2" x14ac:dyDescent="0.25">
      <c r="A4463"/>
      <c r="B4463"/>
    </row>
    <row r="4464" spans="1:2" x14ac:dyDescent="0.25">
      <c r="A4464"/>
      <c r="B4464"/>
    </row>
    <row r="4465" spans="1:2" x14ac:dyDescent="0.25">
      <c r="A4465"/>
      <c r="B4465"/>
    </row>
    <row r="4466" spans="1:2" x14ac:dyDescent="0.25">
      <c r="A4466"/>
      <c r="B4466"/>
    </row>
    <row r="4467" spans="1:2" x14ac:dyDescent="0.25">
      <c r="A4467"/>
      <c r="B4467"/>
    </row>
    <row r="4468" spans="1:2" x14ac:dyDescent="0.25">
      <c r="A4468"/>
      <c r="B4468"/>
    </row>
    <row r="4469" spans="1:2" x14ac:dyDescent="0.25">
      <c r="A4469"/>
      <c r="B4469"/>
    </row>
    <row r="4470" spans="1:2" x14ac:dyDescent="0.25">
      <c r="A4470"/>
      <c r="B4470"/>
    </row>
    <row r="4471" spans="1:2" x14ac:dyDescent="0.25">
      <c r="A4471"/>
      <c r="B4471"/>
    </row>
    <row r="4472" spans="1:2" x14ac:dyDescent="0.25">
      <c r="A4472"/>
      <c r="B4472"/>
    </row>
    <row r="4473" spans="1:2" x14ac:dyDescent="0.25">
      <c r="A4473"/>
      <c r="B4473"/>
    </row>
    <row r="4474" spans="1:2" x14ac:dyDescent="0.25">
      <c r="A4474"/>
      <c r="B4474"/>
    </row>
    <row r="4475" spans="1:2" x14ac:dyDescent="0.25">
      <c r="A4475"/>
      <c r="B4475"/>
    </row>
    <row r="4476" spans="1:2" x14ac:dyDescent="0.25">
      <c r="A4476"/>
      <c r="B4476"/>
    </row>
    <row r="4477" spans="1:2" x14ac:dyDescent="0.25">
      <c r="A4477"/>
      <c r="B4477"/>
    </row>
    <row r="4478" spans="1:2" x14ac:dyDescent="0.25">
      <c r="A4478"/>
      <c r="B4478"/>
    </row>
    <row r="4479" spans="1:2" x14ac:dyDescent="0.25">
      <c r="A4479"/>
      <c r="B4479"/>
    </row>
    <row r="4480" spans="1:2" x14ac:dyDescent="0.25">
      <c r="A4480"/>
      <c r="B4480"/>
    </row>
    <row r="4481" spans="1:2" x14ac:dyDescent="0.25">
      <c r="A4481"/>
      <c r="B4481"/>
    </row>
    <row r="4482" spans="1:2" x14ac:dyDescent="0.25">
      <c r="A4482"/>
      <c r="B4482"/>
    </row>
    <row r="4483" spans="1:2" x14ac:dyDescent="0.25">
      <c r="A4483"/>
      <c r="B4483"/>
    </row>
    <row r="4484" spans="1:2" x14ac:dyDescent="0.25">
      <c r="A4484"/>
      <c r="B4484"/>
    </row>
    <row r="4485" spans="1:2" x14ac:dyDescent="0.25">
      <c r="A4485"/>
      <c r="B4485"/>
    </row>
    <row r="4486" spans="1:2" x14ac:dyDescent="0.25">
      <c r="A4486"/>
      <c r="B4486"/>
    </row>
    <row r="4487" spans="1:2" x14ac:dyDescent="0.25">
      <c r="A4487"/>
      <c r="B4487"/>
    </row>
    <row r="4488" spans="1:2" x14ac:dyDescent="0.25">
      <c r="A4488"/>
      <c r="B4488"/>
    </row>
    <row r="4489" spans="1:2" x14ac:dyDescent="0.25">
      <c r="A4489"/>
      <c r="B4489"/>
    </row>
    <row r="4490" spans="1:2" x14ac:dyDescent="0.25">
      <c r="A4490"/>
      <c r="B4490"/>
    </row>
    <row r="4491" spans="1:2" x14ac:dyDescent="0.25">
      <c r="A4491"/>
      <c r="B4491"/>
    </row>
    <row r="4492" spans="1:2" x14ac:dyDescent="0.25">
      <c r="A4492"/>
      <c r="B4492"/>
    </row>
    <row r="4493" spans="1:2" x14ac:dyDescent="0.25">
      <c r="A4493"/>
      <c r="B4493"/>
    </row>
    <row r="4494" spans="1:2" x14ac:dyDescent="0.25">
      <c r="A4494"/>
      <c r="B4494"/>
    </row>
    <row r="4495" spans="1:2" x14ac:dyDescent="0.25">
      <c r="A4495"/>
      <c r="B4495"/>
    </row>
    <row r="4496" spans="1:2" x14ac:dyDescent="0.25">
      <c r="A4496"/>
      <c r="B4496"/>
    </row>
    <row r="4497" spans="1:2" x14ac:dyDescent="0.25">
      <c r="A4497"/>
      <c r="B4497"/>
    </row>
    <row r="4498" spans="1:2" x14ac:dyDescent="0.25">
      <c r="A4498"/>
      <c r="B4498"/>
    </row>
    <row r="4499" spans="1:2" x14ac:dyDescent="0.25">
      <c r="A4499"/>
      <c r="B4499"/>
    </row>
    <row r="4500" spans="1:2" x14ac:dyDescent="0.25">
      <c r="A4500"/>
      <c r="B4500"/>
    </row>
    <row r="4501" spans="1:2" x14ac:dyDescent="0.25">
      <c r="A4501"/>
      <c r="B4501"/>
    </row>
    <row r="4502" spans="1:2" x14ac:dyDescent="0.25">
      <c r="A4502"/>
      <c r="B4502"/>
    </row>
    <row r="4503" spans="1:2" x14ac:dyDescent="0.25">
      <c r="A4503"/>
      <c r="B4503"/>
    </row>
    <row r="4504" spans="1:2" x14ac:dyDescent="0.25">
      <c r="A4504"/>
      <c r="B4504"/>
    </row>
    <row r="4505" spans="1:2" x14ac:dyDescent="0.25">
      <c r="A4505"/>
      <c r="B4505"/>
    </row>
    <row r="4506" spans="1:2" x14ac:dyDescent="0.25">
      <c r="A4506"/>
      <c r="B4506"/>
    </row>
    <row r="4507" spans="1:2" x14ac:dyDescent="0.25">
      <c r="A4507"/>
      <c r="B4507"/>
    </row>
    <row r="4508" spans="1:2" x14ac:dyDescent="0.25">
      <c r="A4508"/>
      <c r="B4508"/>
    </row>
    <row r="4509" spans="1:2" x14ac:dyDescent="0.25">
      <c r="A4509"/>
      <c r="B4509"/>
    </row>
    <row r="4510" spans="1:2" x14ac:dyDescent="0.25">
      <c r="A4510"/>
      <c r="B4510"/>
    </row>
    <row r="4511" spans="1:2" x14ac:dyDescent="0.25">
      <c r="A4511"/>
      <c r="B4511"/>
    </row>
    <row r="4512" spans="1:2" x14ac:dyDescent="0.25">
      <c r="A4512"/>
      <c r="B4512"/>
    </row>
    <row r="4513" spans="1:2" x14ac:dyDescent="0.25">
      <c r="A4513"/>
      <c r="B4513"/>
    </row>
    <row r="4514" spans="1:2" x14ac:dyDescent="0.25">
      <c r="A4514"/>
      <c r="B4514"/>
    </row>
    <row r="4515" spans="1:2" x14ac:dyDescent="0.25">
      <c r="A4515"/>
      <c r="B4515"/>
    </row>
    <row r="4516" spans="1:2" x14ac:dyDescent="0.25">
      <c r="A4516"/>
      <c r="B4516"/>
    </row>
    <row r="4517" spans="1:2" x14ac:dyDescent="0.25">
      <c r="A4517"/>
      <c r="B4517"/>
    </row>
    <row r="4518" spans="1:2" x14ac:dyDescent="0.25">
      <c r="A4518"/>
      <c r="B4518"/>
    </row>
    <row r="4519" spans="1:2" x14ac:dyDescent="0.25">
      <c r="A4519"/>
      <c r="B4519"/>
    </row>
    <row r="4520" spans="1:2" x14ac:dyDescent="0.25">
      <c r="A4520"/>
      <c r="B4520"/>
    </row>
    <row r="4521" spans="1:2" x14ac:dyDescent="0.25">
      <c r="A4521"/>
      <c r="B4521"/>
    </row>
    <row r="4522" spans="1:2" x14ac:dyDescent="0.25">
      <c r="A4522"/>
      <c r="B4522"/>
    </row>
    <row r="4523" spans="1:2" x14ac:dyDescent="0.25">
      <c r="A4523"/>
      <c r="B4523"/>
    </row>
    <row r="4524" spans="1:2" x14ac:dyDescent="0.25">
      <c r="A4524"/>
      <c r="B4524"/>
    </row>
    <row r="4525" spans="1:2" x14ac:dyDescent="0.25">
      <c r="A4525"/>
      <c r="B4525"/>
    </row>
    <row r="4526" spans="1:2" x14ac:dyDescent="0.25">
      <c r="A4526"/>
      <c r="B4526"/>
    </row>
    <row r="4527" spans="1:2" x14ac:dyDescent="0.25">
      <c r="A4527"/>
      <c r="B4527"/>
    </row>
    <row r="4528" spans="1:2" x14ac:dyDescent="0.25">
      <c r="A4528"/>
      <c r="B4528"/>
    </row>
    <row r="4529" spans="1:2" x14ac:dyDescent="0.25">
      <c r="A4529"/>
      <c r="B4529"/>
    </row>
    <row r="4530" spans="1:2" x14ac:dyDescent="0.25">
      <c r="A4530"/>
      <c r="B4530"/>
    </row>
    <row r="4531" spans="1:2" x14ac:dyDescent="0.25">
      <c r="A4531"/>
      <c r="B4531"/>
    </row>
    <row r="4532" spans="1:2" x14ac:dyDescent="0.25">
      <c r="A4532"/>
      <c r="B4532"/>
    </row>
    <row r="4533" spans="1:2" x14ac:dyDescent="0.25">
      <c r="A4533"/>
      <c r="B4533"/>
    </row>
    <row r="4534" spans="1:2" x14ac:dyDescent="0.25">
      <c r="A4534"/>
      <c r="B4534"/>
    </row>
    <row r="4535" spans="1:2" x14ac:dyDescent="0.25">
      <c r="A4535"/>
      <c r="B4535"/>
    </row>
    <row r="4536" spans="1:2" x14ac:dyDescent="0.25">
      <c r="A4536"/>
      <c r="B4536"/>
    </row>
    <row r="4537" spans="1:2" x14ac:dyDescent="0.25">
      <c r="A4537"/>
      <c r="B4537"/>
    </row>
    <row r="4538" spans="1:2" x14ac:dyDescent="0.25">
      <c r="A4538"/>
      <c r="B4538"/>
    </row>
    <row r="4539" spans="1:2" x14ac:dyDescent="0.25">
      <c r="A4539"/>
      <c r="B4539"/>
    </row>
    <row r="4540" spans="1:2" x14ac:dyDescent="0.25">
      <c r="A4540"/>
      <c r="B4540"/>
    </row>
    <row r="4541" spans="1:2" x14ac:dyDescent="0.25">
      <c r="A4541"/>
      <c r="B4541"/>
    </row>
    <row r="4542" spans="1:2" x14ac:dyDescent="0.25">
      <c r="A4542"/>
      <c r="B4542"/>
    </row>
    <row r="4543" spans="1:2" x14ac:dyDescent="0.25">
      <c r="A4543"/>
      <c r="B4543"/>
    </row>
    <row r="4544" spans="1:2" x14ac:dyDescent="0.25">
      <c r="A4544"/>
      <c r="B4544"/>
    </row>
    <row r="4545" spans="1:2" x14ac:dyDescent="0.25">
      <c r="A4545"/>
      <c r="B4545"/>
    </row>
    <row r="4546" spans="1:2" x14ac:dyDescent="0.25">
      <c r="A4546"/>
      <c r="B4546"/>
    </row>
    <row r="4547" spans="1:2" x14ac:dyDescent="0.25">
      <c r="A4547"/>
      <c r="B4547"/>
    </row>
    <row r="4548" spans="1:2" x14ac:dyDescent="0.25">
      <c r="A4548"/>
      <c r="B4548"/>
    </row>
    <row r="4549" spans="1:2" x14ac:dyDescent="0.25">
      <c r="A4549"/>
      <c r="B4549"/>
    </row>
    <row r="4550" spans="1:2" x14ac:dyDescent="0.25">
      <c r="A4550"/>
      <c r="B4550"/>
    </row>
    <row r="4551" spans="1:2" x14ac:dyDescent="0.25">
      <c r="A4551"/>
      <c r="B4551"/>
    </row>
    <row r="4552" spans="1:2" x14ac:dyDescent="0.25">
      <c r="A4552"/>
      <c r="B4552"/>
    </row>
    <row r="4553" spans="1:2" x14ac:dyDescent="0.25">
      <c r="A4553"/>
      <c r="B4553"/>
    </row>
    <row r="4554" spans="1:2" x14ac:dyDescent="0.25">
      <c r="A4554"/>
      <c r="B4554"/>
    </row>
    <row r="4555" spans="1:2" x14ac:dyDescent="0.25">
      <c r="A4555"/>
      <c r="B4555"/>
    </row>
    <row r="4556" spans="1:2" x14ac:dyDescent="0.25">
      <c r="A4556"/>
      <c r="B4556"/>
    </row>
    <row r="4557" spans="1:2" x14ac:dyDescent="0.25">
      <c r="A4557"/>
      <c r="B4557"/>
    </row>
    <row r="4558" spans="1:2" x14ac:dyDescent="0.25">
      <c r="A4558"/>
      <c r="B4558"/>
    </row>
    <row r="4559" spans="1:2" x14ac:dyDescent="0.25">
      <c r="A4559"/>
      <c r="B4559"/>
    </row>
    <row r="4560" spans="1:2" x14ac:dyDescent="0.25">
      <c r="A4560"/>
      <c r="B4560"/>
    </row>
    <row r="4561" spans="1:2" x14ac:dyDescent="0.25">
      <c r="A4561"/>
      <c r="B4561"/>
    </row>
    <row r="4562" spans="1:2" x14ac:dyDescent="0.25">
      <c r="A4562"/>
      <c r="B4562"/>
    </row>
    <row r="4563" spans="1:2" x14ac:dyDescent="0.25">
      <c r="A4563"/>
      <c r="B4563"/>
    </row>
    <row r="4564" spans="1:2" x14ac:dyDescent="0.25">
      <c r="A4564"/>
      <c r="B4564"/>
    </row>
    <row r="4565" spans="1:2" x14ac:dyDescent="0.25">
      <c r="A4565"/>
      <c r="B4565"/>
    </row>
    <row r="4566" spans="1:2" x14ac:dyDescent="0.25">
      <c r="A4566"/>
      <c r="B4566"/>
    </row>
    <row r="4567" spans="1:2" x14ac:dyDescent="0.25">
      <c r="A4567"/>
      <c r="B4567"/>
    </row>
    <row r="4568" spans="1:2" x14ac:dyDescent="0.25">
      <c r="A4568"/>
      <c r="B4568"/>
    </row>
    <row r="4569" spans="1:2" x14ac:dyDescent="0.25">
      <c r="A4569"/>
      <c r="B4569"/>
    </row>
    <row r="4570" spans="1:2" x14ac:dyDescent="0.25">
      <c r="A4570"/>
      <c r="B4570"/>
    </row>
    <row r="4571" spans="1:2" x14ac:dyDescent="0.25">
      <c r="A4571"/>
      <c r="B4571"/>
    </row>
    <row r="4572" spans="1:2" x14ac:dyDescent="0.25">
      <c r="A4572"/>
      <c r="B4572"/>
    </row>
    <row r="4573" spans="1:2" x14ac:dyDescent="0.25">
      <c r="A4573"/>
      <c r="B4573"/>
    </row>
    <row r="4574" spans="1:2" x14ac:dyDescent="0.25">
      <c r="A4574"/>
      <c r="B4574"/>
    </row>
    <row r="4575" spans="1:2" x14ac:dyDescent="0.25">
      <c r="A4575"/>
      <c r="B4575"/>
    </row>
    <row r="4576" spans="1:2" x14ac:dyDescent="0.25">
      <c r="A4576"/>
      <c r="B4576"/>
    </row>
    <row r="4577" spans="1:2" x14ac:dyDescent="0.25">
      <c r="A4577"/>
      <c r="B4577"/>
    </row>
    <row r="4578" spans="1:2" x14ac:dyDescent="0.25">
      <c r="A4578"/>
      <c r="B4578"/>
    </row>
    <row r="4579" spans="1:2" x14ac:dyDescent="0.25">
      <c r="A4579"/>
      <c r="B4579"/>
    </row>
    <row r="4580" spans="1:2" x14ac:dyDescent="0.25">
      <c r="A4580"/>
      <c r="B4580"/>
    </row>
    <row r="4581" spans="1:2" x14ac:dyDescent="0.25">
      <c r="A4581"/>
      <c r="B4581"/>
    </row>
    <row r="4582" spans="1:2" x14ac:dyDescent="0.25">
      <c r="A4582"/>
      <c r="B4582"/>
    </row>
    <row r="4583" spans="1:2" x14ac:dyDescent="0.25">
      <c r="A4583"/>
      <c r="B4583"/>
    </row>
    <row r="4584" spans="1:2" x14ac:dyDescent="0.25">
      <c r="A4584"/>
      <c r="B4584"/>
    </row>
    <row r="4585" spans="1:2" x14ac:dyDescent="0.25">
      <c r="A4585"/>
      <c r="B4585"/>
    </row>
    <row r="4586" spans="1:2" x14ac:dyDescent="0.25">
      <c r="A4586"/>
      <c r="B4586"/>
    </row>
    <row r="4587" spans="1:2" x14ac:dyDescent="0.25">
      <c r="A4587"/>
      <c r="B4587"/>
    </row>
    <row r="4588" spans="1:2" x14ac:dyDescent="0.25">
      <c r="A4588"/>
      <c r="B4588"/>
    </row>
    <row r="4589" spans="1:2" x14ac:dyDescent="0.25">
      <c r="A4589"/>
      <c r="B4589"/>
    </row>
    <row r="4590" spans="1:2" x14ac:dyDescent="0.25">
      <c r="A4590"/>
      <c r="B4590"/>
    </row>
    <row r="4591" spans="1:2" x14ac:dyDescent="0.25">
      <c r="A4591"/>
      <c r="B4591"/>
    </row>
    <row r="4592" spans="1:2" x14ac:dyDescent="0.25">
      <c r="A4592"/>
      <c r="B4592"/>
    </row>
    <row r="4593" spans="1:2" x14ac:dyDescent="0.25">
      <c r="A4593"/>
      <c r="B4593"/>
    </row>
    <row r="4594" spans="1:2" x14ac:dyDescent="0.25">
      <c r="A4594"/>
      <c r="B4594"/>
    </row>
    <row r="4595" spans="1:2" x14ac:dyDescent="0.25">
      <c r="A4595"/>
      <c r="B4595"/>
    </row>
    <row r="4596" spans="1:2" x14ac:dyDescent="0.25">
      <c r="A4596"/>
      <c r="B4596"/>
    </row>
    <row r="4597" spans="1:2" x14ac:dyDescent="0.25">
      <c r="A4597"/>
      <c r="B4597"/>
    </row>
    <row r="4598" spans="1:2" x14ac:dyDescent="0.25">
      <c r="A4598"/>
      <c r="B4598"/>
    </row>
    <row r="4599" spans="1:2" x14ac:dyDescent="0.25">
      <c r="A4599"/>
      <c r="B4599"/>
    </row>
    <row r="4600" spans="1:2" x14ac:dyDescent="0.25">
      <c r="A4600"/>
      <c r="B4600"/>
    </row>
    <row r="4601" spans="1:2" x14ac:dyDescent="0.25">
      <c r="A4601"/>
      <c r="B4601"/>
    </row>
    <row r="4602" spans="1:2" x14ac:dyDescent="0.25">
      <c r="A4602"/>
      <c r="B4602"/>
    </row>
    <row r="4603" spans="1:2" x14ac:dyDescent="0.25">
      <c r="A4603"/>
      <c r="B4603"/>
    </row>
    <row r="4604" spans="1:2" x14ac:dyDescent="0.25">
      <c r="A4604"/>
      <c r="B4604"/>
    </row>
    <row r="4605" spans="1:2" x14ac:dyDescent="0.25">
      <c r="A4605"/>
      <c r="B4605"/>
    </row>
    <row r="4606" spans="1:2" x14ac:dyDescent="0.25">
      <c r="A4606"/>
      <c r="B4606"/>
    </row>
    <row r="4607" spans="1:2" x14ac:dyDescent="0.25">
      <c r="A4607"/>
      <c r="B4607"/>
    </row>
    <row r="4608" spans="1:2" x14ac:dyDescent="0.25">
      <c r="A4608"/>
      <c r="B4608"/>
    </row>
    <row r="4609" spans="1:2" x14ac:dyDescent="0.25">
      <c r="A4609"/>
      <c r="B4609"/>
    </row>
    <row r="4610" spans="1:2" x14ac:dyDescent="0.25">
      <c r="A4610"/>
      <c r="B4610"/>
    </row>
    <row r="4611" spans="1:2" x14ac:dyDescent="0.25">
      <c r="A4611"/>
      <c r="B4611"/>
    </row>
    <row r="4612" spans="1:2" x14ac:dyDescent="0.25">
      <c r="A4612"/>
      <c r="B4612"/>
    </row>
    <row r="4613" spans="1:2" x14ac:dyDescent="0.25">
      <c r="A4613"/>
      <c r="B4613"/>
    </row>
    <row r="4614" spans="1:2" x14ac:dyDescent="0.25">
      <c r="A4614"/>
      <c r="B4614"/>
    </row>
    <row r="4615" spans="1:2" x14ac:dyDescent="0.25">
      <c r="A4615"/>
      <c r="B4615"/>
    </row>
    <row r="4616" spans="1:2" x14ac:dyDescent="0.25">
      <c r="A4616"/>
      <c r="B4616"/>
    </row>
    <row r="4617" spans="1:2" x14ac:dyDescent="0.25">
      <c r="A4617"/>
      <c r="B4617"/>
    </row>
    <row r="4618" spans="1:2" x14ac:dyDescent="0.25">
      <c r="A4618"/>
      <c r="B4618"/>
    </row>
    <row r="4619" spans="1:2" x14ac:dyDescent="0.25">
      <c r="A4619"/>
      <c r="B4619"/>
    </row>
    <row r="4620" spans="1:2" x14ac:dyDescent="0.25">
      <c r="A4620"/>
      <c r="B4620"/>
    </row>
    <row r="4621" spans="1:2" x14ac:dyDescent="0.25">
      <c r="A4621"/>
      <c r="B4621"/>
    </row>
    <row r="4622" spans="1:2" x14ac:dyDescent="0.25">
      <c r="A4622"/>
      <c r="B4622"/>
    </row>
    <row r="4623" spans="1:2" x14ac:dyDescent="0.25">
      <c r="A4623"/>
      <c r="B4623"/>
    </row>
    <row r="4624" spans="1:2" x14ac:dyDescent="0.25">
      <c r="A4624"/>
      <c r="B4624"/>
    </row>
    <row r="4625" spans="1:2" x14ac:dyDescent="0.25">
      <c r="A4625"/>
      <c r="B4625"/>
    </row>
    <row r="4626" spans="1:2" x14ac:dyDescent="0.25">
      <c r="A4626"/>
      <c r="B4626"/>
    </row>
    <row r="4627" spans="1:2" x14ac:dyDescent="0.25">
      <c r="A4627"/>
      <c r="B4627"/>
    </row>
    <row r="4628" spans="1:2" x14ac:dyDescent="0.25">
      <c r="A4628"/>
      <c r="B4628"/>
    </row>
    <row r="4629" spans="1:2" x14ac:dyDescent="0.25">
      <c r="A4629"/>
      <c r="B4629"/>
    </row>
    <row r="4630" spans="1:2" x14ac:dyDescent="0.25">
      <c r="A4630"/>
      <c r="B4630"/>
    </row>
    <row r="4631" spans="1:2" x14ac:dyDescent="0.25">
      <c r="A4631"/>
      <c r="B4631"/>
    </row>
    <row r="4632" spans="1:2" x14ac:dyDescent="0.25">
      <c r="A4632"/>
      <c r="B4632"/>
    </row>
    <row r="4633" spans="1:2" x14ac:dyDescent="0.25">
      <c r="A4633"/>
      <c r="B4633"/>
    </row>
    <row r="4634" spans="1:2" x14ac:dyDescent="0.25">
      <c r="A4634"/>
      <c r="B4634"/>
    </row>
    <row r="4635" spans="1:2" x14ac:dyDescent="0.25">
      <c r="A4635"/>
      <c r="B4635"/>
    </row>
    <row r="4636" spans="1:2" x14ac:dyDescent="0.25">
      <c r="A4636"/>
      <c r="B4636"/>
    </row>
    <row r="4637" spans="1:2" x14ac:dyDescent="0.25">
      <c r="A4637"/>
      <c r="B4637"/>
    </row>
    <row r="4638" spans="1:2" x14ac:dyDescent="0.25">
      <c r="A4638"/>
      <c r="B4638"/>
    </row>
    <row r="4639" spans="1:2" x14ac:dyDescent="0.25">
      <c r="A4639"/>
      <c r="B4639"/>
    </row>
    <row r="4640" spans="1:2" x14ac:dyDescent="0.25">
      <c r="A4640"/>
      <c r="B4640"/>
    </row>
    <row r="4641" spans="1:2" x14ac:dyDescent="0.25">
      <c r="A4641"/>
      <c r="B4641"/>
    </row>
    <row r="4642" spans="1:2" x14ac:dyDescent="0.25">
      <c r="A4642"/>
      <c r="B4642"/>
    </row>
    <row r="4643" spans="1:2" x14ac:dyDescent="0.25">
      <c r="A4643"/>
      <c r="B4643"/>
    </row>
    <row r="4644" spans="1:2" x14ac:dyDescent="0.25">
      <c r="A4644"/>
      <c r="B4644"/>
    </row>
    <row r="4645" spans="1:2" x14ac:dyDescent="0.25">
      <c r="A4645"/>
      <c r="B4645"/>
    </row>
    <row r="4646" spans="1:2" x14ac:dyDescent="0.25">
      <c r="A4646"/>
      <c r="B4646"/>
    </row>
    <row r="4647" spans="1:2" x14ac:dyDescent="0.25">
      <c r="A4647"/>
      <c r="B4647"/>
    </row>
    <row r="4648" spans="1:2" x14ac:dyDescent="0.25">
      <c r="A4648"/>
      <c r="B4648"/>
    </row>
    <row r="4649" spans="1:2" x14ac:dyDescent="0.25">
      <c r="A4649"/>
      <c r="B4649"/>
    </row>
    <row r="4650" spans="1:2" x14ac:dyDescent="0.25">
      <c r="A4650"/>
      <c r="B4650"/>
    </row>
    <row r="4651" spans="1:2" x14ac:dyDescent="0.25">
      <c r="A4651"/>
      <c r="B4651"/>
    </row>
    <row r="4652" spans="1:2" x14ac:dyDescent="0.25">
      <c r="A4652"/>
      <c r="B4652"/>
    </row>
    <row r="4653" spans="1:2" x14ac:dyDescent="0.25">
      <c r="A4653"/>
      <c r="B4653"/>
    </row>
    <row r="4654" spans="1:2" x14ac:dyDescent="0.25">
      <c r="A4654"/>
      <c r="B4654"/>
    </row>
    <row r="4655" spans="1:2" x14ac:dyDescent="0.25">
      <c r="A4655"/>
      <c r="B4655"/>
    </row>
    <row r="4656" spans="1:2" x14ac:dyDescent="0.25">
      <c r="A4656"/>
      <c r="B4656"/>
    </row>
    <row r="4657" spans="1:2" x14ac:dyDescent="0.25">
      <c r="A4657"/>
      <c r="B4657"/>
    </row>
    <row r="4658" spans="1:2" x14ac:dyDescent="0.25">
      <c r="A4658"/>
      <c r="B4658"/>
    </row>
    <row r="4659" spans="1:2" x14ac:dyDescent="0.25">
      <c r="A4659"/>
      <c r="B4659"/>
    </row>
    <row r="4660" spans="1:2" x14ac:dyDescent="0.25">
      <c r="A4660"/>
      <c r="B4660"/>
    </row>
    <row r="4661" spans="1:2" x14ac:dyDescent="0.25">
      <c r="A4661"/>
      <c r="B4661"/>
    </row>
    <row r="4662" spans="1:2" x14ac:dyDescent="0.25">
      <c r="A4662"/>
      <c r="B4662"/>
    </row>
    <row r="4663" spans="1:2" x14ac:dyDescent="0.25">
      <c r="A4663"/>
      <c r="B4663"/>
    </row>
    <row r="4664" spans="1:2" x14ac:dyDescent="0.25">
      <c r="A4664"/>
      <c r="B4664"/>
    </row>
    <row r="4665" spans="1:2" x14ac:dyDescent="0.25">
      <c r="A4665"/>
      <c r="B4665"/>
    </row>
    <row r="4666" spans="1:2" x14ac:dyDescent="0.25">
      <c r="A4666"/>
      <c r="B4666"/>
    </row>
    <row r="4667" spans="1:2" x14ac:dyDescent="0.25">
      <c r="A4667"/>
      <c r="B4667"/>
    </row>
    <row r="4668" spans="1:2" x14ac:dyDescent="0.25">
      <c r="A4668"/>
      <c r="B4668"/>
    </row>
    <row r="4669" spans="1:2" x14ac:dyDescent="0.25">
      <c r="A4669"/>
      <c r="B4669"/>
    </row>
    <row r="4670" spans="1:2" x14ac:dyDescent="0.25">
      <c r="A4670"/>
      <c r="B4670"/>
    </row>
    <row r="4671" spans="1:2" x14ac:dyDescent="0.25">
      <c r="A4671"/>
      <c r="B4671"/>
    </row>
    <row r="4672" spans="1:2" x14ac:dyDescent="0.25">
      <c r="A4672"/>
      <c r="B4672"/>
    </row>
    <row r="4673" spans="1:2" x14ac:dyDescent="0.25">
      <c r="A4673"/>
      <c r="B4673"/>
    </row>
    <row r="4674" spans="1:2" x14ac:dyDescent="0.25">
      <c r="A4674"/>
      <c r="B4674"/>
    </row>
    <row r="4675" spans="1:2" x14ac:dyDescent="0.25">
      <c r="A4675"/>
      <c r="B4675"/>
    </row>
    <row r="4676" spans="1:2" x14ac:dyDescent="0.25">
      <c r="A4676"/>
      <c r="B4676"/>
    </row>
    <row r="4677" spans="1:2" x14ac:dyDescent="0.25">
      <c r="A4677"/>
      <c r="B4677"/>
    </row>
    <row r="4678" spans="1:2" x14ac:dyDescent="0.25">
      <c r="A4678"/>
      <c r="B4678"/>
    </row>
    <row r="4679" spans="1:2" x14ac:dyDescent="0.25">
      <c r="A4679"/>
      <c r="B4679"/>
    </row>
    <row r="4680" spans="1:2" x14ac:dyDescent="0.25">
      <c r="A4680"/>
      <c r="B4680"/>
    </row>
    <row r="4681" spans="1:2" x14ac:dyDescent="0.25">
      <c r="A4681"/>
      <c r="B4681"/>
    </row>
    <row r="4682" spans="1:2" x14ac:dyDescent="0.25">
      <c r="A4682"/>
      <c r="B4682"/>
    </row>
    <row r="4683" spans="1:2" x14ac:dyDescent="0.25">
      <c r="A4683"/>
      <c r="B4683"/>
    </row>
    <row r="4684" spans="1:2" x14ac:dyDescent="0.25">
      <c r="A4684"/>
      <c r="B4684"/>
    </row>
    <row r="4685" spans="1:2" x14ac:dyDescent="0.25">
      <c r="A4685"/>
      <c r="B4685"/>
    </row>
    <row r="4686" spans="1:2" x14ac:dyDescent="0.25">
      <c r="A4686"/>
      <c r="B4686"/>
    </row>
    <row r="4687" spans="1:2" x14ac:dyDescent="0.25">
      <c r="A4687"/>
      <c r="B4687"/>
    </row>
    <row r="4688" spans="1:2" x14ac:dyDescent="0.25">
      <c r="A4688"/>
      <c r="B4688"/>
    </row>
    <row r="4689" spans="1:2" x14ac:dyDescent="0.25">
      <c r="A4689"/>
      <c r="B4689"/>
    </row>
    <row r="4690" spans="1:2" x14ac:dyDescent="0.25">
      <c r="A4690"/>
      <c r="B4690"/>
    </row>
    <row r="4691" spans="1:2" x14ac:dyDescent="0.25">
      <c r="A4691"/>
      <c r="B4691"/>
    </row>
    <row r="4692" spans="1:2" x14ac:dyDescent="0.25">
      <c r="A4692"/>
      <c r="B4692"/>
    </row>
    <row r="4693" spans="1:2" x14ac:dyDescent="0.25">
      <c r="A4693"/>
      <c r="B4693"/>
    </row>
    <row r="4694" spans="1:2" x14ac:dyDescent="0.25">
      <c r="A4694"/>
      <c r="B4694"/>
    </row>
    <row r="4695" spans="1:2" x14ac:dyDescent="0.25">
      <c r="A4695"/>
      <c r="B4695"/>
    </row>
    <row r="4696" spans="1:2" x14ac:dyDescent="0.25">
      <c r="A4696"/>
      <c r="B4696"/>
    </row>
    <row r="4697" spans="1:2" x14ac:dyDescent="0.25">
      <c r="A4697"/>
      <c r="B4697"/>
    </row>
    <row r="4698" spans="1:2" x14ac:dyDescent="0.25">
      <c r="A4698"/>
      <c r="B4698"/>
    </row>
    <row r="4699" spans="1:2" x14ac:dyDescent="0.25">
      <c r="A4699"/>
      <c r="B4699"/>
    </row>
    <row r="4700" spans="1:2" x14ac:dyDescent="0.25">
      <c r="A4700"/>
      <c r="B4700"/>
    </row>
    <row r="4701" spans="1:2" x14ac:dyDescent="0.25">
      <c r="A4701"/>
      <c r="B4701"/>
    </row>
    <row r="4702" spans="1:2" x14ac:dyDescent="0.25">
      <c r="A4702"/>
      <c r="B4702"/>
    </row>
    <row r="4703" spans="1:2" x14ac:dyDescent="0.25">
      <c r="A4703"/>
      <c r="B4703"/>
    </row>
    <row r="4704" spans="1:2" x14ac:dyDescent="0.25">
      <c r="A4704"/>
      <c r="B4704"/>
    </row>
    <row r="4705" spans="1:2" x14ac:dyDescent="0.25">
      <c r="A4705"/>
      <c r="B4705"/>
    </row>
    <row r="4706" spans="1:2" x14ac:dyDescent="0.25">
      <c r="A4706"/>
      <c r="B4706"/>
    </row>
    <row r="4707" spans="1:2" x14ac:dyDescent="0.25">
      <c r="A4707"/>
      <c r="B4707"/>
    </row>
    <row r="4708" spans="1:2" x14ac:dyDescent="0.25">
      <c r="A4708"/>
      <c r="B4708"/>
    </row>
    <row r="4709" spans="1:2" x14ac:dyDescent="0.25">
      <c r="A4709"/>
      <c r="B4709"/>
    </row>
    <row r="4710" spans="1:2" x14ac:dyDescent="0.25">
      <c r="A4710"/>
      <c r="B4710"/>
    </row>
    <row r="4711" spans="1:2" x14ac:dyDescent="0.25">
      <c r="A4711"/>
      <c r="B4711"/>
    </row>
    <row r="4712" spans="1:2" x14ac:dyDescent="0.25">
      <c r="A4712"/>
      <c r="B4712"/>
    </row>
    <row r="4713" spans="1:2" x14ac:dyDescent="0.25">
      <c r="A4713"/>
      <c r="B4713"/>
    </row>
    <row r="4714" spans="1:2" x14ac:dyDescent="0.25">
      <c r="A4714"/>
      <c r="B4714"/>
    </row>
    <row r="4715" spans="1:2" x14ac:dyDescent="0.25">
      <c r="A4715"/>
      <c r="B4715"/>
    </row>
    <row r="4716" spans="1:2" x14ac:dyDescent="0.25">
      <c r="A4716"/>
      <c r="B4716"/>
    </row>
    <row r="4717" spans="1:2" x14ac:dyDescent="0.25">
      <c r="A4717"/>
      <c r="B4717"/>
    </row>
    <row r="4718" spans="1:2" x14ac:dyDescent="0.25">
      <c r="A4718"/>
      <c r="B4718"/>
    </row>
    <row r="4719" spans="1:2" x14ac:dyDescent="0.25">
      <c r="A4719"/>
      <c r="B4719"/>
    </row>
    <row r="4720" spans="1:2" x14ac:dyDescent="0.25">
      <c r="A4720"/>
      <c r="B4720"/>
    </row>
    <row r="4721" spans="1:2" x14ac:dyDescent="0.25">
      <c r="A4721"/>
      <c r="B4721"/>
    </row>
    <row r="4722" spans="1:2" x14ac:dyDescent="0.25">
      <c r="A4722"/>
      <c r="B4722"/>
    </row>
    <row r="4723" spans="1:2" x14ac:dyDescent="0.25">
      <c r="A4723"/>
      <c r="B4723"/>
    </row>
    <row r="4724" spans="1:2" x14ac:dyDescent="0.25">
      <c r="A4724"/>
      <c r="B4724"/>
    </row>
    <row r="4725" spans="1:2" x14ac:dyDescent="0.25">
      <c r="A4725"/>
      <c r="B4725"/>
    </row>
    <row r="4726" spans="1:2" x14ac:dyDescent="0.25">
      <c r="A4726"/>
      <c r="B4726"/>
    </row>
    <row r="4727" spans="1:2" x14ac:dyDescent="0.25">
      <c r="A4727"/>
      <c r="B4727"/>
    </row>
    <row r="4728" spans="1:2" x14ac:dyDescent="0.25">
      <c r="A4728"/>
      <c r="B4728"/>
    </row>
    <row r="4729" spans="1:2" x14ac:dyDescent="0.25">
      <c r="A4729"/>
      <c r="B4729"/>
    </row>
    <row r="4730" spans="1:2" x14ac:dyDescent="0.25">
      <c r="A4730"/>
      <c r="B4730"/>
    </row>
    <row r="4731" spans="1:2" x14ac:dyDescent="0.25">
      <c r="A4731"/>
      <c r="B4731"/>
    </row>
    <row r="4732" spans="1:2" x14ac:dyDescent="0.25">
      <c r="A4732"/>
      <c r="B4732"/>
    </row>
    <row r="4733" spans="1:2" x14ac:dyDescent="0.25">
      <c r="A4733"/>
      <c r="B4733"/>
    </row>
    <row r="4734" spans="1:2" x14ac:dyDescent="0.25">
      <c r="A4734"/>
      <c r="B4734"/>
    </row>
    <row r="4735" spans="1:2" x14ac:dyDescent="0.25">
      <c r="A4735"/>
      <c r="B4735"/>
    </row>
    <row r="4736" spans="1:2" x14ac:dyDescent="0.25">
      <c r="A4736"/>
      <c r="B4736"/>
    </row>
    <row r="4737" spans="1:2" x14ac:dyDescent="0.25">
      <c r="A4737"/>
      <c r="B4737"/>
    </row>
    <row r="4738" spans="1:2" x14ac:dyDescent="0.25">
      <c r="A4738"/>
      <c r="B4738"/>
    </row>
    <row r="4739" spans="1:2" x14ac:dyDescent="0.25">
      <c r="A4739"/>
      <c r="B4739"/>
    </row>
    <row r="4740" spans="1:2" x14ac:dyDescent="0.25">
      <c r="A4740"/>
      <c r="B4740"/>
    </row>
    <row r="4741" spans="1:2" x14ac:dyDescent="0.25">
      <c r="A4741"/>
      <c r="B4741"/>
    </row>
    <row r="4742" spans="1:2" x14ac:dyDescent="0.25">
      <c r="A4742"/>
      <c r="B4742"/>
    </row>
    <row r="4743" spans="1:2" x14ac:dyDescent="0.25">
      <c r="A4743"/>
      <c r="B4743"/>
    </row>
    <row r="4744" spans="1:2" x14ac:dyDescent="0.25">
      <c r="A4744"/>
      <c r="B4744"/>
    </row>
    <row r="4745" spans="1:2" x14ac:dyDescent="0.25">
      <c r="A4745"/>
      <c r="B4745"/>
    </row>
    <row r="4746" spans="1:2" x14ac:dyDescent="0.25">
      <c r="A4746"/>
      <c r="B4746"/>
    </row>
    <row r="4747" spans="1:2" x14ac:dyDescent="0.25">
      <c r="A4747"/>
      <c r="B4747"/>
    </row>
    <row r="4748" spans="1:2" x14ac:dyDescent="0.25">
      <c r="A4748"/>
      <c r="B4748"/>
    </row>
    <row r="4749" spans="1:2" x14ac:dyDescent="0.25">
      <c r="A4749"/>
      <c r="B4749"/>
    </row>
    <row r="4750" spans="1:2" x14ac:dyDescent="0.25">
      <c r="A4750"/>
      <c r="B4750"/>
    </row>
    <row r="4751" spans="1:2" x14ac:dyDescent="0.25">
      <c r="A4751"/>
      <c r="B4751"/>
    </row>
    <row r="4752" spans="1:2" x14ac:dyDescent="0.25">
      <c r="A4752"/>
      <c r="B4752"/>
    </row>
    <row r="4753" spans="1:2" x14ac:dyDescent="0.25">
      <c r="A4753"/>
      <c r="B4753"/>
    </row>
    <row r="4754" spans="1:2" x14ac:dyDescent="0.25">
      <c r="A4754"/>
      <c r="B4754"/>
    </row>
    <row r="4755" spans="1:2" x14ac:dyDescent="0.25">
      <c r="A4755"/>
      <c r="B4755"/>
    </row>
    <row r="4756" spans="1:2" x14ac:dyDescent="0.25">
      <c r="A4756"/>
      <c r="B4756"/>
    </row>
    <row r="4757" spans="1:2" x14ac:dyDescent="0.25">
      <c r="A4757"/>
      <c r="B4757"/>
    </row>
    <row r="4758" spans="1:2" x14ac:dyDescent="0.25">
      <c r="A4758"/>
      <c r="B4758"/>
    </row>
    <row r="4759" spans="1:2" x14ac:dyDescent="0.25">
      <c r="A4759"/>
      <c r="B4759"/>
    </row>
    <row r="4760" spans="1:2" x14ac:dyDescent="0.25">
      <c r="A4760"/>
      <c r="B4760"/>
    </row>
    <row r="4761" spans="1:2" x14ac:dyDescent="0.25">
      <c r="A4761"/>
      <c r="B4761"/>
    </row>
    <row r="4762" spans="1:2" x14ac:dyDescent="0.25">
      <c r="A4762"/>
      <c r="B4762"/>
    </row>
    <row r="4763" spans="1:2" x14ac:dyDescent="0.25">
      <c r="A4763"/>
      <c r="B4763"/>
    </row>
    <row r="4764" spans="1:2" x14ac:dyDescent="0.25">
      <c r="A4764"/>
      <c r="B4764"/>
    </row>
    <row r="4765" spans="1:2" x14ac:dyDescent="0.25">
      <c r="A4765"/>
      <c r="B4765"/>
    </row>
    <row r="4766" spans="1:2" x14ac:dyDescent="0.25">
      <c r="A4766"/>
      <c r="B4766"/>
    </row>
    <row r="4767" spans="1:2" x14ac:dyDescent="0.25">
      <c r="A4767"/>
      <c r="B4767"/>
    </row>
    <row r="4768" spans="1:2" x14ac:dyDescent="0.25">
      <c r="A4768"/>
      <c r="B4768"/>
    </row>
    <row r="4769" spans="1:2" x14ac:dyDescent="0.25">
      <c r="A4769"/>
      <c r="B4769"/>
    </row>
    <row r="4770" spans="1:2" x14ac:dyDescent="0.25">
      <c r="A4770"/>
      <c r="B4770"/>
    </row>
    <row r="4771" spans="1:2" x14ac:dyDescent="0.25">
      <c r="A4771"/>
      <c r="B4771"/>
    </row>
    <row r="4772" spans="1:2" x14ac:dyDescent="0.25">
      <c r="A4772"/>
      <c r="B4772"/>
    </row>
    <row r="4773" spans="1:2" x14ac:dyDescent="0.25">
      <c r="A4773"/>
      <c r="B4773"/>
    </row>
    <row r="4774" spans="1:2" x14ac:dyDescent="0.25">
      <c r="A4774"/>
      <c r="B4774"/>
    </row>
    <row r="4775" spans="1:2" x14ac:dyDescent="0.25">
      <c r="A4775"/>
      <c r="B4775"/>
    </row>
    <row r="4776" spans="1:2" x14ac:dyDescent="0.25">
      <c r="A4776"/>
      <c r="B4776"/>
    </row>
    <row r="4777" spans="1:2" x14ac:dyDescent="0.25">
      <c r="A4777"/>
      <c r="B4777"/>
    </row>
    <row r="4778" spans="1:2" x14ac:dyDescent="0.25">
      <c r="A4778"/>
      <c r="B4778"/>
    </row>
    <row r="4779" spans="1:2" x14ac:dyDescent="0.25">
      <c r="A4779"/>
      <c r="B4779"/>
    </row>
    <row r="4780" spans="1:2" x14ac:dyDescent="0.25">
      <c r="A4780"/>
      <c r="B4780"/>
    </row>
    <row r="4781" spans="1:2" x14ac:dyDescent="0.25">
      <c r="A4781"/>
      <c r="B4781"/>
    </row>
    <row r="4782" spans="1:2" x14ac:dyDescent="0.25">
      <c r="A4782"/>
      <c r="B4782"/>
    </row>
    <row r="4783" spans="1:2" x14ac:dyDescent="0.25">
      <c r="A4783"/>
      <c r="B4783"/>
    </row>
    <row r="4784" spans="1:2" x14ac:dyDescent="0.25">
      <c r="A4784"/>
      <c r="B4784"/>
    </row>
    <row r="4785" spans="1:2" x14ac:dyDescent="0.25">
      <c r="A4785"/>
      <c r="B4785"/>
    </row>
    <row r="4786" spans="1:2" x14ac:dyDescent="0.25">
      <c r="A4786"/>
      <c r="B4786"/>
    </row>
    <row r="4787" spans="1:2" x14ac:dyDescent="0.25">
      <c r="A4787"/>
      <c r="B4787"/>
    </row>
    <row r="4788" spans="1:2" x14ac:dyDescent="0.25">
      <c r="A4788"/>
      <c r="B4788"/>
    </row>
    <row r="4789" spans="1:2" x14ac:dyDescent="0.25">
      <c r="A4789"/>
      <c r="B4789"/>
    </row>
    <row r="4790" spans="1:2" x14ac:dyDescent="0.25">
      <c r="A4790"/>
      <c r="B4790"/>
    </row>
    <row r="4791" spans="1:2" x14ac:dyDescent="0.25">
      <c r="A4791"/>
      <c r="B4791"/>
    </row>
    <row r="4792" spans="1:2" x14ac:dyDescent="0.25">
      <c r="A4792"/>
      <c r="B4792"/>
    </row>
    <row r="4793" spans="1:2" x14ac:dyDescent="0.25">
      <c r="A4793"/>
      <c r="B4793"/>
    </row>
    <row r="4794" spans="1:2" x14ac:dyDescent="0.25">
      <c r="A4794"/>
      <c r="B4794"/>
    </row>
    <row r="4795" spans="1:2" x14ac:dyDescent="0.25">
      <c r="A4795"/>
      <c r="B4795"/>
    </row>
    <row r="4796" spans="1:2" x14ac:dyDescent="0.25">
      <c r="A4796"/>
      <c r="B4796"/>
    </row>
    <row r="4797" spans="1:2" x14ac:dyDescent="0.25">
      <c r="A4797"/>
      <c r="B4797"/>
    </row>
    <row r="4798" spans="1:2" x14ac:dyDescent="0.25">
      <c r="A4798"/>
      <c r="B4798"/>
    </row>
    <row r="4799" spans="1:2" x14ac:dyDescent="0.25">
      <c r="A4799"/>
      <c r="B4799"/>
    </row>
    <row r="4800" spans="1:2" x14ac:dyDescent="0.25">
      <c r="A4800"/>
      <c r="B4800"/>
    </row>
    <row r="4801" spans="1:2" x14ac:dyDescent="0.25">
      <c r="A4801"/>
      <c r="B4801"/>
    </row>
    <row r="4802" spans="1:2" x14ac:dyDescent="0.25">
      <c r="A4802"/>
      <c r="B4802"/>
    </row>
    <row r="4803" spans="1:2" x14ac:dyDescent="0.25">
      <c r="A4803"/>
      <c r="B4803"/>
    </row>
    <row r="4804" spans="1:2" x14ac:dyDescent="0.25">
      <c r="A4804"/>
      <c r="B4804"/>
    </row>
    <row r="4805" spans="1:2" x14ac:dyDescent="0.25">
      <c r="A4805"/>
      <c r="B4805"/>
    </row>
    <row r="4806" spans="1:2" x14ac:dyDescent="0.25">
      <c r="A4806"/>
      <c r="B4806"/>
    </row>
    <row r="4807" spans="1:2" x14ac:dyDescent="0.25">
      <c r="A4807"/>
      <c r="B4807"/>
    </row>
    <row r="4808" spans="1:2" x14ac:dyDescent="0.25">
      <c r="A4808"/>
      <c r="B4808"/>
    </row>
    <row r="4809" spans="1:2" x14ac:dyDescent="0.25">
      <c r="A4809"/>
      <c r="B4809"/>
    </row>
    <row r="4810" spans="1:2" x14ac:dyDescent="0.25">
      <c r="A4810"/>
      <c r="B4810"/>
    </row>
    <row r="4811" spans="1:2" x14ac:dyDescent="0.25">
      <c r="A4811"/>
      <c r="B4811"/>
    </row>
    <row r="4812" spans="1:2" x14ac:dyDescent="0.25">
      <c r="A4812"/>
      <c r="B4812"/>
    </row>
    <row r="4813" spans="1:2" x14ac:dyDescent="0.25">
      <c r="A4813"/>
      <c r="B4813"/>
    </row>
    <row r="4814" spans="1:2" x14ac:dyDescent="0.25">
      <c r="A4814"/>
      <c r="B4814"/>
    </row>
    <row r="4815" spans="1:2" x14ac:dyDescent="0.25">
      <c r="A4815"/>
      <c r="B4815"/>
    </row>
    <row r="4816" spans="1:2" x14ac:dyDescent="0.25">
      <c r="A4816"/>
      <c r="B4816"/>
    </row>
    <row r="4817" spans="1:2" x14ac:dyDescent="0.25">
      <c r="A4817"/>
      <c r="B4817"/>
    </row>
    <row r="4818" spans="1:2" x14ac:dyDescent="0.25">
      <c r="A4818"/>
      <c r="B4818"/>
    </row>
    <row r="4819" spans="1:2" x14ac:dyDescent="0.25">
      <c r="A4819"/>
      <c r="B4819"/>
    </row>
    <row r="4820" spans="1:2" x14ac:dyDescent="0.25">
      <c r="A4820"/>
      <c r="B4820"/>
    </row>
    <row r="4821" spans="1:2" x14ac:dyDescent="0.25">
      <c r="A4821"/>
      <c r="B4821"/>
    </row>
    <row r="4822" spans="1:2" x14ac:dyDescent="0.25">
      <c r="A4822"/>
      <c r="B4822"/>
    </row>
    <row r="4823" spans="1:2" x14ac:dyDescent="0.25">
      <c r="A4823"/>
      <c r="B4823"/>
    </row>
    <row r="4824" spans="1:2" x14ac:dyDescent="0.25">
      <c r="A4824"/>
      <c r="B4824"/>
    </row>
    <row r="4825" spans="1:2" x14ac:dyDescent="0.25">
      <c r="A4825"/>
      <c r="B4825"/>
    </row>
    <row r="4826" spans="1:2" x14ac:dyDescent="0.25">
      <c r="A4826"/>
      <c r="B4826"/>
    </row>
    <row r="4827" spans="1:2" x14ac:dyDescent="0.25">
      <c r="A4827"/>
      <c r="B4827"/>
    </row>
    <row r="4828" spans="1:2" x14ac:dyDescent="0.25">
      <c r="A4828"/>
      <c r="B4828"/>
    </row>
    <row r="4829" spans="1:2" x14ac:dyDescent="0.25">
      <c r="A4829"/>
      <c r="B4829"/>
    </row>
    <row r="4830" spans="1:2" x14ac:dyDescent="0.25">
      <c r="A4830"/>
      <c r="B4830"/>
    </row>
    <row r="4831" spans="1:2" x14ac:dyDescent="0.25">
      <c r="A4831"/>
      <c r="B4831"/>
    </row>
    <row r="4832" spans="1:2" x14ac:dyDescent="0.25">
      <c r="A4832"/>
      <c r="B4832"/>
    </row>
    <row r="4833" spans="1:2" x14ac:dyDescent="0.25">
      <c r="A4833"/>
      <c r="B4833"/>
    </row>
    <row r="4834" spans="1:2" x14ac:dyDescent="0.25">
      <c r="A4834"/>
      <c r="B4834"/>
    </row>
    <row r="4835" spans="1:2" x14ac:dyDescent="0.25">
      <c r="A4835"/>
      <c r="B4835"/>
    </row>
    <row r="4836" spans="1:2" x14ac:dyDescent="0.25">
      <c r="A4836"/>
      <c r="B4836"/>
    </row>
    <row r="4837" spans="1:2" x14ac:dyDescent="0.25">
      <c r="A4837"/>
      <c r="B4837"/>
    </row>
    <row r="4838" spans="1:2" x14ac:dyDescent="0.25">
      <c r="A4838"/>
      <c r="B4838"/>
    </row>
    <row r="4839" spans="1:2" x14ac:dyDescent="0.25">
      <c r="A4839"/>
      <c r="B4839"/>
    </row>
    <row r="4840" spans="1:2" x14ac:dyDescent="0.25">
      <c r="A4840"/>
      <c r="B4840"/>
    </row>
    <row r="4841" spans="1:2" x14ac:dyDescent="0.25">
      <c r="A4841"/>
      <c r="B4841"/>
    </row>
    <row r="4842" spans="1:2" x14ac:dyDescent="0.25">
      <c r="A4842"/>
      <c r="B4842"/>
    </row>
    <row r="4843" spans="1:2" x14ac:dyDescent="0.25">
      <c r="A4843"/>
      <c r="B4843"/>
    </row>
    <row r="4844" spans="1:2" x14ac:dyDescent="0.25">
      <c r="A4844"/>
      <c r="B4844"/>
    </row>
    <row r="4845" spans="1:2" x14ac:dyDescent="0.25">
      <c r="A4845"/>
      <c r="B4845"/>
    </row>
    <row r="4846" spans="1:2" x14ac:dyDescent="0.25">
      <c r="A4846"/>
      <c r="B4846"/>
    </row>
    <row r="4847" spans="1:2" x14ac:dyDescent="0.25">
      <c r="A4847"/>
      <c r="B4847"/>
    </row>
    <row r="4848" spans="1:2" x14ac:dyDescent="0.25">
      <c r="A4848"/>
      <c r="B4848"/>
    </row>
    <row r="4849" spans="1:2" x14ac:dyDescent="0.25">
      <c r="A4849"/>
      <c r="B4849"/>
    </row>
    <row r="4850" spans="1:2" x14ac:dyDescent="0.25">
      <c r="A4850"/>
      <c r="B4850"/>
    </row>
    <row r="4851" spans="1:2" x14ac:dyDescent="0.25">
      <c r="A4851"/>
      <c r="B4851"/>
    </row>
    <row r="4852" spans="1:2" x14ac:dyDescent="0.25">
      <c r="A4852"/>
      <c r="B4852"/>
    </row>
    <row r="4853" spans="1:2" x14ac:dyDescent="0.25">
      <c r="A4853"/>
      <c r="B4853"/>
    </row>
    <row r="4854" spans="1:2" x14ac:dyDescent="0.25">
      <c r="A4854"/>
      <c r="B4854"/>
    </row>
    <row r="4855" spans="1:2" x14ac:dyDescent="0.25">
      <c r="A4855"/>
      <c r="B4855"/>
    </row>
    <row r="4856" spans="1:2" x14ac:dyDescent="0.25">
      <c r="A4856"/>
      <c r="B4856"/>
    </row>
    <row r="4857" spans="1:2" x14ac:dyDescent="0.25">
      <c r="A4857"/>
      <c r="B4857"/>
    </row>
    <row r="4858" spans="1:2" x14ac:dyDescent="0.25">
      <c r="A4858"/>
      <c r="B4858"/>
    </row>
    <row r="4859" spans="1:2" x14ac:dyDescent="0.25">
      <c r="A4859"/>
      <c r="B4859"/>
    </row>
    <row r="4860" spans="1:2" x14ac:dyDescent="0.25">
      <c r="A4860"/>
      <c r="B4860"/>
    </row>
    <row r="4861" spans="1:2" x14ac:dyDescent="0.25">
      <c r="A4861"/>
      <c r="B4861"/>
    </row>
    <row r="4862" spans="1:2" x14ac:dyDescent="0.25">
      <c r="A4862"/>
      <c r="B4862"/>
    </row>
    <row r="4863" spans="1:2" x14ac:dyDescent="0.25">
      <c r="A4863"/>
      <c r="B4863"/>
    </row>
    <row r="4864" spans="1:2" x14ac:dyDescent="0.25">
      <c r="A4864"/>
      <c r="B4864"/>
    </row>
    <row r="4865" spans="1:2" x14ac:dyDescent="0.25">
      <c r="A4865"/>
      <c r="B4865"/>
    </row>
    <row r="4866" spans="1:2" x14ac:dyDescent="0.25">
      <c r="A4866"/>
      <c r="B4866"/>
    </row>
    <row r="4867" spans="1:2" x14ac:dyDescent="0.25">
      <c r="A4867"/>
      <c r="B4867"/>
    </row>
    <row r="4868" spans="1:2" x14ac:dyDescent="0.25">
      <c r="A4868"/>
      <c r="B4868"/>
    </row>
    <row r="4869" spans="1:2" x14ac:dyDescent="0.25">
      <c r="A4869"/>
      <c r="B4869"/>
    </row>
    <row r="4870" spans="1:2" x14ac:dyDescent="0.25">
      <c r="A4870"/>
      <c r="B4870"/>
    </row>
    <row r="4871" spans="1:2" x14ac:dyDescent="0.25">
      <c r="A4871"/>
      <c r="B4871"/>
    </row>
    <row r="4872" spans="1:2" x14ac:dyDescent="0.25">
      <c r="A4872"/>
      <c r="B4872"/>
    </row>
    <row r="4873" spans="1:2" x14ac:dyDescent="0.25">
      <c r="A4873"/>
      <c r="B4873"/>
    </row>
    <row r="4874" spans="1:2" x14ac:dyDescent="0.25">
      <c r="A4874"/>
      <c r="B4874"/>
    </row>
    <row r="4875" spans="1:2" x14ac:dyDescent="0.25">
      <c r="A4875"/>
      <c r="B4875"/>
    </row>
    <row r="4876" spans="1:2" x14ac:dyDescent="0.25">
      <c r="A4876"/>
      <c r="B4876"/>
    </row>
    <row r="4877" spans="1:2" x14ac:dyDescent="0.25">
      <c r="A4877"/>
      <c r="B4877"/>
    </row>
    <row r="4878" spans="1:2" x14ac:dyDescent="0.25">
      <c r="A4878"/>
      <c r="B4878"/>
    </row>
    <row r="4879" spans="1:2" x14ac:dyDescent="0.25">
      <c r="A4879"/>
      <c r="B4879"/>
    </row>
    <row r="4880" spans="1:2" x14ac:dyDescent="0.25">
      <c r="A4880"/>
      <c r="B4880"/>
    </row>
    <row r="4881" spans="1:2" x14ac:dyDescent="0.25">
      <c r="A4881"/>
      <c r="B4881"/>
    </row>
    <row r="4882" spans="1:2" x14ac:dyDescent="0.25">
      <c r="A4882"/>
      <c r="B4882"/>
    </row>
    <row r="4883" spans="1:2" x14ac:dyDescent="0.25">
      <c r="A4883"/>
      <c r="B4883"/>
    </row>
    <row r="4884" spans="1:2" x14ac:dyDescent="0.25">
      <c r="A4884"/>
      <c r="B4884"/>
    </row>
    <row r="4885" spans="1:2" x14ac:dyDescent="0.25">
      <c r="A4885"/>
      <c r="B4885"/>
    </row>
    <row r="4886" spans="1:2" x14ac:dyDescent="0.25">
      <c r="A4886"/>
      <c r="B4886"/>
    </row>
    <row r="4887" spans="1:2" x14ac:dyDescent="0.25">
      <c r="A4887"/>
      <c r="B4887"/>
    </row>
    <row r="4888" spans="1:2" x14ac:dyDescent="0.25">
      <c r="A4888"/>
      <c r="B4888"/>
    </row>
    <row r="4889" spans="1:2" x14ac:dyDescent="0.25">
      <c r="A4889"/>
      <c r="B4889"/>
    </row>
    <row r="4890" spans="1:2" x14ac:dyDescent="0.25">
      <c r="A4890"/>
      <c r="B4890"/>
    </row>
    <row r="4891" spans="1:2" x14ac:dyDescent="0.25">
      <c r="A4891"/>
      <c r="B4891"/>
    </row>
    <row r="4892" spans="1:2" x14ac:dyDescent="0.25">
      <c r="A4892"/>
      <c r="B4892"/>
    </row>
    <row r="4893" spans="1:2" x14ac:dyDescent="0.25">
      <c r="A4893"/>
      <c r="B4893"/>
    </row>
    <row r="4894" spans="1:2" x14ac:dyDescent="0.25">
      <c r="A4894"/>
      <c r="B4894"/>
    </row>
    <row r="4895" spans="1:2" x14ac:dyDescent="0.25">
      <c r="A4895"/>
      <c r="B4895"/>
    </row>
    <row r="4896" spans="1:2" x14ac:dyDescent="0.25">
      <c r="A4896"/>
      <c r="B4896"/>
    </row>
    <row r="4897" spans="1:2" x14ac:dyDescent="0.25">
      <c r="A4897"/>
      <c r="B4897"/>
    </row>
    <row r="4898" spans="1:2" x14ac:dyDescent="0.25">
      <c r="A4898"/>
      <c r="B4898"/>
    </row>
    <row r="4899" spans="1:2" x14ac:dyDescent="0.25">
      <c r="A4899"/>
      <c r="B4899"/>
    </row>
    <row r="4900" spans="1:2" x14ac:dyDescent="0.25">
      <c r="A4900"/>
      <c r="B4900"/>
    </row>
    <row r="4901" spans="1:2" x14ac:dyDescent="0.25">
      <c r="A4901"/>
      <c r="B4901"/>
    </row>
    <row r="4902" spans="1:2" x14ac:dyDescent="0.25">
      <c r="A4902"/>
      <c r="B4902"/>
    </row>
    <row r="4903" spans="1:2" x14ac:dyDescent="0.25">
      <c r="A4903"/>
      <c r="B4903"/>
    </row>
    <row r="4904" spans="1:2" x14ac:dyDescent="0.25">
      <c r="A4904"/>
      <c r="B4904"/>
    </row>
    <row r="4905" spans="1:2" x14ac:dyDescent="0.25">
      <c r="A4905"/>
      <c r="B4905"/>
    </row>
    <row r="4906" spans="1:2" x14ac:dyDescent="0.25">
      <c r="A4906"/>
      <c r="B4906"/>
    </row>
    <row r="4907" spans="1:2" x14ac:dyDescent="0.25">
      <c r="A4907"/>
      <c r="B4907"/>
    </row>
    <row r="4908" spans="1:2" x14ac:dyDescent="0.25">
      <c r="A4908"/>
      <c r="B4908"/>
    </row>
    <row r="4909" spans="1:2" x14ac:dyDescent="0.25">
      <c r="A4909"/>
      <c r="B4909"/>
    </row>
    <row r="4910" spans="1:2" x14ac:dyDescent="0.25">
      <c r="A4910"/>
      <c r="B4910"/>
    </row>
    <row r="4911" spans="1:2" x14ac:dyDescent="0.25">
      <c r="A4911"/>
      <c r="B4911"/>
    </row>
    <row r="4912" spans="1:2" x14ac:dyDescent="0.25">
      <c r="A4912"/>
      <c r="B4912"/>
    </row>
    <row r="4913" spans="1:2" x14ac:dyDescent="0.25">
      <c r="A4913"/>
      <c r="B4913"/>
    </row>
    <row r="4914" spans="1:2" x14ac:dyDescent="0.25">
      <c r="A4914"/>
      <c r="B4914"/>
    </row>
    <row r="4915" spans="1:2" x14ac:dyDescent="0.25">
      <c r="A4915"/>
      <c r="B4915"/>
    </row>
    <row r="4916" spans="1:2" x14ac:dyDescent="0.25">
      <c r="A4916"/>
      <c r="B4916"/>
    </row>
    <row r="4917" spans="1:2" x14ac:dyDescent="0.25">
      <c r="A4917"/>
      <c r="B4917"/>
    </row>
    <row r="4918" spans="1:2" x14ac:dyDescent="0.25">
      <c r="A4918"/>
      <c r="B4918"/>
    </row>
    <row r="4919" spans="1:2" x14ac:dyDescent="0.25">
      <c r="A4919"/>
      <c r="B4919"/>
    </row>
    <row r="4920" spans="1:2" x14ac:dyDescent="0.25">
      <c r="A4920"/>
      <c r="B4920"/>
    </row>
    <row r="4921" spans="1:2" x14ac:dyDescent="0.25">
      <c r="A4921"/>
      <c r="B4921"/>
    </row>
    <row r="4922" spans="1:2" x14ac:dyDescent="0.25">
      <c r="A4922"/>
      <c r="B4922"/>
    </row>
    <row r="4923" spans="1:2" x14ac:dyDescent="0.25">
      <c r="A4923"/>
      <c r="B4923"/>
    </row>
    <row r="4924" spans="1:2" x14ac:dyDescent="0.25">
      <c r="A4924"/>
      <c r="B4924"/>
    </row>
    <row r="4925" spans="1:2" x14ac:dyDescent="0.25">
      <c r="A4925"/>
      <c r="B4925"/>
    </row>
    <row r="4926" spans="1:2" x14ac:dyDescent="0.25">
      <c r="A4926"/>
      <c r="B4926"/>
    </row>
    <row r="4927" spans="1:2" x14ac:dyDescent="0.25">
      <c r="A4927"/>
      <c r="B4927"/>
    </row>
    <row r="4928" spans="1:2" x14ac:dyDescent="0.25">
      <c r="A4928"/>
      <c r="B4928"/>
    </row>
    <row r="4929" spans="1:2" x14ac:dyDescent="0.25">
      <c r="A4929"/>
      <c r="B4929"/>
    </row>
    <row r="4930" spans="1:2" x14ac:dyDescent="0.25">
      <c r="A4930"/>
      <c r="B4930"/>
    </row>
    <row r="4931" spans="1:2" x14ac:dyDescent="0.25">
      <c r="A4931"/>
      <c r="B4931"/>
    </row>
    <row r="4932" spans="1:2" x14ac:dyDescent="0.25">
      <c r="A4932"/>
      <c r="B4932"/>
    </row>
    <row r="4933" spans="1:2" x14ac:dyDescent="0.25">
      <c r="A4933"/>
      <c r="B4933"/>
    </row>
    <row r="4934" spans="1:2" x14ac:dyDescent="0.25">
      <c r="A4934"/>
      <c r="B4934"/>
    </row>
    <row r="4935" spans="1:2" x14ac:dyDescent="0.25">
      <c r="A4935"/>
      <c r="B4935"/>
    </row>
    <row r="4936" spans="1:2" x14ac:dyDescent="0.25">
      <c r="A4936"/>
      <c r="B4936"/>
    </row>
    <row r="4937" spans="1:2" x14ac:dyDescent="0.25">
      <c r="A4937"/>
      <c r="B4937"/>
    </row>
    <row r="4938" spans="1:2" x14ac:dyDescent="0.25">
      <c r="A4938"/>
      <c r="B4938"/>
    </row>
    <row r="4939" spans="1:2" x14ac:dyDescent="0.25">
      <c r="A4939"/>
      <c r="B4939"/>
    </row>
    <row r="4940" spans="1:2" x14ac:dyDescent="0.25">
      <c r="A4940"/>
      <c r="B4940"/>
    </row>
    <row r="4941" spans="1:2" x14ac:dyDescent="0.25">
      <c r="A4941"/>
      <c r="B4941"/>
    </row>
    <row r="4942" spans="1:2" x14ac:dyDescent="0.25">
      <c r="A4942"/>
      <c r="B4942"/>
    </row>
    <row r="4943" spans="1:2" x14ac:dyDescent="0.25">
      <c r="A4943"/>
      <c r="B4943"/>
    </row>
    <row r="4944" spans="1:2" x14ac:dyDescent="0.25">
      <c r="A4944"/>
      <c r="B4944"/>
    </row>
    <row r="4945" spans="1:2" x14ac:dyDescent="0.25">
      <c r="A4945"/>
      <c r="B4945"/>
    </row>
    <row r="4946" spans="1:2" x14ac:dyDescent="0.25">
      <c r="A4946"/>
      <c r="B4946"/>
    </row>
    <row r="4947" spans="1:2" x14ac:dyDescent="0.25">
      <c r="A4947"/>
      <c r="B4947"/>
    </row>
    <row r="4948" spans="1:2" x14ac:dyDescent="0.25">
      <c r="A4948"/>
      <c r="B4948"/>
    </row>
    <row r="4949" spans="1:2" x14ac:dyDescent="0.25">
      <c r="A4949"/>
      <c r="B4949"/>
    </row>
    <row r="4950" spans="1:2" x14ac:dyDescent="0.25">
      <c r="A4950"/>
      <c r="B4950"/>
    </row>
    <row r="4951" spans="1:2" x14ac:dyDescent="0.25">
      <c r="A4951"/>
      <c r="B4951"/>
    </row>
    <row r="4952" spans="1:2" x14ac:dyDescent="0.25">
      <c r="A4952"/>
      <c r="B4952"/>
    </row>
    <row r="4953" spans="1:2" x14ac:dyDescent="0.25">
      <c r="A4953"/>
      <c r="B4953"/>
    </row>
    <row r="4954" spans="1:2" x14ac:dyDescent="0.25">
      <c r="A4954"/>
      <c r="B4954"/>
    </row>
    <row r="4955" spans="1:2" x14ac:dyDescent="0.25">
      <c r="A4955"/>
      <c r="B4955"/>
    </row>
    <row r="4956" spans="1:2" x14ac:dyDescent="0.25">
      <c r="A4956"/>
      <c r="B4956"/>
    </row>
    <row r="4957" spans="1:2" x14ac:dyDescent="0.25">
      <c r="A4957"/>
      <c r="B4957"/>
    </row>
    <row r="4958" spans="1:2" x14ac:dyDescent="0.25">
      <c r="A4958"/>
      <c r="B4958"/>
    </row>
    <row r="4959" spans="1:2" x14ac:dyDescent="0.25">
      <c r="A4959"/>
      <c r="B4959"/>
    </row>
    <row r="4960" spans="1:2" x14ac:dyDescent="0.25">
      <c r="A4960"/>
      <c r="B4960"/>
    </row>
    <row r="4961" spans="1:2" x14ac:dyDescent="0.25">
      <c r="A4961"/>
      <c r="B4961"/>
    </row>
    <row r="4962" spans="1:2" x14ac:dyDescent="0.25">
      <c r="A4962"/>
      <c r="B4962"/>
    </row>
    <row r="4963" spans="1:2" x14ac:dyDescent="0.25">
      <c r="A4963"/>
      <c r="B4963"/>
    </row>
    <row r="4964" spans="1:2" x14ac:dyDescent="0.25">
      <c r="A4964"/>
      <c r="B4964"/>
    </row>
    <row r="4965" spans="1:2" x14ac:dyDescent="0.25">
      <c r="A4965"/>
      <c r="B4965"/>
    </row>
    <row r="4966" spans="1:2" x14ac:dyDescent="0.25">
      <c r="A4966"/>
      <c r="B4966"/>
    </row>
    <row r="4967" spans="1:2" x14ac:dyDescent="0.25">
      <c r="A4967"/>
      <c r="B4967"/>
    </row>
    <row r="4968" spans="1:2" x14ac:dyDescent="0.25">
      <c r="A4968"/>
      <c r="B4968"/>
    </row>
    <row r="4969" spans="1:2" x14ac:dyDescent="0.25">
      <c r="A4969"/>
      <c r="B4969"/>
    </row>
    <row r="4970" spans="1:2" x14ac:dyDescent="0.25">
      <c r="A4970"/>
      <c r="B4970"/>
    </row>
    <row r="4971" spans="1:2" x14ac:dyDescent="0.25">
      <c r="A4971"/>
      <c r="B4971"/>
    </row>
    <row r="4972" spans="1:2" x14ac:dyDescent="0.25">
      <c r="A4972"/>
      <c r="B4972"/>
    </row>
    <row r="4973" spans="1:2" x14ac:dyDescent="0.25">
      <c r="A4973"/>
      <c r="B4973"/>
    </row>
    <row r="4974" spans="1:2" x14ac:dyDescent="0.25">
      <c r="A4974"/>
      <c r="B4974"/>
    </row>
    <row r="4975" spans="1:2" x14ac:dyDescent="0.25">
      <c r="A4975"/>
      <c r="B4975"/>
    </row>
    <row r="4976" spans="1:2" x14ac:dyDescent="0.25">
      <c r="A4976"/>
      <c r="B4976"/>
    </row>
    <row r="4977" spans="1:2" x14ac:dyDescent="0.25">
      <c r="A4977"/>
      <c r="B4977"/>
    </row>
    <row r="4978" spans="1:2" x14ac:dyDescent="0.25">
      <c r="A4978"/>
      <c r="B4978"/>
    </row>
    <row r="4979" spans="1:2" x14ac:dyDescent="0.25">
      <c r="A4979"/>
      <c r="B4979"/>
    </row>
    <row r="4980" spans="1:2" x14ac:dyDescent="0.25">
      <c r="A4980"/>
      <c r="B4980"/>
    </row>
    <row r="4981" spans="1:2" x14ac:dyDescent="0.25">
      <c r="A4981"/>
      <c r="B4981"/>
    </row>
    <row r="4982" spans="1:2" x14ac:dyDescent="0.25">
      <c r="A4982"/>
      <c r="B4982"/>
    </row>
    <row r="4983" spans="1:2" x14ac:dyDescent="0.25">
      <c r="A4983"/>
      <c r="B4983"/>
    </row>
    <row r="4984" spans="1:2" x14ac:dyDescent="0.25">
      <c r="A4984"/>
      <c r="B4984"/>
    </row>
    <row r="4985" spans="1:2" x14ac:dyDescent="0.25">
      <c r="A4985"/>
      <c r="B4985"/>
    </row>
    <row r="4986" spans="1:2" x14ac:dyDescent="0.25">
      <c r="A4986"/>
      <c r="B4986"/>
    </row>
    <row r="4987" spans="1:2" x14ac:dyDescent="0.25">
      <c r="A4987"/>
      <c r="B4987"/>
    </row>
    <row r="4988" spans="1:2" x14ac:dyDescent="0.25">
      <c r="A4988"/>
      <c r="B4988"/>
    </row>
    <row r="4989" spans="1:2" x14ac:dyDescent="0.25">
      <c r="A4989"/>
      <c r="B4989"/>
    </row>
    <row r="4990" spans="1:2" x14ac:dyDescent="0.25">
      <c r="A4990"/>
      <c r="B4990"/>
    </row>
    <row r="4991" spans="1:2" x14ac:dyDescent="0.25">
      <c r="A4991"/>
      <c r="B4991"/>
    </row>
    <row r="4992" spans="1:2" x14ac:dyDescent="0.25">
      <c r="A4992"/>
      <c r="B4992"/>
    </row>
    <row r="4993" spans="1:2" x14ac:dyDescent="0.25">
      <c r="A4993"/>
      <c r="B4993"/>
    </row>
    <row r="4994" spans="1:2" x14ac:dyDescent="0.25">
      <c r="A4994"/>
      <c r="B4994"/>
    </row>
    <row r="4995" spans="1:2" x14ac:dyDescent="0.25">
      <c r="A4995"/>
      <c r="B4995"/>
    </row>
    <row r="4996" spans="1:2" x14ac:dyDescent="0.25">
      <c r="A4996"/>
      <c r="B4996"/>
    </row>
    <row r="4997" spans="1:2" x14ac:dyDescent="0.25">
      <c r="A4997"/>
      <c r="B4997"/>
    </row>
    <row r="4998" spans="1:2" x14ac:dyDescent="0.25">
      <c r="A4998"/>
      <c r="B4998"/>
    </row>
    <row r="4999" spans="1:2" x14ac:dyDescent="0.25">
      <c r="A4999"/>
      <c r="B4999"/>
    </row>
    <row r="5000" spans="1:2" x14ac:dyDescent="0.25">
      <c r="A5000"/>
      <c r="B5000"/>
    </row>
    <row r="5001" spans="1:2" x14ac:dyDescent="0.25">
      <c r="A5001"/>
      <c r="B5001"/>
    </row>
    <row r="5002" spans="1:2" x14ac:dyDescent="0.25">
      <c r="A5002"/>
      <c r="B5002"/>
    </row>
    <row r="5003" spans="1:2" x14ac:dyDescent="0.25">
      <c r="A5003"/>
      <c r="B5003"/>
    </row>
    <row r="5004" spans="1:2" x14ac:dyDescent="0.25">
      <c r="A5004"/>
      <c r="B5004"/>
    </row>
    <row r="5005" spans="1:2" x14ac:dyDescent="0.25">
      <c r="A5005"/>
      <c r="B5005"/>
    </row>
    <row r="5006" spans="1:2" x14ac:dyDescent="0.25">
      <c r="A5006"/>
      <c r="B5006"/>
    </row>
    <row r="5007" spans="1:2" x14ac:dyDescent="0.25">
      <c r="A5007"/>
      <c r="B5007"/>
    </row>
    <row r="5008" spans="1:2" x14ac:dyDescent="0.25">
      <c r="A5008"/>
      <c r="B5008"/>
    </row>
    <row r="5009" spans="1:2" x14ac:dyDescent="0.25">
      <c r="A5009"/>
      <c r="B5009"/>
    </row>
    <row r="5010" spans="1:2" x14ac:dyDescent="0.25">
      <c r="A5010"/>
      <c r="B5010"/>
    </row>
    <row r="5011" spans="1:2" x14ac:dyDescent="0.25">
      <c r="A5011"/>
      <c r="B5011"/>
    </row>
    <row r="5012" spans="1:2" x14ac:dyDescent="0.25">
      <c r="A5012"/>
      <c r="B5012"/>
    </row>
    <row r="5013" spans="1:2" x14ac:dyDescent="0.25">
      <c r="A5013"/>
      <c r="B5013"/>
    </row>
    <row r="5014" spans="1:2" x14ac:dyDescent="0.25">
      <c r="A5014"/>
      <c r="B5014"/>
    </row>
    <row r="5015" spans="1:2" x14ac:dyDescent="0.25">
      <c r="A5015"/>
      <c r="B5015"/>
    </row>
    <row r="5016" spans="1:2" x14ac:dyDescent="0.25">
      <c r="A5016"/>
      <c r="B5016"/>
    </row>
    <row r="5017" spans="1:2" x14ac:dyDescent="0.25">
      <c r="A5017"/>
      <c r="B5017"/>
    </row>
    <row r="5018" spans="1:2" x14ac:dyDescent="0.25">
      <c r="A5018"/>
      <c r="B5018"/>
    </row>
    <row r="5019" spans="1:2" x14ac:dyDescent="0.25">
      <c r="A5019"/>
      <c r="B5019"/>
    </row>
    <row r="5020" spans="1:2" x14ac:dyDescent="0.25">
      <c r="A5020"/>
      <c r="B5020"/>
    </row>
    <row r="5021" spans="1:2" x14ac:dyDescent="0.25">
      <c r="A5021"/>
      <c r="B5021"/>
    </row>
    <row r="5022" spans="1:2" x14ac:dyDescent="0.25">
      <c r="A5022"/>
      <c r="B5022"/>
    </row>
    <row r="5023" spans="1:2" x14ac:dyDescent="0.25">
      <c r="A5023"/>
      <c r="B5023"/>
    </row>
    <row r="5024" spans="1:2" x14ac:dyDescent="0.25">
      <c r="A5024"/>
      <c r="B5024"/>
    </row>
    <row r="5025" spans="1:2" x14ac:dyDescent="0.25">
      <c r="A5025"/>
      <c r="B5025"/>
    </row>
    <row r="5026" spans="1:2" x14ac:dyDescent="0.25">
      <c r="A5026"/>
      <c r="B5026"/>
    </row>
    <row r="5027" spans="1:2" x14ac:dyDescent="0.25">
      <c r="A5027"/>
      <c r="B5027"/>
    </row>
    <row r="5028" spans="1:2" x14ac:dyDescent="0.25">
      <c r="A5028"/>
      <c r="B5028"/>
    </row>
    <row r="5029" spans="1:2" x14ac:dyDescent="0.25">
      <c r="A5029"/>
      <c r="B5029"/>
    </row>
    <row r="5030" spans="1:2" x14ac:dyDescent="0.25">
      <c r="A5030"/>
      <c r="B5030"/>
    </row>
    <row r="5031" spans="1:2" x14ac:dyDescent="0.25">
      <c r="A5031"/>
      <c r="B5031"/>
    </row>
    <row r="5032" spans="1:2" x14ac:dyDescent="0.25">
      <c r="A5032"/>
      <c r="B5032"/>
    </row>
    <row r="5033" spans="1:2" x14ac:dyDescent="0.25">
      <c r="A5033"/>
      <c r="B5033"/>
    </row>
    <row r="5034" spans="1:2" x14ac:dyDescent="0.25">
      <c r="A5034"/>
      <c r="B5034"/>
    </row>
    <row r="5035" spans="1:2" x14ac:dyDescent="0.25">
      <c r="A5035"/>
      <c r="B5035"/>
    </row>
    <row r="5036" spans="1:2" x14ac:dyDescent="0.25">
      <c r="A5036"/>
      <c r="B5036"/>
    </row>
    <row r="5037" spans="1:2" x14ac:dyDescent="0.25">
      <c r="A5037"/>
      <c r="B5037"/>
    </row>
    <row r="5038" spans="1:2" x14ac:dyDescent="0.25">
      <c r="A5038"/>
      <c r="B5038"/>
    </row>
    <row r="5039" spans="1:2" x14ac:dyDescent="0.25">
      <c r="A5039"/>
      <c r="B5039"/>
    </row>
    <row r="5040" spans="1:2" x14ac:dyDescent="0.25">
      <c r="A5040"/>
      <c r="B5040"/>
    </row>
    <row r="5041" spans="1:2" x14ac:dyDescent="0.25">
      <c r="A5041"/>
      <c r="B5041"/>
    </row>
    <row r="5042" spans="1:2" x14ac:dyDescent="0.25">
      <c r="A5042"/>
      <c r="B5042"/>
    </row>
    <row r="5043" spans="1:2" x14ac:dyDescent="0.25">
      <c r="A5043"/>
      <c r="B5043"/>
    </row>
    <row r="5044" spans="1:2" x14ac:dyDescent="0.25">
      <c r="A5044"/>
      <c r="B5044"/>
    </row>
    <row r="5045" spans="1:2" x14ac:dyDescent="0.25">
      <c r="A5045"/>
      <c r="B5045"/>
    </row>
    <row r="5046" spans="1:2" x14ac:dyDescent="0.25">
      <c r="A5046"/>
      <c r="B5046"/>
    </row>
    <row r="5047" spans="1:2" x14ac:dyDescent="0.25">
      <c r="A5047"/>
      <c r="B5047"/>
    </row>
    <row r="5048" spans="1:2" x14ac:dyDescent="0.25">
      <c r="A5048"/>
      <c r="B5048"/>
    </row>
    <row r="5049" spans="1:2" x14ac:dyDescent="0.25">
      <c r="A5049"/>
      <c r="B5049"/>
    </row>
    <row r="5050" spans="1:2" x14ac:dyDescent="0.25">
      <c r="A5050"/>
      <c r="B5050"/>
    </row>
    <row r="5051" spans="1:2" x14ac:dyDescent="0.25">
      <c r="A5051"/>
      <c r="B5051"/>
    </row>
    <row r="5052" spans="1:2" x14ac:dyDescent="0.25">
      <c r="A5052"/>
      <c r="B5052"/>
    </row>
    <row r="5053" spans="1:2" x14ac:dyDescent="0.25">
      <c r="A5053"/>
      <c r="B5053"/>
    </row>
    <row r="5054" spans="1:2" x14ac:dyDescent="0.25">
      <c r="A5054"/>
      <c r="B5054"/>
    </row>
    <row r="5055" spans="1:2" x14ac:dyDescent="0.25">
      <c r="A5055"/>
      <c r="B5055"/>
    </row>
    <row r="5056" spans="1:2" x14ac:dyDescent="0.25">
      <c r="A5056"/>
      <c r="B5056"/>
    </row>
    <row r="5057" spans="1:2" x14ac:dyDescent="0.25">
      <c r="A5057"/>
      <c r="B5057"/>
    </row>
    <row r="5058" spans="1:2" x14ac:dyDescent="0.25">
      <c r="A5058"/>
      <c r="B5058"/>
    </row>
    <row r="5059" spans="1:2" x14ac:dyDescent="0.25">
      <c r="A5059"/>
      <c r="B5059"/>
    </row>
    <row r="5060" spans="1:2" x14ac:dyDescent="0.25">
      <c r="A5060"/>
      <c r="B5060"/>
    </row>
    <row r="5061" spans="1:2" x14ac:dyDescent="0.25">
      <c r="A5061"/>
      <c r="B5061"/>
    </row>
    <row r="5062" spans="1:2" x14ac:dyDescent="0.25">
      <c r="A5062"/>
      <c r="B5062"/>
    </row>
    <row r="5063" spans="1:2" x14ac:dyDescent="0.25">
      <c r="A5063"/>
      <c r="B5063"/>
    </row>
    <row r="5064" spans="1:2" x14ac:dyDescent="0.25">
      <c r="A5064"/>
      <c r="B5064"/>
    </row>
    <row r="5065" spans="1:2" x14ac:dyDescent="0.25">
      <c r="A5065"/>
      <c r="B5065"/>
    </row>
    <row r="5066" spans="1:2" x14ac:dyDescent="0.25">
      <c r="A5066"/>
      <c r="B5066"/>
    </row>
    <row r="5067" spans="1:2" x14ac:dyDescent="0.25">
      <c r="A5067"/>
      <c r="B5067"/>
    </row>
    <row r="5068" spans="1:2" x14ac:dyDescent="0.25">
      <c r="A5068"/>
      <c r="B5068"/>
    </row>
    <row r="5069" spans="1:2" x14ac:dyDescent="0.25">
      <c r="A5069"/>
      <c r="B5069"/>
    </row>
    <row r="5070" spans="1:2" x14ac:dyDescent="0.25">
      <c r="A5070"/>
      <c r="B5070"/>
    </row>
    <row r="5071" spans="1:2" x14ac:dyDescent="0.25">
      <c r="A5071"/>
      <c r="B5071"/>
    </row>
    <row r="5072" spans="1:2" x14ac:dyDescent="0.25">
      <c r="A5072"/>
      <c r="B5072"/>
    </row>
    <row r="5073" spans="1:2" x14ac:dyDescent="0.25">
      <c r="A5073"/>
      <c r="B5073"/>
    </row>
    <row r="5074" spans="1:2" x14ac:dyDescent="0.25">
      <c r="A5074"/>
      <c r="B5074"/>
    </row>
    <row r="5075" spans="1:2" x14ac:dyDescent="0.25">
      <c r="A5075"/>
      <c r="B5075"/>
    </row>
    <row r="5076" spans="1:2" x14ac:dyDescent="0.25">
      <c r="A5076"/>
      <c r="B5076"/>
    </row>
    <row r="5077" spans="1:2" x14ac:dyDescent="0.25">
      <c r="A5077"/>
      <c r="B5077"/>
    </row>
    <row r="5078" spans="1:2" x14ac:dyDescent="0.25">
      <c r="A5078"/>
      <c r="B5078"/>
    </row>
    <row r="5079" spans="1:2" x14ac:dyDescent="0.25">
      <c r="A5079"/>
      <c r="B5079"/>
    </row>
    <row r="5080" spans="1:2" x14ac:dyDescent="0.25">
      <c r="A5080"/>
      <c r="B5080"/>
    </row>
    <row r="5081" spans="1:2" x14ac:dyDescent="0.25">
      <c r="A5081"/>
      <c r="B5081"/>
    </row>
    <row r="5082" spans="1:2" x14ac:dyDescent="0.25">
      <c r="A5082"/>
      <c r="B5082"/>
    </row>
    <row r="5083" spans="1:2" x14ac:dyDescent="0.25">
      <c r="A5083"/>
      <c r="B5083"/>
    </row>
    <row r="5084" spans="1:2" x14ac:dyDescent="0.25">
      <c r="A5084"/>
      <c r="B5084"/>
    </row>
    <row r="5085" spans="1:2" x14ac:dyDescent="0.25">
      <c r="A5085"/>
      <c r="B5085"/>
    </row>
    <row r="5086" spans="1:2" x14ac:dyDescent="0.25">
      <c r="A5086"/>
      <c r="B5086"/>
    </row>
    <row r="5087" spans="1:2" x14ac:dyDescent="0.25">
      <c r="A5087"/>
      <c r="B5087"/>
    </row>
    <row r="5088" spans="1:2" x14ac:dyDescent="0.25">
      <c r="A5088"/>
      <c r="B5088"/>
    </row>
    <row r="5089" spans="1:2" x14ac:dyDescent="0.25">
      <c r="A5089"/>
      <c r="B5089"/>
    </row>
    <row r="5090" spans="1:2" x14ac:dyDescent="0.25">
      <c r="A5090"/>
      <c r="B5090"/>
    </row>
    <row r="5091" spans="1:2" x14ac:dyDescent="0.25">
      <c r="A5091"/>
      <c r="B5091"/>
    </row>
    <row r="5092" spans="1:2" x14ac:dyDescent="0.25">
      <c r="A5092"/>
      <c r="B5092"/>
    </row>
    <row r="5093" spans="1:2" x14ac:dyDescent="0.25">
      <c r="A5093"/>
      <c r="B5093"/>
    </row>
    <row r="5094" spans="1:2" x14ac:dyDescent="0.25">
      <c r="A5094"/>
      <c r="B5094"/>
    </row>
    <row r="5095" spans="1:2" x14ac:dyDescent="0.25">
      <c r="A5095"/>
      <c r="B5095"/>
    </row>
    <row r="5096" spans="1:2" x14ac:dyDescent="0.25">
      <c r="A5096"/>
      <c r="B5096"/>
    </row>
    <row r="5097" spans="1:2" x14ac:dyDescent="0.25">
      <c r="A5097"/>
      <c r="B5097"/>
    </row>
    <row r="5098" spans="1:2" x14ac:dyDescent="0.25">
      <c r="A5098"/>
      <c r="B5098"/>
    </row>
    <row r="5099" spans="1:2" x14ac:dyDescent="0.25">
      <c r="A5099"/>
      <c r="B5099"/>
    </row>
    <row r="5100" spans="1:2" x14ac:dyDescent="0.25">
      <c r="A5100"/>
      <c r="B5100"/>
    </row>
    <row r="5101" spans="1:2" x14ac:dyDescent="0.25">
      <c r="A5101"/>
      <c r="B5101"/>
    </row>
    <row r="5102" spans="1:2" x14ac:dyDescent="0.25">
      <c r="A5102"/>
      <c r="B5102"/>
    </row>
    <row r="5103" spans="1:2" x14ac:dyDescent="0.25">
      <c r="A5103"/>
      <c r="B5103"/>
    </row>
    <row r="5104" spans="1:2" x14ac:dyDescent="0.25">
      <c r="A5104"/>
      <c r="B5104"/>
    </row>
    <row r="5105" spans="1:2" x14ac:dyDescent="0.25">
      <c r="A5105"/>
      <c r="B5105"/>
    </row>
    <row r="5106" spans="1:2" x14ac:dyDescent="0.25">
      <c r="A5106"/>
      <c r="B5106"/>
    </row>
    <row r="5107" spans="1:2" x14ac:dyDescent="0.25">
      <c r="A5107"/>
      <c r="B5107"/>
    </row>
    <row r="5108" spans="1:2" x14ac:dyDescent="0.25">
      <c r="A5108"/>
      <c r="B5108"/>
    </row>
    <row r="5109" spans="1:2" x14ac:dyDescent="0.25">
      <c r="A5109"/>
      <c r="B5109"/>
    </row>
    <row r="5110" spans="1:2" x14ac:dyDescent="0.25">
      <c r="A5110"/>
      <c r="B5110"/>
    </row>
    <row r="5111" spans="1:2" x14ac:dyDescent="0.25">
      <c r="A5111"/>
      <c r="B5111"/>
    </row>
    <row r="5112" spans="1:2" x14ac:dyDescent="0.25">
      <c r="A5112"/>
      <c r="B5112"/>
    </row>
    <row r="5113" spans="1:2" x14ac:dyDescent="0.25">
      <c r="A5113"/>
      <c r="B5113"/>
    </row>
    <row r="5114" spans="1:2" x14ac:dyDescent="0.25">
      <c r="A5114"/>
      <c r="B5114"/>
    </row>
    <row r="5115" spans="1:2" x14ac:dyDescent="0.25">
      <c r="A5115"/>
      <c r="B5115"/>
    </row>
    <row r="5116" spans="1:2" x14ac:dyDescent="0.25">
      <c r="A5116"/>
      <c r="B5116"/>
    </row>
    <row r="5117" spans="1:2" x14ac:dyDescent="0.25">
      <c r="A5117"/>
      <c r="B5117"/>
    </row>
    <row r="5118" spans="1:2" x14ac:dyDescent="0.25">
      <c r="A5118"/>
      <c r="B5118"/>
    </row>
    <row r="5119" spans="1:2" x14ac:dyDescent="0.25">
      <c r="A5119"/>
      <c r="B5119"/>
    </row>
    <row r="5120" spans="1:2" x14ac:dyDescent="0.25">
      <c r="A5120"/>
      <c r="B5120"/>
    </row>
    <row r="5121" spans="1:2" x14ac:dyDescent="0.25">
      <c r="A5121"/>
      <c r="B5121"/>
    </row>
    <row r="5122" spans="1:2" x14ac:dyDescent="0.25">
      <c r="A5122"/>
      <c r="B5122"/>
    </row>
    <row r="5123" spans="1:2" x14ac:dyDescent="0.25">
      <c r="A5123"/>
      <c r="B5123"/>
    </row>
    <row r="5124" spans="1:2" x14ac:dyDescent="0.25">
      <c r="A5124"/>
      <c r="B5124"/>
    </row>
    <row r="5125" spans="1:2" x14ac:dyDescent="0.25">
      <c r="A5125"/>
      <c r="B5125"/>
    </row>
    <row r="5126" spans="1:2" x14ac:dyDescent="0.25">
      <c r="A5126"/>
      <c r="B5126"/>
    </row>
    <row r="5127" spans="1:2" x14ac:dyDescent="0.25">
      <c r="A5127"/>
      <c r="B5127"/>
    </row>
    <row r="5128" spans="1:2" x14ac:dyDescent="0.25">
      <c r="A5128"/>
      <c r="B5128"/>
    </row>
    <row r="5129" spans="1:2" x14ac:dyDescent="0.25">
      <c r="A5129"/>
      <c r="B5129"/>
    </row>
    <row r="5130" spans="1:2" x14ac:dyDescent="0.25">
      <c r="A5130"/>
      <c r="B5130"/>
    </row>
    <row r="5131" spans="1:2" x14ac:dyDescent="0.25">
      <c r="A5131"/>
      <c r="B5131"/>
    </row>
    <row r="5132" spans="1:2" x14ac:dyDescent="0.25">
      <c r="A5132"/>
      <c r="B5132"/>
    </row>
    <row r="5133" spans="1:2" x14ac:dyDescent="0.25">
      <c r="A5133"/>
      <c r="B5133"/>
    </row>
    <row r="5134" spans="1:2" x14ac:dyDescent="0.25">
      <c r="A5134"/>
      <c r="B5134"/>
    </row>
    <row r="5135" spans="1:2" x14ac:dyDescent="0.25">
      <c r="A5135"/>
      <c r="B5135"/>
    </row>
    <row r="5136" spans="1:2" x14ac:dyDescent="0.25">
      <c r="A5136"/>
      <c r="B5136"/>
    </row>
    <row r="5137" spans="1:2" x14ac:dyDescent="0.25">
      <c r="A5137"/>
      <c r="B5137"/>
    </row>
    <row r="5138" spans="1:2" x14ac:dyDescent="0.25">
      <c r="A5138"/>
      <c r="B5138"/>
    </row>
    <row r="5139" spans="1:2" x14ac:dyDescent="0.25">
      <c r="A5139"/>
      <c r="B5139"/>
    </row>
    <row r="5140" spans="1:2" x14ac:dyDescent="0.25">
      <c r="A5140"/>
      <c r="B5140"/>
    </row>
    <row r="5141" spans="1:2" x14ac:dyDescent="0.25">
      <c r="A5141"/>
      <c r="B5141"/>
    </row>
    <row r="5142" spans="1:2" x14ac:dyDescent="0.25">
      <c r="A5142"/>
      <c r="B5142"/>
    </row>
    <row r="5143" spans="1:2" x14ac:dyDescent="0.25">
      <c r="A5143"/>
      <c r="B5143"/>
    </row>
    <row r="5144" spans="1:2" x14ac:dyDescent="0.25">
      <c r="A5144"/>
      <c r="B5144"/>
    </row>
    <row r="5145" spans="1:2" x14ac:dyDescent="0.25">
      <c r="A5145"/>
      <c r="B5145"/>
    </row>
    <row r="5146" spans="1:2" x14ac:dyDescent="0.25">
      <c r="A5146"/>
      <c r="B5146"/>
    </row>
    <row r="5147" spans="1:2" x14ac:dyDescent="0.25">
      <c r="A5147"/>
      <c r="B5147"/>
    </row>
    <row r="5148" spans="1:2" x14ac:dyDescent="0.25">
      <c r="A5148"/>
      <c r="B5148"/>
    </row>
    <row r="5149" spans="1:2" x14ac:dyDescent="0.25">
      <c r="A5149"/>
      <c r="B5149"/>
    </row>
    <row r="5150" spans="1:2" x14ac:dyDescent="0.25">
      <c r="A5150"/>
      <c r="B5150"/>
    </row>
    <row r="5151" spans="1:2" x14ac:dyDescent="0.25">
      <c r="A5151"/>
      <c r="B5151"/>
    </row>
    <row r="5152" spans="1:2" x14ac:dyDescent="0.25">
      <c r="A5152"/>
      <c r="B5152"/>
    </row>
    <row r="5153" spans="1:2" x14ac:dyDescent="0.25">
      <c r="A5153"/>
      <c r="B5153"/>
    </row>
    <row r="5154" spans="1:2" x14ac:dyDescent="0.25">
      <c r="A5154"/>
      <c r="B5154"/>
    </row>
    <row r="5155" spans="1:2" x14ac:dyDescent="0.25">
      <c r="A5155"/>
      <c r="B5155"/>
    </row>
    <row r="5156" spans="1:2" x14ac:dyDescent="0.25">
      <c r="A5156"/>
      <c r="B5156"/>
    </row>
    <row r="5157" spans="1:2" x14ac:dyDescent="0.25">
      <c r="A5157"/>
      <c r="B5157"/>
    </row>
    <row r="5158" spans="1:2" x14ac:dyDescent="0.25">
      <c r="A5158"/>
      <c r="B5158"/>
    </row>
    <row r="5159" spans="1:2" x14ac:dyDescent="0.25">
      <c r="A5159"/>
      <c r="B5159"/>
    </row>
    <row r="5160" spans="1:2" x14ac:dyDescent="0.25">
      <c r="A5160"/>
      <c r="B5160"/>
    </row>
    <row r="5161" spans="1:2" x14ac:dyDescent="0.25">
      <c r="A5161"/>
      <c r="B5161"/>
    </row>
    <row r="5162" spans="1:2" x14ac:dyDescent="0.25">
      <c r="A5162"/>
      <c r="B5162"/>
    </row>
    <row r="5163" spans="1:2" x14ac:dyDescent="0.25">
      <c r="A5163"/>
      <c r="B5163"/>
    </row>
    <row r="5164" spans="1:2" x14ac:dyDescent="0.25">
      <c r="A5164"/>
      <c r="B5164"/>
    </row>
    <row r="5165" spans="1:2" x14ac:dyDescent="0.25">
      <c r="A5165"/>
      <c r="B5165"/>
    </row>
    <row r="5166" spans="1:2" x14ac:dyDescent="0.25">
      <c r="A5166"/>
      <c r="B5166"/>
    </row>
    <row r="5167" spans="1:2" x14ac:dyDescent="0.25">
      <c r="A5167"/>
      <c r="B5167"/>
    </row>
    <row r="5168" spans="1:2" x14ac:dyDescent="0.25">
      <c r="A5168"/>
      <c r="B5168"/>
    </row>
    <row r="5169" spans="1:2" x14ac:dyDescent="0.25">
      <c r="A5169"/>
      <c r="B5169"/>
    </row>
    <row r="5170" spans="1:2" x14ac:dyDescent="0.25">
      <c r="A5170"/>
      <c r="B5170"/>
    </row>
    <row r="5171" spans="1:2" x14ac:dyDescent="0.25">
      <c r="A5171"/>
      <c r="B5171"/>
    </row>
    <row r="5172" spans="1:2" x14ac:dyDescent="0.25">
      <c r="A5172"/>
      <c r="B5172"/>
    </row>
    <row r="5173" spans="1:2" x14ac:dyDescent="0.25">
      <c r="A5173"/>
      <c r="B5173"/>
    </row>
    <row r="5174" spans="1:2" x14ac:dyDescent="0.25">
      <c r="A5174"/>
      <c r="B5174"/>
    </row>
    <row r="5175" spans="1:2" x14ac:dyDescent="0.25">
      <c r="A5175"/>
      <c r="B5175"/>
    </row>
    <row r="5176" spans="1:2" x14ac:dyDescent="0.25">
      <c r="A5176"/>
      <c r="B5176"/>
    </row>
    <row r="5177" spans="1:2" x14ac:dyDescent="0.25">
      <c r="A5177"/>
      <c r="B5177"/>
    </row>
    <row r="5178" spans="1:2" x14ac:dyDescent="0.25">
      <c r="A5178"/>
      <c r="B5178"/>
    </row>
    <row r="5179" spans="1:2" x14ac:dyDescent="0.25">
      <c r="A5179"/>
      <c r="B5179"/>
    </row>
    <row r="5180" spans="1:2" x14ac:dyDescent="0.25">
      <c r="A5180"/>
      <c r="B5180"/>
    </row>
    <row r="5181" spans="1:2" x14ac:dyDescent="0.25">
      <c r="A5181"/>
      <c r="B5181"/>
    </row>
    <row r="5182" spans="1:2" x14ac:dyDescent="0.25">
      <c r="A5182"/>
      <c r="B5182"/>
    </row>
    <row r="5183" spans="1:2" x14ac:dyDescent="0.25">
      <c r="A5183"/>
      <c r="B5183"/>
    </row>
    <row r="5184" spans="1:2" x14ac:dyDescent="0.25">
      <c r="A5184"/>
      <c r="B5184"/>
    </row>
    <row r="5185" spans="1:2" x14ac:dyDescent="0.25">
      <c r="A5185"/>
      <c r="B5185"/>
    </row>
    <row r="5186" spans="1:2" x14ac:dyDescent="0.25">
      <c r="A5186"/>
      <c r="B5186"/>
    </row>
    <row r="5187" spans="1:2" x14ac:dyDescent="0.25">
      <c r="A5187"/>
      <c r="B5187"/>
    </row>
    <row r="5188" spans="1:2" x14ac:dyDescent="0.25">
      <c r="A5188"/>
      <c r="B5188"/>
    </row>
    <row r="5189" spans="1:2" x14ac:dyDescent="0.25">
      <c r="A5189"/>
      <c r="B5189"/>
    </row>
    <row r="5190" spans="1:2" x14ac:dyDescent="0.25">
      <c r="A5190"/>
      <c r="B5190"/>
    </row>
    <row r="5191" spans="1:2" x14ac:dyDescent="0.25">
      <c r="A5191"/>
      <c r="B5191"/>
    </row>
    <row r="5192" spans="1:2" x14ac:dyDescent="0.25">
      <c r="A5192"/>
      <c r="B5192"/>
    </row>
    <row r="5193" spans="1:2" x14ac:dyDescent="0.25">
      <c r="A5193"/>
      <c r="B5193"/>
    </row>
    <row r="5194" spans="1:2" x14ac:dyDescent="0.25">
      <c r="A5194"/>
      <c r="B5194"/>
    </row>
    <row r="5195" spans="1:2" x14ac:dyDescent="0.25">
      <c r="A5195"/>
      <c r="B5195"/>
    </row>
    <row r="5196" spans="1:2" x14ac:dyDescent="0.25">
      <c r="A5196"/>
      <c r="B5196"/>
    </row>
    <row r="5197" spans="1:2" x14ac:dyDescent="0.25">
      <c r="A5197"/>
      <c r="B5197"/>
    </row>
    <row r="5198" spans="1:2" x14ac:dyDescent="0.25">
      <c r="A5198"/>
      <c r="B5198"/>
    </row>
    <row r="5199" spans="1:2" x14ac:dyDescent="0.25">
      <c r="A5199"/>
      <c r="B5199"/>
    </row>
    <row r="5200" spans="1:2" x14ac:dyDescent="0.25">
      <c r="A5200"/>
      <c r="B5200"/>
    </row>
    <row r="5201" spans="1:2" x14ac:dyDescent="0.25">
      <c r="A5201"/>
      <c r="B5201"/>
    </row>
    <row r="5202" spans="1:2" x14ac:dyDescent="0.25">
      <c r="A5202"/>
      <c r="B5202"/>
    </row>
    <row r="5203" spans="1:2" x14ac:dyDescent="0.25">
      <c r="A5203"/>
      <c r="B5203"/>
    </row>
    <row r="5204" spans="1:2" x14ac:dyDescent="0.25">
      <c r="A5204"/>
      <c r="B5204"/>
    </row>
    <row r="5205" spans="1:2" x14ac:dyDescent="0.25">
      <c r="A5205"/>
      <c r="B5205"/>
    </row>
    <row r="5206" spans="1:2" x14ac:dyDescent="0.25">
      <c r="A5206"/>
      <c r="B5206"/>
    </row>
    <row r="5207" spans="1:2" x14ac:dyDescent="0.25">
      <c r="A5207"/>
      <c r="B5207"/>
    </row>
    <row r="5208" spans="1:2" x14ac:dyDescent="0.25">
      <c r="A5208"/>
      <c r="B5208"/>
    </row>
    <row r="5209" spans="1:2" x14ac:dyDescent="0.25">
      <c r="A5209"/>
      <c r="B5209"/>
    </row>
    <row r="5210" spans="1:2" x14ac:dyDescent="0.25">
      <c r="A5210"/>
      <c r="B5210"/>
    </row>
    <row r="5211" spans="1:2" x14ac:dyDescent="0.25">
      <c r="A5211"/>
      <c r="B5211"/>
    </row>
    <row r="5212" spans="1:2" x14ac:dyDescent="0.25">
      <c r="A5212"/>
      <c r="B5212"/>
    </row>
    <row r="5213" spans="1:2" x14ac:dyDescent="0.25">
      <c r="A5213"/>
      <c r="B5213"/>
    </row>
    <row r="5214" spans="1:2" x14ac:dyDescent="0.25">
      <c r="A5214"/>
      <c r="B5214"/>
    </row>
    <row r="5215" spans="1:2" x14ac:dyDescent="0.25">
      <c r="A5215"/>
      <c r="B5215"/>
    </row>
    <row r="5216" spans="1:2" x14ac:dyDescent="0.25">
      <c r="A5216"/>
      <c r="B5216"/>
    </row>
    <row r="5217" spans="1:2" x14ac:dyDescent="0.25">
      <c r="A5217"/>
      <c r="B5217"/>
    </row>
    <row r="5218" spans="1:2" x14ac:dyDescent="0.25">
      <c r="A5218"/>
      <c r="B5218"/>
    </row>
    <row r="5219" spans="1:2" x14ac:dyDescent="0.25">
      <c r="A5219"/>
      <c r="B5219"/>
    </row>
    <row r="5220" spans="1:2" x14ac:dyDescent="0.25">
      <c r="A5220"/>
      <c r="B5220"/>
    </row>
    <row r="5221" spans="1:2" x14ac:dyDescent="0.25">
      <c r="A5221"/>
      <c r="B5221"/>
    </row>
    <row r="5222" spans="1:2" x14ac:dyDescent="0.25">
      <c r="A5222"/>
      <c r="B5222"/>
    </row>
    <row r="5223" spans="1:2" x14ac:dyDescent="0.25">
      <c r="A5223"/>
      <c r="B5223"/>
    </row>
    <row r="5224" spans="1:2" x14ac:dyDescent="0.25">
      <c r="A5224"/>
      <c r="B5224"/>
    </row>
    <row r="5225" spans="1:2" x14ac:dyDescent="0.25">
      <c r="A5225"/>
      <c r="B5225"/>
    </row>
    <row r="5226" spans="1:2" x14ac:dyDescent="0.25">
      <c r="A5226"/>
      <c r="B5226"/>
    </row>
    <row r="5227" spans="1:2" x14ac:dyDescent="0.25">
      <c r="A5227"/>
      <c r="B5227"/>
    </row>
    <row r="5228" spans="1:2" x14ac:dyDescent="0.25">
      <c r="A5228"/>
      <c r="B5228"/>
    </row>
    <row r="5229" spans="1:2" x14ac:dyDescent="0.25">
      <c r="A5229"/>
      <c r="B5229"/>
    </row>
    <row r="5230" spans="1:2" x14ac:dyDescent="0.25">
      <c r="A5230"/>
      <c r="B5230"/>
    </row>
    <row r="5231" spans="1:2" x14ac:dyDescent="0.25">
      <c r="A5231"/>
      <c r="B5231"/>
    </row>
    <row r="5232" spans="1:2" x14ac:dyDescent="0.25">
      <c r="A5232"/>
      <c r="B5232"/>
    </row>
    <row r="5233" spans="1:2" x14ac:dyDescent="0.25">
      <c r="A5233"/>
      <c r="B5233"/>
    </row>
    <row r="5234" spans="1:2" x14ac:dyDescent="0.25">
      <c r="A5234"/>
      <c r="B5234"/>
    </row>
    <row r="5235" spans="1:2" x14ac:dyDescent="0.25">
      <c r="A5235"/>
      <c r="B5235"/>
    </row>
    <row r="5236" spans="1:2" x14ac:dyDescent="0.25">
      <c r="A5236"/>
      <c r="B5236"/>
    </row>
    <row r="5237" spans="1:2" x14ac:dyDescent="0.25">
      <c r="A5237"/>
      <c r="B5237"/>
    </row>
    <row r="5238" spans="1:2" x14ac:dyDescent="0.25">
      <c r="A5238"/>
      <c r="B5238"/>
    </row>
    <row r="5239" spans="1:2" x14ac:dyDescent="0.25">
      <c r="A5239"/>
      <c r="B5239"/>
    </row>
    <row r="5240" spans="1:2" x14ac:dyDescent="0.25">
      <c r="A5240"/>
      <c r="B5240"/>
    </row>
    <row r="5241" spans="1:2" x14ac:dyDescent="0.25">
      <c r="A5241"/>
      <c r="B5241"/>
    </row>
    <row r="5242" spans="1:2" x14ac:dyDescent="0.25">
      <c r="A5242"/>
      <c r="B5242"/>
    </row>
    <row r="5243" spans="1:2" x14ac:dyDescent="0.25">
      <c r="A5243"/>
      <c r="B5243"/>
    </row>
    <row r="5244" spans="1:2" x14ac:dyDescent="0.25">
      <c r="A5244"/>
      <c r="B5244"/>
    </row>
    <row r="5245" spans="1:2" x14ac:dyDescent="0.25">
      <c r="A5245"/>
      <c r="B5245"/>
    </row>
    <row r="5246" spans="1:2" x14ac:dyDescent="0.25">
      <c r="A5246"/>
      <c r="B5246"/>
    </row>
    <row r="5247" spans="1:2" x14ac:dyDescent="0.25">
      <c r="A5247"/>
      <c r="B5247"/>
    </row>
    <row r="5248" spans="1:2" x14ac:dyDescent="0.25">
      <c r="A5248"/>
      <c r="B5248"/>
    </row>
    <row r="5249" spans="1:2" x14ac:dyDescent="0.25">
      <c r="A5249"/>
      <c r="B5249"/>
    </row>
    <row r="5250" spans="1:2" x14ac:dyDescent="0.25">
      <c r="A5250"/>
      <c r="B5250"/>
    </row>
    <row r="5251" spans="1:2" x14ac:dyDescent="0.25">
      <c r="A5251"/>
      <c r="B5251"/>
    </row>
    <row r="5252" spans="1:2" x14ac:dyDescent="0.25">
      <c r="A5252"/>
      <c r="B5252"/>
    </row>
    <row r="5253" spans="1:2" x14ac:dyDescent="0.25">
      <c r="A5253"/>
      <c r="B5253"/>
    </row>
    <row r="5254" spans="1:2" x14ac:dyDescent="0.25">
      <c r="A5254"/>
      <c r="B5254"/>
    </row>
    <row r="5255" spans="1:2" x14ac:dyDescent="0.25">
      <c r="A5255"/>
      <c r="B5255"/>
    </row>
    <row r="5256" spans="1:2" x14ac:dyDescent="0.25">
      <c r="A5256"/>
      <c r="B5256"/>
    </row>
    <row r="5257" spans="1:2" x14ac:dyDescent="0.25">
      <c r="A5257"/>
      <c r="B5257"/>
    </row>
    <row r="5258" spans="1:2" x14ac:dyDescent="0.25">
      <c r="A5258"/>
      <c r="B5258"/>
    </row>
    <row r="5259" spans="1:2" x14ac:dyDescent="0.25">
      <c r="A5259"/>
      <c r="B5259"/>
    </row>
    <row r="5260" spans="1:2" x14ac:dyDescent="0.25">
      <c r="A5260"/>
      <c r="B5260"/>
    </row>
    <row r="5261" spans="1:2" x14ac:dyDescent="0.25">
      <c r="A5261"/>
      <c r="B5261"/>
    </row>
    <row r="5262" spans="1:2" x14ac:dyDescent="0.25">
      <c r="A5262"/>
      <c r="B5262"/>
    </row>
    <row r="5263" spans="1:2" x14ac:dyDescent="0.25">
      <c r="A5263"/>
      <c r="B5263"/>
    </row>
    <row r="5264" spans="1:2" x14ac:dyDescent="0.25">
      <c r="A5264"/>
      <c r="B5264"/>
    </row>
    <row r="5265" spans="1:2" x14ac:dyDescent="0.25">
      <c r="A5265"/>
      <c r="B5265"/>
    </row>
    <row r="5266" spans="1:2" x14ac:dyDescent="0.25">
      <c r="A5266"/>
      <c r="B5266"/>
    </row>
    <row r="5267" spans="1:2" x14ac:dyDescent="0.25">
      <c r="A5267"/>
      <c r="B5267"/>
    </row>
    <row r="5268" spans="1:2" x14ac:dyDescent="0.25">
      <c r="A5268"/>
      <c r="B5268"/>
    </row>
    <row r="5269" spans="1:2" x14ac:dyDescent="0.25">
      <c r="A5269"/>
      <c r="B5269"/>
    </row>
    <row r="5270" spans="1:2" x14ac:dyDescent="0.25">
      <c r="A5270"/>
      <c r="B5270"/>
    </row>
    <row r="5271" spans="1:2" x14ac:dyDescent="0.25">
      <c r="A5271"/>
      <c r="B5271"/>
    </row>
    <row r="5272" spans="1:2" x14ac:dyDescent="0.25">
      <c r="A5272"/>
      <c r="B5272"/>
    </row>
    <row r="5273" spans="1:2" x14ac:dyDescent="0.25">
      <c r="A5273"/>
      <c r="B5273"/>
    </row>
    <row r="5274" spans="1:2" x14ac:dyDescent="0.25">
      <c r="A5274"/>
      <c r="B5274"/>
    </row>
    <row r="5275" spans="1:2" x14ac:dyDescent="0.25">
      <c r="A5275"/>
      <c r="B5275"/>
    </row>
    <row r="5276" spans="1:2" x14ac:dyDescent="0.25">
      <c r="A5276"/>
      <c r="B5276"/>
    </row>
    <row r="5277" spans="1:2" x14ac:dyDescent="0.25">
      <c r="A5277"/>
      <c r="B5277"/>
    </row>
    <row r="5278" spans="1:2" x14ac:dyDescent="0.25">
      <c r="A5278"/>
      <c r="B5278"/>
    </row>
    <row r="5279" spans="1:2" x14ac:dyDescent="0.25">
      <c r="A5279"/>
      <c r="B5279"/>
    </row>
    <row r="5280" spans="1:2" x14ac:dyDescent="0.25">
      <c r="A5280"/>
      <c r="B5280"/>
    </row>
    <row r="5281" spans="1:2" x14ac:dyDescent="0.25">
      <c r="A5281"/>
      <c r="B5281"/>
    </row>
    <row r="5282" spans="1:2" x14ac:dyDescent="0.25">
      <c r="A5282"/>
      <c r="B5282"/>
    </row>
    <row r="5283" spans="1:2" x14ac:dyDescent="0.25">
      <c r="A5283"/>
      <c r="B5283"/>
    </row>
    <row r="5284" spans="1:2" x14ac:dyDescent="0.25">
      <c r="A5284"/>
      <c r="B5284"/>
    </row>
    <row r="5285" spans="1:2" x14ac:dyDescent="0.25">
      <c r="A5285"/>
      <c r="B5285"/>
    </row>
    <row r="5286" spans="1:2" x14ac:dyDescent="0.25">
      <c r="A5286"/>
      <c r="B5286"/>
    </row>
    <row r="5287" spans="1:2" x14ac:dyDescent="0.25">
      <c r="A5287"/>
      <c r="B5287"/>
    </row>
    <row r="5288" spans="1:2" x14ac:dyDescent="0.25">
      <c r="A5288"/>
      <c r="B5288"/>
    </row>
    <row r="5289" spans="1:2" x14ac:dyDescent="0.25">
      <c r="A5289"/>
      <c r="B5289"/>
    </row>
    <row r="5290" spans="1:2" x14ac:dyDescent="0.25">
      <c r="A5290"/>
      <c r="B5290"/>
    </row>
    <row r="5291" spans="1:2" x14ac:dyDescent="0.25">
      <c r="A5291"/>
      <c r="B5291"/>
    </row>
    <row r="5292" spans="1:2" x14ac:dyDescent="0.25">
      <c r="A5292"/>
      <c r="B5292"/>
    </row>
    <row r="5293" spans="1:2" x14ac:dyDescent="0.25">
      <c r="A5293"/>
      <c r="B5293"/>
    </row>
    <row r="5294" spans="1:2" x14ac:dyDescent="0.25">
      <c r="A5294"/>
      <c r="B5294"/>
    </row>
    <row r="5295" spans="1:2" x14ac:dyDescent="0.25">
      <c r="A5295"/>
      <c r="B5295"/>
    </row>
    <row r="5296" spans="1:2" x14ac:dyDescent="0.25">
      <c r="A5296"/>
      <c r="B5296"/>
    </row>
    <row r="5297" spans="1:2" x14ac:dyDescent="0.25">
      <c r="A5297"/>
      <c r="B5297"/>
    </row>
    <row r="5298" spans="1:2" x14ac:dyDescent="0.25">
      <c r="A5298"/>
      <c r="B5298"/>
    </row>
    <row r="5299" spans="1:2" x14ac:dyDescent="0.25">
      <c r="A5299"/>
      <c r="B5299"/>
    </row>
    <row r="5300" spans="1:2" x14ac:dyDescent="0.25">
      <c r="A5300"/>
      <c r="B5300"/>
    </row>
    <row r="5301" spans="1:2" x14ac:dyDescent="0.25">
      <c r="A5301"/>
      <c r="B5301"/>
    </row>
    <row r="5302" spans="1:2" x14ac:dyDescent="0.25">
      <c r="A5302"/>
      <c r="B5302"/>
    </row>
    <row r="5303" spans="1:2" x14ac:dyDescent="0.25">
      <c r="A5303"/>
      <c r="B5303"/>
    </row>
    <row r="5304" spans="1:2" x14ac:dyDescent="0.25">
      <c r="A5304"/>
      <c r="B5304"/>
    </row>
    <row r="5305" spans="1:2" x14ac:dyDescent="0.25">
      <c r="A5305"/>
      <c r="B5305"/>
    </row>
    <row r="5306" spans="1:2" x14ac:dyDescent="0.25">
      <c r="A5306"/>
      <c r="B5306"/>
    </row>
    <row r="5307" spans="1:2" x14ac:dyDescent="0.25">
      <c r="A5307"/>
      <c r="B5307"/>
    </row>
    <row r="5308" spans="1:2" x14ac:dyDescent="0.25">
      <c r="A5308"/>
      <c r="B5308"/>
    </row>
    <row r="5309" spans="1:2" x14ac:dyDescent="0.25">
      <c r="A5309"/>
      <c r="B5309"/>
    </row>
    <row r="5310" spans="1:2" x14ac:dyDescent="0.25">
      <c r="A5310"/>
      <c r="B5310"/>
    </row>
    <row r="5311" spans="1:2" x14ac:dyDescent="0.25">
      <c r="A5311"/>
      <c r="B5311"/>
    </row>
    <row r="5312" spans="1:2" x14ac:dyDescent="0.25">
      <c r="A5312"/>
      <c r="B5312"/>
    </row>
    <row r="5313" spans="1:2" x14ac:dyDescent="0.25">
      <c r="A5313"/>
      <c r="B5313"/>
    </row>
    <row r="5314" spans="1:2" x14ac:dyDescent="0.25">
      <c r="A5314"/>
      <c r="B5314"/>
    </row>
    <row r="5315" spans="1:2" x14ac:dyDescent="0.25">
      <c r="A5315"/>
      <c r="B5315"/>
    </row>
    <row r="5316" spans="1:2" x14ac:dyDescent="0.25">
      <c r="A5316"/>
      <c r="B5316"/>
    </row>
    <row r="5317" spans="1:2" x14ac:dyDescent="0.25">
      <c r="A5317"/>
      <c r="B5317"/>
    </row>
    <row r="5318" spans="1:2" x14ac:dyDescent="0.25">
      <c r="A5318"/>
      <c r="B5318"/>
    </row>
    <row r="5319" spans="1:2" x14ac:dyDescent="0.25">
      <c r="A5319"/>
      <c r="B5319"/>
    </row>
    <row r="5320" spans="1:2" x14ac:dyDescent="0.25">
      <c r="A5320"/>
      <c r="B5320"/>
    </row>
    <row r="5321" spans="1:2" x14ac:dyDescent="0.25">
      <c r="A5321"/>
      <c r="B5321"/>
    </row>
    <row r="5322" spans="1:2" x14ac:dyDescent="0.25">
      <c r="A5322"/>
      <c r="B5322"/>
    </row>
    <row r="5323" spans="1:2" x14ac:dyDescent="0.25">
      <c r="A5323"/>
      <c r="B5323"/>
    </row>
    <row r="5324" spans="1:2" x14ac:dyDescent="0.25">
      <c r="A5324"/>
      <c r="B5324"/>
    </row>
    <row r="5325" spans="1:2" x14ac:dyDescent="0.25">
      <c r="A5325"/>
      <c r="B5325"/>
    </row>
    <row r="5326" spans="1:2" x14ac:dyDescent="0.25">
      <c r="A5326"/>
      <c r="B5326"/>
    </row>
    <row r="5327" spans="1:2" x14ac:dyDescent="0.25">
      <c r="A5327"/>
      <c r="B5327"/>
    </row>
    <row r="5328" spans="1:2" x14ac:dyDescent="0.25">
      <c r="A5328"/>
      <c r="B5328"/>
    </row>
    <row r="5329" spans="1:2" x14ac:dyDescent="0.25">
      <c r="A5329"/>
      <c r="B5329"/>
    </row>
    <row r="5330" spans="1:2" x14ac:dyDescent="0.25">
      <c r="A5330"/>
      <c r="B5330"/>
    </row>
    <row r="5331" spans="1:2" x14ac:dyDescent="0.25">
      <c r="A5331"/>
      <c r="B5331"/>
    </row>
    <row r="5332" spans="1:2" x14ac:dyDescent="0.25">
      <c r="A5332"/>
      <c r="B5332"/>
    </row>
    <row r="5333" spans="1:2" x14ac:dyDescent="0.25">
      <c r="A5333"/>
      <c r="B5333"/>
    </row>
    <row r="5334" spans="1:2" x14ac:dyDescent="0.25">
      <c r="A5334"/>
      <c r="B5334"/>
    </row>
    <row r="5335" spans="1:2" x14ac:dyDescent="0.25">
      <c r="A5335"/>
      <c r="B5335"/>
    </row>
    <row r="5336" spans="1:2" x14ac:dyDescent="0.25">
      <c r="A5336"/>
      <c r="B5336"/>
    </row>
    <row r="5337" spans="1:2" x14ac:dyDescent="0.25">
      <c r="A5337"/>
      <c r="B5337"/>
    </row>
    <row r="5338" spans="1:2" x14ac:dyDescent="0.25">
      <c r="A5338"/>
      <c r="B5338"/>
    </row>
    <row r="5339" spans="1:2" x14ac:dyDescent="0.25">
      <c r="A5339"/>
      <c r="B5339"/>
    </row>
    <row r="5340" spans="1:2" x14ac:dyDescent="0.25">
      <c r="A5340"/>
      <c r="B5340"/>
    </row>
    <row r="5341" spans="1:2" x14ac:dyDescent="0.25">
      <c r="A5341"/>
      <c r="B5341"/>
    </row>
    <row r="5342" spans="1:2" x14ac:dyDescent="0.25">
      <c r="A5342"/>
      <c r="B5342"/>
    </row>
    <row r="5343" spans="1:2" x14ac:dyDescent="0.25">
      <c r="A5343"/>
      <c r="B5343"/>
    </row>
    <row r="5344" spans="1:2" x14ac:dyDescent="0.25">
      <c r="A5344"/>
      <c r="B5344"/>
    </row>
    <row r="5345" spans="1:2" x14ac:dyDescent="0.25">
      <c r="A5345"/>
      <c r="B5345"/>
    </row>
    <row r="5346" spans="1:2" x14ac:dyDescent="0.25">
      <c r="A5346"/>
      <c r="B5346"/>
    </row>
    <row r="5347" spans="1:2" x14ac:dyDescent="0.25">
      <c r="A5347"/>
      <c r="B5347"/>
    </row>
    <row r="5348" spans="1:2" x14ac:dyDescent="0.25">
      <c r="A5348"/>
      <c r="B5348"/>
    </row>
    <row r="5349" spans="1:2" x14ac:dyDescent="0.25">
      <c r="A5349"/>
      <c r="B5349"/>
    </row>
    <row r="5350" spans="1:2" x14ac:dyDescent="0.25">
      <c r="A5350"/>
      <c r="B5350"/>
    </row>
    <row r="5351" spans="1:2" x14ac:dyDescent="0.25">
      <c r="A5351"/>
      <c r="B5351"/>
    </row>
    <row r="5352" spans="1:2" x14ac:dyDescent="0.25">
      <c r="A5352"/>
      <c r="B5352"/>
    </row>
    <row r="5353" spans="1:2" x14ac:dyDescent="0.25">
      <c r="A5353"/>
      <c r="B5353"/>
    </row>
    <row r="5354" spans="1:2" x14ac:dyDescent="0.25">
      <c r="A5354"/>
      <c r="B5354"/>
    </row>
    <row r="5355" spans="1:2" x14ac:dyDescent="0.25">
      <c r="A5355"/>
      <c r="B5355"/>
    </row>
    <row r="5356" spans="1:2" x14ac:dyDescent="0.25">
      <c r="A5356"/>
      <c r="B5356"/>
    </row>
    <row r="5357" spans="1:2" x14ac:dyDescent="0.25">
      <c r="A5357"/>
      <c r="B5357"/>
    </row>
    <row r="5358" spans="1:2" x14ac:dyDescent="0.25">
      <c r="A5358"/>
      <c r="B5358"/>
    </row>
    <row r="5359" spans="1:2" x14ac:dyDescent="0.25">
      <c r="A5359"/>
      <c r="B5359"/>
    </row>
    <row r="5360" spans="1:2" x14ac:dyDescent="0.25">
      <c r="A5360"/>
      <c r="B5360"/>
    </row>
    <row r="5361" spans="1:2" x14ac:dyDescent="0.25">
      <c r="A5361"/>
      <c r="B5361"/>
    </row>
    <row r="5362" spans="1:2" x14ac:dyDescent="0.25">
      <c r="A5362"/>
      <c r="B5362"/>
    </row>
    <row r="5363" spans="1:2" x14ac:dyDescent="0.25">
      <c r="A5363"/>
      <c r="B5363"/>
    </row>
    <row r="5364" spans="1:2" x14ac:dyDescent="0.25">
      <c r="A5364"/>
      <c r="B5364"/>
    </row>
    <row r="5365" spans="1:2" x14ac:dyDescent="0.25">
      <c r="A5365"/>
      <c r="B5365"/>
    </row>
    <row r="5366" spans="1:2" x14ac:dyDescent="0.25">
      <c r="A5366"/>
      <c r="B5366"/>
    </row>
    <row r="5367" spans="1:2" x14ac:dyDescent="0.25">
      <c r="A5367"/>
      <c r="B5367"/>
    </row>
    <row r="5368" spans="1:2" x14ac:dyDescent="0.25">
      <c r="A5368"/>
      <c r="B5368"/>
    </row>
    <row r="5369" spans="1:2" x14ac:dyDescent="0.25">
      <c r="A5369"/>
      <c r="B5369"/>
    </row>
    <row r="5370" spans="1:2" x14ac:dyDescent="0.25">
      <c r="A5370"/>
      <c r="B5370"/>
    </row>
    <row r="5371" spans="1:2" x14ac:dyDescent="0.25">
      <c r="A5371"/>
      <c r="B5371"/>
    </row>
    <row r="5372" spans="1:2" x14ac:dyDescent="0.25">
      <c r="A5372"/>
      <c r="B5372"/>
    </row>
    <row r="5373" spans="1:2" x14ac:dyDescent="0.25">
      <c r="A5373"/>
      <c r="B5373"/>
    </row>
    <row r="5374" spans="1:2" x14ac:dyDescent="0.25">
      <c r="A5374"/>
      <c r="B5374"/>
    </row>
    <row r="5375" spans="1:2" x14ac:dyDescent="0.25">
      <c r="A5375"/>
      <c r="B5375"/>
    </row>
    <row r="5376" spans="1:2" x14ac:dyDescent="0.25">
      <c r="A5376"/>
      <c r="B5376"/>
    </row>
    <row r="5377" spans="1:2" x14ac:dyDescent="0.25">
      <c r="A5377"/>
      <c r="B5377"/>
    </row>
    <row r="5378" spans="1:2" x14ac:dyDescent="0.25">
      <c r="A5378"/>
      <c r="B5378"/>
    </row>
    <row r="5379" spans="1:2" x14ac:dyDescent="0.25">
      <c r="A5379"/>
      <c r="B5379"/>
    </row>
    <row r="5380" spans="1:2" x14ac:dyDescent="0.25">
      <c r="A5380"/>
      <c r="B5380"/>
    </row>
    <row r="5381" spans="1:2" x14ac:dyDescent="0.25">
      <c r="A5381"/>
      <c r="B5381"/>
    </row>
    <row r="5382" spans="1:2" x14ac:dyDescent="0.25">
      <c r="A5382"/>
      <c r="B5382"/>
    </row>
    <row r="5383" spans="1:2" x14ac:dyDescent="0.25">
      <c r="A5383"/>
      <c r="B5383"/>
    </row>
    <row r="5384" spans="1:2" x14ac:dyDescent="0.25">
      <c r="A5384"/>
      <c r="B5384"/>
    </row>
    <row r="5385" spans="1:2" x14ac:dyDescent="0.25">
      <c r="A5385"/>
      <c r="B5385"/>
    </row>
    <row r="5386" spans="1:2" x14ac:dyDescent="0.25">
      <c r="A5386"/>
      <c r="B5386"/>
    </row>
    <row r="5387" spans="1:2" x14ac:dyDescent="0.25">
      <c r="A5387"/>
      <c r="B5387"/>
    </row>
    <row r="5388" spans="1:2" x14ac:dyDescent="0.25">
      <c r="A5388"/>
      <c r="B5388"/>
    </row>
    <row r="5389" spans="1:2" x14ac:dyDescent="0.25">
      <c r="A5389"/>
      <c r="B5389"/>
    </row>
    <row r="5390" spans="1:2" x14ac:dyDescent="0.25">
      <c r="A5390"/>
      <c r="B5390"/>
    </row>
    <row r="5391" spans="1:2" x14ac:dyDescent="0.25">
      <c r="A5391"/>
      <c r="B5391"/>
    </row>
    <row r="5392" spans="1:2" x14ac:dyDescent="0.25">
      <c r="A5392"/>
      <c r="B5392"/>
    </row>
    <row r="5393" spans="1:2" x14ac:dyDescent="0.25">
      <c r="A5393"/>
      <c r="B5393"/>
    </row>
    <row r="5394" spans="1:2" x14ac:dyDescent="0.25">
      <c r="A5394"/>
      <c r="B5394"/>
    </row>
    <row r="5395" spans="1:2" x14ac:dyDescent="0.25">
      <c r="A5395"/>
      <c r="B5395"/>
    </row>
    <row r="5396" spans="1:2" x14ac:dyDescent="0.25">
      <c r="A5396"/>
      <c r="B5396"/>
    </row>
    <row r="5397" spans="1:2" x14ac:dyDescent="0.25">
      <c r="A5397"/>
      <c r="B5397"/>
    </row>
    <row r="5398" spans="1:2" x14ac:dyDescent="0.25">
      <c r="A5398"/>
      <c r="B5398"/>
    </row>
    <row r="5399" spans="1:2" x14ac:dyDescent="0.25">
      <c r="A5399"/>
      <c r="B5399"/>
    </row>
    <row r="5400" spans="1:2" x14ac:dyDescent="0.25">
      <c r="A5400"/>
      <c r="B5400"/>
    </row>
    <row r="5401" spans="1:2" x14ac:dyDescent="0.25">
      <c r="A5401"/>
      <c r="B5401"/>
    </row>
    <row r="5402" spans="1:2" x14ac:dyDescent="0.25">
      <c r="A5402"/>
      <c r="B5402"/>
    </row>
    <row r="5403" spans="1:2" x14ac:dyDescent="0.25">
      <c r="A5403"/>
      <c r="B5403"/>
    </row>
    <row r="5404" spans="1:2" x14ac:dyDescent="0.25">
      <c r="A5404"/>
      <c r="B5404"/>
    </row>
    <row r="5405" spans="1:2" x14ac:dyDescent="0.25">
      <c r="A5405"/>
      <c r="B5405"/>
    </row>
    <row r="5406" spans="1:2" x14ac:dyDescent="0.25">
      <c r="A5406"/>
      <c r="B5406"/>
    </row>
    <row r="5407" spans="1:2" x14ac:dyDescent="0.25">
      <c r="A5407"/>
      <c r="B5407"/>
    </row>
    <row r="5408" spans="1:2" x14ac:dyDescent="0.25">
      <c r="A5408"/>
      <c r="B5408"/>
    </row>
    <row r="5409" spans="1:2" x14ac:dyDescent="0.25">
      <c r="A5409"/>
      <c r="B5409"/>
    </row>
    <row r="5410" spans="1:2" x14ac:dyDescent="0.25">
      <c r="A5410"/>
      <c r="B5410"/>
    </row>
    <row r="5411" spans="1:2" x14ac:dyDescent="0.25">
      <c r="A5411"/>
      <c r="B5411"/>
    </row>
    <row r="5412" spans="1:2" x14ac:dyDescent="0.25">
      <c r="A5412"/>
      <c r="B5412"/>
    </row>
    <row r="5413" spans="1:2" x14ac:dyDescent="0.25">
      <c r="A5413"/>
      <c r="B5413"/>
    </row>
    <row r="5414" spans="1:2" x14ac:dyDescent="0.25">
      <c r="A5414"/>
      <c r="B5414"/>
    </row>
    <row r="5415" spans="1:2" x14ac:dyDescent="0.25">
      <c r="A5415"/>
      <c r="B5415"/>
    </row>
    <row r="5416" spans="1:2" x14ac:dyDescent="0.25">
      <c r="A5416"/>
      <c r="B5416"/>
    </row>
    <row r="5417" spans="1:2" x14ac:dyDescent="0.25">
      <c r="A5417"/>
      <c r="B5417"/>
    </row>
    <row r="5418" spans="1:2" x14ac:dyDescent="0.25">
      <c r="A5418"/>
      <c r="B5418"/>
    </row>
    <row r="5419" spans="1:2" x14ac:dyDescent="0.25">
      <c r="A5419"/>
      <c r="B5419"/>
    </row>
    <row r="5420" spans="1:2" x14ac:dyDescent="0.25">
      <c r="A5420"/>
      <c r="B5420"/>
    </row>
    <row r="5421" spans="1:2" x14ac:dyDescent="0.25">
      <c r="A5421"/>
      <c r="B5421"/>
    </row>
    <row r="5422" spans="1:2" x14ac:dyDescent="0.25">
      <c r="A5422"/>
      <c r="B5422"/>
    </row>
    <row r="5423" spans="1:2" x14ac:dyDescent="0.25">
      <c r="A5423"/>
      <c r="B5423"/>
    </row>
    <row r="5424" spans="1:2" x14ac:dyDescent="0.25">
      <c r="A5424"/>
      <c r="B5424"/>
    </row>
    <row r="5425" spans="1:2" x14ac:dyDescent="0.25">
      <c r="A5425"/>
      <c r="B5425"/>
    </row>
    <row r="5426" spans="1:2" x14ac:dyDescent="0.25">
      <c r="A5426"/>
      <c r="B5426"/>
    </row>
    <row r="5427" spans="1:2" x14ac:dyDescent="0.25">
      <c r="A5427"/>
      <c r="B5427"/>
    </row>
    <row r="5428" spans="1:2" x14ac:dyDescent="0.25">
      <c r="A5428"/>
      <c r="B5428"/>
    </row>
    <row r="5429" spans="1:2" x14ac:dyDescent="0.25">
      <c r="A5429"/>
      <c r="B5429"/>
    </row>
    <row r="5430" spans="1:2" x14ac:dyDescent="0.25">
      <c r="A5430"/>
      <c r="B5430"/>
    </row>
    <row r="5431" spans="1:2" x14ac:dyDescent="0.25">
      <c r="A5431"/>
      <c r="B5431"/>
    </row>
    <row r="5432" spans="1:2" x14ac:dyDescent="0.25">
      <c r="A5432"/>
      <c r="B5432"/>
    </row>
    <row r="5433" spans="1:2" x14ac:dyDescent="0.25">
      <c r="A5433"/>
      <c r="B5433"/>
    </row>
    <row r="5434" spans="1:2" x14ac:dyDescent="0.25">
      <c r="A5434"/>
      <c r="B5434"/>
    </row>
    <row r="5435" spans="1:2" x14ac:dyDescent="0.25">
      <c r="A5435"/>
      <c r="B5435"/>
    </row>
    <row r="5436" spans="1:2" x14ac:dyDescent="0.25">
      <c r="A5436"/>
      <c r="B5436"/>
    </row>
    <row r="5437" spans="1:2" x14ac:dyDescent="0.25">
      <c r="A5437"/>
      <c r="B5437"/>
    </row>
    <row r="5438" spans="1:2" x14ac:dyDescent="0.25">
      <c r="A5438"/>
      <c r="B5438"/>
    </row>
    <row r="5439" spans="1:2" x14ac:dyDescent="0.25">
      <c r="A5439"/>
      <c r="B5439"/>
    </row>
    <row r="5440" spans="1:2" x14ac:dyDescent="0.25">
      <c r="A5440"/>
      <c r="B5440"/>
    </row>
    <row r="5441" spans="1:2" x14ac:dyDescent="0.25">
      <c r="A5441"/>
      <c r="B5441"/>
    </row>
    <row r="5442" spans="1:2" x14ac:dyDescent="0.25">
      <c r="A5442"/>
      <c r="B5442"/>
    </row>
    <row r="5443" spans="1:2" x14ac:dyDescent="0.25">
      <c r="A5443"/>
      <c r="B5443"/>
    </row>
    <row r="5444" spans="1:2" x14ac:dyDescent="0.25">
      <c r="A5444"/>
      <c r="B5444"/>
    </row>
    <row r="5445" spans="1:2" x14ac:dyDescent="0.25">
      <c r="A5445"/>
      <c r="B5445"/>
    </row>
    <row r="5446" spans="1:2" x14ac:dyDescent="0.25">
      <c r="A5446"/>
      <c r="B5446"/>
    </row>
    <row r="5447" spans="1:2" x14ac:dyDescent="0.25">
      <c r="A5447"/>
      <c r="B5447"/>
    </row>
    <row r="5448" spans="1:2" x14ac:dyDescent="0.25">
      <c r="A5448"/>
      <c r="B5448"/>
    </row>
    <row r="5449" spans="1:2" x14ac:dyDescent="0.25">
      <c r="A5449"/>
      <c r="B5449"/>
    </row>
    <row r="5450" spans="1:2" x14ac:dyDescent="0.25">
      <c r="A5450"/>
      <c r="B5450"/>
    </row>
    <row r="5451" spans="1:2" x14ac:dyDescent="0.25">
      <c r="A5451"/>
      <c r="B5451"/>
    </row>
    <row r="5452" spans="1:2" x14ac:dyDescent="0.25">
      <c r="A5452"/>
      <c r="B5452"/>
    </row>
    <row r="5453" spans="1:2" x14ac:dyDescent="0.25">
      <c r="A5453"/>
      <c r="B5453"/>
    </row>
    <row r="5454" spans="1:2" x14ac:dyDescent="0.25">
      <c r="A5454"/>
      <c r="B5454"/>
    </row>
    <row r="5455" spans="1:2" x14ac:dyDescent="0.25">
      <c r="A5455"/>
      <c r="B5455"/>
    </row>
    <row r="5456" spans="1:2" x14ac:dyDescent="0.25">
      <c r="A5456"/>
      <c r="B5456"/>
    </row>
    <row r="5457" spans="1:2" x14ac:dyDescent="0.25">
      <c r="A5457"/>
      <c r="B5457"/>
    </row>
    <row r="5458" spans="1:2" x14ac:dyDescent="0.25">
      <c r="A5458"/>
      <c r="B5458"/>
    </row>
    <row r="5459" spans="1:2" x14ac:dyDescent="0.25">
      <c r="A5459"/>
      <c r="B5459"/>
    </row>
    <row r="5460" spans="1:2" x14ac:dyDescent="0.25">
      <c r="A5460"/>
      <c r="B5460"/>
    </row>
    <row r="5461" spans="1:2" x14ac:dyDescent="0.25">
      <c r="A5461"/>
      <c r="B5461"/>
    </row>
    <row r="5462" spans="1:2" x14ac:dyDescent="0.25">
      <c r="A5462"/>
      <c r="B5462"/>
    </row>
    <row r="5463" spans="1:2" x14ac:dyDescent="0.25">
      <c r="A5463"/>
      <c r="B5463"/>
    </row>
    <row r="5464" spans="1:2" x14ac:dyDescent="0.25">
      <c r="A5464"/>
      <c r="B5464"/>
    </row>
    <row r="5465" spans="1:2" x14ac:dyDescent="0.25">
      <c r="A5465"/>
      <c r="B5465"/>
    </row>
    <row r="5466" spans="1:2" x14ac:dyDescent="0.25">
      <c r="A5466"/>
      <c r="B5466"/>
    </row>
    <row r="5467" spans="1:2" x14ac:dyDescent="0.25">
      <c r="A5467"/>
      <c r="B5467"/>
    </row>
    <row r="5468" spans="1:2" x14ac:dyDescent="0.25">
      <c r="A5468"/>
      <c r="B5468"/>
    </row>
    <row r="5469" spans="1:2" x14ac:dyDescent="0.25">
      <c r="A5469"/>
      <c r="B5469"/>
    </row>
    <row r="5470" spans="1:2" x14ac:dyDescent="0.25">
      <c r="A5470"/>
      <c r="B5470"/>
    </row>
    <row r="5471" spans="1:2" x14ac:dyDescent="0.25">
      <c r="A5471"/>
      <c r="B5471"/>
    </row>
    <row r="5472" spans="1:2" x14ac:dyDescent="0.25">
      <c r="A5472"/>
      <c r="B5472"/>
    </row>
    <row r="5473" spans="1:2" x14ac:dyDescent="0.25">
      <c r="A5473"/>
      <c r="B5473"/>
    </row>
    <row r="5474" spans="1:2" x14ac:dyDescent="0.25">
      <c r="A5474"/>
      <c r="B5474"/>
    </row>
    <row r="5475" spans="1:2" x14ac:dyDescent="0.25">
      <c r="A5475"/>
      <c r="B5475"/>
    </row>
    <row r="5476" spans="1:2" x14ac:dyDescent="0.25">
      <c r="A5476"/>
      <c r="B5476"/>
    </row>
    <row r="5477" spans="1:2" x14ac:dyDescent="0.25">
      <c r="A5477"/>
      <c r="B5477"/>
    </row>
    <row r="5478" spans="1:2" x14ac:dyDescent="0.25">
      <c r="A5478"/>
      <c r="B5478"/>
    </row>
    <row r="5479" spans="1:2" x14ac:dyDescent="0.25">
      <c r="A5479"/>
      <c r="B5479"/>
    </row>
    <row r="5480" spans="1:2" x14ac:dyDescent="0.25">
      <c r="A5480"/>
      <c r="B5480"/>
    </row>
    <row r="5481" spans="1:2" x14ac:dyDescent="0.25">
      <c r="A5481"/>
      <c r="B5481"/>
    </row>
    <row r="5482" spans="1:2" x14ac:dyDescent="0.25">
      <c r="A5482"/>
      <c r="B5482"/>
    </row>
    <row r="5483" spans="1:2" x14ac:dyDescent="0.25">
      <c r="A5483"/>
      <c r="B5483"/>
    </row>
    <row r="5484" spans="1:2" x14ac:dyDescent="0.25">
      <c r="A5484"/>
      <c r="B5484"/>
    </row>
    <row r="5485" spans="1:2" x14ac:dyDescent="0.25">
      <c r="A5485"/>
      <c r="B5485"/>
    </row>
    <row r="5486" spans="1:2" x14ac:dyDescent="0.25">
      <c r="A5486"/>
      <c r="B5486"/>
    </row>
    <row r="5487" spans="1:2" x14ac:dyDescent="0.25">
      <c r="A5487"/>
      <c r="B5487"/>
    </row>
    <row r="5488" spans="1:2" x14ac:dyDescent="0.25">
      <c r="A5488"/>
      <c r="B5488"/>
    </row>
    <row r="5489" spans="1:2" x14ac:dyDescent="0.25">
      <c r="A5489"/>
      <c r="B5489"/>
    </row>
    <row r="5490" spans="1:2" x14ac:dyDescent="0.25">
      <c r="A5490"/>
      <c r="B5490"/>
    </row>
    <row r="5491" spans="1:2" x14ac:dyDescent="0.25">
      <c r="A5491"/>
      <c r="B5491"/>
    </row>
    <row r="5492" spans="1:2" x14ac:dyDescent="0.25">
      <c r="A5492"/>
      <c r="B5492"/>
    </row>
    <row r="5493" spans="1:2" x14ac:dyDescent="0.25">
      <c r="A5493"/>
      <c r="B5493"/>
    </row>
    <row r="5494" spans="1:2" x14ac:dyDescent="0.25">
      <c r="A5494"/>
      <c r="B5494"/>
    </row>
    <row r="5495" spans="1:2" x14ac:dyDescent="0.25">
      <c r="A5495"/>
      <c r="B5495"/>
    </row>
    <row r="5496" spans="1:2" x14ac:dyDescent="0.25">
      <c r="A5496"/>
      <c r="B5496"/>
    </row>
    <row r="5497" spans="1:2" x14ac:dyDescent="0.25">
      <c r="A5497"/>
      <c r="B5497"/>
    </row>
    <row r="5498" spans="1:2" x14ac:dyDescent="0.25">
      <c r="A5498"/>
      <c r="B5498"/>
    </row>
    <row r="5499" spans="1:2" x14ac:dyDescent="0.25">
      <c r="A5499"/>
      <c r="B5499"/>
    </row>
    <row r="5500" spans="1:2" x14ac:dyDescent="0.25">
      <c r="A5500"/>
      <c r="B5500"/>
    </row>
    <row r="5501" spans="1:2" x14ac:dyDescent="0.25">
      <c r="A5501"/>
      <c r="B5501"/>
    </row>
    <row r="5502" spans="1:2" x14ac:dyDescent="0.25">
      <c r="A5502"/>
      <c r="B5502"/>
    </row>
    <row r="5503" spans="1:2" x14ac:dyDescent="0.25">
      <c r="A5503"/>
      <c r="B5503"/>
    </row>
    <row r="5504" spans="1:2" x14ac:dyDescent="0.25">
      <c r="A5504"/>
      <c r="B5504"/>
    </row>
    <row r="5505" spans="1:2" x14ac:dyDescent="0.25">
      <c r="A5505"/>
      <c r="B5505"/>
    </row>
    <row r="5506" spans="1:2" x14ac:dyDescent="0.25">
      <c r="A5506"/>
      <c r="B5506"/>
    </row>
    <row r="5507" spans="1:2" x14ac:dyDescent="0.25">
      <c r="A5507"/>
      <c r="B5507"/>
    </row>
    <row r="5508" spans="1:2" x14ac:dyDescent="0.25">
      <c r="A5508"/>
      <c r="B5508"/>
    </row>
    <row r="5509" spans="1:2" x14ac:dyDescent="0.25">
      <c r="A5509"/>
      <c r="B5509"/>
    </row>
    <row r="5510" spans="1:2" x14ac:dyDescent="0.25">
      <c r="A5510"/>
      <c r="B5510"/>
    </row>
    <row r="5511" spans="1:2" x14ac:dyDescent="0.25">
      <c r="A5511"/>
      <c r="B5511"/>
    </row>
    <row r="5512" spans="1:2" x14ac:dyDescent="0.25">
      <c r="A5512"/>
      <c r="B5512"/>
    </row>
    <row r="5513" spans="1:2" x14ac:dyDescent="0.25">
      <c r="A5513"/>
      <c r="B5513"/>
    </row>
    <row r="5514" spans="1:2" x14ac:dyDescent="0.25">
      <c r="A5514"/>
      <c r="B5514"/>
    </row>
    <row r="5515" spans="1:2" x14ac:dyDescent="0.25">
      <c r="A5515"/>
      <c r="B5515"/>
    </row>
    <row r="5516" spans="1:2" x14ac:dyDescent="0.25">
      <c r="A5516"/>
      <c r="B5516"/>
    </row>
    <row r="5517" spans="1:2" x14ac:dyDescent="0.25">
      <c r="A5517"/>
      <c r="B5517"/>
    </row>
    <row r="5518" spans="1:2" x14ac:dyDescent="0.25">
      <c r="A5518"/>
      <c r="B5518"/>
    </row>
    <row r="5519" spans="1:2" x14ac:dyDescent="0.25">
      <c r="A5519"/>
      <c r="B5519"/>
    </row>
    <row r="5520" spans="1:2" x14ac:dyDescent="0.25">
      <c r="A5520"/>
      <c r="B5520"/>
    </row>
    <row r="5521" spans="1:2" x14ac:dyDescent="0.25">
      <c r="A5521"/>
      <c r="B5521"/>
    </row>
    <row r="5522" spans="1:2" x14ac:dyDescent="0.25">
      <c r="A5522"/>
      <c r="B5522"/>
    </row>
    <row r="5523" spans="1:2" x14ac:dyDescent="0.25">
      <c r="A5523"/>
      <c r="B5523"/>
    </row>
    <row r="5524" spans="1:2" x14ac:dyDescent="0.25">
      <c r="A5524"/>
      <c r="B5524"/>
    </row>
    <row r="5525" spans="1:2" x14ac:dyDescent="0.25">
      <c r="A5525"/>
      <c r="B5525"/>
    </row>
    <row r="5526" spans="1:2" x14ac:dyDescent="0.25">
      <c r="A5526"/>
      <c r="B5526"/>
    </row>
    <row r="5527" spans="1:2" x14ac:dyDescent="0.25">
      <c r="A5527"/>
      <c r="B5527"/>
    </row>
    <row r="5528" spans="1:2" x14ac:dyDescent="0.25">
      <c r="A5528"/>
      <c r="B5528"/>
    </row>
    <row r="5529" spans="1:2" x14ac:dyDescent="0.25">
      <c r="A5529"/>
      <c r="B5529"/>
    </row>
    <row r="5530" spans="1:2" x14ac:dyDescent="0.25">
      <c r="A5530"/>
      <c r="B5530"/>
    </row>
    <row r="5531" spans="1:2" x14ac:dyDescent="0.25">
      <c r="A5531"/>
      <c r="B5531"/>
    </row>
    <row r="5532" spans="1:2" x14ac:dyDescent="0.25">
      <c r="A5532"/>
      <c r="B5532"/>
    </row>
    <row r="5533" spans="1:2" x14ac:dyDescent="0.25">
      <c r="A5533"/>
      <c r="B5533"/>
    </row>
    <row r="5534" spans="1:2" x14ac:dyDescent="0.25">
      <c r="A5534"/>
      <c r="B5534"/>
    </row>
    <row r="5535" spans="1:2" x14ac:dyDescent="0.25">
      <c r="A5535"/>
      <c r="B5535"/>
    </row>
    <row r="5536" spans="1:2" x14ac:dyDescent="0.25">
      <c r="A5536"/>
      <c r="B5536"/>
    </row>
    <row r="5537" spans="1:2" x14ac:dyDescent="0.25">
      <c r="A5537"/>
      <c r="B5537"/>
    </row>
    <row r="5538" spans="1:2" x14ac:dyDescent="0.25">
      <c r="A5538"/>
      <c r="B5538"/>
    </row>
    <row r="5539" spans="1:2" x14ac:dyDescent="0.25">
      <c r="A5539"/>
      <c r="B5539"/>
    </row>
    <row r="5540" spans="1:2" x14ac:dyDescent="0.25">
      <c r="A5540"/>
      <c r="B5540"/>
    </row>
    <row r="5541" spans="1:2" x14ac:dyDescent="0.25">
      <c r="A5541"/>
      <c r="B5541"/>
    </row>
    <row r="5542" spans="1:2" x14ac:dyDescent="0.25">
      <c r="A5542"/>
      <c r="B5542"/>
    </row>
    <row r="5543" spans="1:2" x14ac:dyDescent="0.25">
      <c r="A5543"/>
      <c r="B5543"/>
    </row>
    <row r="5544" spans="1:2" x14ac:dyDescent="0.25">
      <c r="A5544"/>
      <c r="B5544"/>
    </row>
    <row r="5545" spans="1:2" x14ac:dyDescent="0.25">
      <c r="A5545"/>
      <c r="B5545"/>
    </row>
    <row r="5546" spans="1:2" x14ac:dyDescent="0.25">
      <c r="A5546"/>
      <c r="B5546"/>
    </row>
    <row r="5547" spans="1:2" x14ac:dyDescent="0.25">
      <c r="A5547"/>
      <c r="B5547"/>
    </row>
    <row r="5548" spans="1:2" x14ac:dyDescent="0.25">
      <c r="A5548"/>
      <c r="B5548"/>
    </row>
    <row r="5549" spans="1:2" x14ac:dyDescent="0.25">
      <c r="A5549"/>
      <c r="B5549"/>
    </row>
    <row r="5550" spans="1:2" x14ac:dyDescent="0.25">
      <c r="A5550"/>
      <c r="B5550"/>
    </row>
    <row r="5551" spans="1:2" x14ac:dyDescent="0.25">
      <c r="A5551"/>
      <c r="B5551"/>
    </row>
    <row r="5552" spans="1:2" x14ac:dyDescent="0.25">
      <c r="A5552"/>
      <c r="B5552"/>
    </row>
    <row r="5553" spans="1:2" x14ac:dyDescent="0.25">
      <c r="A5553"/>
      <c r="B5553"/>
    </row>
    <row r="5554" spans="1:2" x14ac:dyDescent="0.25">
      <c r="A5554"/>
      <c r="B5554"/>
    </row>
    <row r="5555" spans="1:2" x14ac:dyDescent="0.25">
      <c r="A5555"/>
      <c r="B5555"/>
    </row>
    <row r="5556" spans="1:2" x14ac:dyDescent="0.25">
      <c r="A5556"/>
      <c r="B5556"/>
    </row>
    <row r="5557" spans="1:2" x14ac:dyDescent="0.25">
      <c r="A5557"/>
      <c r="B5557"/>
    </row>
    <row r="5558" spans="1:2" x14ac:dyDescent="0.25">
      <c r="A5558"/>
      <c r="B5558"/>
    </row>
    <row r="5559" spans="1:2" x14ac:dyDescent="0.25">
      <c r="A5559"/>
      <c r="B5559"/>
    </row>
    <row r="5560" spans="1:2" x14ac:dyDescent="0.25">
      <c r="A5560"/>
      <c r="B5560"/>
    </row>
    <row r="5561" spans="1:2" x14ac:dyDescent="0.25">
      <c r="A5561"/>
      <c r="B5561"/>
    </row>
    <row r="5562" spans="1:2" x14ac:dyDescent="0.25">
      <c r="A5562"/>
      <c r="B5562"/>
    </row>
    <row r="5563" spans="1:2" x14ac:dyDescent="0.25">
      <c r="A5563"/>
      <c r="B5563"/>
    </row>
    <row r="5564" spans="1:2" x14ac:dyDescent="0.25">
      <c r="A5564"/>
      <c r="B5564"/>
    </row>
    <row r="5565" spans="1:2" x14ac:dyDescent="0.25">
      <c r="A5565"/>
      <c r="B5565"/>
    </row>
    <row r="5566" spans="1:2" x14ac:dyDescent="0.25">
      <c r="A5566"/>
      <c r="B5566"/>
    </row>
    <row r="5567" spans="1:2" x14ac:dyDescent="0.25">
      <c r="A5567"/>
      <c r="B5567"/>
    </row>
    <row r="5568" spans="1:2" x14ac:dyDescent="0.25">
      <c r="A5568"/>
      <c r="B5568"/>
    </row>
    <row r="5569" spans="1:2" x14ac:dyDescent="0.25">
      <c r="A5569"/>
      <c r="B5569"/>
    </row>
    <row r="5570" spans="1:2" x14ac:dyDescent="0.25">
      <c r="A5570"/>
      <c r="B5570"/>
    </row>
    <row r="5571" spans="1:2" x14ac:dyDescent="0.25">
      <c r="A5571"/>
      <c r="B5571"/>
    </row>
    <row r="5572" spans="1:2" x14ac:dyDescent="0.25">
      <c r="A5572"/>
      <c r="B5572"/>
    </row>
    <row r="5573" spans="1:2" x14ac:dyDescent="0.25">
      <c r="A5573"/>
      <c r="B5573"/>
    </row>
    <row r="5574" spans="1:2" x14ac:dyDescent="0.25">
      <c r="A5574"/>
      <c r="B5574"/>
    </row>
    <row r="5575" spans="1:2" x14ac:dyDescent="0.25">
      <c r="A5575"/>
      <c r="B5575"/>
    </row>
    <row r="5576" spans="1:2" x14ac:dyDescent="0.25">
      <c r="A5576"/>
      <c r="B5576"/>
    </row>
    <row r="5577" spans="1:2" x14ac:dyDescent="0.25">
      <c r="A5577"/>
      <c r="B5577"/>
    </row>
    <row r="5578" spans="1:2" x14ac:dyDescent="0.25">
      <c r="A5578"/>
      <c r="B5578"/>
    </row>
    <row r="5579" spans="1:2" x14ac:dyDescent="0.25">
      <c r="A5579"/>
      <c r="B5579"/>
    </row>
    <row r="5580" spans="1:2" x14ac:dyDescent="0.25">
      <c r="A5580"/>
      <c r="B5580"/>
    </row>
    <row r="5581" spans="1:2" x14ac:dyDescent="0.25">
      <c r="A5581"/>
      <c r="B5581"/>
    </row>
    <row r="5582" spans="1:2" x14ac:dyDescent="0.25">
      <c r="A5582"/>
      <c r="B5582"/>
    </row>
    <row r="5583" spans="1:2" x14ac:dyDescent="0.25">
      <c r="A5583"/>
      <c r="B5583"/>
    </row>
    <row r="5584" spans="1:2" x14ac:dyDescent="0.25">
      <c r="A5584"/>
      <c r="B5584"/>
    </row>
    <row r="5585" spans="1:2" x14ac:dyDescent="0.25">
      <c r="A5585"/>
      <c r="B5585"/>
    </row>
    <row r="5586" spans="1:2" x14ac:dyDescent="0.25">
      <c r="A5586"/>
      <c r="B5586"/>
    </row>
    <row r="5587" spans="1:2" x14ac:dyDescent="0.25">
      <c r="A5587"/>
      <c r="B5587"/>
    </row>
    <row r="5588" spans="1:2" x14ac:dyDescent="0.25">
      <c r="A5588"/>
      <c r="B5588"/>
    </row>
    <row r="5589" spans="1:2" x14ac:dyDescent="0.25">
      <c r="A5589"/>
      <c r="B5589"/>
    </row>
    <row r="5590" spans="1:2" x14ac:dyDescent="0.25">
      <c r="A5590"/>
      <c r="B5590"/>
    </row>
    <row r="5591" spans="1:2" x14ac:dyDescent="0.25">
      <c r="A5591"/>
      <c r="B5591"/>
    </row>
    <row r="5592" spans="1:2" x14ac:dyDescent="0.25">
      <c r="A5592"/>
      <c r="B5592"/>
    </row>
    <row r="5593" spans="1:2" x14ac:dyDescent="0.25">
      <c r="A5593"/>
      <c r="B5593"/>
    </row>
    <row r="5594" spans="1:2" x14ac:dyDescent="0.25">
      <c r="A5594"/>
      <c r="B5594"/>
    </row>
    <row r="5595" spans="1:2" x14ac:dyDescent="0.25">
      <c r="A5595"/>
      <c r="B5595"/>
    </row>
    <row r="5596" spans="1:2" x14ac:dyDescent="0.25">
      <c r="A5596"/>
      <c r="B5596"/>
    </row>
    <row r="5597" spans="1:2" x14ac:dyDescent="0.25">
      <c r="A5597"/>
      <c r="B5597"/>
    </row>
    <row r="5598" spans="1:2" x14ac:dyDescent="0.25">
      <c r="A5598"/>
      <c r="B5598"/>
    </row>
    <row r="5599" spans="1:2" x14ac:dyDescent="0.25">
      <c r="A5599"/>
      <c r="B5599"/>
    </row>
    <row r="5600" spans="1:2" x14ac:dyDescent="0.25">
      <c r="A5600"/>
      <c r="B5600"/>
    </row>
    <row r="5601" spans="1:2" x14ac:dyDescent="0.25">
      <c r="A5601"/>
      <c r="B5601"/>
    </row>
    <row r="5602" spans="1:2" x14ac:dyDescent="0.25">
      <c r="A5602"/>
      <c r="B5602"/>
    </row>
    <row r="5603" spans="1:2" x14ac:dyDescent="0.25">
      <c r="A5603"/>
      <c r="B5603"/>
    </row>
    <row r="5604" spans="1:2" x14ac:dyDescent="0.25">
      <c r="A5604"/>
      <c r="B5604"/>
    </row>
    <row r="5605" spans="1:2" x14ac:dyDescent="0.25">
      <c r="A5605"/>
      <c r="B5605"/>
    </row>
    <row r="5606" spans="1:2" x14ac:dyDescent="0.25">
      <c r="A5606"/>
      <c r="B5606"/>
    </row>
    <row r="5607" spans="1:2" x14ac:dyDescent="0.25">
      <c r="A5607"/>
      <c r="B5607"/>
    </row>
    <row r="5608" spans="1:2" x14ac:dyDescent="0.25">
      <c r="A5608"/>
      <c r="B5608"/>
    </row>
    <row r="5609" spans="1:2" x14ac:dyDescent="0.25">
      <c r="A5609"/>
      <c r="B5609"/>
    </row>
    <row r="5610" spans="1:2" x14ac:dyDescent="0.25">
      <c r="A5610"/>
      <c r="B5610"/>
    </row>
    <row r="5611" spans="1:2" x14ac:dyDescent="0.25">
      <c r="A5611"/>
      <c r="B5611"/>
    </row>
    <row r="5612" spans="1:2" x14ac:dyDescent="0.25">
      <c r="A5612"/>
      <c r="B5612"/>
    </row>
    <row r="5613" spans="1:2" x14ac:dyDescent="0.25">
      <c r="A5613"/>
      <c r="B5613"/>
    </row>
    <row r="5614" spans="1:2" x14ac:dyDescent="0.25">
      <c r="A5614"/>
      <c r="B5614"/>
    </row>
    <row r="5615" spans="1:2" x14ac:dyDescent="0.25">
      <c r="A5615"/>
      <c r="B5615"/>
    </row>
    <row r="5616" spans="1:2" x14ac:dyDescent="0.25">
      <c r="A5616"/>
      <c r="B5616"/>
    </row>
    <row r="5617" spans="1:2" x14ac:dyDescent="0.25">
      <c r="A5617"/>
      <c r="B5617"/>
    </row>
    <row r="5618" spans="1:2" x14ac:dyDescent="0.25">
      <c r="A5618"/>
      <c r="B5618"/>
    </row>
    <row r="5619" spans="1:2" x14ac:dyDescent="0.25">
      <c r="A5619"/>
      <c r="B5619"/>
    </row>
    <row r="5620" spans="1:2" x14ac:dyDescent="0.25">
      <c r="A5620"/>
      <c r="B5620"/>
    </row>
    <row r="5621" spans="1:2" x14ac:dyDescent="0.25">
      <c r="A5621"/>
      <c r="B5621"/>
    </row>
    <row r="5622" spans="1:2" x14ac:dyDescent="0.25">
      <c r="A5622"/>
      <c r="B5622"/>
    </row>
    <row r="5623" spans="1:2" x14ac:dyDescent="0.25">
      <c r="A5623"/>
      <c r="B5623"/>
    </row>
    <row r="5624" spans="1:2" x14ac:dyDescent="0.25">
      <c r="A5624"/>
      <c r="B5624"/>
    </row>
    <row r="5625" spans="1:2" x14ac:dyDescent="0.25">
      <c r="A5625"/>
      <c r="B5625"/>
    </row>
    <row r="5626" spans="1:2" x14ac:dyDescent="0.25">
      <c r="A5626"/>
      <c r="B5626"/>
    </row>
    <row r="5627" spans="1:2" x14ac:dyDescent="0.25">
      <c r="A5627"/>
      <c r="B5627"/>
    </row>
    <row r="5628" spans="1:2" x14ac:dyDescent="0.25">
      <c r="A5628"/>
      <c r="B5628"/>
    </row>
    <row r="5629" spans="1:2" x14ac:dyDescent="0.25">
      <c r="A5629"/>
      <c r="B5629"/>
    </row>
    <row r="5630" spans="1:2" x14ac:dyDescent="0.25">
      <c r="A5630"/>
      <c r="B5630"/>
    </row>
    <row r="5631" spans="1:2" x14ac:dyDescent="0.25">
      <c r="A5631"/>
      <c r="B5631"/>
    </row>
    <row r="5632" spans="1:2" x14ac:dyDescent="0.25">
      <c r="A5632"/>
      <c r="B5632"/>
    </row>
    <row r="5633" spans="1:2" x14ac:dyDescent="0.25">
      <c r="A5633"/>
      <c r="B5633"/>
    </row>
    <row r="5634" spans="1:2" x14ac:dyDescent="0.25">
      <c r="A5634"/>
      <c r="B5634"/>
    </row>
    <row r="5635" spans="1:2" x14ac:dyDescent="0.25">
      <c r="A5635"/>
      <c r="B5635"/>
    </row>
    <row r="5636" spans="1:2" x14ac:dyDescent="0.25">
      <c r="A5636"/>
      <c r="B5636"/>
    </row>
    <row r="5637" spans="1:2" x14ac:dyDescent="0.25">
      <c r="A5637"/>
      <c r="B5637"/>
    </row>
    <row r="5638" spans="1:2" x14ac:dyDescent="0.25">
      <c r="A5638"/>
      <c r="B5638"/>
    </row>
    <row r="5639" spans="1:2" x14ac:dyDescent="0.25">
      <c r="A5639"/>
      <c r="B5639"/>
    </row>
    <row r="5640" spans="1:2" x14ac:dyDescent="0.25">
      <c r="A5640"/>
      <c r="B5640"/>
    </row>
    <row r="5641" spans="1:2" x14ac:dyDescent="0.25">
      <c r="A5641"/>
      <c r="B5641"/>
    </row>
    <row r="5642" spans="1:2" x14ac:dyDescent="0.25">
      <c r="A5642"/>
      <c r="B5642"/>
    </row>
    <row r="5643" spans="1:2" x14ac:dyDescent="0.25">
      <c r="A5643"/>
      <c r="B5643"/>
    </row>
    <row r="5644" spans="1:2" x14ac:dyDescent="0.25">
      <c r="A5644"/>
      <c r="B5644"/>
    </row>
    <row r="5645" spans="1:2" x14ac:dyDescent="0.25">
      <c r="A5645"/>
      <c r="B5645"/>
    </row>
    <row r="5646" spans="1:2" x14ac:dyDescent="0.25">
      <c r="A5646"/>
      <c r="B5646"/>
    </row>
    <row r="5647" spans="1:2" x14ac:dyDescent="0.25">
      <c r="A5647"/>
      <c r="B5647"/>
    </row>
    <row r="5648" spans="1:2" x14ac:dyDescent="0.25">
      <c r="A5648"/>
      <c r="B5648"/>
    </row>
    <row r="5649" spans="1:2" x14ac:dyDescent="0.25">
      <c r="A5649"/>
      <c r="B5649"/>
    </row>
    <row r="5650" spans="1:2" x14ac:dyDescent="0.25">
      <c r="A5650"/>
      <c r="B5650"/>
    </row>
    <row r="5651" spans="1:2" x14ac:dyDescent="0.25">
      <c r="A5651"/>
      <c r="B5651"/>
    </row>
    <row r="5652" spans="1:2" x14ac:dyDescent="0.25">
      <c r="A5652"/>
      <c r="B5652"/>
    </row>
    <row r="5653" spans="1:2" x14ac:dyDescent="0.25">
      <c r="A5653"/>
      <c r="B5653"/>
    </row>
    <row r="5654" spans="1:2" x14ac:dyDescent="0.25">
      <c r="A5654"/>
      <c r="B5654"/>
    </row>
    <row r="5655" spans="1:2" x14ac:dyDescent="0.25">
      <c r="A5655"/>
      <c r="B5655"/>
    </row>
    <row r="5656" spans="1:2" x14ac:dyDescent="0.25">
      <c r="A5656"/>
      <c r="B5656"/>
    </row>
    <row r="5657" spans="1:2" x14ac:dyDescent="0.25">
      <c r="A5657"/>
      <c r="B5657"/>
    </row>
    <row r="5658" spans="1:2" x14ac:dyDescent="0.25">
      <c r="A5658"/>
      <c r="B5658"/>
    </row>
    <row r="5659" spans="1:2" x14ac:dyDescent="0.25">
      <c r="A5659"/>
      <c r="B5659"/>
    </row>
    <row r="5660" spans="1:2" x14ac:dyDescent="0.25">
      <c r="A5660"/>
      <c r="B5660"/>
    </row>
    <row r="5661" spans="1:2" x14ac:dyDescent="0.25">
      <c r="A5661"/>
      <c r="B5661"/>
    </row>
    <row r="5662" spans="1:2" x14ac:dyDescent="0.25">
      <c r="A5662"/>
      <c r="B5662"/>
    </row>
    <row r="5663" spans="1:2" x14ac:dyDescent="0.25">
      <c r="A5663"/>
      <c r="B5663"/>
    </row>
    <row r="5664" spans="1:2" x14ac:dyDescent="0.25">
      <c r="A5664"/>
      <c r="B5664"/>
    </row>
    <row r="5665" spans="1:2" x14ac:dyDescent="0.25">
      <c r="A5665"/>
      <c r="B5665"/>
    </row>
    <row r="5666" spans="1:2" x14ac:dyDescent="0.25">
      <c r="A5666"/>
      <c r="B5666"/>
    </row>
    <row r="5667" spans="1:2" x14ac:dyDescent="0.25">
      <c r="A5667"/>
      <c r="B5667"/>
    </row>
    <row r="5668" spans="1:2" x14ac:dyDescent="0.25">
      <c r="A5668"/>
      <c r="B5668"/>
    </row>
    <row r="5669" spans="1:2" x14ac:dyDescent="0.25">
      <c r="A5669"/>
      <c r="B5669"/>
    </row>
    <row r="5670" spans="1:2" x14ac:dyDescent="0.25">
      <c r="A5670"/>
      <c r="B5670"/>
    </row>
    <row r="5671" spans="1:2" x14ac:dyDescent="0.25">
      <c r="A5671"/>
      <c r="B5671"/>
    </row>
    <row r="5672" spans="1:2" x14ac:dyDescent="0.25">
      <c r="A5672"/>
      <c r="B5672"/>
    </row>
    <row r="5673" spans="1:2" x14ac:dyDescent="0.25">
      <c r="A5673"/>
      <c r="B5673"/>
    </row>
    <row r="5674" spans="1:2" x14ac:dyDescent="0.25">
      <c r="A5674"/>
      <c r="B5674"/>
    </row>
    <row r="5675" spans="1:2" x14ac:dyDescent="0.25">
      <c r="A5675"/>
      <c r="B5675"/>
    </row>
    <row r="5676" spans="1:2" x14ac:dyDescent="0.25">
      <c r="A5676"/>
      <c r="B5676"/>
    </row>
    <row r="5677" spans="1:2" x14ac:dyDescent="0.25">
      <c r="A5677"/>
      <c r="B5677"/>
    </row>
    <row r="5678" spans="1:2" x14ac:dyDescent="0.25">
      <c r="A5678"/>
      <c r="B5678"/>
    </row>
    <row r="5679" spans="1:2" x14ac:dyDescent="0.25">
      <c r="A5679"/>
      <c r="B5679"/>
    </row>
    <row r="5680" spans="1:2" x14ac:dyDescent="0.25">
      <c r="A5680"/>
      <c r="B5680"/>
    </row>
    <row r="5681" spans="1:2" x14ac:dyDescent="0.25">
      <c r="A5681"/>
      <c r="B5681"/>
    </row>
    <row r="5682" spans="1:2" x14ac:dyDescent="0.25">
      <c r="A5682"/>
      <c r="B5682"/>
    </row>
    <row r="5683" spans="1:2" x14ac:dyDescent="0.25">
      <c r="A5683"/>
      <c r="B5683"/>
    </row>
    <row r="5684" spans="1:2" x14ac:dyDescent="0.25">
      <c r="A5684"/>
      <c r="B5684"/>
    </row>
    <row r="5685" spans="1:2" x14ac:dyDescent="0.25">
      <c r="A5685"/>
      <c r="B5685"/>
    </row>
    <row r="5686" spans="1:2" x14ac:dyDescent="0.25">
      <c r="A5686"/>
      <c r="B5686"/>
    </row>
    <row r="5687" spans="1:2" x14ac:dyDescent="0.25">
      <c r="A5687"/>
      <c r="B5687"/>
    </row>
    <row r="5688" spans="1:2" x14ac:dyDescent="0.25">
      <c r="A5688"/>
      <c r="B5688"/>
    </row>
    <row r="5689" spans="1:2" x14ac:dyDescent="0.25">
      <c r="A5689"/>
      <c r="B5689"/>
    </row>
    <row r="5690" spans="1:2" x14ac:dyDescent="0.25">
      <c r="A5690"/>
      <c r="B5690"/>
    </row>
    <row r="5691" spans="1:2" x14ac:dyDescent="0.25">
      <c r="A5691"/>
      <c r="B5691"/>
    </row>
    <row r="5692" spans="1:2" x14ac:dyDescent="0.25">
      <c r="A5692"/>
      <c r="B5692"/>
    </row>
    <row r="5693" spans="1:2" x14ac:dyDescent="0.25">
      <c r="A5693"/>
      <c r="B5693"/>
    </row>
    <row r="5694" spans="1:2" x14ac:dyDescent="0.25">
      <c r="A5694"/>
      <c r="B5694"/>
    </row>
    <row r="5695" spans="1:2" x14ac:dyDescent="0.25">
      <c r="A5695"/>
      <c r="B5695"/>
    </row>
    <row r="5696" spans="1:2" x14ac:dyDescent="0.25">
      <c r="A5696"/>
      <c r="B5696"/>
    </row>
    <row r="5697" spans="1:2" x14ac:dyDescent="0.25">
      <c r="A5697"/>
      <c r="B5697"/>
    </row>
    <row r="5698" spans="1:2" x14ac:dyDescent="0.25">
      <c r="A5698"/>
      <c r="B5698"/>
    </row>
    <row r="5699" spans="1:2" x14ac:dyDescent="0.25">
      <c r="A5699"/>
      <c r="B5699"/>
    </row>
    <row r="5700" spans="1:2" x14ac:dyDescent="0.25">
      <c r="A5700"/>
      <c r="B5700"/>
    </row>
    <row r="5701" spans="1:2" x14ac:dyDescent="0.25">
      <c r="A5701"/>
      <c r="B5701"/>
    </row>
    <row r="5702" spans="1:2" x14ac:dyDescent="0.25">
      <c r="A5702"/>
      <c r="B5702"/>
    </row>
    <row r="5703" spans="1:2" x14ac:dyDescent="0.25">
      <c r="A5703"/>
      <c r="B5703"/>
    </row>
    <row r="5704" spans="1:2" x14ac:dyDescent="0.25">
      <c r="A5704"/>
      <c r="B5704"/>
    </row>
    <row r="5705" spans="1:2" x14ac:dyDescent="0.25">
      <c r="A5705"/>
      <c r="B5705"/>
    </row>
    <row r="5706" spans="1:2" x14ac:dyDescent="0.25">
      <c r="A5706"/>
      <c r="B5706"/>
    </row>
    <row r="5707" spans="1:2" x14ac:dyDescent="0.25">
      <c r="A5707"/>
      <c r="B5707"/>
    </row>
    <row r="5708" spans="1:2" x14ac:dyDescent="0.25">
      <c r="A5708"/>
      <c r="B5708"/>
    </row>
    <row r="5709" spans="1:2" x14ac:dyDescent="0.25">
      <c r="A5709"/>
      <c r="B5709"/>
    </row>
    <row r="5710" spans="1:2" x14ac:dyDescent="0.25">
      <c r="A5710"/>
      <c r="B5710"/>
    </row>
    <row r="5711" spans="1:2" x14ac:dyDescent="0.25">
      <c r="A5711"/>
      <c r="B5711"/>
    </row>
    <row r="5712" spans="1:2" x14ac:dyDescent="0.25">
      <c r="A5712"/>
      <c r="B5712"/>
    </row>
    <row r="5713" spans="1:2" x14ac:dyDescent="0.25">
      <c r="A5713"/>
      <c r="B5713"/>
    </row>
    <row r="5714" spans="1:2" x14ac:dyDescent="0.25">
      <c r="A5714"/>
      <c r="B5714"/>
    </row>
    <row r="5715" spans="1:2" x14ac:dyDescent="0.25">
      <c r="A5715"/>
      <c r="B5715"/>
    </row>
    <row r="5716" spans="1:2" x14ac:dyDescent="0.25">
      <c r="A5716"/>
      <c r="B5716"/>
    </row>
    <row r="5717" spans="1:2" x14ac:dyDescent="0.25">
      <c r="A5717"/>
      <c r="B5717"/>
    </row>
    <row r="5718" spans="1:2" x14ac:dyDescent="0.25">
      <c r="A5718"/>
      <c r="B5718"/>
    </row>
    <row r="5719" spans="1:2" x14ac:dyDescent="0.25">
      <c r="A5719"/>
      <c r="B5719"/>
    </row>
    <row r="5720" spans="1:2" x14ac:dyDescent="0.25">
      <c r="A5720"/>
      <c r="B5720"/>
    </row>
    <row r="5721" spans="1:2" x14ac:dyDescent="0.25">
      <c r="A5721"/>
      <c r="B5721"/>
    </row>
    <row r="5722" spans="1:2" x14ac:dyDescent="0.25">
      <c r="A5722"/>
      <c r="B5722"/>
    </row>
    <row r="5723" spans="1:2" x14ac:dyDescent="0.25">
      <c r="A5723"/>
      <c r="B5723"/>
    </row>
    <row r="5724" spans="1:2" x14ac:dyDescent="0.25">
      <c r="A5724"/>
      <c r="B5724"/>
    </row>
    <row r="5725" spans="1:2" x14ac:dyDescent="0.25">
      <c r="A5725"/>
      <c r="B5725"/>
    </row>
    <row r="5726" spans="1:2" x14ac:dyDescent="0.25">
      <c r="A5726"/>
      <c r="B5726"/>
    </row>
    <row r="5727" spans="1:2" x14ac:dyDescent="0.25">
      <c r="A5727"/>
      <c r="B5727"/>
    </row>
    <row r="5728" spans="1:2" x14ac:dyDescent="0.25">
      <c r="A5728"/>
      <c r="B5728"/>
    </row>
    <row r="5729" spans="1:2" x14ac:dyDescent="0.25">
      <c r="A5729"/>
      <c r="B5729"/>
    </row>
    <row r="5730" spans="1:2" x14ac:dyDescent="0.25">
      <c r="A5730"/>
      <c r="B5730"/>
    </row>
    <row r="5731" spans="1:2" x14ac:dyDescent="0.25">
      <c r="A5731"/>
      <c r="B5731"/>
    </row>
    <row r="5732" spans="1:2" x14ac:dyDescent="0.25">
      <c r="A5732"/>
      <c r="B5732"/>
    </row>
    <row r="5733" spans="1:2" x14ac:dyDescent="0.25">
      <c r="A5733"/>
      <c r="B5733"/>
    </row>
    <row r="5734" spans="1:2" x14ac:dyDescent="0.25">
      <c r="A5734"/>
      <c r="B5734"/>
    </row>
    <row r="5735" spans="1:2" x14ac:dyDescent="0.25">
      <c r="A5735"/>
      <c r="B5735"/>
    </row>
    <row r="5736" spans="1:2" x14ac:dyDescent="0.25">
      <c r="A5736"/>
      <c r="B5736"/>
    </row>
    <row r="5737" spans="1:2" x14ac:dyDescent="0.25">
      <c r="A5737"/>
      <c r="B5737"/>
    </row>
    <row r="5738" spans="1:2" x14ac:dyDescent="0.25">
      <c r="A5738"/>
      <c r="B5738"/>
    </row>
    <row r="5739" spans="1:2" x14ac:dyDescent="0.25">
      <c r="A5739"/>
      <c r="B5739"/>
    </row>
    <row r="5740" spans="1:2" x14ac:dyDescent="0.25">
      <c r="A5740"/>
      <c r="B5740"/>
    </row>
    <row r="5741" spans="1:2" x14ac:dyDescent="0.25">
      <c r="A5741"/>
      <c r="B5741"/>
    </row>
    <row r="5742" spans="1:2" x14ac:dyDescent="0.25">
      <c r="A5742"/>
      <c r="B5742"/>
    </row>
    <row r="5743" spans="1:2" x14ac:dyDescent="0.25">
      <c r="A5743"/>
      <c r="B5743"/>
    </row>
    <row r="5744" spans="1:2" x14ac:dyDescent="0.25">
      <c r="A5744"/>
      <c r="B5744"/>
    </row>
    <row r="5745" spans="1:2" x14ac:dyDescent="0.25">
      <c r="A5745"/>
      <c r="B5745"/>
    </row>
    <row r="5746" spans="1:2" x14ac:dyDescent="0.25">
      <c r="A5746"/>
      <c r="B5746"/>
    </row>
    <row r="5747" spans="1:2" x14ac:dyDescent="0.25">
      <c r="A5747"/>
      <c r="B5747"/>
    </row>
    <row r="5748" spans="1:2" x14ac:dyDescent="0.25">
      <c r="A5748"/>
      <c r="B5748"/>
    </row>
    <row r="5749" spans="1:2" x14ac:dyDescent="0.25">
      <c r="A5749"/>
      <c r="B5749"/>
    </row>
    <row r="5750" spans="1:2" x14ac:dyDescent="0.25">
      <c r="A5750"/>
      <c r="B5750"/>
    </row>
    <row r="5751" spans="1:2" x14ac:dyDescent="0.25">
      <c r="A5751"/>
      <c r="B5751"/>
    </row>
    <row r="5752" spans="1:2" x14ac:dyDescent="0.25">
      <c r="A5752"/>
      <c r="B5752"/>
    </row>
    <row r="5753" spans="1:2" x14ac:dyDescent="0.25">
      <c r="A5753"/>
      <c r="B5753"/>
    </row>
    <row r="5754" spans="1:2" x14ac:dyDescent="0.25">
      <c r="A5754"/>
      <c r="B5754"/>
    </row>
    <row r="5755" spans="1:2" x14ac:dyDescent="0.25">
      <c r="A5755"/>
      <c r="B5755"/>
    </row>
    <row r="5756" spans="1:2" x14ac:dyDescent="0.25">
      <c r="A5756"/>
      <c r="B5756"/>
    </row>
    <row r="5757" spans="1:2" x14ac:dyDescent="0.25">
      <c r="A5757"/>
      <c r="B5757"/>
    </row>
    <row r="5758" spans="1:2" x14ac:dyDescent="0.25">
      <c r="A5758"/>
      <c r="B5758"/>
    </row>
    <row r="5759" spans="1:2" x14ac:dyDescent="0.25">
      <c r="A5759"/>
      <c r="B5759"/>
    </row>
    <row r="5760" spans="1:2" x14ac:dyDescent="0.25">
      <c r="A5760"/>
      <c r="B5760"/>
    </row>
    <row r="5761" spans="1:2" x14ac:dyDescent="0.25">
      <c r="A5761"/>
      <c r="B5761"/>
    </row>
    <row r="5762" spans="1:2" x14ac:dyDescent="0.25">
      <c r="A5762"/>
      <c r="B5762"/>
    </row>
    <row r="5763" spans="1:2" x14ac:dyDescent="0.25">
      <c r="A5763"/>
      <c r="B5763"/>
    </row>
    <row r="5764" spans="1:2" x14ac:dyDescent="0.25">
      <c r="A5764"/>
      <c r="B5764"/>
    </row>
    <row r="5765" spans="1:2" x14ac:dyDescent="0.25">
      <c r="A5765"/>
      <c r="B5765"/>
    </row>
    <row r="5766" spans="1:2" x14ac:dyDescent="0.25">
      <c r="A5766"/>
      <c r="B5766"/>
    </row>
    <row r="5767" spans="1:2" x14ac:dyDescent="0.25">
      <c r="A5767"/>
      <c r="B5767"/>
    </row>
    <row r="5768" spans="1:2" x14ac:dyDescent="0.25">
      <c r="A5768"/>
      <c r="B5768"/>
    </row>
    <row r="5769" spans="1:2" x14ac:dyDescent="0.25">
      <c r="A5769"/>
      <c r="B5769"/>
    </row>
    <row r="5770" spans="1:2" x14ac:dyDescent="0.25">
      <c r="A5770"/>
      <c r="B5770"/>
    </row>
    <row r="5771" spans="1:2" x14ac:dyDescent="0.25">
      <c r="A5771"/>
      <c r="B5771"/>
    </row>
    <row r="5772" spans="1:2" x14ac:dyDescent="0.25">
      <c r="A5772"/>
      <c r="B5772"/>
    </row>
    <row r="5773" spans="1:2" x14ac:dyDescent="0.25">
      <c r="A5773"/>
      <c r="B5773"/>
    </row>
    <row r="5774" spans="1:2" x14ac:dyDescent="0.25">
      <c r="A5774"/>
      <c r="B5774"/>
    </row>
    <row r="5775" spans="1:2" x14ac:dyDescent="0.25">
      <c r="A5775"/>
      <c r="B5775"/>
    </row>
    <row r="5776" spans="1:2" x14ac:dyDescent="0.25">
      <c r="A5776"/>
      <c r="B5776"/>
    </row>
    <row r="5777" spans="1:2" x14ac:dyDescent="0.25">
      <c r="A5777"/>
      <c r="B5777"/>
    </row>
    <row r="5778" spans="1:2" x14ac:dyDescent="0.25">
      <c r="A5778"/>
      <c r="B5778"/>
    </row>
    <row r="5779" spans="1:2" x14ac:dyDescent="0.25">
      <c r="A5779"/>
      <c r="B5779"/>
    </row>
    <row r="5780" spans="1:2" x14ac:dyDescent="0.25">
      <c r="A5780"/>
      <c r="B5780"/>
    </row>
    <row r="5781" spans="1:2" x14ac:dyDescent="0.25">
      <c r="A5781"/>
      <c r="B5781"/>
    </row>
    <row r="5782" spans="1:2" x14ac:dyDescent="0.25">
      <c r="A5782"/>
      <c r="B5782"/>
    </row>
    <row r="5783" spans="1:2" x14ac:dyDescent="0.25">
      <c r="A5783"/>
      <c r="B5783"/>
    </row>
    <row r="5784" spans="1:2" x14ac:dyDescent="0.25">
      <c r="A5784"/>
      <c r="B5784"/>
    </row>
    <row r="5785" spans="1:2" x14ac:dyDescent="0.25">
      <c r="A5785"/>
      <c r="B5785"/>
    </row>
    <row r="5786" spans="1:2" x14ac:dyDescent="0.25">
      <c r="A5786"/>
      <c r="B5786"/>
    </row>
    <row r="5787" spans="1:2" x14ac:dyDescent="0.25">
      <c r="A5787"/>
      <c r="B5787"/>
    </row>
    <row r="5788" spans="1:2" x14ac:dyDescent="0.25">
      <c r="A5788"/>
      <c r="B5788"/>
    </row>
    <row r="5789" spans="1:2" x14ac:dyDescent="0.25">
      <c r="A5789"/>
      <c r="B5789"/>
    </row>
    <row r="5790" spans="1:2" x14ac:dyDescent="0.25">
      <c r="A5790"/>
      <c r="B5790"/>
    </row>
    <row r="5791" spans="1:2" x14ac:dyDescent="0.25">
      <c r="A5791"/>
      <c r="B5791"/>
    </row>
    <row r="5792" spans="1:2" x14ac:dyDescent="0.25">
      <c r="A5792"/>
      <c r="B5792"/>
    </row>
    <row r="5793" spans="1:2" x14ac:dyDescent="0.25">
      <c r="A5793"/>
      <c r="B5793"/>
    </row>
    <row r="5794" spans="1:2" x14ac:dyDescent="0.25">
      <c r="A5794"/>
      <c r="B5794"/>
    </row>
    <row r="5795" spans="1:2" x14ac:dyDescent="0.25">
      <c r="A5795"/>
      <c r="B5795"/>
    </row>
    <row r="5796" spans="1:2" x14ac:dyDescent="0.25">
      <c r="A5796"/>
      <c r="B5796"/>
    </row>
    <row r="5797" spans="1:2" x14ac:dyDescent="0.25">
      <c r="A5797"/>
      <c r="B5797"/>
    </row>
    <row r="5798" spans="1:2" x14ac:dyDescent="0.25">
      <c r="A5798"/>
      <c r="B5798"/>
    </row>
    <row r="5799" spans="1:2" x14ac:dyDescent="0.25">
      <c r="A5799"/>
      <c r="B5799"/>
    </row>
    <row r="5800" spans="1:2" x14ac:dyDescent="0.25">
      <c r="A5800"/>
      <c r="B5800"/>
    </row>
    <row r="5801" spans="1:2" x14ac:dyDescent="0.25">
      <c r="A5801"/>
      <c r="B5801"/>
    </row>
    <row r="5802" spans="1:2" x14ac:dyDescent="0.25">
      <c r="A5802"/>
      <c r="B5802"/>
    </row>
    <row r="5803" spans="1:2" x14ac:dyDescent="0.25">
      <c r="A5803"/>
      <c r="B5803"/>
    </row>
    <row r="5804" spans="1:2" x14ac:dyDescent="0.25">
      <c r="A5804"/>
      <c r="B5804"/>
    </row>
    <row r="5805" spans="1:2" x14ac:dyDescent="0.25">
      <c r="A5805"/>
      <c r="B5805"/>
    </row>
    <row r="5806" spans="1:2" x14ac:dyDescent="0.25">
      <c r="A5806"/>
      <c r="B5806"/>
    </row>
    <row r="5807" spans="1:2" x14ac:dyDescent="0.25">
      <c r="A5807"/>
      <c r="B5807"/>
    </row>
    <row r="5808" spans="1:2" x14ac:dyDescent="0.25">
      <c r="A5808"/>
      <c r="B5808"/>
    </row>
    <row r="5809" spans="1:2" x14ac:dyDescent="0.25">
      <c r="A5809"/>
      <c r="B5809"/>
    </row>
    <row r="5810" spans="1:2" x14ac:dyDescent="0.25">
      <c r="A5810"/>
      <c r="B5810"/>
    </row>
    <row r="5811" spans="1:2" x14ac:dyDescent="0.25">
      <c r="A5811"/>
      <c r="B5811"/>
    </row>
    <row r="5812" spans="1:2" x14ac:dyDescent="0.25">
      <c r="A5812"/>
      <c r="B5812"/>
    </row>
    <row r="5813" spans="1:2" x14ac:dyDescent="0.25">
      <c r="A5813"/>
      <c r="B5813"/>
    </row>
    <row r="5814" spans="1:2" x14ac:dyDescent="0.25">
      <c r="A5814"/>
      <c r="B5814"/>
    </row>
    <row r="5815" spans="1:2" x14ac:dyDescent="0.25">
      <c r="A5815"/>
      <c r="B5815"/>
    </row>
    <row r="5816" spans="1:2" x14ac:dyDescent="0.25">
      <c r="A5816"/>
      <c r="B5816"/>
    </row>
    <row r="5817" spans="1:2" x14ac:dyDescent="0.25">
      <c r="A5817"/>
      <c r="B5817"/>
    </row>
    <row r="5818" spans="1:2" x14ac:dyDescent="0.25">
      <c r="A5818"/>
      <c r="B5818"/>
    </row>
    <row r="5819" spans="1:2" x14ac:dyDescent="0.25">
      <c r="A5819"/>
      <c r="B5819"/>
    </row>
    <row r="5820" spans="1:2" x14ac:dyDescent="0.25">
      <c r="A5820"/>
      <c r="B5820"/>
    </row>
    <row r="5821" spans="1:2" x14ac:dyDescent="0.25">
      <c r="A5821"/>
      <c r="B5821"/>
    </row>
    <row r="5822" spans="1:2" x14ac:dyDescent="0.25">
      <c r="A5822"/>
      <c r="B5822"/>
    </row>
    <row r="5823" spans="1:2" x14ac:dyDescent="0.25">
      <c r="A5823"/>
      <c r="B5823"/>
    </row>
    <row r="5824" spans="1:2" x14ac:dyDescent="0.25">
      <c r="A5824"/>
      <c r="B5824"/>
    </row>
    <row r="5825" spans="1:2" x14ac:dyDescent="0.25">
      <c r="A5825"/>
      <c r="B5825"/>
    </row>
    <row r="5826" spans="1:2" x14ac:dyDescent="0.25">
      <c r="A5826"/>
      <c r="B5826"/>
    </row>
    <row r="5827" spans="1:2" x14ac:dyDescent="0.25">
      <c r="A5827"/>
      <c r="B5827"/>
    </row>
    <row r="5828" spans="1:2" x14ac:dyDescent="0.25">
      <c r="A5828"/>
      <c r="B5828"/>
    </row>
    <row r="5829" spans="1:2" x14ac:dyDescent="0.25">
      <c r="A5829"/>
      <c r="B5829"/>
    </row>
    <row r="5830" spans="1:2" x14ac:dyDescent="0.25">
      <c r="A5830"/>
      <c r="B5830"/>
    </row>
    <row r="5831" spans="1:2" x14ac:dyDescent="0.25">
      <c r="A5831"/>
      <c r="B5831"/>
    </row>
    <row r="5832" spans="1:2" x14ac:dyDescent="0.25">
      <c r="A5832"/>
      <c r="B5832"/>
    </row>
    <row r="5833" spans="1:2" x14ac:dyDescent="0.25">
      <c r="A5833"/>
      <c r="B5833"/>
    </row>
    <row r="5834" spans="1:2" x14ac:dyDescent="0.25">
      <c r="A5834"/>
      <c r="B5834"/>
    </row>
    <row r="5835" spans="1:2" x14ac:dyDescent="0.25">
      <c r="A5835"/>
      <c r="B5835"/>
    </row>
    <row r="5836" spans="1:2" x14ac:dyDescent="0.25">
      <c r="A5836"/>
      <c r="B5836"/>
    </row>
    <row r="5837" spans="1:2" x14ac:dyDescent="0.25">
      <c r="A5837"/>
      <c r="B5837"/>
    </row>
    <row r="5838" spans="1:2" x14ac:dyDescent="0.25">
      <c r="A5838"/>
      <c r="B5838"/>
    </row>
    <row r="5839" spans="1:2" x14ac:dyDescent="0.25">
      <c r="A5839"/>
      <c r="B5839"/>
    </row>
    <row r="5840" spans="1:2" x14ac:dyDescent="0.25">
      <c r="A5840"/>
      <c r="B5840"/>
    </row>
    <row r="5841" spans="1:2" x14ac:dyDescent="0.25">
      <c r="A5841"/>
      <c r="B5841"/>
    </row>
    <row r="5842" spans="1:2" x14ac:dyDescent="0.25">
      <c r="A5842"/>
      <c r="B5842"/>
    </row>
    <row r="5843" spans="1:2" x14ac:dyDescent="0.25">
      <c r="A5843"/>
      <c r="B5843"/>
    </row>
    <row r="5844" spans="1:2" x14ac:dyDescent="0.25">
      <c r="A5844"/>
      <c r="B5844"/>
    </row>
    <row r="5845" spans="1:2" x14ac:dyDescent="0.25">
      <c r="A5845"/>
      <c r="B5845"/>
    </row>
    <row r="5846" spans="1:2" x14ac:dyDescent="0.25">
      <c r="A5846"/>
      <c r="B5846"/>
    </row>
    <row r="5847" spans="1:2" x14ac:dyDescent="0.25">
      <c r="A5847"/>
      <c r="B5847"/>
    </row>
    <row r="5848" spans="1:2" x14ac:dyDescent="0.25">
      <c r="A5848"/>
      <c r="B5848"/>
    </row>
    <row r="5849" spans="1:2" x14ac:dyDescent="0.25">
      <c r="A5849"/>
      <c r="B5849"/>
    </row>
    <row r="5850" spans="1:2" x14ac:dyDescent="0.25">
      <c r="A5850"/>
      <c r="B5850"/>
    </row>
    <row r="5851" spans="1:2" x14ac:dyDescent="0.25">
      <c r="A5851"/>
      <c r="B5851"/>
    </row>
    <row r="5852" spans="1:2" x14ac:dyDescent="0.25">
      <c r="A5852"/>
      <c r="B5852"/>
    </row>
    <row r="5853" spans="1:2" x14ac:dyDescent="0.25">
      <c r="A5853"/>
      <c r="B5853"/>
    </row>
    <row r="5854" spans="1:2" x14ac:dyDescent="0.25">
      <c r="A5854"/>
      <c r="B5854"/>
    </row>
    <row r="5855" spans="1:2" x14ac:dyDescent="0.25">
      <c r="A5855"/>
      <c r="B5855"/>
    </row>
    <row r="5856" spans="1:2" x14ac:dyDescent="0.25">
      <c r="A5856"/>
      <c r="B5856"/>
    </row>
    <row r="5857" spans="1:2" x14ac:dyDescent="0.25">
      <c r="A5857"/>
      <c r="B5857"/>
    </row>
    <row r="5858" spans="1:2" x14ac:dyDescent="0.25">
      <c r="A5858"/>
      <c r="B5858"/>
    </row>
    <row r="5859" spans="1:2" x14ac:dyDescent="0.25">
      <c r="A5859"/>
      <c r="B5859"/>
    </row>
    <row r="5860" spans="1:2" x14ac:dyDescent="0.25">
      <c r="A5860"/>
      <c r="B5860"/>
    </row>
    <row r="5861" spans="1:2" x14ac:dyDescent="0.25">
      <c r="A5861"/>
      <c r="B5861"/>
    </row>
    <row r="5862" spans="1:2" x14ac:dyDescent="0.25">
      <c r="A5862"/>
      <c r="B5862"/>
    </row>
    <row r="5863" spans="1:2" x14ac:dyDescent="0.25">
      <c r="A5863"/>
      <c r="B5863"/>
    </row>
    <row r="5864" spans="1:2" x14ac:dyDescent="0.25">
      <c r="A5864"/>
      <c r="B5864"/>
    </row>
    <row r="5865" spans="1:2" x14ac:dyDescent="0.25">
      <c r="A5865"/>
      <c r="B5865"/>
    </row>
    <row r="5866" spans="1:2" x14ac:dyDescent="0.25">
      <c r="A5866"/>
      <c r="B5866"/>
    </row>
    <row r="5867" spans="1:2" x14ac:dyDescent="0.25">
      <c r="A5867"/>
      <c r="B5867"/>
    </row>
    <row r="5868" spans="1:2" x14ac:dyDescent="0.25">
      <c r="A5868"/>
      <c r="B5868"/>
    </row>
    <row r="5869" spans="1:2" x14ac:dyDescent="0.25">
      <c r="A5869"/>
      <c r="B5869"/>
    </row>
    <row r="5870" spans="1:2" x14ac:dyDescent="0.25">
      <c r="A5870"/>
      <c r="B5870"/>
    </row>
    <row r="5871" spans="1:2" x14ac:dyDescent="0.25">
      <c r="A5871"/>
      <c r="B5871"/>
    </row>
    <row r="5872" spans="1:2" x14ac:dyDescent="0.25">
      <c r="A5872"/>
      <c r="B5872"/>
    </row>
    <row r="5873" spans="1:2" x14ac:dyDescent="0.25">
      <c r="A5873"/>
      <c r="B5873"/>
    </row>
    <row r="5874" spans="1:2" x14ac:dyDescent="0.25">
      <c r="A5874"/>
      <c r="B5874"/>
    </row>
    <row r="5875" spans="1:2" x14ac:dyDescent="0.25">
      <c r="A5875"/>
      <c r="B5875"/>
    </row>
    <row r="5876" spans="1:2" x14ac:dyDescent="0.25">
      <c r="A5876"/>
      <c r="B5876"/>
    </row>
    <row r="5877" spans="1:2" x14ac:dyDescent="0.25">
      <c r="A5877"/>
      <c r="B5877"/>
    </row>
    <row r="5878" spans="1:2" x14ac:dyDescent="0.25">
      <c r="A5878"/>
      <c r="B5878"/>
    </row>
    <row r="5879" spans="1:2" x14ac:dyDescent="0.25">
      <c r="A5879"/>
      <c r="B5879"/>
    </row>
    <row r="5880" spans="1:2" x14ac:dyDescent="0.25">
      <c r="A5880"/>
      <c r="B5880"/>
    </row>
    <row r="5881" spans="1:2" x14ac:dyDescent="0.25">
      <c r="A5881"/>
      <c r="B5881"/>
    </row>
    <row r="5882" spans="1:2" x14ac:dyDescent="0.25">
      <c r="A5882"/>
      <c r="B5882"/>
    </row>
    <row r="5883" spans="1:2" x14ac:dyDescent="0.25">
      <c r="A5883"/>
      <c r="B5883"/>
    </row>
    <row r="5884" spans="1:2" x14ac:dyDescent="0.25">
      <c r="A5884"/>
      <c r="B5884"/>
    </row>
    <row r="5885" spans="1:2" x14ac:dyDescent="0.25">
      <c r="A5885"/>
      <c r="B5885"/>
    </row>
    <row r="5886" spans="1:2" x14ac:dyDescent="0.25">
      <c r="A5886"/>
      <c r="B5886"/>
    </row>
    <row r="5887" spans="1:2" x14ac:dyDescent="0.25">
      <c r="A5887"/>
      <c r="B5887"/>
    </row>
    <row r="5888" spans="1:2" x14ac:dyDescent="0.25">
      <c r="A5888"/>
      <c r="B5888"/>
    </row>
    <row r="5889" spans="1:2" x14ac:dyDescent="0.25">
      <c r="A5889"/>
      <c r="B5889"/>
    </row>
    <row r="5890" spans="1:2" x14ac:dyDescent="0.25">
      <c r="A5890"/>
      <c r="B5890"/>
    </row>
    <row r="5891" spans="1:2" x14ac:dyDescent="0.25">
      <c r="A5891"/>
      <c r="B5891"/>
    </row>
    <row r="5892" spans="1:2" x14ac:dyDescent="0.25">
      <c r="A5892"/>
      <c r="B5892"/>
    </row>
    <row r="5893" spans="1:2" x14ac:dyDescent="0.25">
      <c r="A5893"/>
      <c r="B5893"/>
    </row>
    <row r="5894" spans="1:2" x14ac:dyDescent="0.25">
      <c r="A5894"/>
      <c r="B5894"/>
    </row>
    <row r="5895" spans="1:2" x14ac:dyDescent="0.25">
      <c r="A5895"/>
      <c r="B5895"/>
    </row>
    <row r="5896" spans="1:2" x14ac:dyDescent="0.25">
      <c r="A5896"/>
      <c r="B5896"/>
    </row>
    <row r="5897" spans="1:2" x14ac:dyDescent="0.25">
      <c r="A5897"/>
      <c r="B5897"/>
    </row>
    <row r="5898" spans="1:2" x14ac:dyDescent="0.25">
      <c r="A5898"/>
      <c r="B5898"/>
    </row>
    <row r="5899" spans="1:2" x14ac:dyDescent="0.25">
      <c r="A5899"/>
      <c r="B5899"/>
    </row>
    <row r="5900" spans="1:2" x14ac:dyDescent="0.25">
      <c r="A5900"/>
      <c r="B5900"/>
    </row>
    <row r="5901" spans="1:2" x14ac:dyDescent="0.25">
      <c r="A5901"/>
      <c r="B5901"/>
    </row>
    <row r="5902" spans="1:2" x14ac:dyDescent="0.25">
      <c r="A5902"/>
      <c r="B5902"/>
    </row>
    <row r="5903" spans="1:2" x14ac:dyDescent="0.25">
      <c r="A5903"/>
      <c r="B5903"/>
    </row>
    <row r="5904" spans="1:2" x14ac:dyDescent="0.25">
      <c r="A5904"/>
      <c r="B5904"/>
    </row>
    <row r="5905" spans="1:2" x14ac:dyDescent="0.25">
      <c r="A5905"/>
      <c r="B5905"/>
    </row>
    <row r="5906" spans="1:2" x14ac:dyDescent="0.25">
      <c r="A5906"/>
      <c r="B5906"/>
    </row>
    <row r="5907" spans="1:2" x14ac:dyDescent="0.25">
      <c r="A5907"/>
      <c r="B5907"/>
    </row>
  </sheetData>
  <sheetProtection algorithmName="SHA-512" hashValue="y071F2XMF2yj5cqcX0ER6kghzjCa50Y221B3QcxNKQZeO+ykbkJ1w4qc4zDPQUSIV4QpW+X0dkOeTL356mg7nA==" saltValue="xWZYSwZM07gFTzQ/P9KR7A==" spinCount="100000" sheet="1" objects="1" scenarios="1"/>
  <mergeCells count="4">
    <mergeCell ref="A35:A36"/>
    <mergeCell ref="D35:D36"/>
    <mergeCell ref="F35:F36"/>
    <mergeCell ref="G35:G36"/>
  </mergeCells>
  <pageMargins left="0.7" right="0.7" top="0.75" bottom="0.75" header="0.3" footer="0.3"/>
  <pageSetup scale="9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92D050"/>
    <pageSetUpPr fitToPage="1"/>
  </sheetPr>
  <dimension ref="B2:I118"/>
  <sheetViews>
    <sheetView showGridLines="0" topLeftCell="B1" zoomScaleNormal="100" workbookViewId="0">
      <selection activeCell="B27" sqref="B27"/>
    </sheetView>
  </sheetViews>
  <sheetFormatPr defaultRowHeight="15" outlineLevelRow="3" x14ac:dyDescent="0.25"/>
  <cols>
    <col min="2" max="2" width="58.7109375" customWidth="1"/>
    <col min="3" max="3" width="22.42578125" customWidth="1"/>
    <col min="4" max="4" width="14.7109375" customWidth="1"/>
    <col min="5" max="6" width="16.5703125" customWidth="1"/>
    <col min="7" max="7" width="14.85546875" bestFit="1" customWidth="1"/>
    <col min="8" max="8" width="15.140625" customWidth="1"/>
    <col min="9" max="10" width="10.140625" bestFit="1" customWidth="1"/>
    <col min="11" max="11" width="11.140625" bestFit="1" customWidth="1"/>
    <col min="12" max="13" width="10.140625" bestFit="1" customWidth="1"/>
    <col min="14" max="14" width="13.140625" bestFit="1" customWidth="1"/>
    <col min="15" max="16" width="11.140625" bestFit="1" customWidth="1"/>
    <col min="17" max="17" width="10.140625" bestFit="1" customWidth="1"/>
    <col min="18" max="18" width="13.140625" bestFit="1" customWidth="1"/>
    <col min="19" max="19" width="10.28515625" bestFit="1" customWidth="1"/>
    <col min="20" max="21" width="10.140625" bestFit="1" customWidth="1"/>
    <col min="22" max="22" width="13.140625" bestFit="1" customWidth="1"/>
    <col min="23" max="23" width="10.28515625" bestFit="1" customWidth="1"/>
    <col min="24" max="25" width="10.140625" bestFit="1" customWidth="1"/>
    <col min="26" max="26" width="13.140625" bestFit="1" customWidth="1"/>
    <col min="27" max="27" width="10.28515625" bestFit="1" customWidth="1"/>
    <col min="28" max="29" width="10.140625" bestFit="1" customWidth="1"/>
    <col min="30" max="30" width="13.140625" bestFit="1" customWidth="1"/>
    <col min="31" max="31" width="11.140625" bestFit="1" customWidth="1"/>
    <col min="32" max="32" width="13.140625" bestFit="1" customWidth="1"/>
    <col min="33" max="33" width="12.7109375" bestFit="1" customWidth="1"/>
    <col min="34" max="34" width="9" bestFit="1" customWidth="1"/>
    <col min="35" max="38" width="11" bestFit="1" customWidth="1"/>
  </cols>
  <sheetData>
    <row r="2" spans="2:8" x14ac:dyDescent="0.25">
      <c r="B2" s="4" t="s">
        <v>152</v>
      </c>
      <c r="C2" t="s" vm="676">
        <v>801</v>
      </c>
    </row>
    <row r="3" spans="2:8" x14ac:dyDescent="0.25">
      <c r="B3" s="4" t="s">
        <v>244</v>
      </c>
      <c r="C3" t="s" vm="13">
        <v>245</v>
      </c>
    </row>
    <row r="4" spans="2:8" x14ac:dyDescent="0.25">
      <c r="D4" s="205"/>
      <c r="E4" s="205"/>
    </row>
    <row r="5" spans="2:8" x14ac:dyDescent="0.25">
      <c r="B5" t="str" vm="10">
        <f>CUBEMEMBER("ThisWorkbookDataModel","[Measures].[Sum of Износ]")</f>
        <v>Sum of Износ</v>
      </c>
      <c r="H5" s="86" t="s">
        <v>327</v>
      </c>
    </row>
    <row r="6" spans="2:8" s="2" customFormat="1" ht="45" x14ac:dyDescent="0.25">
      <c r="B6" s="21" t="s">
        <v>798</v>
      </c>
      <c r="C6" s="120" t="str" vm="248">
        <f>CUBEMEMBER("ThisWorkbookDataModel","[Calendar].[Квартал].&amp;[2022-03-31T00:00:00]")</f>
        <v>3/31/2022</v>
      </c>
      <c r="D6" s="120" t="str" vm="247">
        <f>CUBEMEMBER("ThisWorkbookDataModel","[Calendar].[Квартал].&amp;[2022-06-30T00:00:00]")</f>
        <v>6/30/2022</v>
      </c>
      <c r="E6" s="120" t="str" vm="251">
        <f>CUBEMEMBER("ThisWorkbookDataModel","[Calendar].[Квартал].&amp;[2022-09-30T00:00:00]")</f>
        <v>9/30/2022</v>
      </c>
      <c r="F6" s="120" t="str" vm="249">
        <f>CUBEMEMBER("ThisWorkbookDataModel","[Calendar].[Квартал].&amp;[2022-12-31T00:00:00]")</f>
        <v>12/31/2022</v>
      </c>
      <c r="G6" s="121" t="s">
        <v>153</v>
      </c>
      <c r="H6" s="122" t="s">
        <v>797</v>
      </c>
    </row>
    <row r="7" spans="2:8" s="9" customFormat="1" x14ac:dyDescent="0.25">
      <c r="B7" s="111" t="str" vm="59">
        <f>CUBEMEMBER("ThisWorkbookDataModel","[fActualAndBudget].[StavkaKategorija].&amp;[2.29. Приходи од продажба]")</f>
        <v>2.29. Приходи од продажба</v>
      </c>
      <c r="C7" s="112" vm="724">
        <f>CUBEVALUE("ThisWorkbookDataModel",$C$2,$C$3,$B$5,$B7,C$6)</f>
        <v>201126807</v>
      </c>
      <c r="D7" s="112" vm="750">
        <f>CUBEVALUE("ThisWorkbookDataModel",$C$2,$C$3,$B$5,$B7,D$6)</f>
        <v>53868887</v>
      </c>
      <c r="E7" s="112" vm="779">
        <f>CUBEVALUE("ThisWorkbookDataModel",$C$2,$C$3,$B$5,$B7,E$6)</f>
        <v>52255726</v>
      </c>
      <c r="F7" s="112" vm="725">
        <f>CUBEVALUE("ThisWorkbookDataModel",$C$2,$C$3,$B$5,$B7,F$6)</f>
        <v>53809853</v>
      </c>
      <c r="G7" s="112">
        <f t="shared" ref="G7:G25" si="0">SUM(C7:F7)</f>
        <v>361061273</v>
      </c>
      <c r="H7" s="113">
        <f t="shared" ref="H7:H20" si="1">G7/$G$26</f>
        <v>0.98524895465020601</v>
      </c>
    </row>
    <row r="8" spans="2:8" hidden="1" outlineLevel="1" x14ac:dyDescent="0.25">
      <c r="B8" s="114" t="str" vm="46">
        <f>CUBEMEMBER("ThisWorkbookDataModel",{"[fActualAndBudget].[StavkaKategorija].&amp;[2.29. Приходи од продажба]","[fActualAndBudget].[StavkaImeMK].&amp;[Приходи од годишни сметки]"})</f>
        <v>Приходи од годишни сметки</v>
      </c>
      <c r="C8" s="112" vm="848">
        <f t="shared" ref="C8:F27" si="2">CUBEVALUE("ThisWorkbookDataModel",$C$2,$C$3,$B$5,$B8,C$6)</f>
        <v>145922832</v>
      </c>
      <c r="D8" s="112" vm="716">
        <f t="shared" si="2"/>
        <v>12123900</v>
      </c>
      <c r="E8" s="112" vm="761">
        <f t="shared" si="2"/>
        <v>3784729</v>
      </c>
      <c r="F8" s="112" vm="852">
        <f t="shared" si="2"/>
        <v>5468534</v>
      </c>
      <c r="G8" s="112">
        <f t="shared" si="0"/>
        <v>167299995</v>
      </c>
      <c r="H8" s="113">
        <f t="shared" si="1"/>
        <v>0.45652125418262368</v>
      </c>
    </row>
    <row r="9" spans="2:8" hidden="1" outlineLevel="1" x14ac:dyDescent="0.25">
      <c r="B9" s="114" t="str" vm="50">
        <f>CUBEMEMBER("ThisWorkbookDataModel",{"[fActualAndBudget].[StavkaKategorija].&amp;[2.29. Приходи од продажба]","[fActualAndBudget].[StavkaImeMK].&amp;[Приходи од заложен регистар]"})</f>
        <v>Приходи од заложен регистар</v>
      </c>
      <c r="C9" s="112" vm="763">
        <f t="shared" si="2"/>
        <v>787508</v>
      </c>
      <c r="D9" s="112" vm="756">
        <f t="shared" si="2"/>
        <v>450131</v>
      </c>
      <c r="E9" s="112" vm="835">
        <f t="shared" si="2"/>
        <v>509520</v>
      </c>
      <c r="F9" s="112" vm="806">
        <f t="shared" si="2"/>
        <v>552836</v>
      </c>
      <c r="G9" s="112">
        <f t="shared" si="0"/>
        <v>2299995</v>
      </c>
      <c r="H9" s="113">
        <f t="shared" si="1"/>
        <v>6.2761305044495884E-3</v>
      </c>
    </row>
    <row r="10" spans="2:8" hidden="1" outlineLevel="1" x14ac:dyDescent="0.25">
      <c r="B10" s="114" t="str" vm="42">
        <f>CUBEMEMBER("ThisWorkbookDataModel",{"[fActualAndBudget].[StavkaKategorija].&amp;[2.29. Приходи од продажба]","[fActualAndBudget].[StavkaImeMK].&amp;[Приходи од интернет дистрибутивен систем]"})</f>
        <v>Приходи од интернет дистрибутивен систем</v>
      </c>
      <c r="C10" s="112" vm="723">
        <f t="shared" si="2"/>
        <v>5000001</v>
      </c>
      <c r="D10" s="112" vm="743">
        <f t="shared" si="2"/>
        <v>5000001</v>
      </c>
      <c r="E10" s="112" vm="822">
        <f t="shared" si="2"/>
        <v>5000001</v>
      </c>
      <c r="F10" s="112" vm="815">
        <f t="shared" si="2"/>
        <v>5000001</v>
      </c>
      <c r="G10" s="112">
        <f t="shared" si="0"/>
        <v>20000004</v>
      </c>
      <c r="H10" s="113">
        <f t="shared" si="1"/>
        <v>5.4575177421478646E-2</v>
      </c>
    </row>
    <row r="11" spans="2:8" hidden="1" outlineLevel="1" x14ac:dyDescent="0.25">
      <c r="B11" s="114" t="str" vm="857">
        <f>CUBEMEMBER("ThisWorkbookDataModel",{"[fActualAndBudget].[StavkaKategorija].&amp;[2.29. Приходи од продажба]","[fActualAndBudget].[StavkaImeMK].&amp;[Приходи од регистар на вистински сопственици]"})</f>
        <v>Приходи од регистар на вистински сопственици</v>
      </c>
      <c r="C11" s="112" vm="862">
        <f t="shared" si="2"/>
        <v>1747950</v>
      </c>
      <c r="D11" s="112" vm="863">
        <f t="shared" si="2"/>
        <v>3199998</v>
      </c>
      <c r="E11" s="112" vm="861">
        <f t="shared" si="2"/>
        <v>3199998</v>
      </c>
      <c r="F11" s="112" vm="864">
        <f t="shared" si="2"/>
        <v>3499998</v>
      </c>
      <c r="G11" s="112">
        <f t="shared" si="0"/>
        <v>11647944</v>
      </c>
      <c r="H11" s="113">
        <f t="shared" si="1"/>
        <v>3.1784424162887549E-2</v>
      </c>
    </row>
    <row r="12" spans="2:8" hidden="1" outlineLevel="1" x14ac:dyDescent="0.25">
      <c r="B12" s="114" t="str" vm="33">
        <f>CUBEMEMBER("ThisWorkbookDataModel",{"[fActualAndBudget].[StavkaKategorija].&amp;[2.29. Приходи од продажба]","[fActualAndBudget].[StavkaImeMK].&amp;[Приходи од регистар на директни странски инвестиции]"})</f>
        <v>Приходи од регистар на директни странски инвестиции</v>
      </c>
      <c r="C12" s="112" vm="712">
        <f t="shared" si="2"/>
        <v>250002</v>
      </c>
      <c r="D12" s="112" vm="812">
        <f t="shared" si="2"/>
        <v>250002</v>
      </c>
      <c r="E12" s="112" vm="792">
        <f t="shared" si="2"/>
        <v>250002</v>
      </c>
      <c r="F12" s="112" vm="775">
        <f t="shared" si="2"/>
        <v>250002</v>
      </c>
      <c r="G12" s="112">
        <f t="shared" si="0"/>
        <v>1000008</v>
      </c>
      <c r="H12" s="113">
        <f t="shared" si="1"/>
        <v>2.7287801553888698E-3</v>
      </c>
    </row>
    <row r="13" spans="2:8" hidden="1" outlineLevel="1" x14ac:dyDescent="0.25">
      <c r="B13" s="114" t="str" vm="29">
        <f>CUBEMEMBER("ThisWorkbookDataModel",{"[fActualAndBudget].[StavkaKategorija].&amp;[2.29. Приходи од продажба]","[fActualAndBudget].[StavkaImeMK].&amp;[Приходи од Регистар на лизинг]"})</f>
        <v>Приходи од Регистар на лизинг</v>
      </c>
      <c r="C13" s="112" vm="781">
        <f t="shared" si="2"/>
        <v>332864</v>
      </c>
      <c r="D13" s="112" vm="685">
        <f t="shared" si="2"/>
        <v>191418</v>
      </c>
      <c r="E13" s="112" vm="744">
        <f t="shared" si="2"/>
        <v>328443</v>
      </c>
      <c r="F13" s="112" vm="758">
        <f t="shared" si="2"/>
        <v>257278</v>
      </c>
      <c r="G13" s="112">
        <f t="shared" si="0"/>
        <v>1110003</v>
      </c>
      <c r="H13" s="113">
        <f t="shared" si="1"/>
        <v>3.0289299273826929E-3</v>
      </c>
    </row>
    <row r="14" spans="2:8" hidden="1" outlineLevel="1" x14ac:dyDescent="0.25">
      <c r="B14" s="114" t="str" vm="58">
        <f>CUBEMEMBER("ThisWorkbookDataModel",{"[fActualAndBudget].[StavkaKategorija].&amp;[2.29. Приходи од продажба]","[fActualAndBudget].[StavkaImeMK].&amp;[Приходи од регистар на недвижности]"})</f>
        <v>Приходи од регистар на недвижности</v>
      </c>
      <c r="C14" s="112" vm="749">
        <f t="shared" si="2"/>
        <v>12501</v>
      </c>
      <c r="D14" s="112" vm="741">
        <f t="shared" si="2"/>
        <v>12501</v>
      </c>
      <c r="E14" s="112" vm="844">
        <f t="shared" si="2"/>
        <v>12501</v>
      </c>
      <c r="F14" s="112" vm="795">
        <f t="shared" si="2"/>
        <v>12501</v>
      </c>
      <c r="G14" s="112">
        <f t="shared" si="0"/>
        <v>50004</v>
      </c>
      <c r="H14" s="113">
        <f t="shared" si="1"/>
        <v>1.3644883129941465E-4</v>
      </c>
    </row>
    <row r="15" spans="2:8" hidden="1" outlineLevel="1" x14ac:dyDescent="0.25">
      <c r="B15" s="114" t="str" vm="53">
        <f>CUBEMEMBER("ThisWorkbookDataModel",{"[fActualAndBudget].[StavkaKategorija].&amp;[2.29. Приходи од продажба]","[fActualAndBudget].[StavkaImeMK].&amp;[Приходи од Регистар на резиденти и нерезиденти]"})</f>
        <v>Приходи од Регистар на резиденти и нерезиденти</v>
      </c>
      <c r="C15" s="112" vm="683">
        <f t="shared" si="2"/>
        <v>52500</v>
      </c>
      <c r="D15" s="112" vm="832">
        <f t="shared" si="2"/>
        <v>52500</v>
      </c>
      <c r="E15" s="112" vm="702">
        <f t="shared" si="2"/>
        <v>52500</v>
      </c>
      <c r="F15" s="112" vm="736">
        <f t="shared" si="2"/>
        <v>52500</v>
      </c>
      <c r="G15" s="112">
        <f t="shared" si="0"/>
        <v>210000</v>
      </c>
      <c r="H15" s="113">
        <f t="shared" si="1"/>
        <v>5.7303924831767611E-4</v>
      </c>
    </row>
    <row r="16" spans="2:8" hidden="1" outlineLevel="1" x14ac:dyDescent="0.25">
      <c r="B16" s="114" t="str" vm="44">
        <f>CUBEMEMBER("ThisWorkbookDataModel",{"[fActualAndBudget].[StavkaKategorija].&amp;[2.29. Приходи од продажба]","[fActualAndBudget].[StavkaImeMK].&amp;[Приходи од регистрите за кривични санкции, пресуди и др.]"})</f>
        <v>Приходи од регистрите за кривични санкции, пресуди и др.</v>
      </c>
      <c r="C16" s="112" vm="788">
        <f t="shared" si="2"/>
        <v>4814152</v>
      </c>
      <c r="D16" s="112" vm="790">
        <f t="shared" si="2"/>
        <v>2330815</v>
      </c>
      <c r="E16" s="112" vm="773">
        <f t="shared" si="2"/>
        <v>2548962</v>
      </c>
      <c r="F16" s="112" vm="740">
        <f t="shared" si="2"/>
        <v>3806072</v>
      </c>
      <c r="G16" s="112">
        <f t="shared" si="0"/>
        <v>13500001</v>
      </c>
      <c r="H16" s="113">
        <f t="shared" si="1"/>
        <v>3.6838240120608934E-2</v>
      </c>
    </row>
    <row r="17" spans="2:8" hidden="1" outlineLevel="1" x14ac:dyDescent="0.25">
      <c r="B17" s="114" t="str" vm="48">
        <f>CUBEMEMBER("ThisWorkbookDataModel",{"[fActualAndBudget].[StavkaKategorija].&amp;[2.29. Приходи од продажба]","[fActualAndBudget].[StavkaImeMK].&amp;[Приходи од странство]"})</f>
        <v>Приходи од странство</v>
      </c>
      <c r="C17" s="112" vm="706">
        <f t="shared" si="2"/>
        <v>15000</v>
      </c>
      <c r="D17" s="112" vm="830">
        <f t="shared" si="2"/>
        <v>15000</v>
      </c>
      <c r="E17" s="112" vm="688">
        <f t="shared" si="2"/>
        <v>15000</v>
      </c>
      <c r="F17" s="112" vm="734">
        <f t="shared" si="2"/>
        <v>15000</v>
      </c>
      <c r="G17" s="112">
        <f t="shared" si="0"/>
        <v>60000</v>
      </c>
      <c r="H17" s="113">
        <f t="shared" si="1"/>
        <v>1.6372549951933603E-4</v>
      </c>
    </row>
    <row r="18" spans="2:8" hidden="1" outlineLevel="1" x14ac:dyDescent="0.25">
      <c r="B18" s="114" t="str" vm="38">
        <f>CUBEMEMBER("ThisWorkbookDataModel",{"[fActualAndBudget].[StavkaKategorija].&amp;[2.29. Приходи од продажба]","[fActualAndBudget].[StavkaImeMK].&amp;[Приходи од трговски регистар]"})</f>
        <v>Приходи од трговски регистар</v>
      </c>
      <c r="C18" s="112" vm="752">
        <f t="shared" si="2"/>
        <v>42188998</v>
      </c>
      <c r="D18" s="112" vm="680">
        <f t="shared" si="2"/>
        <v>30240122</v>
      </c>
      <c r="E18" s="112" vm="800">
        <f t="shared" si="2"/>
        <v>36551571</v>
      </c>
      <c r="F18" s="112" vm="747">
        <f t="shared" si="2"/>
        <v>34781521</v>
      </c>
      <c r="G18" s="112">
        <f t="shared" si="0"/>
        <v>143762212</v>
      </c>
      <c r="H18" s="113">
        <f t="shared" si="1"/>
        <v>0.39229233286174475</v>
      </c>
    </row>
    <row r="19" spans="2:8" hidden="1" outlineLevel="1" x14ac:dyDescent="0.25">
      <c r="B19" s="114" t="str" vm="72">
        <f>CUBEMEMBER("ThisWorkbookDataModel",{"[fActualAndBudget].[StavkaKategorija].&amp;[2.29. Приходи од продажба]","[fActualAndBudget].[StavkaImeMK].&amp;[Приходи од регистар на задолжница]"})</f>
        <v>Приходи од регистар на задолжница</v>
      </c>
      <c r="C19" s="112" vm="1586">
        <f t="shared" si="2"/>
        <v>2499</v>
      </c>
      <c r="D19" s="112" vm="1588">
        <f t="shared" si="2"/>
        <v>2499</v>
      </c>
      <c r="E19" s="112" vm="1585">
        <f t="shared" si="2"/>
        <v>2499</v>
      </c>
      <c r="F19" s="112" vm="1587">
        <f t="shared" si="2"/>
        <v>113610</v>
      </c>
      <c r="G19" s="112">
        <f t="shared" ref="G19" si="3">SUM(C19:F19)</f>
        <v>121107</v>
      </c>
      <c r="H19" s="113">
        <f t="shared" si="1"/>
        <v>3.3047173450480386E-4</v>
      </c>
    </row>
    <row r="20" spans="2:8" s="9" customFormat="1" collapsed="1" x14ac:dyDescent="0.25">
      <c r="B20" s="111" t="str" vm="34">
        <f>CUBEMEMBER("ThisWorkbookDataModel","[fActualAndBudget].[StavkaKategorija].&amp;[2.30. Останати оперативни приходи]")</f>
        <v>2.30. Останати оперативни приходи</v>
      </c>
      <c r="C20" s="112" vm="707">
        <f t="shared" si="2"/>
        <v>1278943</v>
      </c>
      <c r="D20" s="112" vm="850">
        <f t="shared" si="2"/>
        <v>1178943</v>
      </c>
      <c r="E20" s="112" vm="684">
        <f t="shared" si="2"/>
        <v>1178943</v>
      </c>
      <c r="F20" s="112" vm="679">
        <f t="shared" si="2"/>
        <v>1768943</v>
      </c>
      <c r="G20" s="112">
        <f t="shared" si="0"/>
        <v>5405772</v>
      </c>
      <c r="H20" s="113">
        <f t="shared" si="1"/>
        <v>1.4751045349794004E-2</v>
      </c>
    </row>
    <row r="21" spans="2:8" hidden="1" outlineLevel="1" x14ac:dyDescent="0.25">
      <c r="B21" s="115" t="str" vm="64">
        <f>CUBEMEMBER("ThisWorkbookDataModel",{"[fActualAndBudget].[StavkaKategorija].&amp;[2.30. Останати оперативни приходи]","[fActualAndBudget].[StavkaImeMK].&amp;[Вонредни невообичаени приходи]"})</f>
        <v>Вонредни невообичаени приходи</v>
      </c>
      <c r="C21" s="112" t="str" vm="801">
        <f t="shared" si="2"/>
        <v/>
      </c>
      <c r="D21" s="112" t="str" vm="802">
        <f t="shared" si="2"/>
        <v/>
      </c>
      <c r="E21" s="112" t="str" vm="831">
        <f t="shared" si="2"/>
        <v/>
      </c>
      <c r="F21" s="112" t="str" vm="691">
        <f t="shared" si="2"/>
        <v/>
      </c>
      <c r="G21" s="22">
        <f t="shared" si="0"/>
        <v>0</v>
      </c>
      <c r="H21" s="116"/>
    </row>
    <row r="22" spans="2:8" hidden="1" outlineLevel="1" x14ac:dyDescent="0.25">
      <c r="B22" s="115" t="str" vm="71">
        <f>CUBEMEMBER("ThisWorkbookDataModel",{"[fActualAndBudget].[StavkaKategorija].&amp;[2.30. Останати оперативни приходи]","[fActualAndBudget].[StavkaImeMK].&amp;[Други неспомнати приходи]"})</f>
        <v>Други неспомнати приходи</v>
      </c>
      <c r="C22" s="112" vm="794">
        <f t="shared" si="2"/>
        <v>100000</v>
      </c>
      <c r="D22" s="112" vm="721">
        <f t="shared" si="2"/>
        <v>0</v>
      </c>
      <c r="E22" s="112" vm="732">
        <f t="shared" si="2"/>
        <v>0</v>
      </c>
      <c r="F22" s="112" vm="703">
        <f t="shared" si="2"/>
        <v>0</v>
      </c>
      <c r="G22" s="22">
        <f t="shared" si="0"/>
        <v>100000</v>
      </c>
      <c r="H22" s="116"/>
    </row>
    <row r="23" spans="2:8" hidden="1" outlineLevel="1" x14ac:dyDescent="0.25">
      <c r="B23" s="115" t="str" vm="69">
        <f>CUBEMEMBER("ThisWorkbookDataModel",{"[fActualAndBudget].[StavkaKategorija].&amp;[2.30. Останати оперативни приходи]","[fActualAndBudget].[StavkaImeMK].&amp;[Приходи од донации]"})</f>
        <v>Приходи од донации</v>
      </c>
      <c r="C23" s="112" vm="821">
        <f t="shared" si="2"/>
        <v>1178943</v>
      </c>
      <c r="D23" s="112" vm="816">
        <f t="shared" si="2"/>
        <v>1178943</v>
      </c>
      <c r="E23" s="112" vm="833">
        <f t="shared" si="2"/>
        <v>1178943</v>
      </c>
      <c r="F23" s="112" vm="796">
        <f t="shared" si="2"/>
        <v>1768943</v>
      </c>
      <c r="G23" s="22">
        <f t="shared" si="0"/>
        <v>5305772</v>
      </c>
      <c r="H23" s="116"/>
    </row>
    <row r="24" spans="2:8" hidden="1" outlineLevel="1" x14ac:dyDescent="0.25">
      <c r="B24" s="115" t="str" vm="67">
        <f>CUBEMEMBER("ThisWorkbookDataModel",{"[fActualAndBudget].[StavkaKategorija].&amp;[2.30. Останати оперативни приходи]","[fActualAndBudget].[StavkaImeMK].&amp;[Приходи од продажба на подвижен имот]"})</f>
        <v>Приходи од продажба на подвижен имот</v>
      </c>
      <c r="C24" s="112" t="str" vm="845">
        <f t="shared" si="2"/>
        <v/>
      </c>
      <c r="D24" s="112" t="str" vm="811">
        <f t="shared" si="2"/>
        <v/>
      </c>
      <c r="E24" s="112" t="str" vm="687">
        <f t="shared" si="2"/>
        <v/>
      </c>
      <c r="F24" s="112" t="str" vm="843">
        <f t="shared" si="2"/>
        <v/>
      </c>
      <c r="G24" s="22">
        <f t="shared" si="0"/>
        <v>0</v>
      </c>
      <c r="H24" s="116"/>
    </row>
    <row r="25" spans="2:8" hidden="1" outlineLevel="1" x14ac:dyDescent="0.25">
      <c r="B25" s="115" t="str" vm="31">
        <f>CUBEMEMBER("ThisWorkbookDataModel",{"[fActualAndBudget].[StavkaKategorija].&amp;[2.30. Останати оперативни приходи]","[fActualAndBudget].[StavkaImeMK].&amp;[Приходи од закуп]"})</f>
        <v>Приходи од закуп</v>
      </c>
      <c r="C25" s="112" t="str" vm="746">
        <f t="shared" si="2"/>
        <v/>
      </c>
      <c r="D25" s="112" t="str" vm="681">
        <f t="shared" si="2"/>
        <v/>
      </c>
      <c r="E25" s="112" t="str" vm="780">
        <f t="shared" si="2"/>
        <v/>
      </c>
      <c r="F25" s="112" t="str" vm="733">
        <f t="shared" si="2"/>
        <v/>
      </c>
      <c r="G25" s="22">
        <f t="shared" si="0"/>
        <v>0</v>
      </c>
      <c r="H25" s="116"/>
    </row>
    <row r="26" spans="2:8" collapsed="1" x14ac:dyDescent="0.25">
      <c r="B26" s="24" t="s">
        <v>164</v>
      </c>
      <c r="C26" s="25">
        <f t="shared" ref="C26:H26" si="4">SUM(C7,C20)</f>
        <v>202405750</v>
      </c>
      <c r="D26" s="25">
        <f t="shared" si="4"/>
        <v>55047830</v>
      </c>
      <c r="E26" s="25">
        <f t="shared" si="4"/>
        <v>53434669</v>
      </c>
      <c r="F26" s="25">
        <f t="shared" si="4"/>
        <v>55578796</v>
      </c>
      <c r="G26" s="25">
        <f t="shared" si="4"/>
        <v>366467045</v>
      </c>
      <c r="H26" s="117">
        <f t="shared" si="4"/>
        <v>1</v>
      </c>
    </row>
    <row r="27" spans="2:8" s="9" customFormat="1" x14ac:dyDescent="0.25">
      <c r="B27" s="111" t="str" vm="28">
        <f>CUBEMEMBER("ThisWorkbookDataModel","[fActualAndBudget].[StavkaKategorija].&amp;[2.32. Потрошени суровини и материјали]")</f>
        <v>2.32. Потрошени суровини и материјали</v>
      </c>
      <c r="C27" s="112" vm="771">
        <f t="shared" si="2"/>
        <v>4803727</v>
      </c>
      <c r="D27" s="112" vm="776">
        <f t="shared" si="2"/>
        <v>3229902</v>
      </c>
      <c r="E27" s="112" vm="722">
        <f t="shared" si="2"/>
        <v>3184902</v>
      </c>
      <c r="F27" s="112" vm="720">
        <f t="shared" si="2"/>
        <v>3508677</v>
      </c>
      <c r="G27" s="112">
        <f t="shared" ref="G27:G48" si="5">SUM(C27:F27)</f>
        <v>14727208</v>
      </c>
      <c r="H27" s="113">
        <f t="shared" ref="H27:H57" si="6">G27/$G$26</f>
        <v>4.0186991438752699E-2</v>
      </c>
    </row>
    <row r="28" spans="2:8" hidden="1" outlineLevel="1" x14ac:dyDescent="0.25">
      <c r="B28" s="114" t="str" vm="57">
        <f>CUBEMEMBER("ThisWorkbookDataModel",{"[fActualAndBudget].[StavkaKategorija].&amp;[2.32. Потрошени суровини и материјали]","[fActualAndBudget].[StavkaImeMK].&amp;[Потрoшена енергија и гориво за возила]"})</f>
        <v>Потрoшена енергија и гориво за возила</v>
      </c>
      <c r="C28" s="112" vm="693">
        <f t="shared" ref="C28:F47" si="7">CUBEVALUE("ThisWorkbookDataModel",$C$2,$C$3,$B$5,$B28,C$6)</f>
        <v>3016326</v>
      </c>
      <c r="D28" s="112" vm="765">
        <f t="shared" si="7"/>
        <v>2180001</v>
      </c>
      <c r="E28" s="112" vm="789">
        <f t="shared" si="7"/>
        <v>2180001</v>
      </c>
      <c r="F28" s="112" vm="689">
        <f t="shared" si="7"/>
        <v>2458776</v>
      </c>
      <c r="G28" s="112">
        <f t="shared" si="5"/>
        <v>9835104</v>
      </c>
      <c r="H28" s="113">
        <f t="shared" si="6"/>
        <v>2.6837621920410334E-2</v>
      </c>
    </row>
    <row r="29" spans="2:8" hidden="1" outlineLevel="1" x14ac:dyDescent="0.25">
      <c r="B29" s="114" t="str" vm="54">
        <f>CUBEMEMBER("ThisWorkbookDataModel",{"[fActualAndBudget].[StavkaKategorija].&amp;[2.32. Потрошени суровини и материјали]","[fActualAndBudget].[StavkaImeMK].&amp;[Потрошени резервни делови]"})</f>
        <v>Потрошени резервни делови</v>
      </c>
      <c r="C29" s="112" vm="682">
        <f t="shared" si="7"/>
        <v>10314</v>
      </c>
      <c r="D29" s="112" vm="777">
        <f t="shared" si="7"/>
        <v>10314</v>
      </c>
      <c r="E29" s="112" vm="837">
        <f t="shared" si="7"/>
        <v>10314</v>
      </c>
      <c r="F29" s="112" vm="697">
        <f t="shared" si="7"/>
        <v>10314</v>
      </c>
      <c r="G29" s="112">
        <f t="shared" si="5"/>
        <v>41256</v>
      </c>
      <c r="H29" s="113">
        <f t="shared" si="6"/>
        <v>1.1257765346949546E-4</v>
      </c>
    </row>
    <row r="30" spans="2:8" hidden="1" outlineLevel="1" x14ac:dyDescent="0.25">
      <c r="B30" s="114" t="str" vm="52">
        <f>CUBEMEMBER("ThisWorkbookDataModel",{"[fActualAndBudget].[StavkaKategorija].&amp;[2.32. Потрошени суровини и материјали]","[fActualAndBudget].[StavkaImeMK].&amp;[Потрошени суровини и материјали]"})</f>
        <v>Потрошени суровини и материјали</v>
      </c>
      <c r="C30" s="112" vm="769">
        <f t="shared" si="7"/>
        <v>1551763</v>
      </c>
      <c r="D30" s="112" vm="754">
        <f t="shared" si="7"/>
        <v>769263</v>
      </c>
      <c r="E30" s="112" vm="805">
        <f t="shared" si="7"/>
        <v>769263</v>
      </c>
      <c r="F30" s="112" vm="730">
        <f t="shared" si="7"/>
        <v>769263</v>
      </c>
      <c r="G30" s="112">
        <f t="shared" si="5"/>
        <v>3859552</v>
      </c>
      <c r="H30" s="113">
        <f t="shared" si="6"/>
        <v>1.0531784652014207E-2</v>
      </c>
    </row>
    <row r="31" spans="2:8" hidden="1" outlineLevel="1" x14ac:dyDescent="0.25">
      <c r="B31" s="114" t="str" vm="41">
        <f>CUBEMEMBER("ThisWorkbookDataModel",{"[fActualAndBudget].[StavkaKategorija].&amp;[2.32. Потрошени суровини и материјали]","[fActualAndBudget].[StavkaImeMK].&amp;[Потрошок на ситен инвентар и автогуми]"})</f>
        <v>Потрошок на ситен инвентар и автогуми</v>
      </c>
      <c r="C31" s="112" vm="711">
        <f t="shared" si="7"/>
        <v>225324</v>
      </c>
      <c r="D31" s="112" vm="810">
        <f t="shared" si="7"/>
        <v>270324</v>
      </c>
      <c r="E31" s="112" vm="840">
        <f t="shared" si="7"/>
        <v>225324</v>
      </c>
      <c r="F31" s="112" vm="696">
        <f t="shared" si="7"/>
        <v>270324</v>
      </c>
      <c r="G31" s="112">
        <f t="shared" si="5"/>
        <v>991296</v>
      </c>
      <c r="H31" s="113">
        <f t="shared" si="6"/>
        <v>2.7050072128586623E-3</v>
      </c>
    </row>
    <row r="32" spans="2:8" s="9" customFormat="1" collapsed="1" x14ac:dyDescent="0.25">
      <c r="B32" s="111" t="str" vm="37">
        <f>CUBEMEMBER("ThisWorkbookDataModel","[fActualAndBudget].[StavkaKategorija].&amp;[2.33. Трошоци за вработените]")</f>
        <v>2.33. Трошоци за вработените</v>
      </c>
      <c r="C32" s="112" vm="735">
        <f t="shared" si="7"/>
        <v>60023373</v>
      </c>
      <c r="D32" s="112" vm="762">
        <f t="shared" si="7"/>
        <v>66170973</v>
      </c>
      <c r="E32" s="112" vm="803">
        <f t="shared" si="7"/>
        <v>57098365</v>
      </c>
      <c r="F32" s="112" vm="807">
        <f t="shared" si="7"/>
        <v>57131378</v>
      </c>
      <c r="G32" s="112">
        <f t="shared" si="5"/>
        <v>240424089</v>
      </c>
      <c r="H32" s="113">
        <f t="shared" si="6"/>
        <v>0.65605923446677172</v>
      </c>
    </row>
    <row r="33" spans="2:8" hidden="1" outlineLevel="1" x14ac:dyDescent="0.25">
      <c r="B33" s="114" t="str" vm="35">
        <f>CUBEMEMBER("ThisWorkbookDataModel",{"[fActualAndBudget].[StavkaKategorija].&amp;[2.33. Трошоци за вработените]","[fActualAndBudget].[StavkaImeMK].&amp;[Надомест на трошоци на вработените, подароци и помошти]"})</f>
        <v>Надомест на трошоци на вработените, подароци и помошти</v>
      </c>
      <c r="C33" s="112" vm="804">
        <f t="shared" si="7"/>
        <v>60023373</v>
      </c>
      <c r="D33" s="112" vm="753">
        <f t="shared" si="7"/>
        <v>66170973</v>
      </c>
      <c r="E33" s="112" vm="813">
        <f t="shared" si="7"/>
        <v>57098365</v>
      </c>
      <c r="F33" s="112" vm="784">
        <f t="shared" si="7"/>
        <v>57131378</v>
      </c>
      <c r="G33" s="112">
        <f t="shared" si="5"/>
        <v>240424089</v>
      </c>
      <c r="H33" s="113">
        <f t="shared" si="6"/>
        <v>0.65605923446677172</v>
      </c>
    </row>
    <row r="34" spans="2:8" s="9" customFormat="1" collapsed="1" x14ac:dyDescent="0.25">
      <c r="B34" s="111" t="str" vm="62">
        <f>CUBEMEMBER("ThisWorkbookDataModel","[fActualAndBudget].[StavkaKategorija].&amp;[2.34. Амортизација на материјални средства]")</f>
        <v>2.34. Амортизација на материјални средства</v>
      </c>
      <c r="C34" s="112" vm="799">
        <f t="shared" si="7"/>
        <v>12417102</v>
      </c>
      <c r="D34" s="112" vm="786">
        <f t="shared" si="7"/>
        <v>13060974</v>
      </c>
      <c r="E34" s="112" vm="787">
        <f t="shared" si="7"/>
        <v>13828412</v>
      </c>
      <c r="F34" s="112" vm="738">
        <f t="shared" si="7"/>
        <v>14923142</v>
      </c>
      <c r="G34" s="112">
        <f t="shared" si="5"/>
        <v>54229630</v>
      </c>
      <c r="H34" s="113">
        <f t="shared" si="6"/>
        <v>0.1479795543416462</v>
      </c>
    </row>
    <row r="35" spans="2:8" s="9" customFormat="1" x14ac:dyDescent="0.25">
      <c r="B35" s="111" t="str" vm="66">
        <f>CUBEMEMBER("ThisWorkbookDataModel","[fActualAndBudget].[StavkaKategorija].&amp;[2.35. Вредносно усогласување на тековни средства]")</f>
        <v>2.35. Вредносно усогласување на тековни средства</v>
      </c>
      <c r="C35" s="112" t="str" vm="698">
        <f t="shared" si="7"/>
        <v/>
      </c>
      <c r="D35" s="112" t="str" vm="701">
        <f t="shared" si="7"/>
        <v/>
      </c>
      <c r="E35" s="112" t="str" vm="728">
        <f t="shared" si="7"/>
        <v/>
      </c>
      <c r="F35" s="112" t="str" vm="817">
        <f t="shared" si="7"/>
        <v/>
      </c>
      <c r="G35" s="112">
        <f t="shared" si="5"/>
        <v>0</v>
      </c>
      <c r="H35" s="113">
        <f t="shared" si="6"/>
        <v>0</v>
      </c>
    </row>
    <row r="36" spans="2:8" s="9" customFormat="1" x14ac:dyDescent="0.25">
      <c r="B36" s="111" t="str" vm="61">
        <f>CUBEMEMBER("ThisWorkbookDataModel","[fActualAndBudget].[StavkaKategorija].&amp;[2.37. Останати оперативни расходи]")</f>
        <v>2.37. Останати оперативни расходи</v>
      </c>
      <c r="C36" s="112" vm="825">
        <f t="shared" si="7"/>
        <v>14103437</v>
      </c>
      <c r="D36" s="112" vm="818">
        <f t="shared" si="7"/>
        <v>14605360</v>
      </c>
      <c r="E36" s="112" vm="826">
        <f t="shared" si="7"/>
        <v>13508631</v>
      </c>
      <c r="F36" s="112" vm="731">
        <f t="shared" si="7"/>
        <v>13240231</v>
      </c>
      <c r="G36" s="112">
        <f t="shared" si="5"/>
        <v>55457659</v>
      </c>
      <c r="H36" s="113">
        <f t="shared" si="6"/>
        <v>0.15133054869913337</v>
      </c>
    </row>
    <row r="37" spans="2:8" hidden="1" outlineLevel="1" x14ac:dyDescent="0.25">
      <c r="B37" s="115" t="str" vm="60">
        <f>CUBEMEMBER("ThisWorkbookDataModel",{"[fActualAndBudget].[StavkaKategorija].&amp;[2.37. Останати оперативни расходи]","[fActualAndBudget].[StavkaImeMK].&amp;[Банкарски услуги и трошоци за платен промет]"})</f>
        <v>Банкарски услуги и трошоци за платен промет</v>
      </c>
      <c r="C37" s="112" vm="715">
        <f t="shared" si="7"/>
        <v>63564</v>
      </c>
      <c r="D37" s="112" vm="783">
        <f t="shared" si="7"/>
        <v>63564</v>
      </c>
      <c r="E37" s="112" vm="677">
        <f t="shared" si="7"/>
        <v>63564</v>
      </c>
      <c r="F37" s="112" vm="782">
        <f t="shared" si="7"/>
        <v>63564</v>
      </c>
      <c r="G37" s="22">
        <f t="shared" si="5"/>
        <v>254256</v>
      </c>
      <c r="H37" s="113">
        <f t="shared" si="6"/>
        <v>6.9380317676313841E-4</v>
      </c>
    </row>
    <row r="38" spans="2:8" hidden="1" outlineLevel="1" x14ac:dyDescent="0.25">
      <c r="B38" s="115" t="str" vm="56">
        <f>CUBEMEMBER("ThisWorkbookDataModel",{"[fActualAndBudget].[StavkaKategorija].&amp;[2.37. Останати оперативни расходи]","[fActualAndBudget].[StavkaImeMK].&amp;[Даноци,чланарини и други давачки кои не зависат од резултатот]"})</f>
        <v>Даноци,чланарини и други давачки кои не зависат од резултатот</v>
      </c>
      <c r="C38" s="112" vm="678">
        <f t="shared" si="7"/>
        <v>28320</v>
      </c>
      <c r="D38" s="112" vm="692">
        <f t="shared" si="7"/>
        <v>118000</v>
      </c>
      <c r="E38" s="112" t="str" vm="766">
        <f t="shared" si="7"/>
        <v/>
      </c>
      <c r="F38" s="112" vm="836">
        <f t="shared" si="7"/>
        <v>1026600</v>
      </c>
      <c r="G38" s="22">
        <f t="shared" si="5"/>
        <v>1172920</v>
      </c>
      <c r="H38" s="113">
        <f t="shared" si="6"/>
        <v>3.200615214936994E-3</v>
      </c>
    </row>
    <row r="39" spans="2:8" hidden="1" outlineLevel="1" x14ac:dyDescent="0.25">
      <c r="B39" s="115" t="str" vm="45">
        <f>CUBEMEMBER("ThisWorkbookDataModel",{"[fActualAndBudget].[StavkaKategorija].&amp;[2.37. Останати оперативни расходи]","[fActualAndBudget].[StavkaImeMK].&amp;[Дневници за службени патувања и патни трошоци]"})</f>
        <v>Дневници за службени патувања и патни трошоци</v>
      </c>
      <c r="C39" s="112" vm="778">
        <f t="shared" si="7"/>
        <v>465000</v>
      </c>
      <c r="D39" s="112" vm="838">
        <f t="shared" si="7"/>
        <v>465000</v>
      </c>
      <c r="E39" s="112" vm="793">
        <f t="shared" si="7"/>
        <v>465000</v>
      </c>
      <c r="F39" s="112" vm="755">
        <f t="shared" si="7"/>
        <v>520000</v>
      </c>
      <c r="G39" s="22">
        <f t="shared" si="5"/>
        <v>1915000</v>
      </c>
      <c r="H39" s="113">
        <f t="shared" si="6"/>
        <v>5.2255721929921417E-3</v>
      </c>
    </row>
    <row r="40" spans="2:8" hidden="1" outlineLevel="1" x14ac:dyDescent="0.25">
      <c r="B40" s="115" t="str" vm="43">
        <f>CUBEMEMBER("ThisWorkbookDataModel",{"[fActualAndBudget].[StavkaKategorija].&amp;[2.37. Останати оперативни расходи]","[fActualAndBudget].[StavkaImeMK].&amp;[Надворешни услуги]"})</f>
        <v>Надворешни услуги</v>
      </c>
      <c r="C40" s="112" vm="820">
        <f t="shared" si="7"/>
        <v>398500</v>
      </c>
      <c r="D40" s="112" vm="809">
        <f t="shared" si="7"/>
        <v>250500</v>
      </c>
      <c r="E40" s="112" vm="719">
        <f t="shared" si="7"/>
        <v>250500</v>
      </c>
      <c r="F40" s="112" vm="694">
        <f t="shared" si="7"/>
        <v>250500</v>
      </c>
      <c r="G40" s="22">
        <f t="shared" si="5"/>
        <v>1150000</v>
      </c>
      <c r="H40" s="113">
        <f t="shared" si="6"/>
        <v>3.1380720741206077E-3</v>
      </c>
    </row>
    <row r="41" spans="2:8" hidden="1" outlineLevel="1" x14ac:dyDescent="0.25">
      <c r="B41" s="115" t="str" vm="40">
        <f>CUBEMEMBER("ThisWorkbookDataModel",{"[fActualAndBudget].[StavkaKategorija].&amp;[2.37. Останати оперативни расходи]","[fActualAndBudget].[StavkaImeMK].&amp;[Наемнини и лизинг]"})</f>
        <v>Наемнини и лизинг</v>
      </c>
      <c r="C41" s="112" vm="760">
        <f t="shared" si="7"/>
        <v>54000</v>
      </c>
      <c r="D41" s="112" vm="708">
        <f t="shared" si="7"/>
        <v>84000</v>
      </c>
      <c r="E41" s="112" vm="759">
        <f t="shared" si="7"/>
        <v>54000</v>
      </c>
      <c r="F41" s="112" vm="823">
        <f t="shared" si="7"/>
        <v>54000</v>
      </c>
      <c r="G41" s="22">
        <f t="shared" si="5"/>
        <v>246000</v>
      </c>
      <c r="H41" s="113">
        <f t="shared" si="6"/>
        <v>6.712745480292778E-4</v>
      </c>
    </row>
    <row r="42" spans="2:8" hidden="1" outlineLevel="1" x14ac:dyDescent="0.25">
      <c r="B42" s="115" t="str" vm="36">
        <f>CUBEMEMBER("ThisWorkbookDataModel",{"[fActualAndBudget].[StavkaKategorija].&amp;[2.37. Останати оперативни расходи]","[fActualAndBudget].[StavkaImeMK].&amp;[Останати нематеријални трошоци]"})</f>
        <v>Останати нематеријални трошоци</v>
      </c>
      <c r="C42" s="112" vm="849">
        <f t="shared" si="7"/>
        <v>703170</v>
      </c>
      <c r="D42" s="112" vm="846">
        <f t="shared" si="7"/>
        <v>803170</v>
      </c>
      <c r="E42" s="112" vm="700">
        <f t="shared" si="7"/>
        <v>703170</v>
      </c>
      <c r="F42" s="112" vm="847">
        <f t="shared" si="7"/>
        <v>703170</v>
      </c>
      <c r="G42" s="22">
        <f t="shared" si="5"/>
        <v>2912680</v>
      </c>
      <c r="H42" s="113">
        <f t="shared" si="6"/>
        <v>7.9479997989996623E-3</v>
      </c>
    </row>
    <row r="43" spans="2:8" hidden="1" outlineLevel="1" x14ac:dyDescent="0.25">
      <c r="B43" s="115" t="str" vm="32">
        <f>CUBEMEMBER("ThisWorkbookDataModel",{"[fActualAndBudget].[StavkaKategorija].&amp;[2.37. Останати оперативни расходи]","[fActualAndBudget].[StavkaImeMK].&amp;[Останати услуги]"})</f>
        <v>Останати услуги</v>
      </c>
      <c r="C43" s="112" vm="745">
        <f t="shared" si="7"/>
        <v>5388967</v>
      </c>
      <c r="D43" s="112" vm="717">
        <f t="shared" si="7"/>
        <v>5168967</v>
      </c>
      <c r="E43" s="112" vm="742">
        <f t="shared" si="7"/>
        <v>4459981</v>
      </c>
      <c r="F43" s="112" vm="828">
        <f t="shared" si="7"/>
        <v>4209981</v>
      </c>
      <c r="G43" s="22">
        <f t="shared" si="5"/>
        <v>19227896</v>
      </c>
      <c r="H43" s="113">
        <f t="shared" si="6"/>
        <v>5.2468281288430722E-2</v>
      </c>
    </row>
    <row r="44" spans="2:8" hidden="1" outlineLevel="1" x14ac:dyDescent="0.25">
      <c r="B44" s="115" t="str" vm="30">
        <f>CUBEMEMBER("ThisWorkbookDataModel",{"[fActualAndBudget].[StavkaKategorija].&amp;[2.37. Останати оперативни расходи]","[fActualAndBudget].[StavkaImeMK].&amp;[Премии за осигурување]"})</f>
        <v>Премии за осигурување</v>
      </c>
      <c r="C44" s="112" t="str" vm="695">
        <f t="shared" si="7"/>
        <v/>
      </c>
      <c r="D44" s="112" vm="851">
        <f t="shared" si="7"/>
        <v>1151243</v>
      </c>
      <c r="E44" s="112" t="str" vm="808">
        <f t="shared" si="7"/>
        <v/>
      </c>
      <c r="F44" s="112" t="str" vm="737">
        <f t="shared" si="7"/>
        <v/>
      </c>
      <c r="G44" s="22">
        <f t="shared" si="5"/>
        <v>1151243</v>
      </c>
      <c r="H44" s="113">
        <f t="shared" si="6"/>
        <v>3.141463920718983E-3</v>
      </c>
    </row>
    <row r="45" spans="2:8" hidden="1" outlineLevel="1" x14ac:dyDescent="0.25">
      <c r="B45" s="115" t="str" vm="27">
        <f>CUBEMEMBER("ThisWorkbookDataModel",{"[fActualAndBudget].[StavkaKategorija].&amp;[2.37. Останати оперативни расходи]","[fActualAndBudget].[StavkaImeMK].&amp;[Транспортни услуги]"})</f>
        <v>Транспортни услуги</v>
      </c>
      <c r="C45" s="112" vm="699">
        <f t="shared" si="7"/>
        <v>2573050</v>
      </c>
      <c r="D45" s="112" vm="718">
        <f t="shared" si="7"/>
        <v>2473050</v>
      </c>
      <c r="E45" s="112" vm="839">
        <f t="shared" si="7"/>
        <v>2473050</v>
      </c>
      <c r="F45" s="112" vm="757">
        <f t="shared" si="7"/>
        <v>2473050</v>
      </c>
      <c r="G45" s="22">
        <f t="shared" si="5"/>
        <v>9992200</v>
      </c>
      <c r="H45" s="113">
        <f t="shared" si="6"/>
        <v>2.7266298938285159E-2</v>
      </c>
    </row>
    <row r="46" spans="2:8" hidden="1" outlineLevel="1" x14ac:dyDescent="0.25">
      <c r="B46" s="115" t="str" vm="55">
        <f>CUBEMEMBER("ThisWorkbookDataModel",{"[fActualAndBudget].[StavkaKategorija].&amp;[2.37. Останати оперативни расходи]","[fActualAndBudget].[StavkaImeMK].&amp;[Трошоци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46" s="112" vm="704">
        <f t="shared" si="7"/>
        <v>489500</v>
      </c>
      <c r="D46" s="112" vm="798">
        <f t="shared" si="7"/>
        <v>88500</v>
      </c>
      <c r="E46" s="112" t="str" vm="709">
        <f t="shared" si="7"/>
        <v/>
      </c>
      <c r="F46" s="112" vm="705">
        <f t="shared" si="7"/>
        <v>0</v>
      </c>
      <c r="G46" s="22">
        <f t="shared" si="5"/>
        <v>578000</v>
      </c>
      <c r="H46" s="113">
        <f t="shared" si="6"/>
        <v>1.5772223120362706E-3</v>
      </c>
    </row>
    <row r="47" spans="2:8" hidden="1" outlineLevel="1" x14ac:dyDescent="0.25">
      <c r="B47" s="115" t="str" vm="51">
        <f>CUBEMEMBER("ThisWorkbookDataModel",{"[fActualAndBudget].[StavkaKategorija].&amp;[2.37. Останати оперативни расходи]","[fActualAndBudget].[StavkaImeMK].&amp;[Услуги за одржување и заштита]"})</f>
        <v>Услуги за одржување и заштита</v>
      </c>
      <c r="C47" s="112" vm="768">
        <f t="shared" si="7"/>
        <v>3939366</v>
      </c>
      <c r="D47" s="112" vm="785">
        <f t="shared" si="7"/>
        <v>3939366</v>
      </c>
      <c r="E47" s="112" vm="774">
        <f t="shared" si="7"/>
        <v>3939366</v>
      </c>
      <c r="F47" s="112" vm="727">
        <f t="shared" si="7"/>
        <v>3939366</v>
      </c>
      <c r="G47" s="22">
        <f t="shared" si="5"/>
        <v>15757464</v>
      </c>
      <c r="H47" s="113">
        <f t="shared" si="6"/>
        <v>4.2998311075965918E-2</v>
      </c>
    </row>
    <row r="48" spans="2:8" collapsed="1" x14ac:dyDescent="0.25">
      <c r="B48" s="24" t="s">
        <v>165</v>
      </c>
      <c r="C48" s="25">
        <f>SUM(C27,C32,C34,C35,C36)</f>
        <v>91347639</v>
      </c>
      <c r="D48" s="25"/>
      <c r="E48" s="25">
        <f>SUM(E27,E32,E34,E35,E36)</f>
        <v>87620310</v>
      </c>
      <c r="F48" s="25">
        <f>SUM(F27,F32,F34,F35,F36)</f>
        <v>88803428</v>
      </c>
      <c r="G48" s="25">
        <f t="shared" si="5"/>
        <v>267771377</v>
      </c>
      <c r="H48" s="26">
        <f t="shared" si="6"/>
        <v>0.73068337427175756</v>
      </c>
    </row>
    <row r="49" spans="2:8" x14ac:dyDescent="0.25">
      <c r="B49" s="24" t="s">
        <v>167</v>
      </c>
      <c r="C49" s="25">
        <f>SUM(C26,-C48)</f>
        <v>111058111</v>
      </c>
      <c r="D49" s="25">
        <f>SUM(D26,-D48)</f>
        <v>55047830</v>
      </c>
      <c r="E49" s="25">
        <f>SUM(E26,-E48)</f>
        <v>-34185641</v>
      </c>
      <c r="F49" s="25">
        <f>SUM(F26,-F48)</f>
        <v>-33224632</v>
      </c>
      <c r="G49" s="25">
        <f>SUM(G26,-G48)</f>
        <v>98695668</v>
      </c>
      <c r="H49" s="26">
        <f t="shared" si="6"/>
        <v>0.2693166257282425</v>
      </c>
    </row>
    <row r="50" spans="2:8" s="9" customFormat="1" x14ac:dyDescent="0.25">
      <c r="B50" s="111" t="str" vm="49">
        <f>CUBEMEMBER("ThisWorkbookDataModel","[fActualAndBudget].[StavkaKategorija].&amp;[2.40. Приходи од финансирање]")</f>
        <v>2.40. Приходи од финансирање</v>
      </c>
      <c r="C50" s="112" vm="791">
        <f t="shared" ref="C50:F52" si="8">CUBEVALUE("ThisWorkbookDataModel",$C$2,$C$3,$B$5,$B50,C$6)</f>
        <v>3000</v>
      </c>
      <c r="D50" s="112" vm="729">
        <f t="shared" si="8"/>
        <v>3000</v>
      </c>
      <c r="E50" s="112" vm="824">
        <f t="shared" si="8"/>
        <v>3000</v>
      </c>
      <c r="F50" s="112" vm="829">
        <f t="shared" si="8"/>
        <v>3000</v>
      </c>
      <c r="G50" s="112">
        <f t="shared" ref="G50:G56" si="9">SUM(C50:F50)</f>
        <v>12000</v>
      </c>
      <c r="H50" s="26">
        <f t="shared" si="6"/>
        <v>3.2745099903867208E-5</v>
      </c>
    </row>
    <row r="51" spans="2:8" hidden="1" outlineLevel="2" x14ac:dyDescent="0.25">
      <c r="B51" s="114" t="str" vm="47">
        <f>CUBEMEMBER("ThisWorkbookDataModel",{"[fActualAndBudget].[StavkaKategorija].&amp;[2.40. Приходи од финансирање]","[fActualAndBudget].[StavkaImeMK].&amp;[Приходи од камати]"})</f>
        <v>Приходи од камати</v>
      </c>
      <c r="C51" s="112" vm="713">
        <f t="shared" si="8"/>
        <v>1500</v>
      </c>
      <c r="D51" s="112" vm="819">
        <f t="shared" si="8"/>
        <v>1500</v>
      </c>
      <c r="E51" s="112" vm="841">
        <f t="shared" si="8"/>
        <v>1500</v>
      </c>
      <c r="F51" s="112" vm="834">
        <f t="shared" si="8"/>
        <v>1500</v>
      </c>
      <c r="G51" s="112">
        <f t="shared" si="9"/>
        <v>6000</v>
      </c>
      <c r="H51" s="23">
        <f t="shared" si="6"/>
        <v>1.6372549951933604E-5</v>
      </c>
    </row>
    <row r="52" spans="2:8" hidden="1" outlineLevel="2" x14ac:dyDescent="0.25">
      <c r="B52" s="114" t="str" vm="65">
        <f>CUBEMEMBER("ThisWorkbookDataModel",{"[fActualAndBudget].[StavkaKategorija].&amp;[2.40. Приходи од финансирање]","[fActualAndBudget].[StavkaImeMK].&amp;[Приходи од курсни разлики]"})</f>
        <v>Приходи од курсни разлики</v>
      </c>
      <c r="C52" s="112" vm="726">
        <f t="shared" si="8"/>
        <v>1500</v>
      </c>
      <c r="D52" s="112" vm="748">
        <f t="shared" si="8"/>
        <v>1500</v>
      </c>
      <c r="E52" s="112" vm="770">
        <f t="shared" si="8"/>
        <v>1500</v>
      </c>
      <c r="F52" s="112" vm="764">
        <f t="shared" si="8"/>
        <v>1500</v>
      </c>
      <c r="G52" s="112">
        <f t="shared" si="9"/>
        <v>6000</v>
      </c>
      <c r="H52" s="23">
        <f t="shared" si="6"/>
        <v>1.6372549951933604E-5</v>
      </c>
    </row>
    <row r="53" spans="2:8" collapsed="1" x14ac:dyDescent="0.25">
      <c r="B53" s="111" t="str" vm="63">
        <f>CUBEMEMBER("ThisWorkbookDataModel","[fActualAndBudget].[StavkaKategorija].&amp;[2.41. Расходи од финансирање]")</f>
        <v>2.41. Расходи од финансирање</v>
      </c>
      <c r="C53" s="118">
        <f>SUM(C54:C56)</f>
        <v>0</v>
      </c>
      <c r="D53" s="118">
        <f>SUM(D54:D56)</f>
        <v>0</v>
      </c>
      <c r="E53" s="118">
        <f>SUM(E54:E56)</f>
        <v>0</v>
      </c>
      <c r="F53" s="118">
        <f>SUM(F54:F56)</f>
        <v>85000</v>
      </c>
      <c r="G53" s="118">
        <f t="shared" si="9"/>
        <v>85000</v>
      </c>
      <c r="H53" s="23">
        <f t="shared" si="6"/>
        <v>2.3194445765239272E-4</v>
      </c>
    </row>
    <row r="54" spans="2:8" hidden="1" outlineLevel="1" x14ac:dyDescent="0.25">
      <c r="B54" s="115" t="str" vm="116">
        <f>CUBEMEMBER("ThisWorkbookDataModel",{"[fActualAndBudget].[StavkaKategorija].&amp;[2.41. Расходи од финансирање]","[fActualAndBudget].[StavkaImeMK].&amp;[Загуби и кусоци]"})</f>
        <v>Загуби и кусоци</v>
      </c>
      <c r="C54" s="112" t="str" vm="814">
        <f t="shared" ref="C54:F56" si="10">CUBEVALUE("ThisWorkbookDataModel",$C$2,$C$3,$B$5,$B54,C$6)</f>
        <v/>
      </c>
      <c r="D54" s="112" t="str" vm="827">
        <f t="shared" si="10"/>
        <v/>
      </c>
      <c r="E54" s="112" t="str" vm="690">
        <f t="shared" si="10"/>
        <v/>
      </c>
      <c r="F54" s="112" t="str" vm="767">
        <f t="shared" si="10"/>
        <v/>
      </c>
      <c r="G54" s="119">
        <f t="shared" si="9"/>
        <v>0</v>
      </c>
      <c r="H54" s="23">
        <f t="shared" si="6"/>
        <v>0</v>
      </c>
    </row>
    <row r="55" spans="2:8" hidden="1" outlineLevel="1" x14ac:dyDescent="0.25">
      <c r="B55" s="115" t="str" vm="117">
        <f>CUBEMEMBER("ThisWorkbookDataModel",{"[fActualAndBudget].[StavkaKategorija].&amp;[2.41. Расходи од финансирање]","[fActualAndBudget].[StavkaImeMK].&amp;[Курсни разлики]"})</f>
        <v>Курсни разлики</v>
      </c>
      <c r="C55" s="112" t="str" vm="686">
        <f t="shared" si="10"/>
        <v/>
      </c>
      <c r="D55" s="112" t="str" vm="714">
        <f t="shared" si="10"/>
        <v/>
      </c>
      <c r="E55" s="112" t="str" vm="842">
        <f t="shared" si="10"/>
        <v/>
      </c>
      <c r="F55" s="112" vm="797">
        <f t="shared" si="10"/>
        <v>5000</v>
      </c>
      <c r="G55" s="119">
        <f t="shared" si="9"/>
        <v>5000</v>
      </c>
      <c r="H55" s="23">
        <f t="shared" si="6"/>
        <v>1.3643791626611337E-5</v>
      </c>
    </row>
    <row r="56" spans="2:8" hidden="1" outlineLevel="1" x14ac:dyDescent="0.25">
      <c r="B56" s="115" t="str" vm="118">
        <f>CUBEMEMBER("ThisWorkbookDataModel",{"[fActualAndBudget].[StavkaKategorija].&amp;[2.41. Расходи од финансирање]","[fActualAndBudget].[StavkaImeMK].&amp;[Останати расходи]"})</f>
        <v>Останати расходи</v>
      </c>
      <c r="C56" s="112" t="str" vm="739">
        <f t="shared" si="10"/>
        <v/>
      </c>
      <c r="D56" s="112" t="str" vm="710">
        <f t="shared" si="10"/>
        <v/>
      </c>
      <c r="E56" s="112" t="str" vm="772">
        <f t="shared" si="10"/>
        <v/>
      </c>
      <c r="F56" s="112" vm="751">
        <f t="shared" si="10"/>
        <v>80000</v>
      </c>
      <c r="G56" s="119">
        <f t="shared" si="9"/>
        <v>80000</v>
      </c>
      <c r="H56" s="23">
        <f t="shared" si="6"/>
        <v>2.1830066602578139E-4</v>
      </c>
    </row>
    <row r="57" spans="2:8" collapsed="1" x14ac:dyDescent="0.25">
      <c r="B57" s="27" t="s">
        <v>166</v>
      </c>
      <c r="C57" s="28">
        <f>SUM(C49,C50,-C53)</f>
        <v>111061111</v>
      </c>
      <c r="D57" s="28">
        <f>SUM(D49,D50,-D53)</f>
        <v>55050830</v>
      </c>
      <c r="E57" s="28">
        <f>SUM(E49,E50,-E53)</f>
        <v>-34182641</v>
      </c>
      <c r="F57" s="28">
        <f>SUM(F49,F50,-F53)</f>
        <v>-33306632</v>
      </c>
      <c r="G57" s="28">
        <f>SUM(G49,G50,-G53)</f>
        <v>98622668</v>
      </c>
      <c r="H57" s="29">
        <f t="shared" si="6"/>
        <v>0.26911742637049396</v>
      </c>
    </row>
    <row r="60" spans="2:8" x14ac:dyDescent="0.25">
      <c r="B60" t="str" vm="10">
        <f>CUBEMEMBER("ThisWorkbookDataModel","[Measures].[Sum of Износ]")</f>
        <v>Sum of Износ</v>
      </c>
      <c r="H60" s="86" t="s">
        <v>327</v>
      </c>
    </row>
    <row r="61" spans="2:8" s="81" customFormat="1" ht="30" customHeight="1" x14ac:dyDescent="0.25">
      <c r="B61" s="385" t="s">
        <v>799</v>
      </c>
      <c r="C61" s="85" t="str" vm="11">
        <f>CUBEMEMBER("ThisWorkbookDataModel","[Calendar].[Година].&amp;[2020]")</f>
        <v>2020</v>
      </c>
      <c r="D61" s="85" t="str" vm="142">
        <f>CUBEMEMBER("ThisWorkbookDataModel","[Calendar].[Година].&amp;[2021]")</f>
        <v>2021</v>
      </c>
      <c r="E61" s="387" t="s">
        <v>249</v>
      </c>
      <c r="F61" s="85" t="str" vm="250">
        <f>CUBEMEMBER("ThisWorkbookDataModel","[Calendar].[Година].&amp;[2022]")</f>
        <v>2022</v>
      </c>
      <c r="G61" s="387" t="s">
        <v>247</v>
      </c>
      <c r="H61" s="389" t="s">
        <v>797</v>
      </c>
    </row>
    <row r="62" spans="2:8" s="81" customFormat="1" ht="48.6" customHeight="1" x14ac:dyDescent="0.25">
      <c r="B62" s="386"/>
      <c r="C62" s="123" t="str" vm="5">
        <f>CUBEMEMBER("ThisWorkbookDataModel","[fActualAndBudget].[ReportType].&amp;[Остварено]")</f>
        <v>Остварено</v>
      </c>
      <c r="D62" s="123" t="str" vm="7">
        <f>CUBEMEMBER("ThisWorkbookDataModel","[fActualAndBudget].[ReportType].&amp;[Предвидување]")</f>
        <v>Предвидување</v>
      </c>
      <c r="E62" s="388"/>
      <c r="F62" s="132" t="str" vm="6">
        <f>CUBEMEMBER("ThisWorkbookDataModel","[fActualAndBudget].[ReportType].&amp;[План]")</f>
        <v>План</v>
      </c>
      <c r="G62" s="388"/>
      <c r="H62" s="390"/>
    </row>
    <row r="63" spans="2:8" s="81" customFormat="1" x14ac:dyDescent="0.25">
      <c r="B63" s="130" t="str" vm="59">
        <f>CUBEMEMBER("ThisWorkbookDataModel","[fActualAndBudget].[StavkaKategorija].&amp;[2.29. Приходи од продажба]")</f>
        <v>2.29. Приходи од продажба</v>
      </c>
      <c r="C63" s="131" vm="347">
        <f t="shared" ref="C63:D81" si="11">CUBEVALUE("ThisWorkbookDataModel",C$62,$C$3,$B$5,$B63,C$61)</f>
        <v>315148617</v>
      </c>
      <c r="D63" s="131" vm="289">
        <f t="shared" si="11"/>
        <v>354054178</v>
      </c>
      <c r="E63" s="128">
        <f>IF(ISERROR(IF(C63=0,0,D63/C63-1)),0,IF(C63=0,0,D63/C63-1))</f>
        <v>0.12345147305533</v>
      </c>
      <c r="F63" s="131" vm="346">
        <f t="shared" ref="F63:F81" si="12">CUBEVALUE("ThisWorkbookDataModel",F$62,$C$3,$B$5,$B63,F$61)</f>
        <v>361061273</v>
      </c>
      <c r="G63" s="128">
        <f t="shared" ref="G63:G94" si="13">IF(ISERROR(IF(D63=0,0,F63/D63-1)),0,IF(D63=0,0,F63/D63-1))</f>
        <v>1.9791024751019792E-2</v>
      </c>
      <c r="H63" s="129">
        <f>IF(ISERROR(F63/$F$82),0,F63/$F$82)</f>
        <v>0.98524895465020601</v>
      </c>
    </row>
    <row r="64" spans="2:8" hidden="1" outlineLevel="3" x14ac:dyDescent="0.25">
      <c r="B64" s="114" t="str" vm="46">
        <f>CUBEMEMBER("ThisWorkbookDataModel",{"[fActualAndBudget].[StavkaKategorija].&amp;[2.29. Приходи од продажба]","[fActualAndBudget].[StavkaImeMK].&amp;[Приходи од годишни сметки]"})</f>
        <v>Приходи од годишни сметки</v>
      </c>
      <c r="C64" s="131" vm="321">
        <f t="shared" si="11"/>
        <v>176082377</v>
      </c>
      <c r="D64" s="131" vm="329">
        <f t="shared" si="11"/>
        <v>157458441</v>
      </c>
      <c r="E64" s="128">
        <f t="shared" ref="E64:E113" si="14">IF(ISERROR(IF(C64=0,0,D64/C64-1)),0,IF(C64=0,0,D64/C64-1))</f>
        <v>-0.10576831320263247</v>
      </c>
      <c r="F64" s="131" vm="273">
        <f t="shared" si="12"/>
        <v>167299995</v>
      </c>
      <c r="G64" s="31">
        <f t="shared" si="13"/>
        <v>6.2502549482247094E-2</v>
      </c>
      <c r="H64" s="32">
        <f t="shared" ref="H64:H113" si="15">IF(ISERROR(F64/$F$82),0,F64/$F$82)</f>
        <v>0.45652125418262368</v>
      </c>
    </row>
    <row r="65" spans="2:9" hidden="1" outlineLevel="3" x14ac:dyDescent="0.25">
      <c r="B65" s="114" t="str" vm="50">
        <f>CUBEMEMBER("ThisWorkbookDataModel",{"[fActualAndBudget].[StavkaKategorija].&amp;[2.29. Приходи од продажба]","[fActualAndBudget].[StavkaImeMK].&amp;[Приходи од заложен регистар]"})</f>
        <v>Приходи од заложен регистар</v>
      </c>
      <c r="C65" s="131" vm="266">
        <f t="shared" si="11"/>
        <v>2247849</v>
      </c>
      <c r="D65" s="131" vm="292">
        <f t="shared" si="11"/>
        <v>1975200</v>
      </c>
      <c r="E65" s="128">
        <f t="shared" si="14"/>
        <v>-0.121293289718304</v>
      </c>
      <c r="F65" s="131" vm="331">
        <f t="shared" si="12"/>
        <v>2299995</v>
      </c>
      <c r="G65" s="124">
        <f t="shared" si="13"/>
        <v>0.1644365127582017</v>
      </c>
      <c r="H65" s="113">
        <f t="shared" si="15"/>
        <v>6.2761305044495884E-3</v>
      </c>
      <c r="I65" s="1"/>
    </row>
    <row r="66" spans="2:9" hidden="1" outlineLevel="3" x14ac:dyDescent="0.25">
      <c r="B66" s="114" t="str" vm="42">
        <f>CUBEMEMBER("ThisWorkbookDataModel",{"[fActualAndBudget].[StavkaKategorija].&amp;[2.29. Приходи од продажба]","[fActualAndBudget].[StavkaImeMK].&amp;[Приходи од интернет дистрибутивен систем]"})</f>
        <v>Приходи од интернет дистрибутивен систем</v>
      </c>
      <c r="C66" s="131" vm="348">
        <f t="shared" si="11"/>
        <v>9819066</v>
      </c>
      <c r="D66" s="131" vm="310">
        <f t="shared" si="11"/>
        <v>18323581</v>
      </c>
      <c r="E66" s="128">
        <f t="shared" si="14"/>
        <v>0.86612260269968644</v>
      </c>
      <c r="F66" s="131" vm="388">
        <f t="shared" si="12"/>
        <v>20000004</v>
      </c>
      <c r="G66" s="124">
        <f t="shared" si="13"/>
        <v>9.1489922193702222E-2</v>
      </c>
      <c r="H66" s="113">
        <f t="shared" si="15"/>
        <v>5.4575177421478646E-2</v>
      </c>
    </row>
    <row r="67" spans="2:9" hidden="1" outlineLevel="3" x14ac:dyDescent="0.25">
      <c r="B67" s="114" t="str" vm="39">
        <f>CUBEMEMBER("ThisWorkbookDataModel",{"[fActualAndBudget].[StavkaKategorija].&amp;[2.29. Приходи од продажба]","[fActualAndBudget].[StavkaImeMK].&amp;[Приходи од прекршочна постапка]"})</f>
        <v>Приходи од прекршочна постапка</v>
      </c>
      <c r="C67" s="131" vm="271">
        <f t="shared" si="11"/>
        <v>0</v>
      </c>
      <c r="D67" s="131" vm="381">
        <f t="shared" si="11"/>
        <v>0</v>
      </c>
      <c r="E67" s="128">
        <f t="shared" si="14"/>
        <v>0</v>
      </c>
      <c r="F67" s="131" vm="315">
        <f t="shared" si="12"/>
        <v>0</v>
      </c>
      <c r="G67" s="124">
        <f t="shared" si="13"/>
        <v>0</v>
      </c>
      <c r="H67" s="113">
        <f t="shared" si="15"/>
        <v>0</v>
      </c>
    </row>
    <row r="68" spans="2:9" hidden="1" outlineLevel="3" x14ac:dyDescent="0.25">
      <c r="B68" s="114" t="str" vm="857">
        <f>CUBEMEMBER("ThisWorkbookDataModel",{"[fActualAndBudget].[StavkaKategorija].&amp;[2.29. Приходи од продажба]","[fActualAndBudget].[StavkaImeMK].&amp;[Приходи од регистар на вистински сопственици]"})</f>
        <v>Приходи од регистар на вистински сопственици</v>
      </c>
      <c r="C68" s="131" t="str" vm="859">
        <f t="shared" si="11"/>
        <v/>
      </c>
      <c r="D68" s="131" vm="858">
        <f t="shared" si="11"/>
        <v>17834372</v>
      </c>
      <c r="E68" s="128">
        <f t="shared" si="14"/>
        <v>0</v>
      </c>
      <c r="F68" s="313" vm="860">
        <f t="shared" si="12"/>
        <v>11647944</v>
      </c>
      <c r="G68" s="124">
        <f t="shared" si="13"/>
        <v>-0.34688230121026975</v>
      </c>
      <c r="H68" s="113">
        <f t="shared" si="15"/>
        <v>3.1784424162887549E-2</v>
      </c>
    </row>
    <row r="69" spans="2:9" hidden="1" outlineLevel="3" x14ac:dyDescent="0.25">
      <c r="B69" s="114" t="str" vm="33">
        <f>CUBEMEMBER("ThisWorkbookDataModel",{"[fActualAndBudget].[StavkaKategorija].&amp;[2.29. Приходи од продажба]","[fActualAndBudget].[StavkaImeMK].&amp;[Приходи од регистар на директни странски инвестиции]"})</f>
        <v>Приходи од регистар на директни странски инвестиции</v>
      </c>
      <c r="C69" s="131" vm="293">
        <f t="shared" si="11"/>
        <v>1000581</v>
      </c>
      <c r="D69" s="131" vm="268">
        <f t="shared" si="11"/>
        <v>922368</v>
      </c>
      <c r="E69" s="128">
        <f t="shared" si="14"/>
        <v>-7.8167584633328069E-2</v>
      </c>
      <c r="F69" s="131" vm="274">
        <f t="shared" si="12"/>
        <v>1000008</v>
      </c>
      <c r="G69" s="124">
        <f t="shared" si="13"/>
        <v>8.4174646128226449E-2</v>
      </c>
      <c r="H69" s="113">
        <f t="shared" si="15"/>
        <v>2.7287801553888698E-3</v>
      </c>
    </row>
    <row r="70" spans="2:9" hidden="1" outlineLevel="3" x14ac:dyDescent="0.25">
      <c r="B70" s="114" t="str" vm="29">
        <f>CUBEMEMBER("ThisWorkbookDataModel",{"[fActualAndBudget].[StavkaKategorija].&amp;[2.29. Приходи од продажба]","[fActualAndBudget].[StavkaImeMK].&amp;[Приходи од Регистар на лизинг]"})</f>
        <v>Приходи од Регистар на лизинг</v>
      </c>
      <c r="C70" s="131" vm="384">
        <f t="shared" si="11"/>
        <v>1054180</v>
      </c>
      <c r="D70" s="131" vm="387">
        <f t="shared" si="11"/>
        <v>861232</v>
      </c>
      <c r="E70" s="128">
        <f t="shared" si="14"/>
        <v>-0.18303136086816296</v>
      </c>
      <c r="F70" s="131" vm="279">
        <f t="shared" si="12"/>
        <v>1110003</v>
      </c>
      <c r="G70" s="124">
        <f t="shared" si="13"/>
        <v>0.28885480335147795</v>
      </c>
      <c r="H70" s="113">
        <f t="shared" si="15"/>
        <v>3.0289299273826929E-3</v>
      </c>
    </row>
    <row r="71" spans="2:9" hidden="1" outlineLevel="3" x14ac:dyDescent="0.25">
      <c r="B71" s="114" t="str" vm="58">
        <f>CUBEMEMBER("ThisWorkbookDataModel",{"[fActualAndBudget].[StavkaKategorija].&amp;[2.29. Приходи од продажба]","[fActualAndBudget].[StavkaImeMK].&amp;[Приходи од регистар на недвижности]"})</f>
        <v>Приходи од регистар на недвижности</v>
      </c>
      <c r="C71" s="131" vm="332">
        <f t="shared" si="11"/>
        <v>39196</v>
      </c>
      <c r="D71" s="131" vm="372">
        <f t="shared" si="11"/>
        <v>40617</v>
      </c>
      <c r="E71" s="128">
        <f t="shared" si="14"/>
        <v>3.6253699357077229E-2</v>
      </c>
      <c r="F71" s="131" vm="309">
        <f t="shared" si="12"/>
        <v>50004</v>
      </c>
      <c r="G71" s="124">
        <f t="shared" si="13"/>
        <v>0.23111012630179473</v>
      </c>
      <c r="H71" s="113">
        <f t="shared" si="15"/>
        <v>1.3644883129941465E-4</v>
      </c>
    </row>
    <row r="72" spans="2:9" hidden="1" outlineLevel="3" x14ac:dyDescent="0.25">
      <c r="B72" s="114" t="str" vm="53">
        <f>CUBEMEMBER("ThisWorkbookDataModel",{"[fActualAndBudget].[StavkaKategorija].&amp;[2.29. Приходи од продажба]","[fActualAndBudget].[StavkaImeMK].&amp;[Приходи од Регистар на резиденти и нерезиденти]"})</f>
        <v>Приходи од Регистар на резиденти и нерезиденти</v>
      </c>
      <c r="C72" s="131" vm="371">
        <f t="shared" si="11"/>
        <v>149531</v>
      </c>
      <c r="D72" s="131" vm="269">
        <f t="shared" si="11"/>
        <v>188354</v>
      </c>
      <c r="E72" s="128">
        <f t="shared" si="14"/>
        <v>0.25963178203850701</v>
      </c>
      <c r="F72" s="131" vm="336">
        <f t="shared" si="12"/>
        <v>210000</v>
      </c>
      <c r="G72" s="124">
        <f t="shared" si="13"/>
        <v>0.11492190237531452</v>
      </c>
      <c r="H72" s="113">
        <f t="shared" si="15"/>
        <v>5.7303924831767611E-4</v>
      </c>
    </row>
    <row r="73" spans="2:9" hidden="1" outlineLevel="3" x14ac:dyDescent="0.25">
      <c r="B73" s="114" t="str" vm="44">
        <f>CUBEMEMBER("ThisWorkbookDataModel",{"[fActualAndBudget].[StavkaKategorija].&amp;[2.29. Приходи од продажба]","[fActualAndBudget].[StavkaImeMK].&amp;[Приходи од регистрите за кривични санкции, пресуди и др.]"})</f>
        <v>Приходи од регистрите за кривични санкции, пресуди и др.</v>
      </c>
      <c r="C73" s="131" vm="262">
        <f t="shared" si="11"/>
        <v>11771385</v>
      </c>
      <c r="D73" s="131" vm="363">
        <f t="shared" si="11"/>
        <v>13456026</v>
      </c>
      <c r="E73" s="128">
        <f t="shared" si="14"/>
        <v>0.14311323603807025</v>
      </c>
      <c r="F73" s="313" vm="313">
        <f t="shared" si="12"/>
        <v>13500001</v>
      </c>
      <c r="G73" s="124">
        <f t="shared" si="13"/>
        <v>3.2680525438937291E-3</v>
      </c>
      <c r="H73" s="113">
        <f t="shared" si="15"/>
        <v>3.6838240120608934E-2</v>
      </c>
    </row>
    <row r="74" spans="2:9" hidden="1" outlineLevel="3" x14ac:dyDescent="0.25">
      <c r="B74" s="114" t="str" vm="48">
        <f>CUBEMEMBER("ThisWorkbookDataModel",{"[fActualAndBudget].[StavkaKategorija].&amp;[2.29. Приходи од продажба]","[fActualAndBudget].[StavkaImeMK].&amp;[Приходи од странство]"})</f>
        <v>Приходи од странство</v>
      </c>
      <c r="C74" s="131" vm="324">
        <f t="shared" si="11"/>
        <v>139623</v>
      </c>
      <c r="D74" s="131" vm="319">
        <f t="shared" si="11"/>
        <v>106386</v>
      </c>
      <c r="E74" s="128">
        <f t="shared" si="14"/>
        <v>-0.23804817257901634</v>
      </c>
      <c r="F74" s="131" vm="354">
        <f t="shared" si="12"/>
        <v>60000</v>
      </c>
      <c r="G74" s="124">
        <f t="shared" si="13"/>
        <v>-0.43601601714511307</v>
      </c>
      <c r="H74" s="113">
        <f t="shared" si="15"/>
        <v>1.6372549951933603E-4</v>
      </c>
      <c r="I74" s="1"/>
    </row>
    <row r="75" spans="2:9" hidden="1" outlineLevel="3" x14ac:dyDescent="0.25">
      <c r="B75" s="114" t="str" vm="38">
        <f>CUBEMEMBER("ThisWorkbookDataModel",{"[fActualAndBudget].[StavkaKategorija].&amp;[2.29. Приходи од продажба]","[fActualAndBudget].[StavkaImeMK].&amp;[Приходи од трговски регистар]"})</f>
        <v>Приходи од трговски регистар</v>
      </c>
      <c r="C75" s="131" vm="341">
        <f t="shared" si="11"/>
        <v>112844829</v>
      </c>
      <c r="D75" s="131" vm="297">
        <f t="shared" si="11"/>
        <v>142887601</v>
      </c>
      <c r="E75" s="128">
        <f t="shared" si="14"/>
        <v>0.26623082569428158</v>
      </c>
      <c r="F75" s="313" vm="298">
        <f t="shared" si="12"/>
        <v>143762212</v>
      </c>
      <c r="G75" s="124">
        <f t="shared" si="13"/>
        <v>6.1209719659300887E-3</v>
      </c>
      <c r="H75" s="113">
        <f t="shared" si="15"/>
        <v>0.39229233286174475</v>
      </c>
    </row>
    <row r="76" spans="2:9" collapsed="1" x14ac:dyDescent="0.25">
      <c r="B76" s="111" t="str" vm="34">
        <f>CUBEMEMBER("ThisWorkbookDataModel","[fActualAndBudget].[StavkaKategorija].&amp;[2.30. Останати оперативни приходи]")</f>
        <v>2.30. Останати оперативни приходи</v>
      </c>
      <c r="C76" s="131" vm="301">
        <f t="shared" si="11"/>
        <v>4743915</v>
      </c>
      <c r="D76" s="131" vm="300">
        <f t="shared" si="11"/>
        <v>6321653</v>
      </c>
      <c r="E76" s="124">
        <f t="shared" si="14"/>
        <v>0.33258142272785252</v>
      </c>
      <c r="F76" s="131" vm="318">
        <f t="shared" si="12"/>
        <v>5405772</v>
      </c>
      <c r="G76" s="124">
        <f t="shared" si="13"/>
        <v>-0.14487998629472387</v>
      </c>
      <c r="H76" s="113">
        <f t="shared" si="15"/>
        <v>1.4751045349794004E-2</v>
      </c>
    </row>
    <row r="77" spans="2:9" hidden="1" outlineLevel="1" x14ac:dyDescent="0.25">
      <c r="B77" s="115" t="str" vm="64">
        <f>CUBEMEMBER("ThisWorkbookDataModel",{"[fActualAndBudget].[StavkaKategorija].&amp;[2.30. Останати оперативни приходи]","[fActualAndBudget].[StavkaImeMK].&amp;[Вонредни невообичаени приходи]"})</f>
        <v>Вонредни невообичаени приходи</v>
      </c>
      <c r="C77" s="131" vm="370">
        <f t="shared" si="11"/>
        <v>0</v>
      </c>
      <c r="D77" s="131" vm="379">
        <f t="shared" si="11"/>
        <v>14309</v>
      </c>
      <c r="E77" s="125">
        <f t="shared" si="14"/>
        <v>0</v>
      </c>
      <c r="F77" s="204" t="str" vm="261">
        <f t="shared" si="12"/>
        <v/>
      </c>
      <c r="G77" s="125">
        <f t="shared" si="13"/>
        <v>0</v>
      </c>
      <c r="H77" s="23">
        <f t="shared" si="15"/>
        <v>0</v>
      </c>
    </row>
    <row r="78" spans="2:9" hidden="1" outlineLevel="1" x14ac:dyDescent="0.25">
      <c r="B78" s="115" t="str" vm="71">
        <f>CUBEMEMBER("ThisWorkbookDataModel",{"[fActualAndBudget].[StavkaKategorija].&amp;[2.30. Останати оперативни приходи]","[fActualAndBudget].[StavkaImeMK].&amp;[Други неспомнати приходи]"})</f>
        <v>Други неспомнати приходи</v>
      </c>
      <c r="C78" s="131" vm="350">
        <f t="shared" si="11"/>
        <v>28143</v>
      </c>
      <c r="D78" s="131" vm="272">
        <f t="shared" si="11"/>
        <v>1591572</v>
      </c>
      <c r="E78" s="125">
        <f t="shared" si="14"/>
        <v>55.553032725722204</v>
      </c>
      <c r="F78" s="314" vm="304">
        <f t="shared" si="12"/>
        <v>100000</v>
      </c>
      <c r="G78" s="125">
        <f t="shared" si="13"/>
        <v>-0.93716903790717609</v>
      </c>
      <c r="H78" s="23">
        <f t="shared" si="15"/>
        <v>2.7287583253222676E-4</v>
      </c>
    </row>
    <row r="79" spans="2:9" hidden="1" outlineLevel="1" x14ac:dyDescent="0.25">
      <c r="B79" s="115" t="str" vm="69">
        <f>CUBEMEMBER("ThisWorkbookDataModel",{"[fActualAndBudget].[StavkaKategorija].&amp;[2.30. Останати оперативни приходи]","[fActualAndBudget].[StavkaImeMK].&amp;[Приходи од донации]"})</f>
        <v>Приходи од донации</v>
      </c>
      <c r="C79" s="131" vm="326">
        <f t="shared" si="11"/>
        <v>4715772</v>
      </c>
      <c r="D79" s="131" vm="295">
        <f t="shared" si="11"/>
        <v>4715772</v>
      </c>
      <c r="E79" s="125">
        <f t="shared" si="14"/>
        <v>0</v>
      </c>
      <c r="F79" s="260" vm="256">
        <f t="shared" si="12"/>
        <v>5305772</v>
      </c>
      <c r="G79" s="125">
        <f t="shared" si="13"/>
        <v>0.12511207072776198</v>
      </c>
      <c r="H79" s="23">
        <f t="shared" si="15"/>
        <v>1.4478169517261778E-2</v>
      </c>
    </row>
    <row r="80" spans="2:9" hidden="1" outlineLevel="1" x14ac:dyDescent="0.25">
      <c r="B80" s="115" t="str" vm="67">
        <f>CUBEMEMBER("ThisWorkbookDataModel",{"[fActualAndBudget].[StavkaKategorija].&amp;[2.30. Останати оперативни приходи]","[fActualAndBudget].[StavkaImeMK].&amp;[Приходи од продажба на подвижен имот]"})</f>
        <v>Приходи од продажба на подвижен имот</v>
      </c>
      <c r="C80" s="131" vm="257">
        <f t="shared" si="11"/>
        <v>0</v>
      </c>
      <c r="D80" s="131" vm="322">
        <f t="shared" si="11"/>
        <v>0</v>
      </c>
      <c r="E80" s="125">
        <f t="shared" si="14"/>
        <v>0</v>
      </c>
      <c r="F80" s="131" t="str" vm="307">
        <f t="shared" si="12"/>
        <v/>
      </c>
      <c r="G80" s="125">
        <f t="shared" si="13"/>
        <v>0</v>
      </c>
      <c r="H80" s="23">
        <f t="shared" si="15"/>
        <v>0</v>
      </c>
    </row>
    <row r="81" spans="2:8" hidden="1" outlineLevel="1" x14ac:dyDescent="0.25">
      <c r="B81" s="115" t="str" vm="31">
        <f>CUBEMEMBER("ThisWorkbookDataModel",{"[fActualAndBudget].[StavkaKategorija].&amp;[2.30. Останати оперативни приходи]","[fActualAndBudget].[StavkaImeMK].&amp;[Приходи од закуп]"})</f>
        <v>Приходи од закуп</v>
      </c>
      <c r="C81" s="131" t="str" vm="361">
        <f t="shared" si="11"/>
        <v/>
      </c>
      <c r="D81" s="131" t="str" vm="280">
        <f t="shared" si="11"/>
        <v/>
      </c>
      <c r="E81" s="125">
        <f t="shared" si="14"/>
        <v>0</v>
      </c>
      <c r="F81" s="131" t="str" vm="284">
        <f t="shared" si="12"/>
        <v/>
      </c>
      <c r="G81" s="125">
        <f t="shared" si="13"/>
        <v>0</v>
      </c>
      <c r="H81" s="23">
        <f t="shared" si="15"/>
        <v>0</v>
      </c>
    </row>
    <row r="82" spans="2:8" collapsed="1" x14ac:dyDescent="0.25">
      <c r="B82" s="24" t="s">
        <v>164</v>
      </c>
      <c r="C82" s="25">
        <f>SUM(C63,C76)</f>
        <v>319892532</v>
      </c>
      <c r="D82" s="25">
        <f>SUM(D63,D76)</f>
        <v>360375831</v>
      </c>
      <c r="E82" s="126">
        <f t="shared" si="14"/>
        <v>0.12655281055451462</v>
      </c>
      <c r="F82" s="25">
        <f>SUM(F63,F76)</f>
        <v>366467045</v>
      </c>
      <c r="G82" s="126">
        <f t="shared" si="13"/>
        <v>1.6902393212934408E-2</v>
      </c>
      <c r="H82" s="117">
        <f>SUM(H63,H76)</f>
        <v>1</v>
      </c>
    </row>
    <row r="83" spans="2:8" x14ac:dyDescent="0.25">
      <c r="B83" s="111" t="str" vm="28">
        <f>CUBEMEMBER("ThisWorkbookDataModel","[fActualAndBudget].[StavkaKategorija].&amp;[2.32. Потрошени суровини и материјали]")</f>
        <v>2.32. Потрошени суровини и материјали</v>
      </c>
      <c r="C83" s="131" vm="259">
        <f t="shared" ref="C83:D103" si="16">CUBEVALUE("ThisWorkbookDataModel",C$62,$C$3,$B$5,$B83,C$61)</f>
        <v>8793652</v>
      </c>
      <c r="D83" s="131" vm="378">
        <f t="shared" si="16"/>
        <v>6312440</v>
      </c>
      <c r="E83" s="124">
        <f t="shared" si="14"/>
        <v>-0.28215944865682652</v>
      </c>
      <c r="F83" s="131" vm="263">
        <f t="shared" ref="F83:F103" si="17">CUBEVALUE("ThisWorkbookDataModel",F$62,$C$3,$B$5,$B83,F$61)</f>
        <v>14727208</v>
      </c>
      <c r="G83" s="124">
        <f t="shared" si="13"/>
        <v>1.3330452249843168</v>
      </c>
      <c r="H83" s="113">
        <f t="shared" si="15"/>
        <v>4.0186991438752699E-2</v>
      </c>
    </row>
    <row r="84" spans="2:8" hidden="1" outlineLevel="1" x14ac:dyDescent="0.25">
      <c r="B84" s="114" t="str" vm="57">
        <f>CUBEMEMBER("ThisWorkbookDataModel",{"[fActualAndBudget].[StavkaKategorija].&amp;[2.32. Потрошени суровини и материјали]","[fActualAndBudget].[StavkaImeMK].&amp;[Потрoшена енергија и гориво за возила]"})</f>
        <v>Потрoшена енергија и гориво за возила</v>
      </c>
      <c r="C84" s="131" vm="334">
        <f t="shared" si="16"/>
        <v>4320465</v>
      </c>
      <c r="D84" s="131" vm="385">
        <f t="shared" si="16"/>
        <v>3741815</v>
      </c>
      <c r="E84" s="124">
        <f t="shared" si="14"/>
        <v>-0.1339323429306799</v>
      </c>
      <c r="F84" s="131" vm="386">
        <f t="shared" si="17"/>
        <v>9835104</v>
      </c>
      <c r="G84" s="124">
        <f t="shared" si="13"/>
        <v>1.6284313895796561</v>
      </c>
      <c r="H84" s="113">
        <f t="shared" si="15"/>
        <v>2.6837621920410334E-2</v>
      </c>
    </row>
    <row r="85" spans="2:8" hidden="1" outlineLevel="1" x14ac:dyDescent="0.25">
      <c r="B85" s="114" t="str" vm="54">
        <f>CUBEMEMBER("ThisWorkbookDataModel",{"[fActualAndBudget].[StavkaKategorija].&amp;[2.32. Потрошени суровини и материјали]","[fActualAndBudget].[StavkaImeMK].&amp;[Потрошени резервни делови]"})</f>
        <v>Потрошени резервни делови</v>
      </c>
      <c r="C85" s="131" vm="294">
        <f t="shared" si="16"/>
        <v>10112</v>
      </c>
      <c r="D85" s="131" vm="383">
        <f t="shared" si="16"/>
        <v>7281</v>
      </c>
      <c r="E85" s="124">
        <f t="shared" si="14"/>
        <v>-0.27996439873417722</v>
      </c>
      <c r="F85" s="131" vm="281">
        <f t="shared" si="17"/>
        <v>41256</v>
      </c>
      <c r="G85" s="124">
        <f t="shared" si="13"/>
        <v>4.6662546353522867</v>
      </c>
      <c r="H85" s="113">
        <f t="shared" si="15"/>
        <v>1.1257765346949546E-4</v>
      </c>
    </row>
    <row r="86" spans="2:8" hidden="1" outlineLevel="1" x14ac:dyDescent="0.25">
      <c r="B86" s="114" t="str" vm="52">
        <f>CUBEMEMBER("ThisWorkbookDataModel",{"[fActualAndBudget].[StavkaKategorija].&amp;[2.32. Потрошени суровини и материјали]","[fActualAndBudget].[StavkaImeMK].&amp;[Потрошени суровини и материјали]"})</f>
        <v>Потрошени суровини и материјали</v>
      </c>
      <c r="C86" s="131" vm="376">
        <f t="shared" si="16"/>
        <v>4299624</v>
      </c>
      <c r="D86" s="131" vm="317">
        <f t="shared" si="16"/>
        <v>2254739</v>
      </c>
      <c r="E86" s="124">
        <f t="shared" si="14"/>
        <v>-0.47559623818268759</v>
      </c>
      <c r="F86" s="131" vm="365">
        <f t="shared" si="17"/>
        <v>3859552</v>
      </c>
      <c r="G86" s="124">
        <f t="shared" si="13"/>
        <v>0.71175111620458065</v>
      </c>
      <c r="H86" s="113">
        <f t="shared" si="15"/>
        <v>1.0531784652014207E-2</v>
      </c>
    </row>
    <row r="87" spans="2:8" hidden="1" outlineLevel="1" x14ac:dyDescent="0.25">
      <c r="B87" s="114" t="str" vm="41">
        <f>CUBEMEMBER("ThisWorkbookDataModel",{"[fActualAndBudget].[StavkaKategorija].&amp;[2.32. Потрошени суровини и материјали]","[fActualAndBudget].[StavkaImeMK].&amp;[Потрошок на ситен инвентар и автогуми]"})</f>
        <v>Потрошок на ситен инвентар и автогуми</v>
      </c>
      <c r="C87" s="131" vm="340">
        <f t="shared" si="16"/>
        <v>163451</v>
      </c>
      <c r="D87" s="131" vm="357">
        <f t="shared" si="16"/>
        <v>308605</v>
      </c>
      <c r="E87" s="124">
        <f t="shared" si="14"/>
        <v>0.88805819481067716</v>
      </c>
      <c r="F87" s="131" vm="305">
        <f t="shared" si="17"/>
        <v>991296</v>
      </c>
      <c r="G87" s="124">
        <f t="shared" si="13"/>
        <v>2.2121838596263834</v>
      </c>
      <c r="H87" s="113">
        <f t="shared" si="15"/>
        <v>2.7050072128586623E-3</v>
      </c>
    </row>
    <row r="88" spans="2:8" collapsed="1" x14ac:dyDescent="0.25">
      <c r="B88" s="111" t="str" vm="37">
        <f>CUBEMEMBER("ThisWorkbookDataModel","[fActualAndBudget].[StavkaKategorija].&amp;[2.33. Трошоци за вработените]")</f>
        <v>2.33. Трошоци за вработените</v>
      </c>
      <c r="C88" s="131" vm="255">
        <f t="shared" si="16"/>
        <v>230846283</v>
      </c>
      <c r="D88" s="131" vm="306">
        <f t="shared" si="16"/>
        <v>230245237</v>
      </c>
      <c r="E88" s="124">
        <f t="shared" si="14"/>
        <v>-2.6036633217091376E-3</v>
      </c>
      <c r="F88" s="131" vm="288">
        <f t="shared" si="17"/>
        <v>240424089</v>
      </c>
      <c r="G88" s="124">
        <f t="shared" si="13"/>
        <v>4.4208740787111234E-2</v>
      </c>
      <c r="H88" s="113">
        <f t="shared" si="15"/>
        <v>0.65605923446677172</v>
      </c>
    </row>
    <row r="89" spans="2:8" hidden="1" outlineLevel="1" x14ac:dyDescent="0.25">
      <c r="B89" s="114" t="str" vm="35">
        <f>CUBEMEMBER("ThisWorkbookDataModel",{"[fActualAndBudget].[StavkaKategorija].&amp;[2.33. Трошоци за вработените]","[fActualAndBudget].[StavkaImeMK].&amp;[Надомест на трошоци на вработените, подароци и помошти]"})</f>
        <v>Надомест на трошоци на вработените, подароци и помошти</v>
      </c>
      <c r="C89" s="131" vm="320">
        <f t="shared" si="16"/>
        <v>230846283</v>
      </c>
      <c r="D89" s="131" vm="278">
        <f t="shared" si="16"/>
        <v>230245237</v>
      </c>
      <c r="E89" s="124">
        <f t="shared" si="14"/>
        <v>-2.6036633217091376E-3</v>
      </c>
      <c r="F89" s="131" vm="267">
        <f t="shared" si="17"/>
        <v>240424089</v>
      </c>
      <c r="G89" s="124">
        <f t="shared" si="13"/>
        <v>4.4208740787111234E-2</v>
      </c>
      <c r="H89" s="113">
        <f t="shared" si="15"/>
        <v>0.65605923446677172</v>
      </c>
    </row>
    <row r="90" spans="2:8" collapsed="1" x14ac:dyDescent="0.25">
      <c r="B90" s="111" t="str" vm="62">
        <f>CUBEMEMBER("ThisWorkbookDataModel","[fActualAndBudget].[StavkaKategorija].&amp;[2.34. Амортизација на материјални средства]")</f>
        <v>2.34. Амортизација на материјални средства</v>
      </c>
      <c r="C90" s="131" vm="349">
        <f t="shared" si="16"/>
        <v>34645388</v>
      </c>
      <c r="D90" s="131" vm="333">
        <f t="shared" si="16"/>
        <v>41428384</v>
      </c>
      <c r="E90" s="124">
        <f t="shared" si="14"/>
        <v>0.19578351958419393</v>
      </c>
      <c r="F90" s="131" vm="323">
        <f t="shared" si="17"/>
        <v>54229630</v>
      </c>
      <c r="G90" s="124">
        <f t="shared" si="13"/>
        <v>0.30899699104845602</v>
      </c>
      <c r="H90" s="113">
        <f t="shared" si="15"/>
        <v>0.1479795543416462</v>
      </c>
    </row>
    <row r="91" spans="2:8" x14ac:dyDescent="0.25">
      <c r="B91" s="111" t="str" vm="66">
        <f>CUBEMEMBER("ThisWorkbookDataModel","[fActualAndBudget].[StavkaKategorija].&amp;[2.35. Вредносно усогласување на тековни средства]")</f>
        <v>2.35. Вредносно усогласување на тековни средства</v>
      </c>
      <c r="C91" s="131" vm="258">
        <f t="shared" si="16"/>
        <v>92265</v>
      </c>
      <c r="D91" s="131" vm="287">
        <f t="shared" si="16"/>
        <v>0</v>
      </c>
      <c r="E91" s="124">
        <f t="shared" si="14"/>
        <v>-1</v>
      </c>
      <c r="F91" s="131" t="str" vm="328">
        <f t="shared" si="17"/>
        <v/>
      </c>
      <c r="G91" s="124">
        <f t="shared" si="13"/>
        <v>0</v>
      </c>
      <c r="H91" s="113">
        <f t="shared" si="15"/>
        <v>0</v>
      </c>
    </row>
    <row r="92" spans="2:8" x14ac:dyDescent="0.25">
      <c r="B92" s="111" t="str" vm="61">
        <f>CUBEMEMBER("ThisWorkbookDataModel","[fActualAndBudget].[StavkaKategorija].&amp;[2.37. Останати оперативни расходи]")</f>
        <v>2.37. Останати оперативни расходи</v>
      </c>
      <c r="C92" s="131" vm="270">
        <f t="shared" si="16"/>
        <v>38541998</v>
      </c>
      <c r="D92" s="131" vm="373">
        <f t="shared" si="16"/>
        <v>37074011</v>
      </c>
      <c r="E92" s="124">
        <f t="shared" si="14"/>
        <v>-3.8087983918218216E-2</v>
      </c>
      <c r="F92" s="131" vm="369">
        <f t="shared" si="17"/>
        <v>55457659</v>
      </c>
      <c r="G92" s="124">
        <f t="shared" si="13"/>
        <v>0.49586347697852284</v>
      </c>
      <c r="H92" s="113">
        <f t="shared" si="15"/>
        <v>0.15133054869913337</v>
      </c>
    </row>
    <row r="93" spans="2:8" hidden="1" outlineLevel="1" x14ac:dyDescent="0.25">
      <c r="B93" s="115" t="str" vm="60">
        <f>CUBEMEMBER("ThisWorkbookDataModel",{"[fActualAndBudget].[StavkaKategorija].&amp;[2.37. Останати оперативни расходи]","[fActualAndBudget].[StavkaImeMK].&amp;[Банкарски услуги и трошоци за платен промет]"})</f>
        <v>Банкарски услуги и трошоци за платен промет</v>
      </c>
      <c r="C93" s="131" vm="283">
        <f t="shared" si="16"/>
        <v>261083</v>
      </c>
      <c r="D93" s="131" vm="356">
        <f t="shared" si="16"/>
        <v>280875</v>
      </c>
      <c r="E93" s="125">
        <f t="shared" si="14"/>
        <v>7.5807310318940724E-2</v>
      </c>
      <c r="F93" s="131" vm="343">
        <f t="shared" si="17"/>
        <v>254256</v>
      </c>
      <c r="G93" s="125">
        <f t="shared" si="13"/>
        <v>-9.477169559412546E-2</v>
      </c>
      <c r="H93" s="113">
        <f t="shared" si="15"/>
        <v>6.9380317676313841E-4</v>
      </c>
    </row>
    <row r="94" spans="2:8" hidden="1" outlineLevel="1" x14ac:dyDescent="0.25">
      <c r="B94" s="115" t="str" vm="56">
        <f>CUBEMEMBER("ThisWorkbookDataModel",{"[fActualAndBudget].[StavkaKategorija].&amp;[2.37. Останати оперативни расходи]","[fActualAndBudget].[StavkaImeMK].&amp;[Даноци,чланарини и други давачки кои не зависат од резултатот]"})</f>
        <v>Даноци,чланарини и други давачки кои не зависат од резултатот</v>
      </c>
      <c r="C94" s="131" vm="316">
        <f t="shared" si="16"/>
        <v>908211</v>
      </c>
      <c r="D94" s="131" vm="382">
        <f t="shared" si="16"/>
        <v>921566</v>
      </c>
      <c r="E94" s="125">
        <f t="shared" si="14"/>
        <v>1.4704732710790758E-2</v>
      </c>
      <c r="F94" s="131" vm="290">
        <f t="shared" si="17"/>
        <v>1172920</v>
      </c>
      <c r="G94" s="125">
        <f t="shared" si="13"/>
        <v>0.27274660740522116</v>
      </c>
      <c r="H94" s="113">
        <f t="shared" si="15"/>
        <v>3.200615214936994E-3</v>
      </c>
    </row>
    <row r="95" spans="2:8" hidden="1" outlineLevel="1" x14ac:dyDescent="0.25">
      <c r="B95" s="115" t="str" vm="45">
        <f>CUBEMEMBER("ThisWorkbookDataModel",{"[fActualAndBudget].[StavkaKategorija].&amp;[2.37. Останати оперативни расходи]","[fActualAndBudget].[StavkaImeMK].&amp;[Дневници за службени патувања и патни трошоци]"})</f>
        <v>Дневници за службени патувања и патни трошоци</v>
      </c>
      <c r="C95" s="131" vm="355">
        <f t="shared" si="16"/>
        <v>406088</v>
      </c>
      <c r="D95" s="131" vm="339">
        <f t="shared" si="16"/>
        <v>101180</v>
      </c>
      <c r="E95" s="125">
        <f t="shared" si="14"/>
        <v>-0.75084218199011055</v>
      </c>
      <c r="F95" s="131" vm="351">
        <f t="shared" si="17"/>
        <v>1915000</v>
      </c>
      <c r="G95" s="125">
        <f t="shared" ref="G95:G113" si="18">IF(ISERROR(IF(D95=0,0,F95/D95-1)),0,IF(D95=0,0,F95/D95-1))</f>
        <v>17.92666534888318</v>
      </c>
      <c r="H95" s="113">
        <f t="shared" si="15"/>
        <v>5.2255721929921417E-3</v>
      </c>
    </row>
    <row r="96" spans="2:8" hidden="1" outlineLevel="1" x14ac:dyDescent="0.25">
      <c r="B96" s="115" t="str" vm="43">
        <f>CUBEMEMBER("ThisWorkbookDataModel",{"[fActualAndBudget].[StavkaKategorija].&amp;[2.37. Останати оперативни расходи]","[fActualAndBudget].[StavkaImeMK].&amp;[Надворешни услуги]"})</f>
        <v>Надворешни услуги</v>
      </c>
      <c r="C96" s="131" vm="325">
        <f t="shared" si="16"/>
        <v>822747</v>
      </c>
      <c r="D96" s="131" vm="367">
        <f t="shared" si="16"/>
        <v>781442</v>
      </c>
      <c r="E96" s="125">
        <f t="shared" si="14"/>
        <v>-5.0203768594719866E-2</v>
      </c>
      <c r="F96" s="131" vm="277">
        <f t="shared" si="17"/>
        <v>1150000</v>
      </c>
      <c r="G96" s="125">
        <f t="shared" si="18"/>
        <v>0.47163833016397883</v>
      </c>
      <c r="H96" s="113">
        <f t="shared" si="15"/>
        <v>3.1380720741206077E-3</v>
      </c>
    </row>
    <row r="97" spans="2:8" hidden="1" outlineLevel="1" x14ac:dyDescent="0.25">
      <c r="B97" s="115" t="str" vm="40">
        <f>CUBEMEMBER("ThisWorkbookDataModel",{"[fActualAndBudget].[StavkaKategorija].&amp;[2.37. Останати оперативни расходи]","[fActualAndBudget].[StavkaImeMK].&amp;[Наемнини и лизинг]"})</f>
        <v>Наемнини и лизинг</v>
      </c>
      <c r="C97" s="131" vm="344">
        <f t="shared" si="16"/>
        <v>57250</v>
      </c>
      <c r="D97" s="131" vm="265">
        <f t="shared" si="16"/>
        <v>0</v>
      </c>
      <c r="E97" s="125">
        <f t="shared" si="14"/>
        <v>-1</v>
      </c>
      <c r="F97" s="131" vm="342">
        <f t="shared" si="17"/>
        <v>246000</v>
      </c>
      <c r="G97" s="125">
        <f t="shared" si="18"/>
        <v>0</v>
      </c>
      <c r="H97" s="113">
        <f t="shared" si="15"/>
        <v>6.712745480292778E-4</v>
      </c>
    </row>
    <row r="98" spans="2:8" hidden="1" outlineLevel="1" x14ac:dyDescent="0.25">
      <c r="B98" s="115" t="str" vm="36">
        <f>CUBEMEMBER("ThisWorkbookDataModel",{"[fActualAndBudget].[StavkaKategorija].&amp;[2.37. Останати оперативни расходи]","[fActualAndBudget].[StavkaImeMK].&amp;[Останати нематеријални трошоци]"})</f>
        <v>Останати нематеријални трошоци</v>
      </c>
      <c r="C98" s="131" vm="358">
        <f t="shared" si="16"/>
        <v>2679804</v>
      </c>
      <c r="D98" s="131" vm="364">
        <f t="shared" si="16"/>
        <v>2231760</v>
      </c>
      <c r="E98" s="125">
        <f t="shared" si="14"/>
        <v>-0.16719282454985518</v>
      </c>
      <c r="F98" s="131" vm="264">
        <f t="shared" si="17"/>
        <v>2912680</v>
      </c>
      <c r="G98" s="125">
        <f t="shared" si="18"/>
        <v>0.30510449152238595</v>
      </c>
      <c r="H98" s="113">
        <f t="shared" si="15"/>
        <v>7.9479997989996623E-3</v>
      </c>
    </row>
    <row r="99" spans="2:8" hidden="1" outlineLevel="1" x14ac:dyDescent="0.25">
      <c r="B99" s="115" t="str" vm="32">
        <f>CUBEMEMBER("ThisWorkbookDataModel",{"[fActualAndBudget].[StavkaKategorija].&amp;[2.37. Останати оперативни расходи]","[fActualAndBudget].[StavkaImeMK].&amp;[Останати услуги]"})</f>
        <v>Останати услуги</v>
      </c>
      <c r="C99" s="131" vm="282">
        <f t="shared" si="16"/>
        <v>10154137</v>
      </c>
      <c r="D99" s="131" vm="291">
        <f t="shared" si="16"/>
        <v>7768506</v>
      </c>
      <c r="E99" s="125">
        <f t="shared" si="14"/>
        <v>-0.23494177791770976</v>
      </c>
      <c r="F99" s="131" vm="360">
        <f t="shared" si="17"/>
        <v>19227896</v>
      </c>
      <c r="G99" s="125">
        <f t="shared" si="18"/>
        <v>1.4751085987447263</v>
      </c>
      <c r="H99" s="113">
        <f t="shared" si="15"/>
        <v>5.2468281288430722E-2</v>
      </c>
    </row>
    <row r="100" spans="2:8" hidden="1" outlineLevel="1" x14ac:dyDescent="0.25">
      <c r="B100" s="115" t="str" vm="30">
        <f>CUBEMEMBER("ThisWorkbookDataModel",{"[fActualAndBudget].[StavkaKategorija].&amp;[2.37. Останати оперативни расходи]","[fActualAndBudget].[StavkaImeMK].&amp;[Премии за осигурување]"})</f>
        <v>Премии за осигурување</v>
      </c>
      <c r="C100" s="131" vm="276">
        <f t="shared" si="16"/>
        <v>110198</v>
      </c>
      <c r="D100" s="131" vm="314">
        <f t="shared" si="16"/>
        <v>143505</v>
      </c>
      <c r="E100" s="125">
        <f t="shared" si="14"/>
        <v>0.30224686473438722</v>
      </c>
      <c r="F100" s="131" vm="337">
        <f t="shared" si="17"/>
        <v>1151243</v>
      </c>
      <c r="G100" s="125">
        <f t="shared" si="18"/>
        <v>7.0223197797986128</v>
      </c>
      <c r="H100" s="113">
        <f t="shared" si="15"/>
        <v>3.141463920718983E-3</v>
      </c>
    </row>
    <row r="101" spans="2:8" hidden="1" outlineLevel="1" x14ac:dyDescent="0.25">
      <c r="B101" s="115" t="str" vm="27">
        <f>CUBEMEMBER("ThisWorkbookDataModel",{"[fActualAndBudget].[StavkaKategorija].&amp;[2.37. Останати оперативни расходи]","[fActualAndBudget].[StavkaImeMK].&amp;[Транспортни услуги]"})</f>
        <v>Транспортни услуги</v>
      </c>
      <c r="C101" s="131" vm="352">
        <f t="shared" si="16"/>
        <v>8958367</v>
      </c>
      <c r="D101" s="131" vm="296">
        <f t="shared" si="16"/>
        <v>10162536</v>
      </c>
      <c r="E101" s="125">
        <f t="shared" si="14"/>
        <v>0.13441835995332641</v>
      </c>
      <c r="F101" s="131" vm="327">
        <f t="shared" si="17"/>
        <v>9992200</v>
      </c>
      <c r="G101" s="125">
        <f t="shared" si="18"/>
        <v>-1.6761170636935496E-2</v>
      </c>
      <c r="H101" s="113">
        <f t="shared" si="15"/>
        <v>2.7266298938285159E-2</v>
      </c>
    </row>
    <row r="102" spans="2:8" hidden="1" outlineLevel="1" x14ac:dyDescent="0.25">
      <c r="B102" s="115" t="str" vm="55">
        <f>CUBEMEMBER("ThisWorkbookDataModel",{"[fActualAndBudget].[StavkaKategorija].&amp;[2.37. Останати оперативни расходи]","[fActualAndBudget].[StavkaImeMK].&amp;[Трошоци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102" s="131" vm="368">
        <f t="shared" si="16"/>
        <v>696289</v>
      </c>
      <c r="D102" s="131" vm="338">
        <f t="shared" si="16"/>
        <v>487058</v>
      </c>
      <c r="E102" s="125">
        <f t="shared" si="14"/>
        <v>-0.30049447858575962</v>
      </c>
      <c r="F102" s="131" vm="285">
        <f t="shared" si="17"/>
        <v>578000</v>
      </c>
      <c r="G102" s="125">
        <f t="shared" si="18"/>
        <v>0.18671698237170942</v>
      </c>
      <c r="H102" s="113">
        <f t="shared" si="15"/>
        <v>1.5772223120362706E-3</v>
      </c>
    </row>
    <row r="103" spans="2:8" hidden="1" outlineLevel="1" x14ac:dyDescent="0.25">
      <c r="B103" s="115" t="str" vm="51">
        <f>CUBEMEMBER("ThisWorkbookDataModel",{"[fActualAndBudget].[StavkaKategorija].&amp;[2.37. Останати оперативни расходи]","[fActualAndBudget].[StavkaImeMK].&amp;[Услуги за одржување и заштита]"})</f>
        <v>Услуги за одржување и заштита</v>
      </c>
      <c r="C103" s="131" vm="345">
        <f t="shared" si="16"/>
        <v>13487824</v>
      </c>
      <c r="D103" s="131" vm="260">
        <f t="shared" si="16"/>
        <v>13250229</v>
      </c>
      <c r="E103" s="125">
        <f t="shared" si="14"/>
        <v>-1.761551752158097E-2</v>
      </c>
      <c r="F103" s="131" vm="308">
        <f t="shared" si="17"/>
        <v>15757464</v>
      </c>
      <c r="G103" s="125">
        <f t="shared" si="18"/>
        <v>0.18922201269125227</v>
      </c>
      <c r="H103" s="113">
        <f t="shared" si="15"/>
        <v>4.2998311075965918E-2</v>
      </c>
    </row>
    <row r="104" spans="2:8" collapsed="1" x14ac:dyDescent="0.25">
      <c r="B104" s="24" t="s">
        <v>165</v>
      </c>
      <c r="C104" s="25">
        <f>SUM(C83,C88,C90,C91,C92)</f>
        <v>312919586</v>
      </c>
      <c r="D104" s="25">
        <f>SUM(D83,D88,D90,D91,D92)</f>
        <v>315060072</v>
      </c>
      <c r="E104" s="126">
        <f t="shared" si="14"/>
        <v>6.8403708037629851E-3</v>
      </c>
      <c r="F104" s="25">
        <f>SUM(F83,F88,F90,F91,F92)</f>
        <v>364838586</v>
      </c>
      <c r="G104" s="126">
        <f t="shared" si="18"/>
        <v>0.15799689781064985</v>
      </c>
      <c r="H104" s="26">
        <f t="shared" si="15"/>
        <v>0.99555632894630408</v>
      </c>
    </row>
    <row r="105" spans="2:8" x14ac:dyDescent="0.25">
      <c r="B105" s="24" t="s">
        <v>167</v>
      </c>
      <c r="C105" s="25">
        <f>SUM(C82,-C104)</f>
        <v>6972946</v>
      </c>
      <c r="D105" s="25">
        <f>SUM(D82,-D104)</f>
        <v>45315759</v>
      </c>
      <c r="E105" s="126">
        <f t="shared" si="14"/>
        <v>5.498796778291414</v>
      </c>
      <c r="F105" s="25">
        <f>SUM(F82,-F104)</f>
        <v>1628459</v>
      </c>
      <c r="G105" s="126">
        <f t="shared" si="18"/>
        <v>-0.96406417908613207</v>
      </c>
      <c r="H105" s="26">
        <f t="shared" si="15"/>
        <v>4.4436710536959745E-3</v>
      </c>
    </row>
    <row r="106" spans="2:8" x14ac:dyDescent="0.25">
      <c r="B106" s="111" t="str" vm="49">
        <f>CUBEMEMBER("ThisWorkbookDataModel","[fActualAndBudget].[StavkaKategorija].&amp;[2.40. Приходи од финансирање]")</f>
        <v>2.40. Приходи од финансирање</v>
      </c>
      <c r="C106" s="131" vm="275">
        <f t="shared" ref="C106:D108" si="19">CUBEVALUE("ThisWorkbookDataModel",C$62,$C$3,$B$5,$B106,C$61)</f>
        <v>2968</v>
      </c>
      <c r="D106" s="131" vm="380">
        <f t="shared" si="19"/>
        <v>6293</v>
      </c>
      <c r="E106" s="124">
        <f t="shared" si="14"/>
        <v>1.1202830188679247</v>
      </c>
      <c r="F106" s="131" vm="353">
        <f>CUBEVALUE("ThisWorkbookDataModel",F$62,$C$3,$B$5,$B106,F$61)</f>
        <v>12000</v>
      </c>
      <c r="G106" s="124">
        <f t="shared" si="18"/>
        <v>0.90688066105196241</v>
      </c>
      <c r="H106" s="26">
        <f t="shared" si="15"/>
        <v>3.2745099903867208E-5</v>
      </c>
    </row>
    <row r="107" spans="2:8" hidden="1" outlineLevel="1" x14ac:dyDescent="0.25">
      <c r="B107" s="114" t="str" vm="47">
        <f>CUBEMEMBER("ThisWorkbookDataModel",{"[fActualAndBudget].[StavkaKategorija].&amp;[2.40. Приходи од финансирање]","[fActualAndBudget].[StavkaImeMK].&amp;[Приходи од камати]"})</f>
        <v>Приходи од камати</v>
      </c>
      <c r="C107" s="131" vm="375">
        <f t="shared" si="19"/>
        <v>1831</v>
      </c>
      <c r="D107" s="131" vm="299">
        <f t="shared" si="19"/>
        <v>1976</v>
      </c>
      <c r="E107" s="124">
        <f t="shared" si="14"/>
        <v>7.9191698525395982E-2</v>
      </c>
      <c r="F107" s="131" vm="311">
        <f>CUBEVALUE("ThisWorkbookDataModel",F$62,$C$3,$B$5,$B107,F$61)</f>
        <v>6000</v>
      </c>
      <c r="G107" s="124">
        <f t="shared" si="18"/>
        <v>2.0364372469635628</v>
      </c>
      <c r="H107" s="23">
        <f t="shared" si="15"/>
        <v>1.6372549951933604E-5</v>
      </c>
    </row>
    <row r="108" spans="2:8" hidden="1" outlineLevel="1" x14ac:dyDescent="0.25">
      <c r="B108" s="114" t="str" vm="65">
        <f>CUBEMEMBER("ThisWorkbookDataModel",{"[fActualAndBudget].[StavkaKategorija].&amp;[2.40. Приходи од финансирање]","[fActualAndBudget].[StavkaImeMK].&amp;[Приходи од курсни разлики]"})</f>
        <v>Приходи од курсни разлики</v>
      </c>
      <c r="C108" s="131" vm="359">
        <f t="shared" si="19"/>
        <v>1137</v>
      </c>
      <c r="D108" s="131" vm="330">
        <f t="shared" si="19"/>
        <v>4317</v>
      </c>
      <c r="E108" s="124">
        <f t="shared" si="14"/>
        <v>2.7968337730870712</v>
      </c>
      <c r="F108" s="131" vm="254">
        <f>CUBEVALUE("ThisWorkbookDataModel",F$62,$C$3,$B$5,$B108,F$61)</f>
        <v>6000</v>
      </c>
      <c r="G108" s="124">
        <f t="shared" si="18"/>
        <v>0.38985406532314104</v>
      </c>
      <c r="H108" s="23">
        <f t="shared" si="15"/>
        <v>1.6372549951933604E-5</v>
      </c>
    </row>
    <row r="109" spans="2:8" collapsed="1" x14ac:dyDescent="0.25">
      <c r="B109" s="111" t="str" vm="63">
        <f>CUBEMEMBER("ThisWorkbookDataModel","[fActualAndBudget].[StavkaKategorija].&amp;[2.41. Расходи од финансирање]")</f>
        <v>2.41. Расходи од финансирање</v>
      </c>
      <c r="C109" s="147">
        <f>SUM(C110:C112)</f>
        <v>57357</v>
      </c>
      <c r="D109" s="112">
        <f>SUM(D110:D112)</f>
        <v>2676511</v>
      </c>
      <c r="E109" s="124">
        <f t="shared" si="14"/>
        <v>45.664068901790543</v>
      </c>
      <c r="F109" s="112">
        <f>SUM(F110:F112)</f>
        <v>85000</v>
      </c>
      <c r="G109" s="124">
        <f t="shared" si="18"/>
        <v>-0.96824223774906959</v>
      </c>
      <c r="H109" s="23">
        <f t="shared" si="15"/>
        <v>2.3194445765239272E-4</v>
      </c>
    </row>
    <row r="110" spans="2:8" hidden="1" outlineLevel="1" x14ac:dyDescent="0.25">
      <c r="B110" s="115" t="str" vm="116">
        <f>CUBEMEMBER("ThisWorkbookDataModel",{"[fActualAndBudget].[StavkaKategorija].&amp;[2.41. Расходи од финансирање]","[fActualAndBudget].[StavkaImeMK].&amp;[Загуби и кусоци]"})</f>
        <v>Загуби и кусоци</v>
      </c>
      <c r="C110" s="131" vm="302">
        <f t="shared" ref="C110:D112" si="20">CUBEVALUE("ThisWorkbookDataModel",C$62,$C$3,$B$5,$B110,C$61)</f>
        <v>0</v>
      </c>
      <c r="D110" s="131" vm="377">
        <f t="shared" si="20"/>
        <v>0</v>
      </c>
      <c r="E110" s="125">
        <f t="shared" si="14"/>
        <v>0</v>
      </c>
      <c r="F110" s="131" t="str" vm="286">
        <f>CUBEVALUE("ThisWorkbookDataModel",F$62,$C$3,$B$5,$B110,F$61)</f>
        <v/>
      </c>
      <c r="G110" s="125">
        <f t="shared" si="18"/>
        <v>0</v>
      </c>
      <c r="H110" s="23">
        <f t="shared" si="15"/>
        <v>0</v>
      </c>
    </row>
    <row r="111" spans="2:8" hidden="1" outlineLevel="1" x14ac:dyDescent="0.25">
      <c r="B111" s="115" t="str" vm="117">
        <f>CUBEMEMBER("ThisWorkbookDataModel",{"[fActualAndBudget].[StavkaKategorija].&amp;[2.41. Расходи од финансирање]","[fActualAndBudget].[StavkaImeMK].&amp;[Курсни разлики]"})</f>
        <v>Курсни разлики</v>
      </c>
      <c r="C111" s="131" vm="374">
        <f t="shared" si="20"/>
        <v>681</v>
      </c>
      <c r="D111" s="131" vm="362">
        <f t="shared" si="20"/>
        <v>4416</v>
      </c>
      <c r="E111" s="125">
        <f t="shared" si="14"/>
        <v>5.4845814977973566</v>
      </c>
      <c r="F111" s="131" vm="303">
        <f>CUBEVALUE("ThisWorkbookDataModel",F$62,$C$3,$B$5,$B111,F$61)</f>
        <v>5000</v>
      </c>
      <c r="G111" s="125">
        <f t="shared" si="18"/>
        <v>0.13224637681159424</v>
      </c>
      <c r="H111" s="23">
        <f t="shared" si="15"/>
        <v>1.3643791626611337E-5</v>
      </c>
    </row>
    <row r="112" spans="2:8" hidden="1" outlineLevel="1" x14ac:dyDescent="0.25">
      <c r="B112" s="115" t="str" vm="118">
        <f>CUBEMEMBER("ThisWorkbookDataModel",{"[fActualAndBudget].[StavkaKategorija].&amp;[2.41. Расходи од финансирање]","[fActualAndBudget].[StavkaImeMK].&amp;[Останати расходи]"})</f>
        <v>Останати расходи</v>
      </c>
      <c r="C112" s="131" vm="312">
        <f t="shared" si="20"/>
        <v>56676</v>
      </c>
      <c r="D112" s="131" vm="366">
        <f t="shared" si="20"/>
        <v>2672095</v>
      </c>
      <c r="E112" s="125">
        <f t="shared" si="14"/>
        <v>46.146852283153365</v>
      </c>
      <c r="F112" s="131" vm="335">
        <f>CUBEVALUE("ThisWorkbookDataModel",F$62,$C$3,$B$5,$B112,F$61)</f>
        <v>80000</v>
      </c>
      <c r="G112" s="125">
        <f t="shared" si="18"/>
        <v>-0.97006094468946646</v>
      </c>
      <c r="H112" s="23">
        <f t="shared" si="15"/>
        <v>2.1830066602578139E-4</v>
      </c>
    </row>
    <row r="113" spans="2:8" collapsed="1" x14ac:dyDescent="0.25">
      <c r="B113" s="27" t="s">
        <v>166</v>
      </c>
      <c r="C113" s="28">
        <f>SUM(C105,C106,-C109)</f>
        <v>6918557</v>
      </c>
      <c r="D113" s="28">
        <f>SUM(D105,D106,-D109)</f>
        <v>42645541</v>
      </c>
      <c r="E113" s="127">
        <f t="shared" si="14"/>
        <v>5.1639357744685777</v>
      </c>
      <c r="F113" s="315">
        <f>IF(ISBLANK(SUM(F105,F106,-F109)),SUM(F105,F106,-F109),SUM(F105,F106,-F109))</f>
        <v>1555459</v>
      </c>
      <c r="G113" s="127">
        <f t="shared" si="18"/>
        <v>-0.96352587014900337</v>
      </c>
      <c r="H113" s="29">
        <f t="shared" si="15"/>
        <v>4.2444716959474486E-3</v>
      </c>
    </row>
    <row r="114" spans="2:8" x14ac:dyDescent="0.25">
      <c r="B114" s="381"/>
      <c r="C114" s="381"/>
      <c r="D114" s="381"/>
      <c r="E114" s="381"/>
      <c r="F114" s="382"/>
      <c r="G114" s="383">
        <f>F113/C113-1</f>
        <v>-0.77517580616882975</v>
      </c>
    </row>
    <row r="115" spans="2:8" x14ac:dyDescent="0.25">
      <c r="B115" s="381"/>
      <c r="C115" s="381">
        <v>6918557</v>
      </c>
      <c r="D115" s="381"/>
      <c r="E115" s="381"/>
      <c r="F115" s="381">
        <v>1137500</v>
      </c>
      <c r="G115" s="382"/>
    </row>
    <row r="116" spans="2:8" x14ac:dyDescent="0.25">
      <c r="B116" s="381" t="s">
        <v>215</v>
      </c>
      <c r="C116" s="382">
        <f>C113-C115</f>
        <v>0</v>
      </c>
      <c r="D116" s="381"/>
      <c r="E116" s="381"/>
      <c r="F116" s="382">
        <f>F113+F115</f>
        <v>2692959</v>
      </c>
      <c r="G116" s="384"/>
    </row>
    <row r="117" spans="2:8" x14ac:dyDescent="0.25">
      <c r="C117" s="106"/>
      <c r="F117" s="1"/>
      <c r="G117" s="1"/>
    </row>
    <row r="118" spans="2:8" x14ac:dyDescent="0.25">
      <c r="C118" s="222"/>
    </row>
  </sheetData>
  <sheetProtection algorithmName="SHA-512" hashValue="3sUU0EC2cTVgzi9F+hguOpac4rw9COVrgttHRf5EFFmO/JbkmTeI/2Mf/nHGFTeCEIyWLSAtvzYRWFBYK7xbsA==" saltValue="+KB7BFgz3H5CJAPpKY4HeA==" spinCount="100000" sheet="1" objects="1" scenarios="1"/>
  <mergeCells count="4">
    <mergeCell ref="E61:E62"/>
    <mergeCell ref="B61:B62"/>
    <mergeCell ref="G61:G62"/>
    <mergeCell ref="H61:H62"/>
  </mergeCells>
  <pageMargins left="0.7" right="0.7" top="0.75" bottom="0.75" header="0.3" footer="0.3"/>
  <pageSetup paperSize="9" scale="74"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rgb="FF92D050"/>
    <pageSetUpPr fitToPage="1"/>
  </sheetPr>
  <dimension ref="B2:H68"/>
  <sheetViews>
    <sheetView showGridLines="0" topLeftCell="A41" workbookViewId="0">
      <selection activeCell="B51" sqref="B51"/>
    </sheetView>
  </sheetViews>
  <sheetFormatPr defaultRowHeight="15" x14ac:dyDescent="0.25"/>
  <cols>
    <col min="2" max="2" width="65.28515625" customWidth="1"/>
    <col min="3" max="3" width="12.42578125" customWidth="1"/>
    <col min="4" max="4" width="14.7109375" customWidth="1"/>
    <col min="5" max="6" width="13.7109375" bestFit="1" customWidth="1"/>
    <col min="7" max="7" width="14.7109375" bestFit="1" customWidth="1"/>
    <col min="8" max="8" width="11.85546875" customWidth="1"/>
    <col min="9" max="9" width="11.140625" bestFit="1" customWidth="1"/>
    <col min="10" max="11" width="10.140625" bestFit="1" customWidth="1"/>
    <col min="12" max="12" width="13.140625" bestFit="1" customWidth="1"/>
    <col min="13" max="14" width="11.140625" bestFit="1" customWidth="1"/>
    <col min="15" max="15" width="10.140625" bestFit="1" customWidth="1"/>
    <col min="16" max="16" width="13.140625" bestFit="1" customWidth="1"/>
    <col min="17" max="17" width="10.28515625" bestFit="1" customWidth="1"/>
    <col min="18" max="19" width="10.140625" bestFit="1" customWidth="1"/>
    <col min="20" max="20" width="13.140625" bestFit="1" customWidth="1"/>
    <col min="21" max="21" width="10.28515625" bestFit="1" customWidth="1"/>
    <col min="22" max="23" width="10.140625" bestFit="1" customWidth="1"/>
    <col min="24" max="24" width="13.140625" bestFit="1" customWidth="1"/>
    <col min="25" max="25" width="10.28515625" bestFit="1" customWidth="1"/>
    <col min="26" max="27" width="10.140625" bestFit="1" customWidth="1"/>
    <col min="28" max="28" width="13.140625" bestFit="1" customWidth="1"/>
    <col min="29" max="29" width="11.140625" bestFit="1" customWidth="1"/>
    <col min="30" max="30" width="13.140625" bestFit="1" customWidth="1"/>
    <col min="31" max="31" width="12.7109375" bestFit="1" customWidth="1"/>
    <col min="32" max="32" width="9" bestFit="1" customWidth="1"/>
    <col min="33" max="36" width="11" bestFit="1" customWidth="1"/>
  </cols>
  <sheetData>
    <row r="2" spans="2:8" x14ac:dyDescent="0.25">
      <c r="B2" s="4" t="s">
        <v>152</v>
      </c>
      <c r="C2" t="s" vm="12">
        <v>239</v>
      </c>
    </row>
    <row r="3" spans="2:8" x14ac:dyDescent="0.25">
      <c r="B3" s="4" t="s">
        <v>244</v>
      </c>
      <c r="C3" t="s" vm="13">
        <v>245</v>
      </c>
    </row>
    <row r="5" spans="2:8" x14ac:dyDescent="0.25">
      <c r="B5" t="str" vm="10">
        <f>CUBEMEMBER("ThisWorkbookDataModel","[Measures].[Sum of Износ]")</f>
        <v>Sum of Износ</v>
      </c>
      <c r="H5" s="86" t="s">
        <v>327</v>
      </c>
    </row>
    <row r="6" spans="2:8" s="16" customFormat="1" ht="43.15" customHeight="1" x14ac:dyDescent="0.25">
      <c r="B6" s="140" t="s">
        <v>174</v>
      </c>
      <c r="C6" s="133" t="str" vm="248">
        <f>CUBEMEMBER("ThisWorkbookDataModel","[Calendar].[Квартал].&amp;[2022-03-31T00:00:00]")</f>
        <v>3/31/2022</v>
      </c>
      <c r="D6" s="133" t="str" vm="247">
        <f>CUBEMEMBER("ThisWorkbookDataModel","[Calendar].[Квартал].&amp;[2022-06-30T00:00:00]")</f>
        <v>6/30/2022</v>
      </c>
      <c r="E6" s="133" t="str" vm="251">
        <f>CUBEMEMBER("ThisWorkbookDataModel","[Calendar].[Квартал].&amp;[2022-09-30T00:00:00]")</f>
        <v>9/30/2022</v>
      </c>
      <c r="F6" s="133" t="str" vm="249">
        <f>CUBEMEMBER("ThisWorkbookDataModel","[Calendar].[Квартал].&amp;[2022-12-31T00:00:00]")</f>
        <v>12/31/2022</v>
      </c>
      <c r="G6" s="133" t="s">
        <v>800</v>
      </c>
      <c r="H6" s="134" t="s">
        <v>797</v>
      </c>
    </row>
    <row r="7" spans="2:8" s="9" customFormat="1" x14ac:dyDescent="0.25">
      <c r="B7" s="24" t="str" vm="73">
        <f>CUBEMEMBER("ThisWorkbookDataModel","[fActualAndBudget].[StavkaGrupa].&amp;[3.1. Приходи од дејноста]")</f>
        <v>3.1. Приходи од дејноста</v>
      </c>
      <c r="C7" s="136"/>
      <c r="D7" s="136"/>
      <c r="E7" s="136"/>
      <c r="F7" s="136"/>
      <c r="G7" s="136"/>
      <c r="H7" s="26"/>
    </row>
    <row r="8" spans="2:8" x14ac:dyDescent="0.25">
      <c r="B8" s="115" t="str" vm="74">
        <f>CUBEMEMBER("ThisWorkbookDataModel",{"[fActualAndBudget].[StavkaGrupa].&amp;[3.1. Приходи од дејноста]","[fActualAndBudget].[StavkaImeMK].&amp;[Приходи од годишни сметки]"})</f>
        <v>Приходи од годишни сметки</v>
      </c>
      <c r="C8" s="135" vm="440">
        <f t="shared" ref="C8:F11" si="0">CUBEVALUE("ThisWorkbookDataModel",$C$2,$C$3,$B$5,$B8,C$6)</f>
        <v>145922832</v>
      </c>
      <c r="D8" s="135" vm="480">
        <f t="shared" si="0"/>
        <v>12123900</v>
      </c>
      <c r="E8" s="135" vm="436">
        <f t="shared" si="0"/>
        <v>3784729</v>
      </c>
      <c r="F8" s="135" vm="406">
        <f t="shared" si="0"/>
        <v>5468534</v>
      </c>
      <c r="G8" s="135">
        <f t="shared" ref="G8:G19" si="1">SUM(C8:F8)</f>
        <v>167299995</v>
      </c>
      <c r="H8" s="23">
        <f t="shared" ref="H8:H20" si="2">G8/$G$32</f>
        <v>0.45650630583803231</v>
      </c>
    </row>
    <row r="9" spans="2:8" x14ac:dyDescent="0.25">
      <c r="B9" s="115" t="str" vm="75">
        <f>CUBEMEMBER("ThisWorkbookDataModel",{"[fActualAndBudget].[StavkaGrupa].&amp;[3.1. Приходи од дејноста]","[fActualAndBudget].[StavkaImeMK].&amp;[Приходи од заложен регистар]"})</f>
        <v>Приходи од заложен регистар</v>
      </c>
      <c r="C9" s="135" vm="508">
        <f t="shared" si="0"/>
        <v>787508</v>
      </c>
      <c r="D9" s="135" vm="459">
        <f t="shared" si="0"/>
        <v>450131</v>
      </c>
      <c r="E9" s="135" vm="492">
        <f t="shared" si="0"/>
        <v>509520</v>
      </c>
      <c r="F9" s="135" vm="464">
        <f t="shared" si="0"/>
        <v>552836</v>
      </c>
      <c r="G9" s="135">
        <f t="shared" si="1"/>
        <v>2299995</v>
      </c>
      <c r="H9" s="23">
        <f t="shared" si="2"/>
        <v>6.2759249986585183E-3</v>
      </c>
    </row>
    <row r="10" spans="2:8" x14ac:dyDescent="0.25">
      <c r="B10" s="115" t="str" vm="76">
        <f>CUBEMEMBER("ThisWorkbookDataModel",{"[fActualAndBudget].[StavkaGrupa].&amp;[3.1. Приходи од дејноста]","[fActualAndBudget].[StavkaImeMK].&amp;[Приходи од интернет дистрибутивен систем]"})</f>
        <v>Приходи од интернет дистрибутивен систем</v>
      </c>
      <c r="C10" s="135" vm="484">
        <f t="shared" si="0"/>
        <v>5000001</v>
      </c>
      <c r="D10" s="135" vm="467">
        <f t="shared" si="0"/>
        <v>5000001</v>
      </c>
      <c r="E10" s="135" vm="466">
        <f t="shared" si="0"/>
        <v>5000001</v>
      </c>
      <c r="F10" s="135" vm="470">
        <f t="shared" si="0"/>
        <v>5000001</v>
      </c>
      <c r="G10" s="135">
        <f t="shared" si="1"/>
        <v>20000004</v>
      </c>
      <c r="H10" s="23">
        <f t="shared" si="2"/>
        <v>5.4573390410357567E-2</v>
      </c>
    </row>
    <row r="11" spans="2:8" x14ac:dyDescent="0.25">
      <c r="B11" s="115" t="str" vm="77">
        <f>CUBEMEMBER("ThisWorkbookDataModel",{"[fActualAndBudget].[StavkaGrupa].&amp;[3.1. Приходи од дејноста]","[fActualAndBudget].[StavkaImeMK].&amp;[Приходи од прекршочна постапка]"})</f>
        <v>Приходи од прекршочна постапка</v>
      </c>
      <c r="C11" s="135" vm="437">
        <f>CUBEVALUE("ThisWorkbookDataModel",$C$2,$C$3,$B$5,$B11,C$6)</f>
        <v>0</v>
      </c>
      <c r="D11" s="135" t="str" vm="445">
        <f t="shared" si="0"/>
        <v/>
      </c>
      <c r="E11" s="135" t="str" vm="407">
        <f t="shared" si="0"/>
        <v/>
      </c>
      <c r="F11" s="135" t="str" vm="398">
        <f t="shared" si="0"/>
        <v/>
      </c>
      <c r="G11" s="135">
        <f t="shared" si="1"/>
        <v>0</v>
      </c>
      <c r="H11" s="23">
        <f t="shared" si="2"/>
        <v>0</v>
      </c>
    </row>
    <row r="12" spans="2:8" x14ac:dyDescent="0.25">
      <c r="B12" s="115" t="str" vm="865">
        <f>CUBEMEMBER("ThisWorkbookDataModel",{"[fActualAndBudget].[StavkaGrupa].&amp;[3.1. Приходи од дејноста]","[fActualAndBudget].[StavkaImeMK].&amp;[Приходи од регистар на вистински сопственици]"})</f>
        <v>Приходи од регистар на вистински сопственици</v>
      </c>
      <c r="C12" s="135" vm="866">
        <f t="shared" ref="C12:F19" si="3">CUBEVALUE("ThisWorkbookDataModel",$C$2,$C$3,$B$5,$B12,C$6)</f>
        <v>1747950</v>
      </c>
      <c r="D12" s="135" vm="869">
        <f t="shared" si="3"/>
        <v>3199998</v>
      </c>
      <c r="E12" s="135" vm="868">
        <f t="shared" si="3"/>
        <v>3199998</v>
      </c>
      <c r="F12" s="135" vm="867">
        <f t="shared" si="3"/>
        <v>3499998</v>
      </c>
      <c r="G12" s="135">
        <f t="shared" si="1"/>
        <v>11647944</v>
      </c>
      <c r="H12" s="23">
        <f t="shared" si="2"/>
        <v>3.1783383412822414E-2</v>
      </c>
    </row>
    <row r="13" spans="2:8" x14ac:dyDescent="0.25">
      <c r="B13" s="115" t="str" vm="78">
        <f>CUBEMEMBER("ThisWorkbookDataModel",{"[fActualAndBudget].[StavkaGrupa].&amp;[3.1. Приходи од дејноста]","[fActualAndBudget].[StavkaImeMK].&amp;[Приходи од регистар на директни странски инвестиции]"})</f>
        <v>Приходи од регистар на директни странски инвестиции</v>
      </c>
      <c r="C13" s="135" vm="519">
        <f t="shared" si="3"/>
        <v>250002</v>
      </c>
      <c r="D13" s="135" vm="495">
        <f t="shared" si="3"/>
        <v>250002</v>
      </c>
      <c r="E13" s="135" vm="490">
        <f t="shared" si="3"/>
        <v>250002</v>
      </c>
      <c r="F13" s="135" vm="518">
        <f t="shared" si="3"/>
        <v>250002</v>
      </c>
      <c r="G13" s="135">
        <f t="shared" si="1"/>
        <v>1000008</v>
      </c>
      <c r="H13" s="23">
        <f t="shared" si="2"/>
        <v>2.7286908041358818E-3</v>
      </c>
    </row>
    <row r="14" spans="2:8" x14ac:dyDescent="0.25">
      <c r="B14" s="115" t="str" vm="79">
        <f>CUBEMEMBER("ThisWorkbookDataModel",{"[fActualAndBudget].[StavkaGrupa].&amp;[3.1. Приходи од дејноста]","[fActualAndBudget].[StavkaImeMK].&amp;[Приходи од Регистар на лизинг]"})</f>
        <v>Приходи од Регистар на лизинг</v>
      </c>
      <c r="C14" s="135" vm="497">
        <f t="shared" si="3"/>
        <v>332864</v>
      </c>
      <c r="D14" s="135" vm="400">
        <f t="shared" si="3"/>
        <v>191418</v>
      </c>
      <c r="E14" s="135" vm="493">
        <f t="shared" si="3"/>
        <v>328443</v>
      </c>
      <c r="F14" s="135" vm="426">
        <f t="shared" si="3"/>
        <v>257278</v>
      </c>
      <c r="G14" s="135">
        <f t="shared" si="1"/>
        <v>1110003</v>
      </c>
      <c r="H14" s="23">
        <f t="shared" si="2"/>
        <v>3.0288307480172572E-3</v>
      </c>
    </row>
    <row r="15" spans="2:8" x14ac:dyDescent="0.25">
      <c r="B15" s="115" t="str" vm="80">
        <f>CUBEMEMBER("ThisWorkbookDataModel",{"[fActualAndBudget].[StavkaGrupa].&amp;[3.1. Приходи од дејноста]","[fActualAndBudget].[StavkaImeMK].&amp;[Приходи од регистар на недвижности]"})</f>
        <v>Приходи од регистар на недвижности</v>
      </c>
      <c r="C15" s="135" vm="403">
        <f t="shared" si="3"/>
        <v>12501</v>
      </c>
      <c r="D15" s="135" vm="491">
        <f t="shared" si="3"/>
        <v>12501</v>
      </c>
      <c r="E15" s="135" vm="397">
        <f t="shared" si="3"/>
        <v>12501</v>
      </c>
      <c r="F15" s="135" vm="428">
        <f t="shared" si="3"/>
        <v>12501</v>
      </c>
      <c r="G15" s="135">
        <f t="shared" si="1"/>
        <v>50004</v>
      </c>
      <c r="H15" s="23">
        <f t="shared" si="2"/>
        <v>1.3644436341510332E-4</v>
      </c>
    </row>
    <row r="16" spans="2:8" x14ac:dyDescent="0.25">
      <c r="B16" s="115" t="str" vm="81">
        <f>CUBEMEMBER("ThisWorkbookDataModel",{"[fActualAndBudget].[StavkaGrupa].&amp;[3.1. Приходи од дејноста]","[fActualAndBudget].[StavkaImeMK].&amp;[Приходи од Регистар на резиденти и нерезиденти]"})</f>
        <v>Приходи од Регистар на резиденти и нерезиденти</v>
      </c>
      <c r="C16" s="135" vm="453">
        <f t="shared" si="3"/>
        <v>52500</v>
      </c>
      <c r="D16" s="135" vm="399">
        <f t="shared" si="3"/>
        <v>52500</v>
      </c>
      <c r="E16" s="135" vm="432">
        <f t="shared" si="3"/>
        <v>52500</v>
      </c>
      <c r="F16" s="135" vm="416">
        <f t="shared" si="3"/>
        <v>52500</v>
      </c>
      <c r="G16" s="135">
        <f t="shared" si="1"/>
        <v>210000</v>
      </c>
      <c r="H16" s="23">
        <f t="shared" si="2"/>
        <v>5.7302048470465753E-4</v>
      </c>
    </row>
    <row r="17" spans="2:8" x14ac:dyDescent="0.25">
      <c r="B17" s="115" t="str" vm="82">
        <f>CUBEMEMBER("ThisWorkbookDataModel",{"[fActualAndBudget].[StavkaGrupa].&amp;[3.1. Приходи од дејноста]","[fActualAndBudget].[StavkaImeMK].&amp;[Приходи од регистрите за кривични санкции, пресуди и др.]"})</f>
        <v>Приходи од регистрите за кривични санкции, пресуди и др.</v>
      </c>
      <c r="C17" s="135" vm="414">
        <f t="shared" si="3"/>
        <v>4814152</v>
      </c>
      <c r="D17" s="135" vm="458">
        <f t="shared" si="3"/>
        <v>2330815</v>
      </c>
      <c r="E17" s="135" vm="433">
        <f t="shared" si="3"/>
        <v>2548962</v>
      </c>
      <c r="F17" s="135" vm="447">
        <f t="shared" si="3"/>
        <v>3806072</v>
      </c>
      <c r="G17" s="135">
        <f t="shared" si="1"/>
        <v>13500001</v>
      </c>
      <c r="H17" s="23">
        <f t="shared" si="2"/>
        <v>3.68370338882541E-2</v>
      </c>
    </row>
    <row r="18" spans="2:8" x14ac:dyDescent="0.25">
      <c r="B18" s="115" t="str" vm="83">
        <f>CUBEMEMBER("ThisWorkbookDataModel",{"[fActualAndBudget].[StavkaGrupa].&amp;[3.1. Приходи од дејноста]","[fActualAndBudget].[StavkaImeMK].&amp;[Приходи од странство]"})</f>
        <v>Приходи од странство</v>
      </c>
      <c r="C18" s="135" vm="448">
        <f t="shared" si="3"/>
        <v>15000</v>
      </c>
      <c r="D18" s="135" vm="415">
        <f t="shared" si="3"/>
        <v>15000</v>
      </c>
      <c r="E18" s="135" vm="485">
        <f t="shared" si="3"/>
        <v>15000</v>
      </c>
      <c r="F18" s="135" vm="405">
        <f t="shared" si="3"/>
        <v>15000</v>
      </c>
      <c r="G18" s="135">
        <f t="shared" si="1"/>
        <v>60000</v>
      </c>
      <c r="H18" s="23">
        <f t="shared" si="2"/>
        <v>1.63720138487045E-4</v>
      </c>
    </row>
    <row r="19" spans="2:8" x14ac:dyDescent="0.25">
      <c r="B19" s="115" t="str" vm="84">
        <f>CUBEMEMBER("ThisWorkbookDataModel",{"[fActualAndBudget].[StavkaGrupa].&amp;[3.1. Приходи од дејноста]","[fActualAndBudget].[StavkaImeMK].&amp;[Приходи од трговски регистар]"})</f>
        <v>Приходи од трговски регистар</v>
      </c>
      <c r="C19" s="135" vm="422">
        <f t="shared" si="3"/>
        <v>42188998</v>
      </c>
      <c r="D19" s="135" vm="476">
        <f t="shared" si="3"/>
        <v>30240122</v>
      </c>
      <c r="E19" s="135" vm="446">
        <f t="shared" si="3"/>
        <v>36551571</v>
      </c>
      <c r="F19" s="135" vm="457">
        <f t="shared" si="3"/>
        <v>34781521</v>
      </c>
      <c r="G19" s="135">
        <f t="shared" si="1"/>
        <v>143762212</v>
      </c>
      <c r="H19" s="23">
        <f t="shared" si="2"/>
        <v>0.39227948763073206</v>
      </c>
    </row>
    <row r="20" spans="2:8" x14ac:dyDescent="0.25">
      <c r="B20" s="115" t="str" vm="1589">
        <f>CUBEMEMBER("ThisWorkbookDataModel",{"[fActualAndBudget].[StavkaGrupa].&amp;[3.1. Приходи од дејноста]","[fActualAndBudget].[StavkaImeMK].&amp;[Приходи од регистар на задолжница]"})</f>
        <v>Приходи од регистар на задолжница</v>
      </c>
      <c r="C20" s="135" vm="1592">
        <f>CUBEVALUE("ThisWorkbookDataModel",$C$2,$C$3,$B$5,$B20,C$6)</f>
        <v>2499</v>
      </c>
      <c r="D20" s="135" vm="1593">
        <f>CUBEVALUE("ThisWorkbookDataModel",$C$2,$C$3,$B$5,$B20,D$6)</f>
        <v>2499</v>
      </c>
      <c r="E20" s="135" vm="1591">
        <f>CUBEVALUE("ThisWorkbookDataModel",$C$2,$C$3,$B$5,$B20,E$6)</f>
        <v>2499</v>
      </c>
      <c r="F20" s="135" vm="1590">
        <f>CUBEVALUE("ThisWorkbookDataModel",$C$2,$C$3,$B$5,$B20,F$6)</f>
        <v>113610</v>
      </c>
      <c r="G20" s="135">
        <f t="shared" ref="G20" si="4">SUM(C20:F20)</f>
        <v>121107</v>
      </c>
      <c r="H20" s="23">
        <f t="shared" si="2"/>
        <v>3.30460913529176E-4</v>
      </c>
    </row>
    <row r="21" spans="2:8" x14ac:dyDescent="0.25">
      <c r="B21" s="137" t="s">
        <v>168</v>
      </c>
      <c r="C21" s="136">
        <f t="shared" ref="C21:F21" si="5">SUM(C8:C20)</f>
        <v>201126807</v>
      </c>
      <c r="D21" s="136">
        <f t="shared" si="5"/>
        <v>53868887</v>
      </c>
      <c r="E21" s="136">
        <f t="shared" si="5"/>
        <v>52255726</v>
      </c>
      <c r="F21" s="136">
        <f t="shared" si="5"/>
        <v>53809853</v>
      </c>
      <c r="G21" s="136">
        <f>SUM(G8:G20)</f>
        <v>361061273</v>
      </c>
      <c r="H21" s="26">
        <f>SUM(H8:H20)</f>
        <v>0.98521669363114606</v>
      </c>
    </row>
    <row r="22" spans="2:8" s="9" customFormat="1" x14ac:dyDescent="0.25">
      <c r="B22" s="24" t="str" vm="102">
        <f>CUBEMEMBER("ThisWorkbookDataModel","[fActualAndBudget].[StavkaGrupa].&amp;[3.2. Останати приходи]")</f>
        <v>3.2. Останати приходи</v>
      </c>
      <c r="C22" s="136"/>
      <c r="D22" s="136"/>
      <c r="E22" s="136"/>
      <c r="F22" s="136"/>
      <c r="G22" s="136"/>
      <c r="H22" s="26"/>
    </row>
    <row r="23" spans="2:8" x14ac:dyDescent="0.25">
      <c r="B23" s="115" t="str" vm="98">
        <f>CUBEMEMBER("ThisWorkbookDataModel",{"[fActualAndBudget].[StavkaGrupa].&amp;[3.2. Останати приходи]","[fActualAndBudget].[StavkaImeMK].&amp;[Приходи од камати]"})</f>
        <v>Приходи од камати</v>
      </c>
      <c r="C23" s="135" vm="513">
        <f t="shared" ref="C23:F30" si="6">CUBEVALUE("ThisWorkbookDataModel",$C$2,$C$3,$B$5,$B23,C$6)</f>
        <v>1500</v>
      </c>
      <c r="D23" s="135" vm="473">
        <f t="shared" si="6"/>
        <v>1500</v>
      </c>
      <c r="E23" s="135" vm="408">
        <f t="shared" si="6"/>
        <v>1500</v>
      </c>
      <c r="F23" s="135" vm="412">
        <f t="shared" si="6"/>
        <v>1500</v>
      </c>
      <c r="G23" s="135">
        <f>SUM(C23:F23)</f>
        <v>6000</v>
      </c>
      <c r="H23" s="23">
        <f>G23/$G$32</f>
        <v>1.63720138487045E-5</v>
      </c>
    </row>
    <row r="24" spans="2:8" x14ac:dyDescent="0.25">
      <c r="B24" s="115" t="str" vm="106">
        <f>CUBEMEMBER("ThisWorkbookDataModel",{"[fActualAndBudget].[StavkaGrupa].&amp;[3.2. Останати приходи]","[fActualAndBudget].[StavkaImeMK].&amp;[Приходи од курсни разлики]"})</f>
        <v>Приходи од курсни разлики</v>
      </c>
      <c r="C24" s="135" vm="418">
        <f t="shared" si="6"/>
        <v>1500</v>
      </c>
      <c r="D24" s="135" vm="401">
        <f t="shared" si="6"/>
        <v>1500</v>
      </c>
      <c r="E24" s="135" vm="511">
        <f t="shared" si="6"/>
        <v>1500</v>
      </c>
      <c r="F24" s="135" vm="420">
        <f t="shared" si="6"/>
        <v>1500</v>
      </c>
      <c r="G24" s="135">
        <f t="shared" ref="G24:G30" si="7">SUM(C24:F24)</f>
        <v>6000</v>
      </c>
      <c r="H24" s="23">
        <f t="shared" ref="H24:H30" si="8">G24/$G$32</f>
        <v>1.63720138487045E-5</v>
      </c>
    </row>
    <row r="25" spans="2:8" x14ac:dyDescent="0.25">
      <c r="B25" s="115" t="str" vm="107">
        <f>CUBEMEMBER("ThisWorkbookDataModel",{"[fActualAndBudget].[StavkaGrupa].&amp;[3.2. Останати приходи]","[fActualAndBudget].[StavkaImeMK].&amp;[Приходи од донации]"})</f>
        <v>Приходи од донации</v>
      </c>
      <c r="C25" s="135" vm="456">
        <f t="shared" si="6"/>
        <v>1178943</v>
      </c>
      <c r="D25" s="135" vm="509">
        <f t="shared" si="6"/>
        <v>1178943</v>
      </c>
      <c r="E25" s="135" vm="419">
        <f t="shared" si="6"/>
        <v>1178943</v>
      </c>
      <c r="F25" s="135" vm="455">
        <f t="shared" si="6"/>
        <v>1768943</v>
      </c>
      <c r="G25" s="135">
        <f t="shared" si="7"/>
        <v>5305772</v>
      </c>
      <c r="H25" s="23">
        <f t="shared" si="8"/>
        <v>1.4477695443678096E-2</v>
      </c>
    </row>
    <row r="26" spans="2:8" x14ac:dyDescent="0.25">
      <c r="B26" s="115" t="str" vm="108">
        <f>CUBEMEMBER("ThisWorkbookDataModel",{"[fActualAndBudget].[StavkaGrupa].&amp;[3.2. Останати приходи]","[fActualAndBudget].[StavkaImeMK].&amp;[Приходи од продажба на подвижен имот]"})</f>
        <v>Приходи од продажба на подвижен имот</v>
      </c>
      <c r="C26" s="135" t="str" vm="520">
        <f t="shared" si="6"/>
        <v/>
      </c>
      <c r="D26" s="135" t="str" vm="439">
        <f t="shared" si="6"/>
        <v/>
      </c>
      <c r="E26" s="135" t="str" vm="431">
        <f t="shared" si="6"/>
        <v/>
      </c>
      <c r="F26" s="135" t="str" vm="521">
        <f t="shared" si="6"/>
        <v/>
      </c>
      <c r="G26" s="135">
        <f t="shared" si="7"/>
        <v>0</v>
      </c>
      <c r="H26" s="23">
        <f t="shared" si="8"/>
        <v>0</v>
      </c>
    </row>
    <row r="27" spans="2:8" x14ac:dyDescent="0.25">
      <c r="B27" s="115" t="str" vm="92">
        <f>CUBEMEMBER("ThisWorkbookDataModel",{"[fActualAndBudget].[StavkaGrupa].&amp;[3.2. Останати приходи]","[fActualAndBudget].[StavkaImeMK].&amp;[Приходи од закуп]"})</f>
        <v>Приходи од закуп</v>
      </c>
      <c r="C27" s="135" t="str" vm="471">
        <f>CUBEVALUE("ThisWorkbookDataModel",$C$2,$C$3,$B$5,$B27,C$6)</f>
        <v/>
      </c>
      <c r="D27" s="135" t="str" vm="390">
        <f t="shared" si="6"/>
        <v/>
      </c>
      <c r="E27" s="135" t="str" vm="427">
        <f t="shared" si="6"/>
        <v/>
      </c>
      <c r="F27" s="135" t="str" vm="479">
        <f t="shared" si="6"/>
        <v/>
      </c>
      <c r="G27" s="135">
        <f t="shared" si="7"/>
        <v>0</v>
      </c>
      <c r="H27" s="23">
        <f t="shared" si="8"/>
        <v>0</v>
      </c>
    </row>
    <row r="28" spans="2:8" x14ac:dyDescent="0.25">
      <c r="B28" s="115" t="str" vm="109">
        <f>CUBEMEMBER("ThisWorkbookDataModel",{"[fActualAndBudget].[StavkaGrupa].&amp;[3.2. Останати приходи]","[fActualAndBudget].[StavkaImeMK].&amp;[Капитална добивка од продажба на материјални и неметеријални средства]"})</f>
        <v>Капитална добивка од продажба на материјални и неметеријални средства</v>
      </c>
      <c r="C28" s="135" t="str" vm="515">
        <f t="shared" si="6"/>
        <v/>
      </c>
      <c r="D28" s="135" t="str" vm="391">
        <f t="shared" si="6"/>
        <v/>
      </c>
      <c r="E28" s="135" t="str" vm="402">
        <f t="shared" si="6"/>
        <v/>
      </c>
      <c r="F28" s="135" t="str" vm="438">
        <f t="shared" si="6"/>
        <v/>
      </c>
      <c r="G28" s="135">
        <f t="shared" si="7"/>
        <v>0</v>
      </c>
      <c r="H28" s="23">
        <f t="shared" si="8"/>
        <v>0</v>
      </c>
    </row>
    <row r="29" spans="2:8" x14ac:dyDescent="0.25">
      <c r="B29" s="115" t="str" vm="110">
        <f>CUBEMEMBER("ThisWorkbookDataModel",{"[fActualAndBudget].[StavkaGrupa].&amp;[3.2. Останати приходи]","[fActualAndBudget].[StavkaImeMK].&amp;[Вонредни невообичаени приходи]"})</f>
        <v>Вонредни невообичаени приходи</v>
      </c>
      <c r="C29" s="135" t="str" vm="441">
        <f t="shared" si="6"/>
        <v/>
      </c>
      <c r="D29" s="135" t="str" vm="451">
        <f t="shared" si="6"/>
        <v/>
      </c>
      <c r="E29" s="135" t="str" vm="450">
        <f t="shared" si="6"/>
        <v/>
      </c>
      <c r="F29" s="135" t="str" vm="477">
        <f t="shared" si="6"/>
        <v/>
      </c>
      <c r="G29" s="135">
        <f t="shared" si="7"/>
        <v>0</v>
      </c>
      <c r="H29" s="23">
        <f t="shared" si="8"/>
        <v>0</v>
      </c>
    </row>
    <row r="30" spans="2:8" x14ac:dyDescent="0.25">
      <c r="B30" s="115" t="str" vm="111">
        <f>CUBEMEMBER("ThisWorkbookDataModel",{"[fActualAndBudget].[StavkaGrupa].&amp;[3.2. Останати приходи]","[fActualAndBudget].[StavkaImeMK].&amp;[Други неспомнати приходи]"})</f>
        <v>Други неспомнати приходи</v>
      </c>
      <c r="C30" s="135" vm="413">
        <f t="shared" si="6"/>
        <v>100000</v>
      </c>
      <c r="D30" s="135" vm="517">
        <f t="shared" si="6"/>
        <v>0</v>
      </c>
      <c r="E30" s="135" vm="516">
        <f t="shared" si="6"/>
        <v>0</v>
      </c>
      <c r="F30" s="135" vm="501">
        <f t="shared" si="6"/>
        <v>0</v>
      </c>
      <c r="G30" s="135">
        <f t="shared" si="7"/>
        <v>100000</v>
      </c>
      <c r="H30" s="23">
        <f t="shared" si="8"/>
        <v>2.7286689747840835E-4</v>
      </c>
    </row>
    <row r="31" spans="2:8" x14ac:dyDescent="0.25">
      <c r="B31" s="137" t="s">
        <v>169</v>
      </c>
      <c r="C31" s="136">
        <f t="shared" ref="C31:H31" si="9">SUM(C23:C30)</f>
        <v>1281943</v>
      </c>
      <c r="D31" s="136">
        <f t="shared" si="9"/>
        <v>1181943</v>
      </c>
      <c r="E31" s="136">
        <f t="shared" si="9"/>
        <v>1181943</v>
      </c>
      <c r="F31" s="136">
        <f t="shared" si="9"/>
        <v>1771943</v>
      </c>
      <c r="G31" s="136">
        <f t="shared" si="9"/>
        <v>5417772</v>
      </c>
      <c r="H31" s="26">
        <f t="shared" si="9"/>
        <v>1.4783306368853914E-2</v>
      </c>
    </row>
    <row r="32" spans="2:8" x14ac:dyDescent="0.25">
      <c r="B32" s="27" t="s">
        <v>170</v>
      </c>
      <c r="C32" s="138">
        <f t="shared" ref="C32:H32" si="10">SUM(C21,C31)</f>
        <v>202408750</v>
      </c>
      <c r="D32" s="138">
        <f t="shared" si="10"/>
        <v>55050830</v>
      </c>
      <c r="E32" s="138">
        <f t="shared" si="10"/>
        <v>53437669</v>
      </c>
      <c r="F32" s="138">
        <f t="shared" si="10"/>
        <v>55581796</v>
      </c>
      <c r="G32" s="138">
        <f t="shared" si="10"/>
        <v>366479045</v>
      </c>
      <c r="H32" s="139">
        <f t="shared" si="10"/>
        <v>1</v>
      </c>
    </row>
    <row r="34" spans="2:8" x14ac:dyDescent="0.25">
      <c r="G34" s="104"/>
    </row>
    <row r="37" spans="2:8" x14ac:dyDescent="0.25">
      <c r="B37" t="str" vm="10">
        <f>CUBEMEMBER("ThisWorkbookDataModel","[Measures].[Sum of Износ]")</f>
        <v>Sum of Износ</v>
      </c>
      <c r="H37" s="86" t="s">
        <v>327</v>
      </c>
    </row>
    <row r="38" spans="2:8" s="81" customFormat="1" x14ac:dyDescent="0.25">
      <c r="B38" s="395" t="s">
        <v>1185</v>
      </c>
      <c r="C38" s="143" t="str" vm="11">
        <f>CUBEMEMBER("ThisWorkbookDataModel","[Calendar].[Година].&amp;[2020]")</f>
        <v>2020</v>
      </c>
      <c r="D38" s="143" t="str" vm="142">
        <f>CUBEMEMBER("ThisWorkbookDataModel","[Calendar].[Година].&amp;[2021]")</f>
        <v>2021</v>
      </c>
      <c r="E38" s="391" t="s">
        <v>246</v>
      </c>
      <c r="F38" s="143" t="str" vm="250">
        <f>CUBEMEMBER("ThisWorkbookDataModel","[Calendar].[Година].&amp;[2022]")</f>
        <v>2022</v>
      </c>
      <c r="G38" s="391" t="s">
        <v>247</v>
      </c>
      <c r="H38" s="393" t="s">
        <v>797</v>
      </c>
    </row>
    <row r="39" spans="2:8" s="81" customFormat="1" ht="30" x14ac:dyDescent="0.25">
      <c r="B39" s="396"/>
      <c r="C39" s="142" t="str" vm="5">
        <f>CUBEMEMBER("ThisWorkbookDataModel","[fActualAndBudget].[ReportType].&amp;[Остварено]")</f>
        <v>Остварено</v>
      </c>
      <c r="D39" s="142" t="str" vm="7">
        <f>CUBEMEMBER("ThisWorkbookDataModel","[fActualAndBudget].[ReportType].&amp;[Предвидување]")</f>
        <v>Предвидување</v>
      </c>
      <c r="E39" s="392"/>
      <c r="F39" s="144" t="str" vm="6">
        <f>CUBEMEMBER("ThisWorkbookDataModel","[fActualAndBudget].[ReportType].&amp;[План]")</f>
        <v>План</v>
      </c>
      <c r="G39" s="392"/>
      <c r="H39" s="394"/>
    </row>
    <row r="40" spans="2:8" x14ac:dyDescent="0.25">
      <c r="B40" s="24" t="str" vm="73">
        <f>CUBEMEMBER("ThisWorkbookDataModel","[fActualAndBudget].[StavkaGrupa].&amp;[3.1. Приходи од дејноста]")</f>
        <v>3.1. Приходи од дејноста</v>
      </c>
      <c r="C40" s="135"/>
      <c r="D40" s="135"/>
      <c r="E40" s="125"/>
      <c r="F40" s="135"/>
      <c r="G40" s="125"/>
      <c r="H40" s="26"/>
    </row>
    <row r="41" spans="2:8" x14ac:dyDescent="0.25">
      <c r="B41" s="115" t="str" vm="74">
        <f>CUBEMEMBER("ThisWorkbookDataModel",{"[fActualAndBudget].[StavkaGrupa].&amp;[3.1. Приходи од дејноста]","[fActualAndBudget].[StavkaImeMK].&amp;[Приходи од годишни сметки]"})</f>
        <v>Приходи од годишни сметки</v>
      </c>
      <c r="C41" s="135" vm="409">
        <f t="shared" ref="C41:D53" si="11">CUBEVALUE("ThisWorkbookDataModel",$C$3,$B$5,$B41,C$38,C$39)</f>
        <v>176082377</v>
      </c>
      <c r="D41" s="135" vm="463">
        <f t="shared" si="11"/>
        <v>157458441</v>
      </c>
      <c r="E41" s="125">
        <f t="shared" ref="E41:E65" si="12">IF(ISERROR(IF(C41=0,0,D41/C41-1)),0,IF(C41=0,0,D41/C41-1))</f>
        <v>-0.10576831320263247</v>
      </c>
      <c r="F41" s="135" vm="393">
        <f t="shared" ref="F41:F53" si="13">CUBEVALUE("ThisWorkbookDataModel",$C$3,$B$5,$B41,F$38,F$39)</f>
        <v>167299995</v>
      </c>
      <c r="G41" s="125">
        <f t="shared" ref="G41:G65" si="14">IF(ISERROR(IF(D41=0,0,F41/D41-1)),0,IF(D41=0,0,F41/D41-1))</f>
        <v>6.2502549482247094E-2</v>
      </c>
      <c r="H41" s="23">
        <f>F41/$F$65</f>
        <v>0.45650630583803231</v>
      </c>
    </row>
    <row r="42" spans="2:8" x14ac:dyDescent="0.25">
      <c r="B42" s="115" t="str" vm="75">
        <f>CUBEMEMBER("ThisWorkbookDataModel",{"[fActualAndBudget].[StavkaGrupa].&amp;[3.1. Приходи од дејноста]","[fActualAndBudget].[StavkaImeMK].&amp;[Приходи од заложен регистар]"})</f>
        <v>Приходи од заложен регистар</v>
      </c>
      <c r="C42" s="135" vm="486">
        <f t="shared" si="11"/>
        <v>2247849</v>
      </c>
      <c r="D42" s="135" vm="472">
        <f t="shared" si="11"/>
        <v>1975200</v>
      </c>
      <c r="E42" s="125">
        <f t="shared" si="12"/>
        <v>-0.121293289718304</v>
      </c>
      <c r="F42" s="135" vm="500">
        <f t="shared" si="13"/>
        <v>2299995</v>
      </c>
      <c r="G42" s="125">
        <f t="shared" si="14"/>
        <v>0.1644365127582017</v>
      </c>
      <c r="H42" s="23">
        <f t="shared" ref="H42:H52" si="15">F42/$F$65</f>
        <v>6.2759249986585183E-3</v>
      </c>
    </row>
    <row r="43" spans="2:8" x14ac:dyDescent="0.25">
      <c r="B43" s="115" t="str" vm="76">
        <f>CUBEMEMBER("ThisWorkbookDataModel",{"[fActualAndBudget].[StavkaGrupa].&amp;[3.1. Приходи од дејноста]","[fActualAndBudget].[StavkaImeMK].&amp;[Приходи од интернет дистрибутивен систем]"})</f>
        <v>Приходи од интернет дистрибутивен систем</v>
      </c>
      <c r="C43" s="135" vm="443">
        <f t="shared" si="11"/>
        <v>9819066</v>
      </c>
      <c r="D43" s="135" vm="423">
        <f t="shared" si="11"/>
        <v>18323581</v>
      </c>
      <c r="E43" s="125">
        <f t="shared" si="12"/>
        <v>0.86612260269968644</v>
      </c>
      <c r="F43" s="135" vm="452">
        <f t="shared" si="13"/>
        <v>20000004</v>
      </c>
      <c r="G43" s="125">
        <f t="shared" si="14"/>
        <v>9.1489922193702222E-2</v>
      </c>
      <c r="H43" s="23">
        <f t="shared" si="15"/>
        <v>5.4573390410357567E-2</v>
      </c>
    </row>
    <row r="44" spans="2:8" x14ac:dyDescent="0.25">
      <c r="B44" s="115" t="str" vm="77">
        <f>CUBEMEMBER("ThisWorkbookDataModel",{"[fActualAndBudget].[StavkaGrupa].&amp;[3.1. Приходи од дејноста]","[fActualAndBudget].[StavkaImeMK].&amp;[Приходи од прекршочна постапка]"})</f>
        <v>Приходи од прекршочна постапка</v>
      </c>
      <c r="C44" s="135" vm="429">
        <f t="shared" si="11"/>
        <v>0</v>
      </c>
      <c r="D44" s="135" vm="498">
        <f t="shared" si="11"/>
        <v>0</v>
      </c>
      <c r="E44" s="125">
        <f t="shared" si="12"/>
        <v>0</v>
      </c>
      <c r="F44" s="135" vm="496">
        <f t="shared" si="13"/>
        <v>0</v>
      </c>
      <c r="G44" s="125">
        <f t="shared" si="14"/>
        <v>0</v>
      </c>
      <c r="H44" s="23">
        <f t="shared" si="15"/>
        <v>0</v>
      </c>
    </row>
    <row r="45" spans="2:8" x14ac:dyDescent="0.25">
      <c r="B45" s="115" t="str" vm="865">
        <f>CUBEMEMBER("ThisWorkbookDataModel",{"[fActualAndBudget].[StavkaGrupa].&amp;[3.1. Приходи од дејноста]","[fActualAndBudget].[StavkaImeMK].&amp;[Приходи од регистар на вистински сопственици]"})</f>
        <v>Приходи од регистар на вистински сопственици</v>
      </c>
      <c r="C45" s="135" t="str" vm="872">
        <f t="shared" si="11"/>
        <v/>
      </c>
      <c r="D45" s="135" vm="871">
        <f t="shared" si="11"/>
        <v>17834372</v>
      </c>
      <c r="E45" s="125">
        <f t="shared" si="12"/>
        <v>0</v>
      </c>
      <c r="F45" s="223" vm="870">
        <f t="shared" si="13"/>
        <v>11647944</v>
      </c>
      <c r="G45" s="125">
        <f t="shared" si="14"/>
        <v>-0.34688230121026975</v>
      </c>
      <c r="H45" s="23">
        <f t="shared" si="15"/>
        <v>3.1783383412822414E-2</v>
      </c>
    </row>
    <row r="46" spans="2:8" x14ac:dyDescent="0.25">
      <c r="B46" s="115" t="str" vm="78">
        <f>CUBEMEMBER("ThisWorkbookDataModel",{"[fActualAndBudget].[StavkaGrupa].&amp;[3.1. Приходи од дејноста]","[fActualAndBudget].[StavkaImeMK].&amp;[Приходи од регистар на директни странски инвестиции]"})</f>
        <v>Приходи од регистар на директни странски инвестиции</v>
      </c>
      <c r="C46" s="135" vm="489">
        <f t="shared" si="11"/>
        <v>1000581</v>
      </c>
      <c r="D46" s="135" vm="465">
        <f t="shared" si="11"/>
        <v>922368</v>
      </c>
      <c r="E46" s="125">
        <f t="shared" si="12"/>
        <v>-7.8167584633328069E-2</v>
      </c>
      <c r="F46" s="135" vm="389">
        <f t="shared" si="13"/>
        <v>1000008</v>
      </c>
      <c r="G46" s="125">
        <f t="shared" si="14"/>
        <v>8.4174646128226449E-2</v>
      </c>
      <c r="H46" s="23">
        <f t="shared" si="15"/>
        <v>2.7286908041358818E-3</v>
      </c>
    </row>
    <row r="47" spans="2:8" x14ac:dyDescent="0.25">
      <c r="B47" s="115" t="str" vm="79">
        <f>CUBEMEMBER("ThisWorkbookDataModel",{"[fActualAndBudget].[StavkaGrupa].&amp;[3.1. Приходи од дејноста]","[fActualAndBudget].[StavkaImeMK].&amp;[Приходи од Регистар на лизинг]"})</f>
        <v>Приходи од Регистар на лизинг</v>
      </c>
      <c r="C47" s="135" vm="411">
        <f t="shared" si="11"/>
        <v>1054180</v>
      </c>
      <c r="D47" s="135" vm="394">
        <f t="shared" si="11"/>
        <v>861232</v>
      </c>
      <c r="E47" s="125">
        <f t="shared" si="12"/>
        <v>-0.18303136086816296</v>
      </c>
      <c r="F47" s="135" vm="468">
        <f t="shared" si="13"/>
        <v>1110003</v>
      </c>
      <c r="G47" s="125">
        <f t="shared" si="14"/>
        <v>0.28885480335147795</v>
      </c>
      <c r="H47" s="23">
        <f t="shared" si="15"/>
        <v>3.0288307480172572E-3</v>
      </c>
    </row>
    <row r="48" spans="2:8" x14ac:dyDescent="0.25">
      <c r="B48" s="115" t="str" vm="80">
        <f>CUBEMEMBER("ThisWorkbookDataModel",{"[fActualAndBudget].[StavkaGrupa].&amp;[3.1. Приходи од дејноста]","[fActualAndBudget].[StavkaImeMK].&amp;[Приходи од регистар на недвижности]"})</f>
        <v>Приходи од регистар на недвижности</v>
      </c>
      <c r="C48" s="135" vm="469">
        <f t="shared" si="11"/>
        <v>39196</v>
      </c>
      <c r="D48" s="135" vm="462">
        <f t="shared" si="11"/>
        <v>40617</v>
      </c>
      <c r="E48" s="125">
        <f t="shared" si="12"/>
        <v>3.6253699357077229E-2</v>
      </c>
      <c r="F48" s="135" vm="444">
        <f t="shared" si="13"/>
        <v>50004</v>
      </c>
      <c r="G48" s="125">
        <f t="shared" si="14"/>
        <v>0.23111012630179473</v>
      </c>
      <c r="H48" s="23">
        <f t="shared" si="15"/>
        <v>1.3644436341510332E-4</v>
      </c>
    </row>
    <row r="49" spans="2:8" x14ac:dyDescent="0.25">
      <c r="B49" s="115" t="str" vm="81">
        <f>CUBEMEMBER("ThisWorkbookDataModel",{"[fActualAndBudget].[StavkaGrupa].&amp;[3.1. Приходи од дејноста]","[fActualAndBudget].[StavkaImeMK].&amp;[Приходи од Регистар на резиденти и нерезиденти]"})</f>
        <v>Приходи од Регистар на резиденти и нерезиденти</v>
      </c>
      <c r="C49" s="135" vm="434">
        <f t="shared" si="11"/>
        <v>149531</v>
      </c>
      <c r="D49" s="135" vm="488">
        <f t="shared" si="11"/>
        <v>188354</v>
      </c>
      <c r="E49" s="125">
        <f t="shared" si="12"/>
        <v>0.25963178203850701</v>
      </c>
      <c r="F49" s="135" vm="512">
        <f t="shared" si="13"/>
        <v>210000</v>
      </c>
      <c r="G49" s="125">
        <f t="shared" si="14"/>
        <v>0.11492190237531452</v>
      </c>
      <c r="H49" s="23">
        <f t="shared" si="15"/>
        <v>5.7302048470465753E-4</v>
      </c>
    </row>
    <row r="50" spans="2:8" x14ac:dyDescent="0.25">
      <c r="B50" s="115" t="str" vm="82">
        <f>CUBEMEMBER("ThisWorkbookDataModel",{"[fActualAndBudget].[StavkaGrupa].&amp;[3.1. Приходи од дејноста]","[fActualAndBudget].[StavkaImeMK].&amp;[Приходи од регистрите за кривични санкции, пресуди и др.]"})</f>
        <v>Приходи од регистрите за кривични санкции, пресуди и др.</v>
      </c>
      <c r="C50" s="135" vm="421">
        <f t="shared" si="11"/>
        <v>11771385</v>
      </c>
      <c r="D50" s="135" vm="454">
        <f t="shared" si="11"/>
        <v>13456026</v>
      </c>
      <c r="E50" s="125">
        <f t="shared" si="12"/>
        <v>0.14311323603807025</v>
      </c>
      <c r="F50" s="135" vm="506">
        <f t="shared" si="13"/>
        <v>13500001</v>
      </c>
      <c r="G50" s="125">
        <f t="shared" si="14"/>
        <v>3.2680525438937291E-3</v>
      </c>
      <c r="H50" s="23">
        <f t="shared" si="15"/>
        <v>3.68370338882541E-2</v>
      </c>
    </row>
    <row r="51" spans="2:8" x14ac:dyDescent="0.25">
      <c r="B51" s="115" t="str" vm="83">
        <f>CUBEMEMBER("ThisWorkbookDataModel",{"[fActualAndBudget].[StavkaGrupa].&amp;[3.1. Приходи од дејноста]","[fActualAndBudget].[StavkaImeMK].&amp;[Приходи од странство]"})</f>
        <v>Приходи од странство</v>
      </c>
      <c r="C51" s="135" vm="424">
        <f t="shared" si="11"/>
        <v>139623</v>
      </c>
      <c r="D51" s="135" vm="460">
        <f t="shared" si="11"/>
        <v>106386</v>
      </c>
      <c r="E51" s="125">
        <f t="shared" si="12"/>
        <v>-0.23804817257901634</v>
      </c>
      <c r="F51" s="135" vm="483">
        <f t="shared" si="13"/>
        <v>60000</v>
      </c>
      <c r="G51" s="125">
        <f t="shared" si="14"/>
        <v>-0.43601601714511307</v>
      </c>
      <c r="H51" s="23">
        <f t="shared" si="15"/>
        <v>1.63720138487045E-4</v>
      </c>
    </row>
    <row r="52" spans="2:8" x14ac:dyDescent="0.25">
      <c r="B52" s="115" t="str" vm="84">
        <f>CUBEMEMBER("ThisWorkbookDataModel",{"[fActualAndBudget].[StavkaGrupa].&amp;[3.1. Приходи од дејноста]","[fActualAndBudget].[StavkaImeMK].&amp;[Приходи од трговски регистар]"})</f>
        <v>Приходи од трговски регистар</v>
      </c>
      <c r="C52" s="135" vm="435">
        <f t="shared" si="11"/>
        <v>112844829</v>
      </c>
      <c r="D52" s="135" vm="430">
        <f t="shared" si="11"/>
        <v>142887601</v>
      </c>
      <c r="E52" s="125">
        <f t="shared" si="12"/>
        <v>0.26623082569428158</v>
      </c>
      <c r="F52" s="135" vm="461">
        <f t="shared" si="13"/>
        <v>143762212</v>
      </c>
      <c r="G52" s="125">
        <f t="shared" si="14"/>
        <v>6.1209719659300887E-3</v>
      </c>
      <c r="H52" s="23">
        <f t="shared" si="15"/>
        <v>0.39227948763073206</v>
      </c>
    </row>
    <row r="53" spans="2:8" x14ac:dyDescent="0.25">
      <c r="B53" s="115" t="str" vm="1589">
        <f>CUBEMEMBER("ThisWorkbookDataModel",{"[fActualAndBudget].[StavkaGrupa].&amp;[3.1. Приходи од дејноста]","[fActualAndBudget].[StavkaImeMK].&amp;[Приходи од регистар на задолжница]"})</f>
        <v>Приходи од регистар на задолжница</v>
      </c>
      <c r="C53" s="135" vm="1596">
        <f t="shared" si="11"/>
        <v>0</v>
      </c>
      <c r="D53" s="135" vm="1595">
        <f t="shared" si="11"/>
        <v>0</v>
      </c>
      <c r="E53" s="125">
        <f t="shared" ref="E53" si="16">IF(ISERROR(IF(C53=0,0,D53/C53-1)),0,IF(C53=0,0,D53/C53-1))</f>
        <v>0</v>
      </c>
      <c r="F53" s="135" vm="1594">
        <f t="shared" si="13"/>
        <v>121107</v>
      </c>
      <c r="G53" s="125">
        <f t="shared" ref="G53" si="17">IF(ISERROR(IF(D53=0,0,F53/D53-1)),0,IF(D53=0,0,F53/D53-1))</f>
        <v>0</v>
      </c>
      <c r="H53" s="23">
        <f t="shared" ref="H53" si="18">F53/$F$65</f>
        <v>3.30460913529176E-4</v>
      </c>
    </row>
    <row r="54" spans="2:8" x14ac:dyDescent="0.25">
      <c r="B54" s="137" t="s">
        <v>168</v>
      </c>
      <c r="C54" s="136">
        <f>SUM(C41:C53)</f>
        <v>315148617</v>
      </c>
      <c r="D54" s="136">
        <f>SUM(D41:D53)</f>
        <v>354054178</v>
      </c>
      <c r="E54" s="126">
        <f t="shared" si="12"/>
        <v>0.12345147305533</v>
      </c>
      <c r="F54" s="136">
        <f>SUM(F41:F53)</f>
        <v>361061273</v>
      </c>
      <c r="G54" s="126">
        <f t="shared" si="14"/>
        <v>1.9791024751019792E-2</v>
      </c>
      <c r="H54" s="26">
        <f>SUM(H41:H53)</f>
        <v>0.98521669363114606</v>
      </c>
    </row>
    <row r="55" spans="2:8" x14ac:dyDescent="0.25">
      <c r="B55" s="24" t="str" vm="102">
        <f>CUBEMEMBER("ThisWorkbookDataModel","[fActualAndBudget].[StavkaGrupa].&amp;[3.2. Останати приходи]")</f>
        <v>3.2. Останати приходи</v>
      </c>
      <c r="C55" s="135"/>
      <c r="D55" s="135"/>
      <c r="E55" s="125"/>
      <c r="F55" s="135"/>
      <c r="G55" s="125"/>
      <c r="H55" s="26"/>
    </row>
    <row r="56" spans="2:8" x14ac:dyDescent="0.25">
      <c r="B56" s="115" t="str" vm="98">
        <f>CUBEMEMBER("ThisWorkbookDataModel",{"[fActualAndBudget].[StavkaGrupa].&amp;[3.2. Останати приходи]","[fActualAndBudget].[StavkaImeMK].&amp;[Приходи од камати]"})</f>
        <v>Приходи од камати</v>
      </c>
      <c r="C56" s="135" vm="494">
        <f t="shared" ref="C56:D63" si="19">CUBEVALUE("ThisWorkbookDataModel",$C$3,$B$5,$B56,C$38,C$39)</f>
        <v>1831</v>
      </c>
      <c r="D56" s="135" vm="514">
        <f t="shared" si="19"/>
        <v>1976</v>
      </c>
      <c r="E56" s="125">
        <f t="shared" si="12"/>
        <v>7.9191698525395982E-2</v>
      </c>
      <c r="F56" s="135" vm="481">
        <f t="shared" ref="F56:F63" si="20">CUBEVALUE("ThisWorkbookDataModel",$C$3,$B$5,$B56,F$38,F$39)</f>
        <v>6000</v>
      </c>
      <c r="G56" s="125">
        <f t="shared" si="14"/>
        <v>2.0364372469635628</v>
      </c>
      <c r="H56" s="23">
        <f>IF(ISERROR(F56/$F$64),0,F56/$F$64)</f>
        <v>1.1074663164119863E-3</v>
      </c>
    </row>
    <row r="57" spans="2:8" x14ac:dyDescent="0.25">
      <c r="B57" s="115" t="str" vm="106">
        <f>CUBEMEMBER("ThisWorkbookDataModel",{"[fActualAndBudget].[StavkaGrupa].&amp;[3.2. Останати приходи]","[fActualAndBudget].[StavkaImeMK].&amp;[Приходи од курсни разлики]"})</f>
        <v>Приходи од курсни разлики</v>
      </c>
      <c r="C57" s="135" vm="392">
        <f t="shared" si="19"/>
        <v>1137</v>
      </c>
      <c r="D57" s="135" vm="478">
        <f t="shared" si="19"/>
        <v>4317</v>
      </c>
      <c r="E57" s="125">
        <f t="shared" si="12"/>
        <v>2.7968337730870712</v>
      </c>
      <c r="F57" s="135" vm="396">
        <f t="shared" si="20"/>
        <v>6000</v>
      </c>
      <c r="G57" s="125">
        <f t="shared" si="14"/>
        <v>0.38985406532314104</v>
      </c>
      <c r="H57" s="23">
        <f t="shared" ref="H57:H63" si="21">IF(ISERROR(F57/$F$64),0,F57/$F$64)</f>
        <v>1.1074663164119863E-3</v>
      </c>
    </row>
    <row r="58" spans="2:8" x14ac:dyDescent="0.25">
      <c r="B58" s="115" t="str" vm="107">
        <f>CUBEMEMBER("ThisWorkbookDataModel",{"[fActualAndBudget].[StavkaGrupa].&amp;[3.2. Останати приходи]","[fActualAndBudget].[StavkaImeMK].&amp;[Приходи од донации]"})</f>
        <v>Приходи од донации</v>
      </c>
      <c r="C58" s="135" vm="487">
        <f t="shared" si="19"/>
        <v>4715772</v>
      </c>
      <c r="D58" s="135" vm="510">
        <f t="shared" si="19"/>
        <v>4715772</v>
      </c>
      <c r="E58" s="125">
        <f t="shared" ref="E58:E63" si="22">IF(ISERROR(IF(C58=0,0,D58/C58-1)),0,IF(C58=0,0,D58/C58-1))</f>
        <v>0</v>
      </c>
      <c r="F58" s="135" vm="449">
        <f t="shared" si="20"/>
        <v>5305772</v>
      </c>
      <c r="G58" s="125">
        <f t="shared" ref="G58:G63" si="23">IF(ISERROR(IF(D58=0,0,F58/D58-1)),0,IF(D58=0,0,F58/D58-1))</f>
        <v>0.12511207072776198</v>
      </c>
      <c r="H58" s="23">
        <f t="shared" si="21"/>
        <v>0.97932729542697627</v>
      </c>
    </row>
    <row r="59" spans="2:8" x14ac:dyDescent="0.25">
      <c r="B59" s="115" t="str" vm="108">
        <f>CUBEMEMBER("ThisWorkbookDataModel",{"[fActualAndBudget].[StavkaGrupa].&amp;[3.2. Останати приходи]","[fActualAndBudget].[StavkaImeMK].&amp;[Приходи од продажба на подвижен имот]"})</f>
        <v>Приходи од продажба на подвижен имот</v>
      </c>
      <c r="C59" s="135" vm="425">
        <f t="shared" si="19"/>
        <v>0</v>
      </c>
      <c r="D59" s="135" vm="417">
        <f t="shared" si="19"/>
        <v>0</v>
      </c>
      <c r="E59" s="125">
        <f t="shared" si="22"/>
        <v>0</v>
      </c>
      <c r="F59" s="135" t="str" vm="410">
        <f t="shared" si="20"/>
        <v/>
      </c>
      <c r="G59" s="125">
        <f t="shared" si="23"/>
        <v>0</v>
      </c>
      <c r="H59" s="23">
        <f t="shared" si="21"/>
        <v>0</v>
      </c>
    </row>
    <row r="60" spans="2:8" x14ac:dyDescent="0.25">
      <c r="B60" s="115" t="str" vm="92">
        <f>CUBEMEMBER("ThisWorkbookDataModel",{"[fActualAndBudget].[StavkaGrupa].&amp;[3.2. Останати приходи]","[fActualAndBudget].[StavkaImeMK].&amp;[Приходи од закуп]"})</f>
        <v>Приходи од закуп</v>
      </c>
      <c r="C60" s="135" t="str" vm="442">
        <f t="shared" si="19"/>
        <v/>
      </c>
      <c r="D60" s="135" t="str" vm="474">
        <f t="shared" si="19"/>
        <v/>
      </c>
      <c r="E60" s="125">
        <f t="shared" si="22"/>
        <v>0</v>
      </c>
      <c r="F60" s="135" t="str" vm="395">
        <f t="shared" si="20"/>
        <v/>
      </c>
      <c r="G60" s="125">
        <f t="shared" si="23"/>
        <v>0</v>
      </c>
      <c r="H60" s="23">
        <f t="shared" si="21"/>
        <v>0</v>
      </c>
    </row>
    <row r="61" spans="2:8" x14ac:dyDescent="0.25">
      <c r="B61" s="115" t="str" vm="109">
        <f>CUBEMEMBER("ThisWorkbookDataModel",{"[fActualAndBudget].[StavkaGrupa].&amp;[3.2. Останати приходи]","[fActualAndBudget].[StavkaImeMK].&amp;[Капитална добивка од продажба на материјални и неметеријални средства]"})</f>
        <v>Капитална добивка од продажба на материјални и неметеријални средства</v>
      </c>
      <c r="C61" s="135" t="str" vm="502">
        <f t="shared" si="19"/>
        <v/>
      </c>
      <c r="D61" s="135" t="str" vm="505">
        <f t="shared" si="19"/>
        <v/>
      </c>
      <c r="E61" s="125">
        <f t="shared" si="22"/>
        <v>0</v>
      </c>
      <c r="F61" s="135" t="str" vm="503">
        <f t="shared" si="20"/>
        <v/>
      </c>
      <c r="G61" s="125">
        <f t="shared" si="23"/>
        <v>0</v>
      </c>
      <c r="H61" s="23">
        <f t="shared" si="21"/>
        <v>0</v>
      </c>
    </row>
    <row r="62" spans="2:8" x14ac:dyDescent="0.25">
      <c r="B62" s="115" t="str" vm="110">
        <f>CUBEMEMBER("ThisWorkbookDataModel",{"[fActualAndBudget].[StavkaGrupa].&amp;[3.2. Останати приходи]","[fActualAndBudget].[StavkaImeMK].&amp;[Вонредни невообичаени приходи]"})</f>
        <v>Вонредни невообичаени приходи</v>
      </c>
      <c r="C62" s="135" vm="499">
        <f t="shared" si="19"/>
        <v>0</v>
      </c>
      <c r="D62" s="135" vm="482">
        <f t="shared" si="19"/>
        <v>14309</v>
      </c>
      <c r="E62" s="125">
        <f t="shared" si="22"/>
        <v>0</v>
      </c>
      <c r="F62" s="135" t="str" vm="475">
        <f t="shared" si="20"/>
        <v/>
      </c>
      <c r="G62" s="125">
        <f t="shared" si="23"/>
        <v>0</v>
      </c>
      <c r="H62" s="23">
        <f t="shared" si="21"/>
        <v>0</v>
      </c>
    </row>
    <row r="63" spans="2:8" x14ac:dyDescent="0.25">
      <c r="B63" s="115" t="str" vm="111">
        <f>CUBEMEMBER("ThisWorkbookDataModel",{"[fActualAndBudget].[StavkaGrupa].&amp;[3.2. Останати приходи]","[fActualAndBudget].[StavkaImeMK].&amp;[Други неспомнати приходи]"})</f>
        <v>Други неспомнати приходи</v>
      </c>
      <c r="C63" s="135" vm="507">
        <f t="shared" si="19"/>
        <v>28143</v>
      </c>
      <c r="D63" s="135" vm="504">
        <f t="shared" si="19"/>
        <v>1591572</v>
      </c>
      <c r="E63" s="125">
        <f t="shared" si="22"/>
        <v>55.553032725722204</v>
      </c>
      <c r="F63" s="135" vm="404">
        <f t="shared" si="20"/>
        <v>100000</v>
      </c>
      <c r="G63" s="125">
        <f t="shared" si="23"/>
        <v>-0.93716903790717609</v>
      </c>
      <c r="H63" s="23">
        <f t="shared" si="21"/>
        <v>1.8457771940199773E-2</v>
      </c>
    </row>
    <row r="64" spans="2:8" x14ac:dyDescent="0.25">
      <c r="B64" s="137" t="s">
        <v>169</v>
      </c>
      <c r="C64" s="136">
        <f>SUM(C56:C63)</f>
        <v>4746883</v>
      </c>
      <c r="D64" s="136">
        <f>SUM(D56:D63)</f>
        <v>6327946</v>
      </c>
      <c r="E64" s="126">
        <f t="shared" si="12"/>
        <v>0.33307393504326943</v>
      </c>
      <c r="F64" s="136">
        <f>SUM(F56:F63)</f>
        <v>5417772</v>
      </c>
      <c r="G64" s="126">
        <f t="shared" si="14"/>
        <v>-0.14383403398195871</v>
      </c>
      <c r="H64" s="26">
        <f>F64/F65</f>
        <v>1.4783306368853914E-2</v>
      </c>
    </row>
    <row r="65" spans="2:8" x14ac:dyDescent="0.25">
      <c r="B65" s="27" t="s">
        <v>170</v>
      </c>
      <c r="C65" s="138">
        <f>SUM(C54,C64)</f>
        <v>319895500</v>
      </c>
      <c r="D65" s="138">
        <f>SUM(D54,D64)</f>
        <v>360382124</v>
      </c>
      <c r="E65" s="127">
        <f t="shared" si="12"/>
        <v>0.1265620304130568</v>
      </c>
      <c r="F65" s="138">
        <f>SUM(F54,F64)</f>
        <v>366479045</v>
      </c>
      <c r="G65" s="127">
        <f t="shared" si="14"/>
        <v>1.6917934031600357E-2</v>
      </c>
      <c r="H65" s="29">
        <f>SUM(H54,H64)</f>
        <v>1</v>
      </c>
    </row>
    <row r="67" spans="2:8" x14ac:dyDescent="0.25">
      <c r="F67" t="b">
        <f>F65=G32</f>
        <v>1</v>
      </c>
    </row>
    <row r="68" spans="2:8" x14ac:dyDescent="0.25">
      <c r="C68" s="1">
        <f>'2. Bilans Na Uspeh'!C82+'2. Bilans Na Uspeh'!C106-'3.Specificirani prihodi'!C65</f>
        <v>0</v>
      </c>
      <c r="D68" s="1">
        <f>'2. Bilans Na Uspeh'!D82+'2. Bilans Na Uspeh'!D106-'3.Specificirani prihodi'!D65</f>
        <v>0</v>
      </c>
      <c r="F68" s="1">
        <f>'2. Bilans Na Uspeh'!F82+'2. Bilans Na Uspeh'!F106-'3.Specificirani prihodi'!F65</f>
        <v>0</v>
      </c>
    </row>
  </sheetData>
  <sheetProtection algorithmName="SHA-512" hashValue="fGbs2T42UpEKSoCHS3wcfi4ye+mNY40o+5jRNbwoI6QeWRMT7F375Ficq/RDywrfWslCD65DcfXgPxTlQ7/eaQ==" saltValue="Lq17NGO7W/iw07jwpHuTXg==" spinCount="100000" sheet="1" objects="1" scenarios="1"/>
  <mergeCells count="4">
    <mergeCell ref="E38:E39"/>
    <mergeCell ref="G38:G39"/>
    <mergeCell ref="H38:H39"/>
    <mergeCell ref="B38:B39"/>
  </mergeCells>
  <pageMargins left="0.7" right="0.7" top="0.75" bottom="0.75" header="0.3" footer="0.3"/>
  <pageSetup scale="78"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rgb="FF92D050"/>
    <pageSetUpPr fitToPage="1"/>
  </sheetPr>
  <dimension ref="B2:H75"/>
  <sheetViews>
    <sheetView showGridLines="0" topLeftCell="A49" workbookViewId="0">
      <selection activeCell="J59" sqref="J59"/>
    </sheetView>
  </sheetViews>
  <sheetFormatPr defaultRowHeight="15" x14ac:dyDescent="0.25"/>
  <cols>
    <col min="2" max="2" width="72.28515625" style="14" bestFit="1" customWidth="1"/>
    <col min="3" max="3" width="14" customWidth="1"/>
    <col min="4" max="4" width="14.7109375" bestFit="1" customWidth="1"/>
    <col min="5" max="5" width="13.7109375" customWidth="1"/>
    <col min="6" max="6" width="13.7109375" bestFit="1" customWidth="1"/>
    <col min="7" max="7" width="12.7109375" customWidth="1"/>
    <col min="8" max="8" width="13.42578125" customWidth="1"/>
    <col min="9" max="9" width="10.140625" bestFit="1" customWidth="1"/>
    <col min="10" max="10" width="13.140625" bestFit="1" customWidth="1"/>
    <col min="11" max="12" width="11.140625" bestFit="1" customWidth="1"/>
    <col min="13" max="13" width="10.140625" bestFit="1" customWidth="1"/>
    <col min="14" max="14" width="13.140625" bestFit="1" customWidth="1"/>
    <col min="15" max="15" width="10.28515625" bestFit="1" customWidth="1"/>
    <col min="16" max="17" width="10.140625" bestFit="1" customWidth="1"/>
    <col min="18" max="18" width="13.140625" bestFit="1" customWidth="1"/>
    <col min="19" max="19" width="10.28515625" bestFit="1" customWidth="1"/>
    <col min="20" max="21" width="10.140625" bestFit="1" customWidth="1"/>
    <col min="22" max="22" width="13.140625" bestFit="1" customWidth="1"/>
    <col min="23" max="23" width="10.28515625" bestFit="1" customWidth="1"/>
    <col min="24" max="25" width="10.140625" bestFit="1" customWidth="1"/>
    <col min="26" max="26" width="13.140625" bestFit="1" customWidth="1"/>
    <col min="27" max="27" width="11.140625" bestFit="1" customWidth="1"/>
    <col min="28" max="28" width="13.140625" bestFit="1" customWidth="1"/>
    <col min="29" max="29" width="12.7109375" bestFit="1" customWidth="1"/>
    <col min="30" max="30" width="9" bestFit="1" customWidth="1"/>
    <col min="31" max="34" width="11" bestFit="1" customWidth="1"/>
  </cols>
  <sheetData>
    <row r="2" spans="2:8" x14ac:dyDescent="0.25">
      <c r="B2" s="4" t="s">
        <v>152</v>
      </c>
      <c r="C2" t="s" vm="12">
        <v>239</v>
      </c>
    </row>
    <row r="3" spans="2:8" x14ac:dyDescent="0.25">
      <c r="B3" s="4" t="s">
        <v>244</v>
      </c>
      <c r="C3" t="s" vm="13">
        <v>245</v>
      </c>
    </row>
    <row r="5" spans="2:8" x14ac:dyDescent="0.25">
      <c r="B5" s="14" t="str" vm="10">
        <f>CUBEMEMBER("ThisWorkbookDataModel","[Measures].[Sum of Износ]")</f>
        <v>Sum of Износ</v>
      </c>
      <c r="H5" s="86" t="s">
        <v>327</v>
      </c>
    </row>
    <row r="6" spans="2:8" s="16" customFormat="1" ht="45" x14ac:dyDescent="0.25">
      <c r="B6" s="150" t="s">
        <v>175</v>
      </c>
      <c r="C6" s="133" t="str" vm="248">
        <f>CUBEMEMBER("ThisWorkbookDataModel","[Calendar].[Квартал].&amp;[2022-03-31T00:00:00]")</f>
        <v>3/31/2022</v>
      </c>
      <c r="D6" s="133" t="str" vm="247">
        <f>CUBEMEMBER("ThisWorkbookDataModel","[Calendar].[Квартал].&amp;[2022-06-30T00:00:00]")</f>
        <v>6/30/2022</v>
      </c>
      <c r="E6" s="133" t="str" vm="251">
        <f>CUBEMEMBER("ThisWorkbookDataModel","[Calendar].[Квартал].&amp;[2022-09-30T00:00:00]")</f>
        <v>9/30/2022</v>
      </c>
      <c r="F6" s="133" t="str" vm="249">
        <f>CUBEMEMBER("ThisWorkbookDataModel","[Calendar].[Квартал].&amp;[2022-12-31T00:00:00]")</f>
        <v>12/31/2022</v>
      </c>
      <c r="G6" s="133" t="s">
        <v>800</v>
      </c>
      <c r="H6" s="134" t="s">
        <v>797</v>
      </c>
    </row>
    <row r="7" spans="2:8" x14ac:dyDescent="0.25">
      <c r="B7" s="151" t="str" vm="95">
        <f>CUBEMEMBER("ThisWorkbookDataModel","[fActualAndBudget].[StavkaGrupa].&amp;[4.1. Расходи од дејноста]")</f>
        <v>4.1. Расходи од дејноста</v>
      </c>
      <c r="C7" s="135"/>
      <c r="D7" s="135"/>
      <c r="E7" s="135"/>
      <c r="F7" s="135"/>
      <c r="G7" s="135"/>
      <c r="H7" s="26"/>
    </row>
    <row r="8" spans="2:8" x14ac:dyDescent="0.25">
      <c r="B8" s="149" t="str" vm="90">
        <f>CUBEMEMBER("ThisWorkbookDataModel",{"[fActualAndBudget].[StavkaGrupa].&amp;[4.1. Расходи од дејноста]","[fActualAndBudget].[StavkaImeMK].&amp;[Амортизација по минимални стапки]"})</f>
        <v>Амортизација по минимални стапки</v>
      </c>
      <c r="C8" s="135" vm="640">
        <f>CUBEVALUE("ThisWorkbookDataModel",$C$2,$C$3,$B$5,$B8,C$6)</f>
        <v>12417102</v>
      </c>
      <c r="D8" s="135" vm="590">
        <f>CUBEVALUE("ThisWorkbookDataModel",$C$2,$C$3,$B$5,$B8,D$6)</f>
        <v>13060974</v>
      </c>
      <c r="E8" s="135" vm="531">
        <f>CUBEVALUE("ThisWorkbookDataModel",$C$2,$C$3,$B$5,$B8,E$6)</f>
        <v>13828412</v>
      </c>
      <c r="F8" s="135" vm="657">
        <f>CUBEVALUE("ThisWorkbookDataModel",$C$2,$C$3,$B$5,$B8,F$6)</f>
        <v>14923142</v>
      </c>
      <c r="G8" s="135">
        <f t="shared" ref="G8:G25" si="0">SUM(C8:F8)</f>
        <v>54229630</v>
      </c>
      <c r="H8" s="23">
        <f>G8/$G$32</f>
        <v>0.14905473995300569</v>
      </c>
    </row>
    <row r="9" spans="2:8" x14ac:dyDescent="0.25">
      <c r="B9" s="149" t="str" vm="105">
        <f>CUBEMEMBER("ThisWorkbookDataModel",{"[fActualAndBudget].[StavkaGrupa].&amp;[4.1. Расходи од дејноста]","[fActualAndBudget].[StavkaImeMK].&amp;[Банкарски услуги и трошоци за платен промет]"})</f>
        <v>Банкарски услуги и трошоци за платен промет</v>
      </c>
      <c r="C9" s="135" vm="596">
        <f t="shared" ref="C9:F24" si="1">CUBEVALUE("ThisWorkbookDataModel",$C$2,$C$3,$B$5,$B9,C$6)</f>
        <v>63564</v>
      </c>
      <c r="D9" s="135" vm="609">
        <f t="shared" si="1"/>
        <v>63564</v>
      </c>
      <c r="E9" s="135" vm="551">
        <f t="shared" si="1"/>
        <v>63564</v>
      </c>
      <c r="F9" s="135" vm="626">
        <f t="shared" si="1"/>
        <v>63564</v>
      </c>
      <c r="G9" s="135">
        <f t="shared" si="0"/>
        <v>254256</v>
      </c>
      <c r="H9" s="23">
        <f t="shared" ref="H9:H24" si="2">G9/$G$32</f>
        <v>6.9884419203102466E-4</v>
      </c>
    </row>
    <row r="10" spans="2:8" x14ac:dyDescent="0.25">
      <c r="B10" s="149" t="str" vm="86">
        <f>CUBEMEMBER("ThisWorkbookDataModel",{"[fActualAndBudget].[StavkaGrupa].&amp;[4.1. Расходи од дејноста]","[fActualAndBudget].[StavkaImeMK].&amp;[Даноци,чланарини и други давачки кои не зависат од резултатот]"})</f>
        <v>Даноци,чланарини и други давачки кои не зависат од резултатот</v>
      </c>
      <c r="C10" s="135" vm="554">
        <f t="shared" si="1"/>
        <v>28320</v>
      </c>
      <c r="D10" s="135" vm="527">
        <f t="shared" si="1"/>
        <v>118000</v>
      </c>
      <c r="E10" s="135" t="str" vm="655">
        <f t="shared" si="1"/>
        <v/>
      </c>
      <c r="F10" s="135" vm="641">
        <f t="shared" si="1"/>
        <v>1026600</v>
      </c>
      <c r="G10" s="135">
        <f t="shared" si="0"/>
        <v>1172920</v>
      </c>
      <c r="H10" s="23">
        <f t="shared" si="2"/>
        <v>3.223870153377027E-3</v>
      </c>
    </row>
    <row r="11" spans="2:8" x14ac:dyDescent="0.25">
      <c r="B11" s="149" t="str" vm="104">
        <f>CUBEMEMBER("ThisWorkbookDataModel",{"[fActualAndBudget].[StavkaGrupa].&amp;[4.1. Расходи од дејноста]","[fActualAndBudget].[StavkaImeMK].&amp;[Дневници за службени патувања и патни трошоци]"})</f>
        <v>Дневници за службени патувања и патни трошоци</v>
      </c>
      <c r="C11" s="135" vm="576">
        <f t="shared" si="1"/>
        <v>465000</v>
      </c>
      <c r="D11" s="135" vm="631">
        <f t="shared" si="1"/>
        <v>465000</v>
      </c>
      <c r="E11" s="135" vm="524">
        <f t="shared" si="1"/>
        <v>465000</v>
      </c>
      <c r="F11" s="135" vm="586">
        <f t="shared" si="1"/>
        <v>520000</v>
      </c>
      <c r="G11" s="135">
        <f t="shared" si="0"/>
        <v>1915000</v>
      </c>
      <c r="H11" s="23">
        <f t="shared" si="2"/>
        <v>5.2635400058972538E-3</v>
      </c>
    </row>
    <row r="12" spans="2:8" x14ac:dyDescent="0.25">
      <c r="B12" s="149" t="str" vm="101">
        <f>CUBEMEMBER("ThisWorkbookDataModel",{"[fActualAndBudget].[StavkaGrupa].&amp;[4.1. Расходи од дејноста]","[fActualAndBudget].[StavkaImeMK].&amp;[Надворешни услуги]"})</f>
        <v>Надворешни услуги</v>
      </c>
      <c r="C12" s="135" vm="556">
        <f t="shared" si="1"/>
        <v>398500</v>
      </c>
      <c r="D12" s="135" vm="637">
        <f t="shared" si="1"/>
        <v>250500</v>
      </c>
      <c r="E12" s="135" vm="573">
        <f t="shared" si="1"/>
        <v>250500</v>
      </c>
      <c r="F12" s="135" vm="623">
        <f t="shared" si="1"/>
        <v>250500</v>
      </c>
      <c r="G12" s="135">
        <f t="shared" si="0"/>
        <v>1150000</v>
      </c>
      <c r="H12" s="23">
        <f t="shared" si="2"/>
        <v>3.1608725883978286E-3</v>
      </c>
    </row>
    <row r="13" spans="2:8" x14ac:dyDescent="0.25">
      <c r="B13" s="149" t="str" vm="99">
        <f>CUBEMEMBER("ThisWorkbookDataModel",{"[fActualAndBudget].[StavkaGrupa].&amp;[4.1. Расходи од дејноста]","[fActualAndBudget].[StavkaImeMK].&amp;[Надомест на трошоци на вработените, подароци и помошти]"})</f>
        <v>Надомест на трошоци на вработените, подароци и помошти</v>
      </c>
      <c r="C13" s="135" vm="594">
        <f t="shared" si="1"/>
        <v>60023373</v>
      </c>
      <c r="D13" s="135" vm="526">
        <f t="shared" si="1"/>
        <v>66170973</v>
      </c>
      <c r="E13" s="135" vm="638">
        <f t="shared" si="1"/>
        <v>57098365</v>
      </c>
      <c r="F13" s="135" vm="582">
        <f t="shared" si="1"/>
        <v>57131378</v>
      </c>
      <c r="G13" s="135">
        <f t="shared" si="0"/>
        <v>240424089</v>
      </c>
      <c r="H13" s="23">
        <f t="shared" si="2"/>
        <v>0.66082601087879989</v>
      </c>
    </row>
    <row r="14" spans="2:8" x14ac:dyDescent="0.25">
      <c r="B14" s="149" t="str" vm="97">
        <f>CUBEMEMBER("ThisWorkbookDataModel",{"[fActualAndBudget].[StavkaGrupa].&amp;[4.1. Расходи од дејноста]","[fActualAndBudget].[StavkaImeMK].&amp;[Наемнини и лизинг]"})</f>
        <v>Наемнини и лизинг</v>
      </c>
      <c r="C14" s="135" vm="639">
        <f t="shared" si="1"/>
        <v>54000</v>
      </c>
      <c r="D14" s="135" vm="621">
        <f t="shared" si="1"/>
        <v>84000</v>
      </c>
      <c r="E14" s="135" vm="525">
        <f t="shared" si="1"/>
        <v>54000</v>
      </c>
      <c r="F14" s="135" vm="662">
        <f t="shared" si="1"/>
        <v>54000</v>
      </c>
      <c r="G14" s="135">
        <f t="shared" si="0"/>
        <v>246000</v>
      </c>
      <c r="H14" s="23">
        <f t="shared" si="2"/>
        <v>6.7615187543118766E-4</v>
      </c>
    </row>
    <row r="15" spans="2:8" x14ac:dyDescent="0.25">
      <c r="B15" s="149" t="str" vm="94">
        <f>CUBEMEMBER("ThisWorkbookDataModel",{"[fActualAndBudget].[StavkaGrupa].&amp;[4.1. Расходи од дејноста]","[fActualAndBudget].[StavkaImeMK].&amp;[Останати нематеријални трошоци]"})</f>
        <v>Останати нематеријални трошоци</v>
      </c>
      <c r="C15" s="135" vm="613">
        <f t="shared" si="1"/>
        <v>703170</v>
      </c>
      <c r="D15" s="135" vm="591">
        <f t="shared" si="1"/>
        <v>803170</v>
      </c>
      <c r="E15" s="135" vm="530">
        <f t="shared" si="1"/>
        <v>703170</v>
      </c>
      <c r="F15" s="135" vm="533">
        <f t="shared" si="1"/>
        <v>703170</v>
      </c>
      <c r="G15" s="135">
        <f t="shared" si="0"/>
        <v>2912680</v>
      </c>
      <c r="H15" s="23">
        <f t="shared" si="2"/>
        <v>8.0057481484996414E-3</v>
      </c>
    </row>
    <row r="16" spans="2:8" x14ac:dyDescent="0.25">
      <c r="B16" s="149" t="str" vm="89">
        <f>CUBEMEMBER("ThisWorkbookDataModel",{"[fActualAndBudget].[StavkaGrupa].&amp;[4.1. Расходи од дејноста]","[fActualAndBudget].[StavkaImeMK].&amp;[Останати услуги]"})</f>
        <v>Останати услуги</v>
      </c>
      <c r="C16" s="135" vm="614">
        <f t="shared" si="1"/>
        <v>5388967</v>
      </c>
      <c r="D16" s="135" vm="557">
        <f t="shared" si="1"/>
        <v>5168967</v>
      </c>
      <c r="E16" s="135" vm="660">
        <f t="shared" si="1"/>
        <v>4459981</v>
      </c>
      <c r="F16" s="135" vm="566">
        <f t="shared" si="1"/>
        <v>4209981</v>
      </c>
      <c r="G16" s="135">
        <f t="shared" si="0"/>
        <v>19227896</v>
      </c>
      <c r="H16" s="23">
        <f t="shared" si="2"/>
        <v>5.2849503825186307E-2</v>
      </c>
    </row>
    <row r="17" spans="2:8" x14ac:dyDescent="0.25">
      <c r="B17" s="149" t="str" vm="87">
        <f>CUBEMEMBER("ThisWorkbookDataModel",{"[fActualAndBudget].[StavkaGrupa].&amp;[4.1. Расходи од дејноста]","[fActualAndBudget].[StavkaImeMK].&amp;[Потрoшена енергија и гориво за возила]"})</f>
        <v>Потрoшена енергија и гориво за возила</v>
      </c>
      <c r="C17" s="135" vm="592">
        <f t="shared" si="1"/>
        <v>3016326</v>
      </c>
      <c r="D17" s="135" vm="650">
        <f t="shared" si="1"/>
        <v>2180001</v>
      </c>
      <c r="E17" s="135" vm="553">
        <f t="shared" si="1"/>
        <v>2180001</v>
      </c>
      <c r="F17" s="135" vm="620">
        <f t="shared" si="1"/>
        <v>2458776</v>
      </c>
      <c r="G17" s="135">
        <f t="shared" si="0"/>
        <v>9835104</v>
      </c>
      <c r="H17" s="23">
        <f t="shared" si="2"/>
        <v>2.7032617945775512E-2</v>
      </c>
    </row>
    <row r="18" spans="2:8" x14ac:dyDescent="0.25">
      <c r="B18" s="149" t="str" vm="85">
        <f>CUBEMEMBER("ThisWorkbookDataModel",{"[fActualAndBudget].[StavkaGrupa].&amp;[4.1. Расходи од дејноста]","[fActualAndBudget].[StavkaImeMK].&amp;[Потрошени резервни делови]"})</f>
        <v>Потрошени резервни делови</v>
      </c>
      <c r="C18" s="135" vm="559">
        <f t="shared" si="1"/>
        <v>10314</v>
      </c>
      <c r="D18" s="135" vm="588">
        <f t="shared" si="1"/>
        <v>10314</v>
      </c>
      <c r="E18" s="135" vm="580">
        <f t="shared" si="1"/>
        <v>10314</v>
      </c>
      <c r="F18" s="135" vm="537">
        <f t="shared" si="1"/>
        <v>10314</v>
      </c>
      <c r="G18" s="135">
        <f t="shared" si="0"/>
        <v>41256</v>
      </c>
      <c r="H18" s="23">
        <f t="shared" si="2"/>
        <v>1.1339561696255724E-4</v>
      </c>
    </row>
    <row r="19" spans="2:8" x14ac:dyDescent="0.25">
      <c r="B19" s="149" t="str" vm="103">
        <f>CUBEMEMBER("ThisWorkbookDataModel",{"[fActualAndBudget].[StavkaGrupa].&amp;[4.1. Расходи од дејноста]","[fActualAndBudget].[StavkaImeMK].&amp;[Потрошени суровини и материјали]"})</f>
        <v>Потрошени суровини и материјали</v>
      </c>
      <c r="C19" s="135" vm="529">
        <f t="shared" si="1"/>
        <v>1551763</v>
      </c>
      <c r="D19" s="135" vm="627">
        <f t="shared" si="1"/>
        <v>769263</v>
      </c>
      <c r="E19" s="135" vm="571">
        <f t="shared" si="1"/>
        <v>769263</v>
      </c>
      <c r="F19" s="135" vm="570">
        <f t="shared" si="1"/>
        <v>769263</v>
      </c>
      <c r="G19" s="135">
        <f t="shared" si="0"/>
        <v>3859552</v>
      </c>
      <c r="H19" s="23">
        <f t="shared" si="2"/>
        <v>1.0608306191561754E-2</v>
      </c>
    </row>
    <row r="20" spans="2:8" x14ac:dyDescent="0.25">
      <c r="B20" s="149" t="str" vm="100">
        <f>CUBEMEMBER("ThisWorkbookDataModel",{"[fActualAndBudget].[StavkaGrupa].&amp;[4.1. Расходи од дејноста]","[fActualAndBudget].[StavkaImeMK].&amp;[Потрошок на ситен инвентар и автогуми]"})</f>
        <v>Потрошок на ситен инвентар и автогуми</v>
      </c>
      <c r="C20" s="135" vm="654">
        <f t="shared" si="1"/>
        <v>225324</v>
      </c>
      <c r="D20" s="135" vm="645">
        <f t="shared" si="1"/>
        <v>270324</v>
      </c>
      <c r="E20" s="135" vm="615">
        <f t="shared" si="1"/>
        <v>225324</v>
      </c>
      <c r="F20" s="135" vm="663">
        <f t="shared" si="1"/>
        <v>270324</v>
      </c>
      <c r="G20" s="135">
        <f t="shared" si="0"/>
        <v>991296</v>
      </c>
      <c r="H20" s="23">
        <f t="shared" si="2"/>
        <v>2.7246611768594903E-3</v>
      </c>
    </row>
    <row r="21" spans="2:8" x14ac:dyDescent="0.25">
      <c r="B21" s="149" t="str" vm="91">
        <f>CUBEMEMBER("ThisWorkbookDataModel",{"[fActualAndBudget].[StavkaGrupa].&amp;[4.1. Расходи од дејноста]","[fActualAndBudget].[StavkaImeMK].&amp;[Премии за осигурување]"})</f>
        <v>Премии за осигурување</v>
      </c>
      <c r="C21" s="135" t="str" vm="664">
        <f t="shared" si="1"/>
        <v/>
      </c>
      <c r="D21" s="135" vm="597">
        <f t="shared" si="1"/>
        <v>1151243</v>
      </c>
      <c r="E21" s="135" t="str" vm="603">
        <f t="shared" si="1"/>
        <v/>
      </c>
      <c r="F21" s="135" t="str" vm="659">
        <f t="shared" si="1"/>
        <v/>
      </c>
      <c r="G21" s="135">
        <f t="shared" si="0"/>
        <v>1151243</v>
      </c>
      <c r="H21" s="23">
        <f t="shared" si="2"/>
        <v>3.1642890793781579E-3</v>
      </c>
    </row>
    <row r="22" spans="2:8" x14ac:dyDescent="0.25">
      <c r="B22" s="149" t="str" vm="96">
        <f>CUBEMEMBER("ThisWorkbookDataModel",{"[fActualAndBudget].[StavkaGrupa].&amp;[4.1. Расходи од дејноста]","[fActualAndBudget].[StavkaImeMK].&amp;[Транспортни услуги]"})</f>
        <v>Транспортни услуги</v>
      </c>
      <c r="C22" s="135" vm="544">
        <f t="shared" si="1"/>
        <v>2573050</v>
      </c>
      <c r="D22" s="135" vm="545">
        <f t="shared" si="1"/>
        <v>2473050</v>
      </c>
      <c r="E22" s="135" vm="610">
        <f t="shared" si="1"/>
        <v>2473050</v>
      </c>
      <c r="F22" s="135" vm="583">
        <f t="shared" si="1"/>
        <v>2473050</v>
      </c>
      <c r="G22" s="135">
        <f t="shared" si="0"/>
        <v>9992200</v>
      </c>
      <c r="H22" s="23">
        <f t="shared" si="2"/>
        <v>2.7464409632859812E-2</v>
      </c>
    </row>
    <row r="23" spans="2:8" x14ac:dyDescent="0.25">
      <c r="B23" s="149" t="str" vm="93">
        <f>CUBEMEMBER("ThisWorkbookDataModel",{"[fActualAndBudget].[StavkaGrupa].&amp;[4.1. Расходи од дејноста]","[fActualAndBudget].[StavkaImeMK].&amp;[Трошоци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23" s="135" vm="617">
        <f t="shared" si="1"/>
        <v>489500</v>
      </c>
      <c r="D23" s="135" vm="522">
        <f t="shared" si="1"/>
        <v>88500</v>
      </c>
      <c r="E23" s="135" t="str" vm="643">
        <f t="shared" si="1"/>
        <v/>
      </c>
      <c r="F23" s="135" vm="649">
        <f t="shared" si="1"/>
        <v>0</v>
      </c>
      <c r="G23" s="135">
        <f t="shared" si="0"/>
        <v>578000</v>
      </c>
      <c r="H23" s="23">
        <f t="shared" si="2"/>
        <v>1.5886820487773434E-3</v>
      </c>
    </row>
    <row r="24" spans="2:8" x14ac:dyDescent="0.25">
      <c r="B24" s="149" t="str" vm="88">
        <f>CUBEMEMBER("ThisWorkbookDataModel",{"[fActualAndBudget].[StavkaGrupa].&amp;[4.1. Расходи од дејноста]","[fActualAndBudget].[StavkaImeMK].&amp;[Услуги за одржување и заштита]"})</f>
        <v>Услуги за одржување и заштита</v>
      </c>
      <c r="C24" s="135" vm="538">
        <f t="shared" si="1"/>
        <v>3939366</v>
      </c>
      <c r="D24" s="135" vm="546">
        <f t="shared" si="1"/>
        <v>3939366</v>
      </c>
      <c r="E24" s="135" vm="661">
        <f t="shared" si="1"/>
        <v>3939366</v>
      </c>
      <c r="F24" s="135" vm="541">
        <f t="shared" si="1"/>
        <v>3939366</v>
      </c>
      <c r="G24" s="135">
        <f t="shared" si="0"/>
        <v>15757464</v>
      </c>
      <c r="H24" s="23">
        <f t="shared" si="2"/>
        <v>4.3310726974144002E-2</v>
      </c>
    </row>
    <row r="25" spans="2:8" x14ac:dyDescent="0.25">
      <c r="B25" s="152" t="s">
        <v>171</v>
      </c>
      <c r="C25" s="141">
        <f>SUM(C8:C24)</f>
        <v>91347639</v>
      </c>
      <c r="D25" s="141">
        <f>SUM(D8:D24)</f>
        <v>97067209</v>
      </c>
      <c r="E25" s="141">
        <f>SUM(E8:E24)</f>
        <v>86520310</v>
      </c>
      <c r="F25" s="141">
        <f>SUM(F8:F24)</f>
        <v>88803428</v>
      </c>
      <c r="G25" s="136">
        <f t="shared" si="0"/>
        <v>363738586</v>
      </c>
      <c r="H25" s="26">
        <f>SUM(H8:H24)</f>
        <v>0.99976637028694448</v>
      </c>
    </row>
    <row r="26" spans="2:8" x14ac:dyDescent="0.25">
      <c r="B26" s="153" t="s">
        <v>172</v>
      </c>
      <c r="C26" s="119"/>
      <c r="D26" s="119"/>
      <c r="E26" s="119"/>
      <c r="F26" s="119"/>
      <c r="G26" s="119"/>
      <c r="H26" s="23"/>
    </row>
    <row r="27" spans="2:8" x14ac:dyDescent="0.25">
      <c r="B27" s="149" t="str" vm="113">
        <f>CUBEMEMBER("ThisWorkbookDataModel",{"[fActualAndBudget].[StavkaGrupa].&amp;[4.2. Останати расходи]","[fActualAndBudget].[StavkaImeMK].&amp;[Курсни разлики]"})</f>
        <v>Курсни разлики</v>
      </c>
      <c r="C27" s="135" t="str" vm="608">
        <f t="shared" ref="C27:F30" si="3">CUBEVALUE("ThisWorkbookDataModel",$C$2,$C$3,$B$5,$B27,C$6)</f>
        <v/>
      </c>
      <c r="D27" s="135" t="str" vm="532">
        <f t="shared" si="3"/>
        <v/>
      </c>
      <c r="E27" s="135" t="str" vm="648">
        <f t="shared" si="3"/>
        <v/>
      </c>
      <c r="F27" s="135" vm="547">
        <f t="shared" si="3"/>
        <v>5000</v>
      </c>
      <c r="G27" s="135">
        <f t="shared" ref="G27:G32" si="4">SUM(C27:F27)</f>
        <v>5000</v>
      </c>
      <c r="H27" s="23">
        <f>IF(ISERROR(G27/$G$32),0,G27/$G$32)</f>
        <v>1.3742924297381864E-5</v>
      </c>
    </row>
    <row r="28" spans="2:8" x14ac:dyDescent="0.25">
      <c r="B28" s="149" t="str" vm="112">
        <f>CUBEMEMBER("ThisWorkbookDataModel",{"[fActualAndBudget].[StavkaGrupa].&amp;[4.2. Останати расходи]","[fActualAndBudget].[StavkaImeMK].&amp;[Казни, пенали и надомест на штети затезни камати]"})</f>
        <v>Казни, пенали и надомест на штети затезни камати</v>
      </c>
      <c r="C28" s="135" t="str" vm="602">
        <f t="shared" si="3"/>
        <v/>
      </c>
      <c r="D28" s="135" t="str" vm="534">
        <f t="shared" si="3"/>
        <v/>
      </c>
      <c r="E28" s="135" t="str" vm="539">
        <f t="shared" si="3"/>
        <v/>
      </c>
      <c r="F28" s="135" t="str" vm="563">
        <f t="shared" si="3"/>
        <v/>
      </c>
      <c r="G28" s="135">
        <f t="shared" si="4"/>
        <v>0</v>
      </c>
      <c r="H28" s="23">
        <f>IF(ISERROR(G28/$G$32),0,G28/$G$32)</f>
        <v>0</v>
      </c>
    </row>
    <row r="29" spans="2:8" x14ac:dyDescent="0.25">
      <c r="B29" s="149" t="str" vm="114">
        <f>CUBEMEMBER("ThisWorkbookDataModel",{"[fActualAndBudget].[StavkaGrupa].&amp;[4.2. Останати расходи]","[fActualAndBudget].[StavkaImeMK].&amp;[Загуби и кусоци]"})</f>
        <v>Загуби и кусоци</v>
      </c>
      <c r="C29" s="135" t="str" vm="629">
        <f t="shared" si="3"/>
        <v/>
      </c>
      <c r="D29" s="135" t="str" vm="605">
        <f t="shared" si="3"/>
        <v/>
      </c>
      <c r="E29" s="135" t="str" vm="540">
        <f t="shared" si="3"/>
        <v/>
      </c>
      <c r="F29" s="135" t="str" vm="562">
        <f t="shared" si="3"/>
        <v/>
      </c>
      <c r="G29" s="135">
        <f t="shared" si="4"/>
        <v>0</v>
      </c>
      <c r="H29" s="23">
        <f>IF(ISERROR(G29/$G$32),0,G29/$G$32)</f>
        <v>0</v>
      </c>
    </row>
    <row r="30" spans="2:8" x14ac:dyDescent="0.25">
      <c r="B30" s="149" t="str" vm="115">
        <f>CUBEMEMBER("ThisWorkbookDataModel",{"[fActualAndBudget].[StavkaGrupa].&amp;[4.2. Останати расходи]","[fActualAndBudget].[StavkaImeMK].&amp;[Останати расходи]"})</f>
        <v>Останати расходи</v>
      </c>
      <c r="C30" s="135" t="str" vm="633">
        <f t="shared" si="3"/>
        <v/>
      </c>
      <c r="D30" s="135" t="str" vm="565">
        <f t="shared" si="3"/>
        <v/>
      </c>
      <c r="E30" s="135" t="str" vm="555">
        <f t="shared" si="3"/>
        <v/>
      </c>
      <c r="F30" s="135" vm="561">
        <f t="shared" si="3"/>
        <v>80000</v>
      </c>
      <c r="G30" s="135">
        <f t="shared" si="4"/>
        <v>80000</v>
      </c>
      <c r="H30" s="23">
        <f>IF(ISERROR(G30/$G$32),0,G30/$G$32)</f>
        <v>2.1988678875810983E-4</v>
      </c>
    </row>
    <row r="31" spans="2:8" x14ac:dyDescent="0.25">
      <c r="B31" s="152" t="s">
        <v>176</v>
      </c>
      <c r="C31" s="135">
        <f>SUM(C27:C30)</f>
        <v>0</v>
      </c>
      <c r="D31" s="135">
        <f>SUM(D27:D30)</f>
        <v>0</v>
      </c>
      <c r="E31" s="135">
        <f>SUM(E27:E30)</f>
        <v>0</v>
      </c>
      <c r="F31" s="135">
        <f>SUM(F27:F30)</f>
        <v>85000</v>
      </c>
      <c r="G31" s="135">
        <f t="shared" si="4"/>
        <v>85000</v>
      </c>
      <c r="H31" s="117">
        <f>SUM(H27:H30)</f>
        <v>2.336297130554917E-4</v>
      </c>
    </row>
    <row r="32" spans="2:8" x14ac:dyDescent="0.25">
      <c r="B32" s="154" t="s">
        <v>173</v>
      </c>
      <c r="C32" s="138">
        <f>SUM(C25,C31)</f>
        <v>91347639</v>
      </c>
      <c r="D32" s="138">
        <f>SUM(D25,D31)</f>
        <v>97067209</v>
      </c>
      <c r="E32" s="138">
        <f>SUM(E25,E31)</f>
        <v>86520310</v>
      </c>
      <c r="F32" s="138">
        <f>SUM(F25,F31)</f>
        <v>88888428</v>
      </c>
      <c r="G32" s="145">
        <f t="shared" si="4"/>
        <v>363823586</v>
      </c>
      <c r="H32" s="29">
        <f>SUM(H25,H31)</f>
        <v>1</v>
      </c>
    </row>
    <row r="34" spans="2:8" x14ac:dyDescent="0.25">
      <c r="B34" s="164" t="s">
        <v>304</v>
      </c>
      <c r="C34" s="303">
        <v>59985873</v>
      </c>
      <c r="D34" s="303">
        <v>59985873</v>
      </c>
      <c r="E34" s="303">
        <v>57181706</v>
      </c>
      <c r="F34" s="303">
        <v>57036390</v>
      </c>
      <c r="G34" s="170">
        <f>SUM(C34:F34)</f>
        <v>234189842</v>
      </c>
      <c r="H34" s="171">
        <f>G34/G25</f>
        <v>0.6438410743698223</v>
      </c>
    </row>
    <row r="35" spans="2:8" x14ac:dyDescent="0.25">
      <c r="B35" s="165" t="s">
        <v>305</v>
      </c>
      <c r="C35" s="304">
        <v>334</v>
      </c>
      <c r="D35" s="304">
        <v>334</v>
      </c>
      <c r="E35" s="304">
        <v>319</v>
      </c>
      <c r="F35" s="304">
        <v>318</v>
      </c>
      <c r="G35" s="145">
        <f>AVERAGE(C35:F35)</f>
        <v>326.25</v>
      </c>
      <c r="H35" s="168" t="s">
        <v>306</v>
      </c>
    </row>
    <row r="36" spans="2:8" x14ac:dyDescent="0.25">
      <c r="C36" t="s">
        <v>574</v>
      </c>
    </row>
    <row r="38" spans="2:8" x14ac:dyDescent="0.25">
      <c r="B38" s="14" t="str" vm="10">
        <f>CUBEMEMBER("ThisWorkbookDataModel","[Measures].[Sum of Износ]")</f>
        <v>Sum of Износ</v>
      </c>
      <c r="H38" s="86" t="s">
        <v>327</v>
      </c>
    </row>
    <row r="39" spans="2:8" ht="14.45" customHeight="1" x14ac:dyDescent="0.25">
      <c r="B39" s="397" t="s">
        <v>1186</v>
      </c>
      <c r="C39" s="143" t="str" vm="11">
        <f>CUBEMEMBER("ThisWorkbookDataModel","[Calendar].[Година].&amp;[2020]")</f>
        <v>2020</v>
      </c>
      <c r="D39" s="143" t="str" vm="142">
        <f>CUBEMEMBER("ThisWorkbookDataModel","[Calendar].[Година].&amp;[2021]")</f>
        <v>2021</v>
      </c>
      <c r="E39" s="391" t="s">
        <v>246</v>
      </c>
      <c r="F39" s="143" t="str" vm="250">
        <f>CUBEMEMBER("ThisWorkbookDataModel","[Calendar].[Година].&amp;[2022]")</f>
        <v>2022</v>
      </c>
      <c r="G39" s="391" t="s">
        <v>247</v>
      </c>
      <c r="H39" s="134" t="s">
        <v>797</v>
      </c>
    </row>
    <row r="40" spans="2:8" ht="51" customHeight="1" x14ac:dyDescent="0.25">
      <c r="B40" s="398"/>
      <c r="C40" s="142" t="str" vm="5">
        <f>CUBEMEMBER("ThisWorkbookDataModel","[fActualAndBudget].[ReportType].&amp;[Остварено]")</f>
        <v>Остварено</v>
      </c>
      <c r="D40" s="142" t="str" vm="7">
        <f>CUBEMEMBER("ThisWorkbookDataModel","[fActualAndBudget].[ReportType].&amp;[Предвидување]")</f>
        <v>Предвидување</v>
      </c>
      <c r="E40" s="392"/>
      <c r="F40" s="144" t="str" vm="6">
        <f>CUBEMEMBER("ThisWorkbookDataModel","[fActualAndBudget].[ReportType].&amp;[План]")</f>
        <v>План</v>
      </c>
      <c r="G40" s="392"/>
      <c r="H40" s="146" t="s">
        <v>797</v>
      </c>
    </row>
    <row r="41" spans="2:8" x14ac:dyDescent="0.25">
      <c r="B41" s="151" t="str" vm="95">
        <f>CUBEMEMBER("ThisWorkbookDataModel","[fActualAndBudget].[StavkaGrupa].&amp;[4.1. Расходи од дејноста]")</f>
        <v>4.1. Расходи од дејноста</v>
      </c>
      <c r="C41" s="135"/>
      <c r="D41" s="135"/>
      <c r="E41" s="135"/>
      <c r="F41" s="135"/>
      <c r="G41" s="135"/>
      <c r="H41" s="116"/>
    </row>
    <row r="42" spans="2:8" x14ac:dyDescent="0.25">
      <c r="B42" s="149" t="str" vm="90">
        <f>CUBEMEMBER("ThisWorkbookDataModel",{"[fActualAndBudget].[StavkaGrupa].&amp;[4.1. Расходи од дејноста]","[fActualAndBudget].[StavkaImeMK].&amp;[Амортизација по минимални стапки]"})</f>
        <v>Амортизација по минимални стапки</v>
      </c>
      <c r="C42" s="135" vm="577">
        <f t="shared" ref="C42:D59" si="5">CUBEVALUE("ThisWorkbookDataModel",C$40,$C$3,$B$5,$B42,C$39)</f>
        <v>34645388</v>
      </c>
      <c r="D42" s="135" vm="595">
        <f t="shared" si="5"/>
        <v>41428384</v>
      </c>
      <c r="E42" s="125">
        <f t="shared" ref="E42:E71" si="6">IF(ISERROR(IF(C42=0,0,D42/C42-1)),0,IF(C42=0,0,D42/C42-1))</f>
        <v>0.19578351958419393</v>
      </c>
      <c r="F42" s="135" vm="652">
        <f t="shared" ref="F42:F59" si="7">CUBEVALUE("ThisWorkbookDataModel",F$40,$C$3,$B$5,$B42,F$39)</f>
        <v>54229630</v>
      </c>
      <c r="G42" s="125">
        <f t="shared" ref="G42:G68" si="8">IF(ISERROR(IF(D42=0,0,F42/D42-1)),0,IF(D42=0,0,F42/D42-1))</f>
        <v>0.30899699104845602</v>
      </c>
      <c r="H42" s="23">
        <f>IF(ISERROR(F42/$F$68),0,F42/$F$68)</f>
        <v>0.14860543982487337</v>
      </c>
    </row>
    <row r="43" spans="2:8" x14ac:dyDescent="0.25">
      <c r="B43" s="149" t="str" vm="105">
        <f>CUBEMEMBER("ThisWorkbookDataModel",{"[fActualAndBudget].[StavkaGrupa].&amp;[4.1. Расходи од дејноста]","[fActualAndBudget].[StavkaImeMK].&amp;[Банкарски услуги и трошоци за платен промет]"})</f>
        <v>Банкарски услуги и трошоци за платен промет</v>
      </c>
      <c r="C43" s="135" vm="636">
        <f t="shared" si="5"/>
        <v>261083</v>
      </c>
      <c r="D43" s="135" vm="567">
        <f t="shared" si="5"/>
        <v>280875</v>
      </c>
      <c r="E43" s="125">
        <f t="shared" si="6"/>
        <v>7.5807310318940724E-2</v>
      </c>
      <c r="F43" s="135" vm="666">
        <f t="shared" si="7"/>
        <v>254256</v>
      </c>
      <c r="G43" s="125">
        <f t="shared" si="8"/>
        <v>-9.477169559412546E-2</v>
      </c>
      <c r="H43" s="23">
        <f t="shared" ref="H43:H59" si="9">IF(ISERROR(F43/$F$68),0,F43/$F$68)</f>
        <v>6.9673764523403537E-4</v>
      </c>
    </row>
    <row r="44" spans="2:8" x14ac:dyDescent="0.25">
      <c r="B44" s="149" t="str" vm="86">
        <f>CUBEMEMBER("ThisWorkbookDataModel",{"[fActualAndBudget].[StavkaGrupa].&amp;[4.1. Расходи од дејноста]","[fActualAndBudget].[StavkaImeMK].&amp;[Даноци,чланарини и други давачки кои не зависат од резултатот]"})</f>
        <v>Даноци,чланарини и други давачки кои не зависат од резултатот</v>
      </c>
      <c r="C44" s="135" vm="574">
        <f t="shared" si="5"/>
        <v>908211</v>
      </c>
      <c r="D44" s="135" vm="607">
        <f t="shared" si="5"/>
        <v>921566</v>
      </c>
      <c r="E44" s="125">
        <f t="shared" si="6"/>
        <v>1.4704732710790758E-2</v>
      </c>
      <c r="F44" s="135" vm="622">
        <f t="shared" si="7"/>
        <v>1172920</v>
      </c>
      <c r="G44" s="125">
        <f t="shared" si="8"/>
        <v>0.27274660740522116</v>
      </c>
      <c r="H44" s="23">
        <f t="shared" si="9"/>
        <v>3.2141523458557703E-3</v>
      </c>
    </row>
    <row r="45" spans="2:8" x14ac:dyDescent="0.25">
      <c r="B45" s="149" t="str" vm="104">
        <f>CUBEMEMBER("ThisWorkbookDataModel",{"[fActualAndBudget].[StavkaGrupa].&amp;[4.1. Расходи од дејноста]","[fActualAndBudget].[StavkaImeMK].&amp;[Дневници за службени патувања и патни трошоци]"})</f>
        <v>Дневници за службени патувања и патни трошоци</v>
      </c>
      <c r="C45" s="135" vm="647">
        <f t="shared" si="5"/>
        <v>406088</v>
      </c>
      <c r="D45" s="135" vm="549">
        <f t="shared" si="5"/>
        <v>101180</v>
      </c>
      <c r="E45" s="125">
        <f t="shared" si="6"/>
        <v>-0.75084218199011055</v>
      </c>
      <c r="F45" s="135" vm="665">
        <f t="shared" si="7"/>
        <v>1915000</v>
      </c>
      <c r="G45" s="125">
        <f t="shared" si="8"/>
        <v>17.92666534888318</v>
      </c>
      <c r="H45" s="23">
        <f t="shared" si="9"/>
        <v>5.2476739609809706E-3</v>
      </c>
    </row>
    <row r="46" spans="2:8" x14ac:dyDescent="0.25">
      <c r="B46" s="149" t="str" vm="101">
        <f>CUBEMEMBER("ThisWorkbookDataModel",{"[fActualAndBudget].[StavkaGrupa].&amp;[4.1. Расходи од дејноста]","[fActualAndBudget].[StavkaImeMK].&amp;[Надворешни услуги]"})</f>
        <v>Надворешни услуги</v>
      </c>
      <c r="C46" s="135" vm="575">
        <f t="shared" si="5"/>
        <v>822747</v>
      </c>
      <c r="D46" s="135" vm="672">
        <f t="shared" si="5"/>
        <v>781442</v>
      </c>
      <c r="E46" s="125">
        <f t="shared" si="6"/>
        <v>-5.0203768594719866E-2</v>
      </c>
      <c r="F46" s="135" vm="589">
        <f t="shared" si="7"/>
        <v>1150000</v>
      </c>
      <c r="G46" s="125">
        <f t="shared" si="8"/>
        <v>0.47163833016397883</v>
      </c>
      <c r="H46" s="23">
        <f t="shared" si="9"/>
        <v>3.1513446763071105E-3</v>
      </c>
    </row>
    <row r="47" spans="2:8" x14ac:dyDescent="0.25">
      <c r="B47" s="149" t="str" vm="99">
        <f>CUBEMEMBER("ThisWorkbookDataModel",{"[fActualAndBudget].[StavkaGrupa].&amp;[4.1. Расходи од дејноста]","[fActualAndBudget].[StavkaImeMK].&amp;[Надомест на трошоци на вработените, подароци и помошти]"})</f>
        <v>Надомест на трошоци на вработените, подароци и помошти</v>
      </c>
      <c r="C47" s="135" vm="618">
        <f t="shared" si="5"/>
        <v>230846283</v>
      </c>
      <c r="D47" s="135" vm="635">
        <f t="shared" si="5"/>
        <v>230245237</v>
      </c>
      <c r="E47" s="125">
        <f t="shared" si="6"/>
        <v>-2.6036633217091376E-3</v>
      </c>
      <c r="F47" s="135" vm="528">
        <f t="shared" si="7"/>
        <v>240424089</v>
      </c>
      <c r="G47" s="125">
        <f t="shared" si="8"/>
        <v>4.4208740787111234E-2</v>
      </c>
      <c r="H47" s="23">
        <f t="shared" si="9"/>
        <v>0.65883406341403206</v>
      </c>
    </row>
    <row r="48" spans="2:8" x14ac:dyDescent="0.25">
      <c r="B48" s="149" t="str" vm="97">
        <f>CUBEMEMBER("ThisWorkbookDataModel",{"[fActualAndBudget].[StavkaGrupa].&amp;[4.1. Расходи од дејноста]","[fActualAndBudget].[StavkaImeMK].&amp;[Наемнини и лизинг]"})</f>
        <v>Наемнини и лизинг</v>
      </c>
      <c r="C48" s="135" vm="634">
        <f t="shared" si="5"/>
        <v>57250</v>
      </c>
      <c r="D48" s="135" vm="616">
        <f t="shared" si="5"/>
        <v>0</v>
      </c>
      <c r="E48" s="125">
        <f t="shared" si="6"/>
        <v>-1</v>
      </c>
      <c r="F48" s="135" vm="550">
        <f t="shared" si="7"/>
        <v>246000</v>
      </c>
      <c r="G48" s="125">
        <f t="shared" si="8"/>
        <v>0</v>
      </c>
      <c r="H48" s="23">
        <f t="shared" si="9"/>
        <v>6.7411373075786888E-4</v>
      </c>
    </row>
    <row r="49" spans="2:8" x14ac:dyDescent="0.25">
      <c r="B49" s="149" t="str" vm="94">
        <f>CUBEMEMBER("ThisWorkbookDataModel",{"[fActualAndBudget].[StavkaGrupa].&amp;[4.1. Расходи од дејноста]","[fActualAndBudget].[StavkaImeMK].&amp;[Останати нематеријални трошоци]"})</f>
        <v>Останати нематеријални трошоци</v>
      </c>
      <c r="C49" s="135" vm="579">
        <f t="shared" si="5"/>
        <v>2679804</v>
      </c>
      <c r="D49" s="135" vm="611">
        <f t="shared" si="5"/>
        <v>2231760</v>
      </c>
      <c r="E49" s="125">
        <f t="shared" si="6"/>
        <v>-0.16719282454985518</v>
      </c>
      <c r="F49" s="135" vm="558">
        <f t="shared" si="7"/>
        <v>2912680</v>
      </c>
      <c r="G49" s="125">
        <f t="shared" si="8"/>
        <v>0.30510449152238595</v>
      </c>
      <c r="H49" s="23">
        <f t="shared" si="9"/>
        <v>7.9816161841619084E-3</v>
      </c>
    </row>
    <row r="50" spans="2:8" x14ac:dyDescent="0.25">
      <c r="B50" s="149" t="str" vm="89">
        <f>CUBEMEMBER("ThisWorkbookDataModel",{"[fActualAndBudget].[StavkaGrupa].&amp;[4.1. Расходи од дејноста]","[fActualAndBudget].[StavkaImeMK].&amp;[Останати услуги]"})</f>
        <v>Останати услуги</v>
      </c>
      <c r="C50" s="135" vm="600">
        <f t="shared" si="5"/>
        <v>10154137</v>
      </c>
      <c r="D50" s="135" vm="604">
        <f t="shared" si="5"/>
        <v>7768506</v>
      </c>
      <c r="E50" s="125">
        <f t="shared" si="6"/>
        <v>-0.23494177791770976</v>
      </c>
      <c r="F50" s="135" vm="669">
        <f t="shared" si="7"/>
        <v>19227896</v>
      </c>
      <c r="G50" s="125">
        <f t="shared" si="8"/>
        <v>1.4751085987447263</v>
      </c>
      <c r="H50" s="23">
        <f t="shared" si="9"/>
        <v>5.269019799668416E-2</v>
      </c>
    </row>
    <row r="51" spans="2:8" x14ac:dyDescent="0.25">
      <c r="B51" s="149" t="str" vm="87">
        <f>CUBEMEMBER("ThisWorkbookDataModel",{"[fActualAndBudget].[StavkaGrupa].&amp;[4.1. Расходи од дејноста]","[fActualAndBudget].[StavkaImeMK].&amp;[Потрoшена енергија и гориво за возила]"})</f>
        <v>Потрoшена енергија и гориво за возила</v>
      </c>
      <c r="C51" s="135" vm="584">
        <f t="shared" si="5"/>
        <v>4320465</v>
      </c>
      <c r="D51" s="135" vm="581">
        <f t="shared" si="5"/>
        <v>3741815</v>
      </c>
      <c r="E51" s="125">
        <f t="shared" si="6"/>
        <v>-0.1339323429306799</v>
      </c>
      <c r="F51" s="135" vm="569">
        <f t="shared" si="7"/>
        <v>9835104</v>
      </c>
      <c r="G51" s="125">
        <f t="shared" si="8"/>
        <v>1.6284313895796561</v>
      </c>
      <c r="H51" s="23">
        <f t="shared" si="9"/>
        <v>2.6951132722892842E-2</v>
      </c>
    </row>
    <row r="52" spans="2:8" x14ac:dyDescent="0.25">
      <c r="B52" s="149" t="str" vm="85">
        <f>CUBEMEMBER("ThisWorkbookDataModel",{"[fActualAndBudget].[StavkaGrupa].&amp;[4.1. Расходи од дејноста]","[fActualAndBudget].[StavkaImeMK].&amp;[Потрошени резервни делови]"})</f>
        <v>Потрошени резервни делови</v>
      </c>
      <c r="C52" s="135" vm="653">
        <f t="shared" si="5"/>
        <v>10112</v>
      </c>
      <c r="D52" s="135" vm="656">
        <f t="shared" si="5"/>
        <v>7281</v>
      </c>
      <c r="E52" s="125">
        <f t="shared" si="6"/>
        <v>-0.27996439873417722</v>
      </c>
      <c r="F52" s="135" vm="651">
        <f t="shared" si="7"/>
        <v>41256</v>
      </c>
      <c r="G52" s="125">
        <f t="shared" si="8"/>
        <v>4.6662546353522867</v>
      </c>
      <c r="H52" s="23">
        <f t="shared" si="9"/>
        <v>1.1305380518758795E-4</v>
      </c>
    </row>
    <row r="53" spans="2:8" x14ac:dyDescent="0.25">
      <c r="B53" s="149" t="str" vm="103">
        <f>CUBEMEMBER("ThisWorkbookDataModel",{"[fActualAndBudget].[StavkaGrupa].&amp;[4.1. Расходи од дејноста]","[fActualAndBudget].[StavkaImeMK].&amp;[Потрошени суровини и материјали]"})</f>
        <v>Потрошени суровини и материјали</v>
      </c>
      <c r="C53" s="135" vm="560">
        <f t="shared" si="5"/>
        <v>4299624</v>
      </c>
      <c r="D53" s="135" vm="593">
        <f t="shared" si="5"/>
        <v>2254739</v>
      </c>
      <c r="E53" s="125">
        <f t="shared" si="6"/>
        <v>-0.47559623818268759</v>
      </c>
      <c r="F53" s="135" vm="630">
        <f t="shared" si="7"/>
        <v>3859552</v>
      </c>
      <c r="G53" s="125">
        <f t="shared" si="8"/>
        <v>0.71175111620458065</v>
      </c>
      <c r="H53" s="23">
        <f t="shared" si="9"/>
        <v>1.0576329259243879E-2</v>
      </c>
    </row>
    <row r="54" spans="2:8" x14ac:dyDescent="0.25">
      <c r="B54" s="149" t="str" vm="100">
        <f>CUBEMEMBER("ThisWorkbookDataModel",{"[fActualAndBudget].[StavkaGrupa].&amp;[4.1. Расходи од дејноста]","[fActualAndBudget].[StavkaImeMK].&amp;[Потрошок на ситен инвентар и автогуми]"})</f>
        <v>Потрошок на ситен инвентар и автогуми</v>
      </c>
      <c r="C54" s="135" vm="632">
        <f t="shared" si="5"/>
        <v>163451</v>
      </c>
      <c r="D54" s="135" vm="628">
        <f t="shared" si="5"/>
        <v>308605</v>
      </c>
      <c r="E54" s="125">
        <f t="shared" si="6"/>
        <v>0.88805819481067716</v>
      </c>
      <c r="F54" s="135" vm="601">
        <f t="shared" si="7"/>
        <v>991296</v>
      </c>
      <c r="G54" s="125">
        <f t="shared" si="8"/>
        <v>2.2121838596263834</v>
      </c>
      <c r="H54" s="23">
        <f t="shared" si="9"/>
        <v>2.7164481497778553E-3</v>
      </c>
    </row>
    <row r="55" spans="2:8" x14ac:dyDescent="0.25">
      <c r="B55" s="149" t="str" vm="91">
        <f>CUBEMEMBER("ThisWorkbookDataModel",{"[fActualAndBudget].[StavkaGrupa].&amp;[4.1. Расходи од дејноста]","[fActualAndBudget].[StavkaImeMK].&amp;[Премии за осигурување]"})</f>
        <v>Премии за осигурување</v>
      </c>
      <c r="C55" s="135" vm="646">
        <f t="shared" si="5"/>
        <v>110198</v>
      </c>
      <c r="D55" s="135" vm="670">
        <f t="shared" si="5"/>
        <v>143505</v>
      </c>
      <c r="E55" s="125">
        <f t="shared" si="6"/>
        <v>0.30224686473438722</v>
      </c>
      <c r="F55" s="135" vm="644">
        <f t="shared" si="7"/>
        <v>1151243</v>
      </c>
      <c r="G55" s="125">
        <f t="shared" si="8"/>
        <v>7.0223197797986128</v>
      </c>
      <c r="H55" s="23">
        <f t="shared" si="9"/>
        <v>3.1547508688572405E-3</v>
      </c>
    </row>
    <row r="56" spans="2:8" x14ac:dyDescent="0.25">
      <c r="B56" s="149" t="str" vm="96">
        <f>CUBEMEMBER("ThisWorkbookDataModel",{"[fActualAndBudget].[StavkaGrupa].&amp;[4.1. Расходи од дејноста]","[fActualAndBudget].[StavkaImeMK].&amp;[Транспортни услуги]"})</f>
        <v>Транспортни услуги</v>
      </c>
      <c r="C56" s="135" vm="572">
        <f t="shared" si="5"/>
        <v>8958367</v>
      </c>
      <c r="D56" s="135" vm="625">
        <f t="shared" si="5"/>
        <v>10162536</v>
      </c>
      <c r="E56" s="125">
        <f t="shared" si="6"/>
        <v>0.13441835995332641</v>
      </c>
      <c r="F56" s="135" vm="536">
        <f t="shared" si="7"/>
        <v>9992200</v>
      </c>
      <c r="G56" s="125">
        <f t="shared" si="8"/>
        <v>-1.6761170636935496E-2</v>
      </c>
      <c r="H56" s="23">
        <f t="shared" si="9"/>
        <v>2.7381622847474703E-2</v>
      </c>
    </row>
    <row r="57" spans="2:8" x14ac:dyDescent="0.25">
      <c r="B57" s="149" t="str" vm="93">
        <f>CUBEMEMBER("ThisWorkbookDataModel",{"[fActualAndBudget].[StavkaGrupa].&amp;[4.1. Расходи од дејноста]","[fActualAndBudget].[StavkaImeMK].&amp;[Трошоци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57" s="135" vm="587">
        <f t="shared" si="5"/>
        <v>696289</v>
      </c>
      <c r="D57" s="135" vm="542">
        <f t="shared" si="5"/>
        <v>487058</v>
      </c>
      <c r="E57" s="125">
        <f t="shared" si="6"/>
        <v>-0.30049447858575962</v>
      </c>
      <c r="F57" s="135" vm="668">
        <f t="shared" si="7"/>
        <v>578000</v>
      </c>
      <c r="G57" s="125">
        <f t="shared" si="8"/>
        <v>0.18671698237170942</v>
      </c>
      <c r="H57" s="23">
        <f t="shared" si="9"/>
        <v>1.583893237309139E-3</v>
      </c>
    </row>
    <row r="58" spans="2:8" x14ac:dyDescent="0.25">
      <c r="B58" s="149" t="str" vm="120">
        <f>CUBEMEMBER("ThisWorkbookDataModel",{"[fActualAndBudget].[StavkaGrupa].&amp;[4.1. Расходи од дејноста]","[fActualAndBudget].[StavkaImeMK].&amp;[Лиценци за разни софтвери (едногодишни, обновливи)]"})</f>
        <v>Лиценци за разни софтвери (едногодишни, обновливи)</v>
      </c>
      <c r="C58" s="135" vm="598">
        <f t="shared" si="5"/>
        <v>0</v>
      </c>
      <c r="D58" s="135" vm="535">
        <f t="shared" si="5"/>
        <v>944973</v>
      </c>
      <c r="E58" s="125">
        <f>IF(ISERROR(IF(C58=0,0,D58/C58-1)),0,IF(C58=0,0,D58/C58-1))</f>
        <v>0</v>
      </c>
      <c r="F58" s="135" vm="658">
        <f t="shared" si="7"/>
        <v>1100000</v>
      </c>
      <c r="G58" s="125">
        <f>IF(ISERROR(IF(D58=0,0,F58/D58-1)),0,IF(D58=0,0,F58/D58-1))</f>
        <v>0.16405442271895598</v>
      </c>
      <c r="H58" s="23">
        <f t="shared" si="9"/>
        <v>3.0143296903807145E-3</v>
      </c>
    </row>
    <row r="59" spans="2:8" x14ac:dyDescent="0.25">
      <c r="B59" s="149" t="str" vm="88">
        <f>CUBEMEMBER("ThisWorkbookDataModel",{"[fActualAndBudget].[StavkaGrupa].&amp;[4.1. Расходи од дејноста]","[fActualAndBudget].[StavkaImeMK].&amp;[Услуги за одржување и заштита]"})</f>
        <v>Услуги за одржување и заштита</v>
      </c>
      <c r="C59" s="135" vm="619">
        <f t="shared" si="5"/>
        <v>13487824</v>
      </c>
      <c r="D59" s="135" vm="543">
        <f t="shared" si="5"/>
        <v>13250229</v>
      </c>
      <c r="E59" s="125">
        <f t="shared" si="6"/>
        <v>-1.761551752158097E-2</v>
      </c>
      <c r="F59" s="135" vm="667">
        <f t="shared" si="7"/>
        <v>15757464</v>
      </c>
      <c r="G59" s="125">
        <f t="shared" si="8"/>
        <v>0.18922201269125227</v>
      </c>
      <c r="H59" s="23">
        <f t="shared" si="9"/>
        <v>4.3180174163913863E-2</v>
      </c>
    </row>
    <row r="60" spans="2:8" x14ac:dyDescent="0.25">
      <c r="B60" s="152" t="s">
        <v>171</v>
      </c>
      <c r="C60" s="141">
        <f>SUM(C42:C59)</f>
        <v>312827321</v>
      </c>
      <c r="D60" s="141">
        <f>SUM(D42:D59)</f>
        <v>315059691</v>
      </c>
      <c r="E60" s="126">
        <f t="shared" si="6"/>
        <v>7.1361094448652018E-3</v>
      </c>
      <c r="F60" s="141">
        <f>SUM(F42:F59)</f>
        <v>364838586</v>
      </c>
      <c r="G60" s="126">
        <f t="shared" si="8"/>
        <v>0.1579982981701078</v>
      </c>
      <c r="H60" s="26">
        <f>SUM(H42:H59)</f>
        <v>0.9997670745239251</v>
      </c>
    </row>
    <row r="61" spans="2:8" x14ac:dyDescent="0.25">
      <c r="B61" s="153" t="s">
        <v>172</v>
      </c>
      <c r="C61" s="135"/>
      <c r="D61" s="135"/>
      <c r="E61" s="125"/>
      <c r="F61" s="119"/>
      <c r="G61" s="125"/>
      <c r="H61" s="23"/>
    </row>
    <row r="62" spans="2:8" x14ac:dyDescent="0.25">
      <c r="B62" s="149" t="str" vm="113">
        <f>CUBEMEMBER("ThisWorkbookDataModel",{"[fActualAndBudget].[StavkaGrupa].&amp;[4.2. Останати расходи]","[fActualAndBudget].[StavkaImeMK].&amp;[Курсни разлики]"})</f>
        <v>Курсни разлики</v>
      </c>
      <c r="C62" s="135" vm="585">
        <f t="shared" ref="C62:D66" si="10">CUBEVALUE("ThisWorkbookDataModel",C$40,$C$3,$B$5,$B62,C$39)</f>
        <v>681</v>
      </c>
      <c r="D62" s="135" vm="673">
        <f t="shared" si="10"/>
        <v>4416</v>
      </c>
      <c r="E62" s="125">
        <f t="shared" si="6"/>
        <v>5.4845814977973566</v>
      </c>
      <c r="F62" s="135" vm="568">
        <f>CUBEVALUE("ThisWorkbookDataModel",F$40,$C$3,$B$5,$B62,F$39)</f>
        <v>5000</v>
      </c>
      <c r="G62" s="125">
        <f t="shared" si="8"/>
        <v>0.13224637681159424</v>
      </c>
      <c r="H62" s="23">
        <f>IF(ISERROR(F62/$F$68),0,F62/$F$68)</f>
        <v>1.3701498592639611E-5</v>
      </c>
    </row>
    <row r="63" spans="2:8" x14ac:dyDescent="0.25">
      <c r="B63" s="149" t="str" vm="121">
        <f>CUBEMEMBER("ThisWorkbookDataModel",{"[fActualAndBudget].[StavkaGrupa].&amp;[4.2. Останати расходи]","[fActualAndBudget].[StavkaImeMK].&amp;[Вредносно усогласување на тековни и нетековни средства]"})</f>
        <v>Вредносно усогласување на тековни и нетековни средства</v>
      </c>
      <c r="C63" s="135" vm="578">
        <f t="shared" si="10"/>
        <v>92265</v>
      </c>
      <c r="D63" s="135" vm="671">
        <f t="shared" si="10"/>
        <v>0</v>
      </c>
      <c r="E63" s="125">
        <f>IF(ISERROR(IF(C63=0,0,D63/C63-1)),0,IF(C63=0,0,D63/C63-1))</f>
        <v>-1</v>
      </c>
      <c r="F63" s="135" t="str" vm="599">
        <f>CUBEVALUE("ThisWorkbookDataModel",F$40,$C$3,$B$5,$B63,F$39)</f>
        <v/>
      </c>
      <c r="G63" s="125">
        <f>IF(ISERROR(IF(D63=0,0,F63/D63-1)),0,IF(D63=0,0,F63/D63-1))</f>
        <v>0</v>
      </c>
      <c r="H63" s="23">
        <f>IF(ISERROR(F63/$F$68),0,F63/$F$68)</f>
        <v>0</v>
      </c>
    </row>
    <row r="64" spans="2:8" x14ac:dyDescent="0.25">
      <c r="B64" s="149" t="str" vm="112">
        <f>CUBEMEMBER("ThisWorkbookDataModel",{"[fActualAndBudget].[StavkaGrupa].&amp;[4.2. Останати расходи]","[fActualAndBudget].[StavkaImeMK].&amp;[Казни, пенали и надомест на штети затезни камати]"})</f>
        <v>Казни, пенали и надомест на штети затезни камати</v>
      </c>
      <c r="C64" s="135" vm="624">
        <f t="shared" si="10"/>
        <v>0</v>
      </c>
      <c r="D64" s="135" vm="612">
        <f t="shared" si="10"/>
        <v>381</v>
      </c>
      <c r="E64" s="125">
        <f t="shared" si="6"/>
        <v>0</v>
      </c>
      <c r="F64" s="135" t="str" vm="606">
        <f>CUBEVALUE("ThisWorkbookDataModel",F$40,$C$3,$B$5,$B64,F$39)</f>
        <v/>
      </c>
      <c r="G64" s="125">
        <f t="shared" si="8"/>
        <v>0</v>
      </c>
      <c r="H64" s="23">
        <f>IF(ISERROR(F64/$F$68),0,F64/$F$68)</f>
        <v>0</v>
      </c>
    </row>
    <row r="65" spans="2:8" x14ac:dyDescent="0.25">
      <c r="B65" s="149" t="str" vm="114">
        <f>CUBEMEMBER("ThisWorkbookDataModel",{"[fActualAndBudget].[StavkaGrupa].&amp;[4.2. Останати расходи]","[fActualAndBudget].[StavkaImeMK].&amp;[Загуби и кусоци]"})</f>
        <v>Загуби и кусоци</v>
      </c>
      <c r="C65" s="135" vm="564">
        <f t="shared" si="10"/>
        <v>0</v>
      </c>
      <c r="D65" s="135" vm="548">
        <f t="shared" si="10"/>
        <v>0</v>
      </c>
      <c r="E65" s="125">
        <f t="shared" si="6"/>
        <v>0</v>
      </c>
      <c r="F65" s="135" t="str" vm="523">
        <f>CUBEVALUE("ThisWorkbookDataModel",F$40,$C$3,$B$5,$B65,F$39)</f>
        <v/>
      </c>
      <c r="G65" s="125">
        <f t="shared" si="8"/>
        <v>0</v>
      </c>
      <c r="H65" s="23">
        <f>IF(ISERROR(F65/$F$68),0,F65/$F$68)</f>
        <v>0</v>
      </c>
    </row>
    <row r="66" spans="2:8" x14ac:dyDescent="0.25">
      <c r="B66" s="149" t="str" vm="115">
        <f>CUBEMEMBER("ThisWorkbookDataModel",{"[fActualAndBudget].[StavkaGrupa].&amp;[4.2. Останати расходи]","[fActualAndBudget].[StavkaImeMK].&amp;[Останати расходи]"})</f>
        <v>Останати расходи</v>
      </c>
      <c r="C66" s="135" vm="642">
        <f t="shared" si="10"/>
        <v>56676</v>
      </c>
      <c r="D66" s="135" vm="674">
        <f t="shared" si="10"/>
        <v>2672095</v>
      </c>
      <c r="E66" s="125">
        <f t="shared" si="6"/>
        <v>46.146852283153365</v>
      </c>
      <c r="F66" s="135" vm="552">
        <f>CUBEVALUE("ThisWorkbookDataModel",F$40,$C$3,$B$5,$B66,F$39)</f>
        <v>80000</v>
      </c>
      <c r="G66" s="125">
        <f t="shared" si="8"/>
        <v>-0.97006094468946646</v>
      </c>
      <c r="H66" s="23">
        <f>IF(ISERROR(F66/$F$68),0,F66/$F$68)</f>
        <v>2.1922397748223377E-4</v>
      </c>
    </row>
    <row r="67" spans="2:8" x14ac:dyDescent="0.25">
      <c r="B67" s="152" t="s">
        <v>176</v>
      </c>
      <c r="C67" s="136">
        <f>SUM(C62:C66)</f>
        <v>149622</v>
      </c>
      <c r="D67" s="136">
        <f>SUM(D62:D66)</f>
        <v>2676892</v>
      </c>
      <c r="E67" s="126">
        <f t="shared" si="6"/>
        <v>16.891032067476708</v>
      </c>
      <c r="F67" s="136">
        <f>SUM(F62:F66)</f>
        <v>85000</v>
      </c>
      <c r="G67" s="126">
        <f t="shared" si="8"/>
        <v>-0.96824675780718839</v>
      </c>
      <c r="H67" s="26">
        <f>SUM(H62:H66)</f>
        <v>2.3292547607487338E-4</v>
      </c>
    </row>
    <row r="68" spans="2:8" x14ac:dyDescent="0.25">
      <c r="B68" s="154" t="s">
        <v>173</v>
      </c>
      <c r="C68" s="138">
        <f>SUM(C60,C67)</f>
        <v>312976943</v>
      </c>
      <c r="D68" s="138">
        <f>SUM(D60,D67)</f>
        <v>317736583</v>
      </c>
      <c r="E68" s="127">
        <f t="shared" si="6"/>
        <v>1.5207637835481069E-2</v>
      </c>
      <c r="F68" s="138">
        <f>SUM(F60,F67)</f>
        <v>364923586</v>
      </c>
      <c r="G68" s="127">
        <f t="shared" si="8"/>
        <v>0.14850982079076491</v>
      </c>
      <c r="H68" s="202">
        <f>SUM(H60,H67)</f>
        <v>1</v>
      </c>
    </row>
    <row r="70" spans="2:8" x14ac:dyDescent="0.25">
      <c r="B70" s="164" t="s">
        <v>304</v>
      </c>
      <c r="C70" s="303">
        <v>224519613</v>
      </c>
      <c r="D70" s="303">
        <v>223527045</v>
      </c>
      <c r="E70" s="166">
        <f t="shared" si="6"/>
        <v>-4.4208520883206592E-3</v>
      </c>
      <c r="F70" s="303">
        <v>234189842</v>
      </c>
      <c r="G70" s="166">
        <f>IF(ISERROR(IF(D70=0,0,F70/D70-1)),0,IF(D70=0,0,F70/D70-1))</f>
        <v>4.7702491660461144E-2</v>
      </c>
      <c r="H70" s="167">
        <f>F70/F60</f>
        <v>0.64189987294819739</v>
      </c>
    </row>
    <row r="71" spans="2:8" x14ac:dyDescent="0.25">
      <c r="B71" s="165" t="s">
        <v>305</v>
      </c>
      <c r="C71" s="304">
        <v>349</v>
      </c>
      <c r="D71" s="304">
        <v>324</v>
      </c>
      <c r="E71" s="169">
        <f t="shared" si="6"/>
        <v>-7.1633237822349538E-2</v>
      </c>
      <c r="F71" s="304">
        <v>326</v>
      </c>
      <c r="G71" s="169">
        <f>IF(ISERROR(IF(D71=0,0,F71/D71-1)),0,IF(D71=0,0,F71/D71-1))</f>
        <v>6.1728395061728669E-3</v>
      </c>
      <c r="H71" s="168" t="s">
        <v>306</v>
      </c>
    </row>
    <row r="74" spans="2:8" x14ac:dyDescent="0.25">
      <c r="F74" s="1" t="b">
        <f>('2. Bilans Na Uspeh'!F104+'2. Bilans Na Uspeh'!F109)=F68</f>
        <v>1</v>
      </c>
    </row>
    <row r="75" spans="2:8" x14ac:dyDescent="0.25">
      <c r="C75" s="1">
        <f>('2. Bilans Na Uspeh'!C104+'2. Bilans Na Uspeh'!C109)-C68</f>
        <v>0</v>
      </c>
      <c r="D75" s="1">
        <f>('2. Bilans Na Uspeh'!D104+'2. Bilans Na Uspeh'!D109)-D68</f>
        <v>0</v>
      </c>
      <c r="F75" s="1">
        <f>('2. Bilans Na Uspeh'!F104+'2. Bilans Na Uspeh'!F109)-F68</f>
        <v>0</v>
      </c>
    </row>
  </sheetData>
  <sheetProtection algorithmName="SHA-512" hashValue="OgdzYPaw3qGPuyySgaRi8/KDmaY2d6TsTYfRjKqfrudePnPvAezPtVgNCuhmfJaM7sta2dKqKUsYIidBRsTn8w==" saltValue="xSP/VAX2EVH/tbR336I3oQ==" spinCount="100000" sheet="1" objects="1" scenarios="1"/>
  <mergeCells count="3">
    <mergeCell ref="B39:B40"/>
    <mergeCell ref="E39:E40"/>
    <mergeCell ref="G39:G40"/>
  </mergeCells>
  <pageMargins left="0.7" right="0.7" top="0.75" bottom="0.75" header="0.3" footer="0.3"/>
  <pageSetup scale="74"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tabColor rgb="FFFFC000"/>
  </sheetPr>
  <dimension ref="A2:S47"/>
  <sheetViews>
    <sheetView topLeftCell="A7" workbookViewId="0">
      <selection activeCell="H36" sqref="H36"/>
    </sheetView>
  </sheetViews>
  <sheetFormatPr defaultRowHeight="15" x14ac:dyDescent="0.25"/>
  <cols>
    <col min="1" max="1" width="56.7109375" bestFit="1" customWidth="1"/>
    <col min="2" max="2" width="17.28515625" bestFit="1" customWidth="1"/>
    <col min="3" max="4" width="10.140625" bestFit="1" customWidth="1"/>
    <col min="5" max="5" width="10.85546875" bestFit="1" customWidth="1"/>
    <col min="6" max="6" width="10.140625" bestFit="1" customWidth="1"/>
    <col min="7" max="7" width="10.85546875" bestFit="1" customWidth="1"/>
    <col min="8" max="8" width="10.140625" bestFit="1" customWidth="1"/>
    <col min="9" max="9" width="10.85546875" bestFit="1" customWidth="1"/>
    <col min="10" max="13" width="10.140625" bestFit="1" customWidth="1"/>
    <col min="14" max="14" width="11.28515625" bestFit="1" customWidth="1"/>
    <col min="15" max="15" width="11.140625" bestFit="1" customWidth="1"/>
    <col min="16" max="16" width="10.140625" bestFit="1" customWidth="1"/>
    <col min="17" max="17" width="13.140625" bestFit="1" customWidth="1"/>
    <col min="18" max="19" width="11.140625" bestFit="1" customWidth="1"/>
    <col min="20"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0.28515625" bestFit="1" customWidth="1"/>
    <col min="31" max="32" width="10.140625" bestFit="1" customWidth="1"/>
    <col min="33" max="33" width="13.140625" bestFit="1" customWidth="1"/>
    <col min="34" max="34" width="11.140625" bestFit="1" customWidth="1"/>
    <col min="35" max="35" width="13.140625" bestFit="1" customWidth="1"/>
    <col min="36" max="36" width="12.7109375" bestFit="1" customWidth="1"/>
    <col min="37" max="37" width="9" bestFit="1" customWidth="1"/>
    <col min="38" max="41" width="11" bestFit="1" customWidth="1"/>
  </cols>
  <sheetData>
    <row r="2" spans="1:14" x14ac:dyDescent="0.25">
      <c r="A2" s="4" t="s">
        <v>152</v>
      </c>
      <c r="B2" t="s" vm="119">
        <v>248</v>
      </c>
    </row>
    <row r="3" spans="1:14" x14ac:dyDescent="0.25">
      <c r="A3" s="4" t="s">
        <v>151</v>
      </c>
      <c r="B3" t="s" vm="2114">
        <v>579</v>
      </c>
    </row>
    <row r="5" spans="1:14" x14ac:dyDescent="0.25">
      <c r="A5" s="4" t="s">
        <v>136</v>
      </c>
    </row>
    <row r="6" spans="1:14" x14ac:dyDescent="0.25">
      <c r="B6" t="s">
        <v>140</v>
      </c>
      <c r="C6" t="s">
        <v>141</v>
      </c>
      <c r="D6" t="s">
        <v>142</v>
      </c>
      <c r="E6" t="s">
        <v>143</v>
      </c>
      <c r="F6" t="s">
        <v>144</v>
      </c>
      <c r="G6" t="s">
        <v>145</v>
      </c>
      <c r="H6" t="s">
        <v>146</v>
      </c>
      <c r="I6" t="s">
        <v>147</v>
      </c>
      <c r="J6" t="s">
        <v>148</v>
      </c>
      <c r="K6" t="s">
        <v>149</v>
      </c>
      <c r="L6" t="s">
        <v>150</v>
      </c>
      <c r="M6" t="s">
        <v>162</v>
      </c>
      <c r="N6" t="s">
        <v>138</v>
      </c>
    </row>
    <row r="7" spans="1:14" x14ac:dyDescent="0.25">
      <c r="A7" s="7" t="s">
        <v>1004</v>
      </c>
      <c r="B7" s="1">
        <v>77220704</v>
      </c>
      <c r="C7" s="1">
        <v>67317595</v>
      </c>
      <c r="D7" s="1">
        <v>60207498</v>
      </c>
      <c r="E7" s="1">
        <v>-10806701</v>
      </c>
      <c r="F7" s="1">
        <v>13312504</v>
      </c>
      <c r="G7" s="1">
        <v>-19126252</v>
      </c>
      <c r="H7" s="1">
        <v>-5069079</v>
      </c>
      <c r="I7" s="1">
        <v>-12811104</v>
      </c>
      <c r="J7" s="1">
        <v>-6039823</v>
      </c>
      <c r="K7" s="1">
        <v>-9572541</v>
      </c>
      <c r="L7" s="1"/>
      <c r="M7" s="1"/>
      <c r="N7" s="1">
        <v>154632801</v>
      </c>
    </row>
    <row r="8" spans="1:14" x14ac:dyDescent="0.25">
      <c r="A8" s="7" t="s">
        <v>1005</v>
      </c>
      <c r="B8" s="1">
        <v>0</v>
      </c>
      <c r="C8" s="1">
        <v>0</v>
      </c>
      <c r="D8" s="1">
        <v>0</v>
      </c>
      <c r="E8" s="1">
        <v>0</v>
      </c>
      <c r="F8" s="1">
        <v>0</v>
      </c>
      <c r="G8" s="1">
        <v>0</v>
      </c>
      <c r="H8" s="1">
        <v>0</v>
      </c>
      <c r="I8" s="1">
        <v>0</v>
      </c>
      <c r="J8" s="1">
        <v>0</v>
      </c>
      <c r="K8" s="1">
        <v>0</v>
      </c>
      <c r="L8" s="1"/>
      <c r="M8" s="1"/>
      <c r="N8" s="1">
        <v>0</v>
      </c>
    </row>
    <row r="9" spans="1:14" x14ac:dyDescent="0.25">
      <c r="A9" s="7" t="s">
        <v>1006</v>
      </c>
      <c r="B9" s="1">
        <v>24705151</v>
      </c>
      <c r="C9" s="1">
        <v>-1816480</v>
      </c>
      <c r="D9" s="1">
        <v>-236267</v>
      </c>
      <c r="E9" s="1">
        <v>-19131709</v>
      </c>
      <c r="F9" s="1">
        <v>18876781</v>
      </c>
      <c r="G9" s="1">
        <v>-490439</v>
      </c>
      <c r="H9" s="1">
        <v>-132809</v>
      </c>
      <c r="I9" s="1">
        <v>213213</v>
      </c>
      <c r="J9" s="1">
        <v>570561</v>
      </c>
      <c r="K9" s="1">
        <v>168451</v>
      </c>
      <c r="L9" s="1"/>
      <c r="M9" s="1"/>
      <c r="N9" s="1">
        <v>22726453</v>
      </c>
    </row>
    <row r="10" spans="1:14" x14ac:dyDescent="0.25">
      <c r="A10" s="7" t="s">
        <v>1007</v>
      </c>
      <c r="B10" s="1">
        <v>102965817</v>
      </c>
      <c r="C10" s="1">
        <v>-392981</v>
      </c>
      <c r="D10" s="1">
        <v>-392981</v>
      </c>
      <c r="E10" s="1">
        <v>-392981</v>
      </c>
      <c r="F10" s="1">
        <v>-392981</v>
      </c>
      <c r="G10" s="1">
        <v>-392981</v>
      </c>
      <c r="H10" s="1">
        <v>-392981</v>
      </c>
      <c r="I10" s="1">
        <v>-392981</v>
      </c>
      <c r="J10" s="1">
        <v>-392981</v>
      </c>
      <c r="K10" s="1">
        <v>-392981</v>
      </c>
      <c r="L10" s="1"/>
      <c r="M10" s="1"/>
      <c r="N10" s="1">
        <v>99428988</v>
      </c>
    </row>
    <row r="11" spans="1:14" x14ac:dyDescent="0.25">
      <c r="A11" s="7" t="s">
        <v>1008</v>
      </c>
      <c r="B11" s="1">
        <v>86079840</v>
      </c>
      <c r="C11" s="1">
        <v>0</v>
      </c>
      <c r="D11" s="1">
        <v>0</v>
      </c>
      <c r="E11" s="1">
        <v>0</v>
      </c>
      <c r="F11" s="1">
        <v>0</v>
      </c>
      <c r="G11" s="1">
        <v>0</v>
      </c>
      <c r="H11" s="1">
        <v>0</v>
      </c>
      <c r="I11" s="1">
        <v>0</v>
      </c>
      <c r="J11" s="1">
        <v>0</v>
      </c>
      <c r="K11" s="1">
        <v>0</v>
      </c>
      <c r="L11" s="1"/>
      <c r="M11" s="1"/>
      <c r="N11" s="1">
        <v>86079840</v>
      </c>
    </row>
    <row r="12" spans="1:14" x14ac:dyDescent="0.25">
      <c r="A12" s="7" t="s">
        <v>1009</v>
      </c>
      <c r="B12" s="1">
        <v>4246940</v>
      </c>
      <c r="C12" s="1">
        <v>-19205</v>
      </c>
      <c r="D12" s="1">
        <v>16512</v>
      </c>
      <c r="E12" s="1">
        <v>-1678</v>
      </c>
      <c r="F12" s="1">
        <v>-41250</v>
      </c>
      <c r="G12" s="1">
        <v>45371</v>
      </c>
      <c r="H12" s="1">
        <v>-1685</v>
      </c>
      <c r="I12" s="1">
        <v>1935</v>
      </c>
      <c r="J12" s="1">
        <v>0</v>
      </c>
      <c r="K12" s="1">
        <v>-67814</v>
      </c>
      <c r="L12" s="1"/>
      <c r="M12" s="1"/>
      <c r="N12" s="1">
        <v>4179126</v>
      </c>
    </row>
    <row r="13" spans="1:14" x14ac:dyDescent="0.25">
      <c r="A13" s="7" t="s">
        <v>1010</v>
      </c>
      <c r="B13" s="1">
        <v>126859046</v>
      </c>
      <c r="C13" s="1">
        <v>0</v>
      </c>
      <c r="D13" s="1">
        <v>0</v>
      </c>
      <c r="E13" s="1">
        <v>0</v>
      </c>
      <c r="F13" s="1">
        <v>0</v>
      </c>
      <c r="G13" s="1">
        <v>0</v>
      </c>
      <c r="H13" s="1">
        <v>0</v>
      </c>
      <c r="I13" s="1">
        <v>0</v>
      </c>
      <c r="J13" s="1">
        <v>0</v>
      </c>
      <c r="K13" s="1">
        <v>0</v>
      </c>
      <c r="L13" s="1"/>
      <c r="M13" s="1"/>
      <c r="N13" s="1">
        <v>126859046</v>
      </c>
    </row>
    <row r="14" spans="1:14" x14ac:dyDescent="0.25">
      <c r="A14" s="7" t="s">
        <v>1011</v>
      </c>
      <c r="B14" s="1">
        <v>292646501</v>
      </c>
      <c r="C14" s="1">
        <v>0</v>
      </c>
      <c r="D14" s="1">
        <v>0</v>
      </c>
      <c r="E14" s="1">
        <v>0</v>
      </c>
      <c r="F14" s="1">
        <v>0</v>
      </c>
      <c r="G14" s="1">
        <v>0</v>
      </c>
      <c r="H14" s="1">
        <v>0</v>
      </c>
      <c r="I14" s="1">
        <v>0</v>
      </c>
      <c r="J14" s="1">
        <v>0</v>
      </c>
      <c r="K14" s="1">
        <v>0</v>
      </c>
      <c r="L14" s="1"/>
      <c r="M14" s="1"/>
      <c r="N14" s="1">
        <v>292646501</v>
      </c>
    </row>
    <row r="15" spans="1:14" x14ac:dyDescent="0.25">
      <c r="A15" s="7" t="s">
        <v>1012</v>
      </c>
      <c r="B15" s="1">
        <v>121393152</v>
      </c>
      <c r="C15" s="1">
        <v>0</v>
      </c>
      <c r="D15" s="1">
        <v>0</v>
      </c>
      <c r="E15" s="1">
        <v>0</v>
      </c>
      <c r="F15" s="1">
        <v>0</v>
      </c>
      <c r="G15" s="1">
        <v>0</v>
      </c>
      <c r="H15" s="1">
        <v>0</v>
      </c>
      <c r="I15" s="1">
        <v>0</v>
      </c>
      <c r="J15" s="1">
        <v>0</v>
      </c>
      <c r="K15" s="1">
        <v>0</v>
      </c>
      <c r="L15" s="1"/>
      <c r="M15" s="1"/>
      <c r="N15" s="1">
        <v>121393152</v>
      </c>
    </row>
    <row r="16" spans="1:14" x14ac:dyDescent="0.25">
      <c r="A16" s="7" t="s">
        <v>1013</v>
      </c>
      <c r="B16" s="1">
        <v>0</v>
      </c>
      <c r="C16" s="1">
        <v>0</v>
      </c>
      <c r="D16" s="1">
        <v>0</v>
      </c>
      <c r="E16" s="1">
        <v>0</v>
      </c>
      <c r="F16" s="1">
        <v>0</v>
      </c>
      <c r="G16" s="1">
        <v>0</v>
      </c>
      <c r="H16" s="1">
        <v>0</v>
      </c>
      <c r="I16" s="1">
        <v>0</v>
      </c>
      <c r="J16" s="1">
        <v>0</v>
      </c>
      <c r="K16" s="1">
        <v>0</v>
      </c>
      <c r="L16" s="1"/>
      <c r="M16" s="1"/>
      <c r="N16" s="1">
        <v>0</v>
      </c>
    </row>
    <row r="17" spans="1:19" x14ac:dyDescent="0.25">
      <c r="A17" s="7" t="s">
        <v>1014</v>
      </c>
      <c r="B17" s="1">
        <v>0</v>
      </c>
      <c r="C17" s="1">
        <v>0</v>
      </c>
      <c r="D17" s="1">
        <v>0</v>
      </c>
      <c r="E17" s="1">
        <v>0</v>
      </c>
      <c r="F17" s="1">
        <v>0</v>
      </c>
      <c r="G17" s="1">
        <v>0</v>
      </c>
      <c r="H17" s="1">
        <v>0</v>
      </c>
      <c r="I17" s="1">
        <v>0</v>
      </c>
      <c r="J17" s="1">
        <v>0</v>
      </c>
      <c r="K17" s="1">
        <v>0</v>
      </c>
      <c r="L17" s="1"/>
      <c r="M17" s="1"/>
      <c r="N17" s="1">
        <v>0</v>
      </c>
    </row>
    <row r="18" spans="1:19" x14ac:dyDescent="0.25">
      <c r="A18" s="7" t="s">
        <v>1015</v>
      </c>
      <c r="B18" s="1">
        <v>1379181</v>
      </c>
      <c r="C18" s="1">
        <v>150432</v>
      </c>
      <c r="D18" s="1">
        <v>-126971</v>
      </c>
      <c r="E18" s="1">
        <v>36988</v>
      </c>
      <c r="F18" s="1">
        <v>-190381</v>
      </c>
      <c r="G18" s="1">
        <v>177272</v>
      </c>
      <c r="H18" s="1">
        <v>-120950</v>
      </c>
      <c r="I18" s="1">
        <v>39708</v>
      </c>
      <c r="J18" s="1">
        <v>-85671</v>
      </c>
      <c r="K18" s="1">
        <v>-179418</v>
      </c>
      <c r="L18" s="1"/>
      <c r="M18" s="1"/>
      <c r="N18" s="1">
        <v>1080190</v>
      </c>
    </row>
    <row r="19" spans="1:19" x14ac:dyDescent="0.25">
      <c r="A19" s="7" t="s">
        <v>1016</v>
      </c>
      <c r="B19" s="1">
        <v>604443071</v>
      </c>
      <c r="C19" s="1">
        <v>-2430269</v>
      </c>
      <c r="D19" s="1">
        <v>-2421359</v>
      </c>
      <c r="E19" s="1">
        <v>-2427863</v>
      </c>
      <c r="F19" s="1">
        <v>-2427863</v>
      </c>
      <c r="G19" s="1">
        <v>14043405</v>
      </c>
      <c r="H19" s="1">
        <v>-2482620</v>
      </c>
      <c r="I19" s="1">
        <v>-2696353</v>
      </c>
      <c r="J19" s="1">
        <v>-1146557</v>
      </c>
      <c r="K19" s="1">
        <v>-1471449</v>
      </c>
      <c r="L19" s="1"/>
      <c r="M19" s="1"/>
      <c r="N19" s="1">
        <v>600982143</v>
      </c>
      <c r="R19" t="s">
        <v>1152</v>
      </c>
      <c r="S19" s="1">
        <v>322483120</v>
      </c>
    </row>
    <row r="20" spans="1:19" x14ac:dyDescent="0.25">
      <c r="A20" s="7" t="s">
        <v>1017</v>
      </c>
      <c r="B20" s="1">
        <v>57898197</v>
      </c>
      <c r="C20" s="1">
        <v>-590840</v>
      </c>
      <c r="D20" s="1">
        <v>-590840</v>
      </c>
      <c r="E20" s="1">
        <v>-630806</v>
      </c>
      <c r="F20" s="1">
        <v>-630806</v>
      </c>
      <c r="G20" s="1">
        <v>-630806</v>
      </c>
      <c r="H20" s="1">
        <v>-630806</v>
      </c>
      <c r="I20" s="1">
        <v>-630806</v>
      </c>
      <c r="J20" s="1">
        <v>-1333936</v>
      </c>
      <c r="K20" s="1">
        <v>-49252</v>
      </c>
      <c r="L20" s="1"/>
      <c r="M20" s="1"/>
      <c r="N20" s="1">
        <v>52179299</v>
      </c>
      <c r="R20" t="s">
        <v>1153</v>
      </c>
      <c r="S20" s="1">
        <v>258561606</v>
      </c>
    </row>
    <row r="21" spans="1:19" x14ac:dyDescent="0.25">
      <c r="A21" s="7" t="s">
        <v>382</v>
      </c>
      <c r="B21" s="1">
        <v>13155253</v>
      </c>
      <c r="C21" s="1">
        <v>89685748</v>
      </c>
      <c r="D21" s="1">
        <v>83688183</v>
      </c>
      <c r="E21" s="1">
        <v>29458859</v>
      </c>
      <c r="F21" s="1">
        <v>16655547</v>
      </c>
      <c r="G21" s="1">
        <v>21401884</v>
      </c>
      <c r="H21" s="1">
        <v>16839960</v>
      </c>
      <c r="I21" s="1">
        <v>13884732</v>
      </c>
      <c r="J21" s="1">
        <v>16419730</v>
      </c>
      <c r="K21" s="1">
        <v>15808744</v>
      </c>
      <c r="L21" s="1">
        <v>16386903</v>
      </c>
      <c r="M21" s="1">
        <v>20668635</v>
      </c>
      <c r="N21" s="1">
        <v>354054178</v>
      </c>
      <c r="R21" t="s">
        <v>1154</v>
      </c>
      <c r="S21" s="1">
        <f>S19-S20</f>
        <v>63921514</v>
      </c>
    </row>
    <row r="22" spans="1:19" x14ac:dyDescent="0.25">
      <c r="A22" s="7" t="s">
        <v>383</v>
      </c>
      <c r="B22" s="1">
        <v>1935306</v>
      </c>
      <c r="C22" s="1">
        <v>384071</v>
      </c>
      <c r="D22" s="1">
        <v>392981</v>
      </c>
      <c r="E22" s="1">
        <v>392981</v>
      </c>
      <c r="F22" s="1">
        <v>392981</v>
      </c>
      <c r="G22" s="1">
        <v>392981</v>
      </c>
      <c r="H22" s="1">
        <v>407290</v>
      </c>
      <c r="I22" s="1">
        <v>392981</v>
      </c>
      <c r="J22" s="1">
        <v>392981</v>
      </c>
      <c r="K22" s="1">
        <v>394044</v>
      </c>
      <c r="L22" s="1">
        <v>422578</v>
      </c>
      <c r="M22" s="1">
        <v>420478</v>
      </c>
      <c r="N22" s="1">
        <v>6321653</v>
      </c>
    </row>
    <row r="23" spans="1:19" x14ac:dyDescent="0.25">
      <c r="A23" s="8" t="s">
        <v>1021</v>
      </c>
      <c r="B23" s="1">
        <v>0</v>
      </c>
      <c r="C23" s="1">
        <v>0</v>
      </c>
      <c r="D23" s="1">
        <v>0</v>
      </c>
      <c r="E23" s="1">
        <v>0</v>
      </c>
      <c r="F23" s="1">
        <v>0</v>
      </c>
      <c r="G23" s="1">
        <v>0</v>
      </c>
      <c r="H23" s="1">
        <v>14309</v>
      </c>
      <c r="I23" s="1">
        <v>0</v>
      </c>
      <c r="J23" s="1">
        <v>0</v>
      </c>
      <c r="K23" s="1">
        <v>0</v>
      </c>
      <c r="L23" s="1"/>
      <c r="M23" s="1"/>
      <c r="N23" s="1">
        <v>14309</v>
      </c>
    </row>
    <row r="24" spans="1:19" x14ac:dyDescent="0.25">
      <c r="A24" s="8" t="s">
        <v>601</v>
      </c>
      <c r="B24" s="1">
        <v>1542325</v>
      </c>
      <c r="C24" s="1">
        <v>-8910</v>
      </c>
      <c r="D24" s="1">
        <v>0</v>
      </c>
      <c r="E24" s="1">
        <v>0</v>
      </c>
      <c r="F24" s="1">
        <v>0</v>
      </c>
      <c r="G24" s="1">
        <v>0</v>
      </c>
      <c r="H24" s="1">
        <v>0</v>
      </c>
      <c r="I24" s="1">
        <v>0</v>
      </c>
      <c r="J24" s="1">
        <v>0</v>
      </c>
      <c r="K24" s="1">
        <v>1063</v>
      </c>
      <c r="L24" s="1">
        <v>29597</v>
      </c>
      <c r="M24" s="1">
        <v>27497</v>
      </c>
      <c r="N24" s="1">
        <v>1591572</v>
      </c>
    </row>
    <row r="25" spans="1:19" x14ac:dyDescent="0.25">
      <c r="A25" s="8" t="s">
        <v>602</v>
      </c>
      <c r="B25" s="1">
        <v>392981</v>
      </c>
      <c r="C25" s="1">
        <v>392981</v>
      </c>
      <c r="D25" s="1">
        <v>392981</v>
      </c>
      <c r="E25" s="1">
        <v>392981</v>
      </c>
      <c r="F25" s="1">
        <v>392981</v>
      </c>
      <c r="G25" s="1">
        <v>392981</v>
      </c>
      <c r="H25" s="1">
        <v>392981</v>
      </c>
      <c r="I25" s="1">
        <v>392981</v>
      </c>
      <c r="J25" s="1">
        <v>392981</v>
      </c>
      <c r="K25" s="1">
        <v>392981</v>
      </c>
      <c r="L25" s="1">
        <v>392981</v>
      </c>
      <c r="M25" s="1">
        <v>392981</v>
      </c>
      <c r="N25" s="1">
        <v>4715772</v>
      </c>
    </row>
    <row r="26" spans="1:19" x14ac:dyDescent="0.25">
      <c r="A26" s="8" t="s">
        <v>1024</v>
      </c>
      <c r="B26" s="1">
        <v>0</v>
      </c>
      <c r="C26" s="1">
        <v>0</v>
      </c>
      <c r="D26" s="1">
        <v>0</v>
      </c>
      <c r="E26" s="1">
        <v>0</v>
      </c>
      <c r="F26" s="1">
        <v>0</v>
      </c>
      <c r="G26" s="1">
        <v>0</v>
      </c>
      <c r="H26" s="1">
        <v>0</v>
      </c>
      <c r="I26" s="1">
        <v>0</v>
      </c>
      <c r="J26" s="1">
        <v>0</v>
      </c>
      <c r="K26" s="1">
        <v>0</v>
      </c>
      <c r="L26" s="1"/>
      <c r="M26" s="1"/>
      <c r="N26" s="1">
        <v>0</v>
      </c>
    </row>
    <row r="27" spans="1:19" x14ac:dyDescent="0.25">
      <c r="A27" s="7" t="s">
        <v>384</v>
      </c>
      <c r="B27" s="1">
        <v>91134</v>
      </c>
      <c r="C27" s="1">
        <v>96237</v>
      </c>
      <c r="D27" s="1">
        <v>626553</v>
      </c>
      <c r="E27" s="1">
        <v>464948</v>
      </c>
      <c r="F27" s="1">
        <v>699482</v>
      </c>
      <c r="G27" s="1">
        <v>292066</v>
      </c>
      <c r="H27" s="1">
        <v>439665</v>
      </c>
      <c r="I27" s="1">
        <v>245393</v>
      </c>
      <c r="J27" s="1">
        <v>328221</v>
      </c>
      <c r="K27" s="1">
        <v>520249</v>
      </c>
      <c r="L27" s="1">
        <v>442627</v>
      </c>
      <c r="M27" s="1">
        <v>2065865</v>
      </c>
      <c r="N27" s="1">
        <v>6312440</v>
      </c>
    </row>
    <row r="28" spans="1:19" x14ac:dyDescent="0.25">
      <c r="A28" s="7" t="s">
        <v>392</v>
      </c>
      <c r="B28" s="1">
        <v>18290743</v>
      </c>
      <c r="C28" s="1">
        <v>18175602</v>
      </c>
      <c r="D28" s="1">
        <v>18511073</v>
      </c>
      <c r="E28" s="1">
        <v>18719810</v>
      </c>
      <c r="F28" s="1">
        <v>19152488</v>
      </c>
      <c r="G28" s="1">
        <v>18903586</v>
      </c>
      <c r="H28" s="1">
        <v>18755795</v>
      </c>
      <c r="I28" s="1">
        <v>24576493</v>
      </c>
      <c r="J28" s="1">
        <v>18903275</v>
      </c>
      <c r="K28" s="1">
        <v>18678858</v>
      </c>
      <c r="L28" s="1">
        <v>18633568</v>
      </c>
      <c r="M28" s="1">
        <v>18943946</v>
      </c>
      <c r="N28" s="1">
        <v>230245237</v>
      </c>
    </row>
    <row r="29" spans="1:19" x14ac:dyDescent="0.25">
      <c r="A29" s="7" t="s">
        <v>243</v>
      </c>
      <c r="B29" s="1">
        <v>3029536</v>
      </c>
      <c r="C29" s="1">
        <v>3012199</v>
      </c>
      <c r="D29" s="1">
        <v>3012199</v>
      </c>
      <c r="E29" s="1">
        <v>3058669</v>
      </c>
      <c r="F29" s="1">
        <v>3058669</v>
      </c>
      <c r="G29" s="1">
        <v>3031179</v>
      </c>
      <c r="H29" s="1">
        <v>3372650</v>
      </c>
      <c r="I29" s="1">
        <v>3372650</v>
      </c>
      <c r="J29" s="1">
        <v>4076032</v>
      </c>
      <c r="K29" s="1">
        <v>4134867</v>
      </c>
      <c r="L29" s="1">
        <v>4134867</v>
      </c>
      <c r="M29" s="1">
        <v>4134867</v>
      </c>
      <c r="N29" s="1">
        <v>41428384</v>
      </c>
    </row>
    <row r="30" spans="1:19" x14ac:dyDescent="0.25">
      <c r="A30" s="8" t="s">
        <v>578</v>
      </c>
      <c r="B30" s="1">
        <v>3029536</v>
      </c>
      <c r="C30" s="1">
        <v>3012199</v>
      </c>
      <c r="D30" s="1">
        <v>3012199</v>
      </c>
      <c r="E30" s="1">
        <v>3058669</v>
      </c>
      <c r="F30" s="1">
        <v>3058669</v>
      </c>
      <c r="G30" s="1">
        <v>3031179</v>
      </c>
      <c r="H30" s="1">
        <v>3372650</v>
      </c>
      <c r="I30" s="1">
        <v>3372650</v>
      </c>
      <c r="J30" s="1">
        <v>4076032</v>
      </c>
      <c r="K30" s="1">
        <v>4134867</v>
      </c>
      <c r="L30" s="1">
        <v>4134867</v>
      </c>
      <c r="M30" s="1">
        <v>4134867</v>
      </c>
      <c r="N30" s="1">
        <v>41428384</v>
      </c>
    </row>
    <row r="31" spans="1:19" x14ac:dyDescent="0.25">
      <c r="A31" s="192" t="s">
        <v>596</v>
      </c>
      <c r="B31" s="1">
        <v>0</v>
      </c>
      <c r="C31" s="1">
        <v>0</v>
      </c>
      <c r="D31" s="1">
        <v>0</v>
      </c>
      <c r="E31" s="1">
        <v>0</v>
      </c>
      <c r="F31" s="1">
        <v>0</v>
      </c>
      <c r="G31" s="1">
        <v>0</v>
      </c>
      <c r="H31" s="1">
        <v>0</v>
      </c>
      <c r="I31" s="1">
        <v>0</v>
      </c>
      <c r="J31" s="1">
        <v>0</v>
      </c>
      <c r="K31" s="1">
        <v>0</v>
      </c>
      <c r="L31" s="1">
        <v>0</v>
      </c>
      <c r="M31" s="1">
        <v>0</v>
      </c>
      <c r="N31" s="1">
        <v>0</v>
      </c>
    </row>
    <row r="32" spans="1:19" x14ac:dyDescent="0.25">
      <c r="A32" s="192" t="s">
        <v>237</v>
      </c>
      <c r="B32" s="1">
        <v>566934</v>
      </c>
      <c r="C32" s="1">
        <v>566934</v>
      </c>
      <c r="D32" s="1">
        <v>566934</v>
      </c>
      <c r="E32" s="1">
        <v>600403</v>
      </c>
      <c r="F32" s="1">
        <v>600403</v>
      </c>
      <c r="G32" s="1">
        <v>600403</v>
      </c>
      <c r="H32" s="1">
        <v>600403</v>
      </c>
      <c r="I32" s="1">
        <v>600403</v>
      </c>
      <c r="J32" s="1">
        <v>1303533</v>
      </c>
      <c r="K32" s="1">
        <v>1316658</v>
      </c>
      <c r="L32" s="1">
        <v>1316658</v>
      </c>
      <c r="M32" s="1">
        <v>1316658</v>
      </c>
      <c r="N32" s="1">
        <v>9956324</v>
      </c>
    </row>
    <row r="33" spans="1:14" x14ac:dyDescent="0.25">
      <c r="A33" s="192" t="s">
        <v>397</v>
      </c>
      <c r="B33" s="1">
        <v>23906</v>
      </c>
      <c r="C33" s="1">
        <v>23906</v>
      </c>
      <c r="D33" s="1">
        <v>23906</v>
      </c>
      <c r="E33" s="1">
        <v>30403</v>
      </c>
      <c r="F33" s="1">
        <v>30403</v>
      </c>
      <c r="G33" s="1">
        <v>30403</v>
      </c>
      <c r="H33" s="1">
        <v>30403</v>
      </c>
      <c r="I33" s="1">
        <v>30403</v>
      </c>
      <c r="J33" s="1">
        <v>30403</v>
      </c>
      <c r="K33" s="1">
        <v>30403</v>
      </c>
      <c r="L33" s="1">
        <v>30403</v>
      </c>
      <c r="M33" s="1">
        <v>30403</v>
      </c>
      <c r="N33" s="1">
        <v>345345</v>
      </c>
    </row>
    <row r="34" spans="1:14" x14ac:dyDescent="0.25">
      <c r="A34" s="192" t="s">
        <v>557</v>
      </c>
      <c r="B34" s="1">
        <v>84971</v>
      </c>
      <c r="C34" s="1">
        <v>84971</v>
      </c>
      <c r="D34" s="1">
        <v>84971</v>
      </c>
      <c r="E34" s="1">
        <v>84971</v>
      </c>
      <c r="F34" s="1">
        <v>84971</v>
      </c>
      <c r="G34" s="1">
        <v>84971</v>
      </c>
      <c r="H34" s="1">
        <v>84971</v>
      </c>
      <c r="I34" s="1">
        <v>84971</v>
      </c>
      <c r="J34" s="1">
        <v>84971</v>
      </c>
      <c r="K34" s="1">
        <v>84971</v>
      </c>
      <c r="L34" s="1">
        <v>84971</v>
      </c>
      <c r="M34" s="1">
        <v>84971</v>
      </c>
      <c r="N34" s="1">
        <v>1019652</v>
      </c>
    </row>
    <row r="35" spans="1:14" x14ac:dyDescent="0.25">
      <c r="A35" s="192" t="s">
        <v>559</v>
      </c>
      <c r="B35" s="1">
        <v>392981</v>
      </c>
      <c r="C35" s="1">
        <v>392981</v>
      </c>
      <c r="D35" s="1">
        <v>392981</v>
      </c>
      <c r="E35" s="1">
        <v>392981</v>
      </c>
      <c r="F35" s="1">
        <v>392981</v>
      </c>
      <c r="G35" s="1">
        <v>392981</v>
      </c>
      <c r="H35" s="1">
        <v>392981</v>
      </c>
      <c r="I35" s="1">
        <v>392981</v>
      </c>
      <c r="J35" s="1">
        <v>392981</v>
      </c>
      <c r="K35" s="1">
        <v>392981</v>
      </c>
      <c r="L35" s="1">
        <v>392981</v>
      </c>
      <c r="M35" s="1">
        <v>392981</v>
      </c>
      <c r="N35" s="1">
        <v>4715772</v>
      </c>
    </row>
    <row r="36" spans="1:14" x14ac:dyDescent="0.25">
      <c r="A36" s="192" t="s">
        <v>398</v>
      </c>
      <c r="B36" s="1">
        <v>173856</v>
      </c>
      <c r="C36" s="1">
        <v>173856</v>
      </c>
      <c r="D36" s="1">
        <v>173856</v>
      </c>
      <c r="E36" s="1">
        <v>173856</v>
      </c>
      <c r="F36" s="1">
        <v>173856</v>
      </c>
      <c r="G36" s="1">
        <v>173856</v>
      </c>
      <c r="H36" s="1">
        <v>173856</v>
      </c>
      <c r="I36" s="1">
        <v>173856</v>
      </c>
      <c r="J36" s="1">
        <v>173856</v>
      </c>
      <c r="K36" s="1">
        <v>173856</v>
      </c>
      <c r="L36" s="1">
        <v>173856</v>
      </c>
      <c r="M36" s="1">
        <v>173856</v>
      </c>
      <c r="N36" s="1">
        <v>2086272</v>
      </c>
    </row>
    <row r="37" spans="1:14" x14ac:dyDescent="0.25">
      <c r="A37" s="192" t="s">
        <v>399</v>
      </c>
      <c r="B37" s="1">
        <v>129137</v>
      </c>
      <c r="C37" s="1">
        <v>129137</v>
      </c>
      <c r="D37" s="1">
        <v>129137</v>
      </c>
      <c r="E37" s="1">
        <v>129137</v>
      </c>
      <c r="F37" s="1">
        <v>129137</v>
      </c>
      <c r="G37" s="1">
        <v>129137</v>
      </c>
      <c r="H37" s="1">
        <v>133566</v>
      </c>
      <c r="I37" s="1">
        <v>133566</v>
      </c>
      <c r="J37" s="1">
        <v>134377</v>
      </c>
      <c r="K37" s="1">
        <v>144062</v>
      </c>
      <c r="L37" s="1">
        <v>144062</v>
      </c>
      <c r="M37" s="1">
        <v>144062</v>
      </c>
      <c r="N37" s="1">
        <v>1608517</v>
      </c>
    </row>
    <row r="38" spans="1:14" x14ac:dyDescent="0.25">
      <c r="A38" s="192" t="s">
        <v>298</v>
      </c>
      <c r="B38" s="1">
        <v>1464868</v>
      </c>
      <c r="C38" s="1">
        <v>1447531</v>
      </c>
      <c r="D38" s="1">
        <v>1447531</v>
      </c>
      <c r="E38" s="1">
        <v>1454035</v>
      </c>
      <c r="F38" s="1">
        <v>1454035</v>
      </c>
      <c r="G38" s="1">
        <v>1426545</v>
      </c>
      <c r="H38" s="1">
        <v>1763587</v>
      </c>
      <c r="I38" s="1">
        <v>1763587</v>
      </c>
      <c r="J38" s="1">
        <v>1763028</v>
      </c>
      <c r="K38" s="1">
        <v>1767854</v>
      </c>
      <c r="L38" s="1">
        <v>1767854</v>
      </c>
      <c r="M38" s="1">
        <v>1767854</v>
      </c>
      <c r="N38" s="1">
        <v>19288309</v>
      </c>
    </row>
    <row r="39" spans="1:14" x14ac:dyDescent="0.25">
      <c r="A39" s="192" t="s">
        <v>328</v>
      </c>
      <c r="B39" s="1">
        <v>174195</v>
      </c>
      <c r="C39" s="1">
        <v>174195</v>
      </c>
      <c r="D39" s="1">
        <v>174195</v>
      </c>
      <c r="E39" s="1">
        <v>174195</v>
      </c>
      <c r="F39" s="1">
        <v>174195</v>
      </c>
      <c r="G39" s="1">
        <v>174195</v>
      </c>
      <c r="H39" s="1">
        <v>174195</v>
      </c>
      <c r="I39" s="1">
        <v>174195</v>
      </c>
      <c r="J39" s="1">
        <v>174195</v>
      </c>
      <c r="K39" s="1">
        <v>205394</v>
      </c>
      <c r="L39" s="1">
        <v>205394</v>
      </c>
      <c r="M39" s="1">
        <v>205394</v>
      </c>
      <c r="N39" s="1">
        <v>2183937</v>
      </c>
    </row>
    <row r="40" spans="1:14" x14ac:dyDescent="0.25">
      <c r="A40" s="192" t="s">
        <v>400</v>
      </c>
      <c r="B40" s="1">
        <v>17160</v>
      </c>
      <c r="C40" s="1">
        <v>17160</v>
      </c>
      <c r="D40" s="1">
        <v>17160</v>
      </c>
      <c r="E40" s="1">
        <v>17160</v>
      </c>
      <c r="F40" s="1">
        <v>17160</v>
      </c>
      <c r="G40" s="1">
        <v>17160</v>
      </c>
      <c r="H40" s="1">
        <v>17160</v>
      </c>
      <c r="I40" s="1">
        <v>17160</v>
      </c>
      <c r="J40" s="1">
        <v>17160</v>
      </c>
      <c r="K40" s="1">
        <v>17160</v>
      </c>
      <c r="L40" s="1">
        <v>17160</v>
      </c>
      <c r="M40" s="1">
        <v>17160</v>
      </c>
      <c r="N40" s="1">
        <v>205920</v>
      </c>
    </row>
    <row r="41" spans="1:14" x14ac:dyDescent="0.25">
      <c r="A41" s="192" t="s">
        <v>401</v>
      </c>
      <c r="B41" s="1">
        <v>1528</v>
      </c>
      <c r="C41" s="1">
        <v>1528</v>
      </c>
      <c r="D41" s="1">
        <v>1528</v>
      </c>
      <c r="E41" s="1">
        <v>1528</v>
      </c>
      <c r="F41" s="1">
        <v>1528</v>
      </c>
      <c r="G41" s="1">
        <v>1528</v>
      </c>
      <c r="H41" s="1">
        <v>1528</v>
      </c>
      <c r="I41" s="1">
        <v>1528</v>
      </c>
      <c r="J41" s="1">
        <v>1528</v>
      </c>
      <c r="K41" s="1">
        <v>1528</v>
      </c>
      <c r="L41" s="1">
        <v>1528</v>
      </c>
      <c r="M41" s="1">
        <v>1528</v>
      </c>
      <c r="N41" s="1">
        <v>18336</v>
      </c>
    </row>
    <row r="42" spans="1:14" x14ac:dyDescent="0.25">
      <c r="A42" s="192" t="s">
        <v>974</v>
      </c>
      <c r="B42" s="1">
        <v>0</v>
      </c>
      <c r="C42" s="1">
        <v>0</v>
      </c>
      <c r="D42" s="1">
        <v>0</v>
      </c>
      <c r="E42" s="1">
        <v>0</v>
      </c>
      <c r="F42" s="1">
        <v>0</v>
      </c>
      <c r="G42" s="1">
        <v>0</v>
      </c>
      <c r="H42" s="1">
        <v>0</v>
      </c>
      <c r="I42" s="1">
        <v>0</v>
      </c>
      <c r="J42" s="1">
        <v>0</v>
      </c>
      <c r="K42" s="1">
        <v>0</v>
      </c>
      <c r="L42" s="1"/>
      <c r="M42" s="1"/>
      <c r="N42" s="1">
        <v>0</v>
      </c>
    </row>
    <row r="43" spans="1:14" x14ac:dyDescent="0.25">
      <c r="A43" s="7" t="s">
        <v>848</v>
      </c>
      <c r="B43" s="1">
        <v>0</v>
      </c>
      <c r="C43" s="1">
        <v>0</v>
      </c>
      <c r="D43" s="1">
        <v>0</v>
      </c>
      <c r="E43" s="1">
        <v>0</v>
      </c>
      <c r="F43" s="1">
        <v>0</v>
      </c>
      <c r="G43" s="1">
        <v>0</v>
      </c>
      <c r="H43" s="1">
        <v>0</v>
      </c>
      <c r="I43" s="1">
        <v>0</v>
      </c>
      <c r="J43" s="1">
        <v>0</v>
      </c>
      <c r="K43" s="1">
        <v>0</v>
      </c>
      <c r="L43" s="1"/>
      <c r="M43" s="1"/>
      <c r="N43" s="1">
        <v>0</v>
      </c>
    </row>
    <row r="44" spans="1:14" x14ac:dyDescent="0.25">
      <c r="A44" s="7" t="s">
        <v>402</v>
      </c>
      <c r="B44" s="1">
        <v>475666</v>
      </c>
      <c r="C44" s="1">
        <v>2148730</v>
      </c>
      <c r="D44" s="1">
        <v>4217209</v>
      </c>
      <c r="E44" s="1">
        <v>1913813</v>
      </c>
      <c r="F44" s="1">
        <v>2599537</v>
      </c>
      <c r="G44" s="1">
        <v>4176328</v>
      </c>
      <c r="H44" s="1">
        <v>2457635</v>
      </c>
      <c r="I44" s="1">
        <v>2000175</v>
      </c>
      <c r="J44" s="1">
        <v>2289886</v>
      </c>
      <c r="K44" s="1">
        <v>3984759</v>
      </c>
      <c r="L44" s="1">
        <v>2784362</v>
      </c>
      <c r="M44" s="1">
        <v>8025911</v>
      </c>
      <c r="N44" s="1">
        <v>37074011</v>
      </c>
    </row>
    <row r="45" spans="1:14" x14ac:dyDescent="0.25">
      <c r="A45" s="7" t="s">
        <v>456</v>
      </c>
      <c r="B45" s="1">
        <v>1860</v>
      </c>
      <c r="C45" s="1">
        <v>134</v>
      </c>
      <c r="D45" s="1">
        <v>190</v>
      </c>
      <c r="E45" s="1">
        <v>656</v>
      </c>
      <c r="F45" s="1">
        <v>575</v>
      </c>
      <c r="G45" s="1">
        <v>738</v>
      </c>
      <c r="H45" s="1">
        <v>183</v>
      </c>
      <c r="I45" s="1">
        <v>209</v>
      </c>
      <c r="J45" s="1">
        <v>1165</v>
      </c>
      <c r="K45" s="1">
        <v>173</v>
      </c>
      <c r="L45" s="1">
        <v>195</v>
      </c>
      <c r="M45" s="1">
        <v>215</v>
      </c>
      <c r="N45" s="1">
        <v>6293</v>
      </c>
    </row>
    <row r="46" spans="1:14" x14ac:dyDescent="0.25">
      <c r="A46" s="7" t="s">
        <v>478</v>
      </c>
      <c r="B46" s="1">
        <v>2666754</v>
      </c>
      <c r="C46" s="1">
        <v>11</v>
      </c>
      <c r="D46" s="1">
        <v>232</v>
      </c>
      <c r="E46" s="1">
        <v>626</v>
      </c>
      <c r="F46" s="1">
        <v>523</v>
      </c>
      <c r="G46" s="1">
        <v>34</v>
      </c>
      <c r="H46" s="1">
        <v>1038</v>
      </c>
      <c r="I46" s="1">
        <v>63</v>
      </c>
      <c r="J46" s="1">
        <v>29</v>
      </c>
      <c r="K46" s="1">
        <v>172</v>
      </c>
      <c r="L46" s="1">
        <v>7008</v>
      </c>
      <c r="M46" s="1">
        <v>21</v>
      </c>
      <c r="N46" s="1">
        <v>2676511</v>
      </c>
    </row>
    <row r="47" spans="1:14" x14ac:dyDescent="0.25">
      <c r="A47" s="7" t="s">
        <v>1151</v>
      </c>
      <c r="B47" s="1">
        <v>49142848</v>
      </c>
      <c r="C47" s="1">
        <v>0</v>
      </c>
      <c r="D47" s="1">
        <v>0</v>
      </c>
      <c r="E47" s="1">
        <v>0</v>
      </c>
      <c r="F47" s="1">
        <v>0</v>
      </c>
      <c r="G47" s="1">
        <v>0</v>
      </c>
      <c r="H47" s="1">
        <v>0</v>
      </c>
      <c r="I47" s="1">
        <v>0</v>
      </c>
      <c r="J47" s="1">
        <v>0</v>
      </c>
      <c r="K47" s="1">
        <v>0</v>
      </c>
      <c r="L47" s="1"/>
      <c r="M47" s="1"/>
      <c r="N47" s="1">
        <v>49142848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O5957"/>
  <sheetViews>
    <sheetView showGridLines="0" zoomScale="110" zoomScaleNormal="110" workbookViewId="0">
      <selection activeCell="A6" sqref="A6"/>
    </sheetView>
  </sheetViews>
  <sheetFormatPr defaultRowHeight="15" x14ac:dyDescent="0.25"/>
  <cols>
    <col min="1" max="1" width="53.42578125" style="2" bestFit="1" customWidth="1"/>
    <col min="2" max="2" width="14.85546875" bestFit="1" customWidth="1"/>
  </cols>
  <sheetData>
    <row r="1" spans="1:15" x14ac:dyDescent="0.25">
      <c r="A1" s="3" t="str" vm="9">
        <f>CUBEMEMBER("ThisWorkbookDataModel","[Measures].[Sum of Износ (илјади)]")</f>
        <v>Sum of Износ (илјади)</v>
      </c>
    </row>
    <row r="2" spans="1:15" x14ac:dyDescent="0.25">
      <c r="A2"/>
      <c r="B2" t="str" vm="8">
        <f>CUBEMEMBER("ThisWorkbookDataModel","[Calendar].[MMM-YYYY].&amp;[Nov-2018]")</f>
        <v>Nov-2018</v>
      </c>
      <c r="C2" s="42">
        <v>43435</v>
      </c>
      <c r="D2" s="42">
        <v>43466</v>
      </c>
      <c r="E2" s="42">
        <v>43497</v>
      </c>
      <c r="F2" s="42">
        <v>43525</v>
      </c>
      <c r="G2" s="42">
        <v>43556</v>
      </c>
      <c r="H2" s="42">
        <v>43586</v>
      </c>
      <c r="I2" s="42">
        <v>43617</v>
      </c>
      <c r="J2" s="42">
        <v>43647</v>
      </c>
      <c r="K2" s="42">
        <v>43678</v>
      </c>
      <c r="L2" s="42">
        <v>43709</v>
      </c>
      <c r="M2" s="42">
        <v>43739</v>
      </c>
      <c r="N2" s="42">
        <v>43770</v>
      </c>
      <c r="O2" s="43">
        <v>43800</v>
      </c>
    </row>
    <row r="3" spans="1:15" x14ac:dyDescent="0.25">
      <c r="A3" s="7" t="e">
        <f>CUBEMEMBER("ThisWorkbookDataModel","[rObrazecFinansiskiPlan2019].[Спецификации].[Спецификација].&amp;[5.1 Имот, машини и опрема]")</f>
        <v>#N/A</v>
      </c>
      <c r="B3" s="41" t="e">
        <f t="shared" ref="B3:B11" si="0">CUBEVALUE("ThisWorkbookDataModel",$A$1,$A3,B$2)</f>
        <v>#N/A</v>
      </c>
    </row>
    <row r="4" spans="1:15" x14ac:dyDescent="0.25">
      <c r="A4" s="8" t="e">
        <f>CUBEMEMBER("ThisWorkbookDataModel","[rObrazecFinansiskiPlan2019].[Спецификации].[Спецификација].&amp;[5.1 Имот, машини и опрема].&amp;[Недвижности]")</f>
        <v>#N/A</v>
      </c>
      <c r="B4" s="41" t="e">
        <f>CUBEVALUE("ThisWorkbookDataModel",$A$1,$A4,B$2)</f>
        <v>#N/A</v>
      </c>
    </row>
    <row r="5" spans="1:15" x14ac:dyDescent="0.25">
      <c r="A5" s="8" t="e">
        <f>CUBEMEMBER("ThisWorkbookDataModel","[rObrazecFinansiskiPlan2019].[Спецификации].[Спецификација].&amp;[5.1 Имот, машини и опрема].&amp;[Компјутерска и останата опрема]")</f>
        <v>#N/A</v>
      </c>
      <c r="B5" s="41" t="e">
        <f t="shared" si="0"/>
        <v>#N/A</v>
      </c>
    </row>
    <row r="6" spans="1:15" x14ac:dyDescent="0.25">
      <c r="A6" s="7" t="e">
        <f>CUBEMEMBER("ThisWorkbookDataModel","[rObrazecFinansiskiPlan2019].[Спецификации].[Спецификација].&amp;[5.2 Возила]")</f>
        <v>#N/A</v>
      </c>
      <c r="B6" s="41" t="e">
        <f t="shared" si="0"/>
        <v>#N/A</v>
      </c>
    </row>
    <row r="7" spans="1:15" x14ac:dyDescent="0.25">
      <c r="A7" s="8" t="e">
        <f>CUBEMEMBER("ThisWorkbookDataModel","[rObrazecFinansiskiPlan2019].[Спецификации].[Спецификација].&amp;[5.2 Возила].&amp;[Патнички автомобили]")</f>
        <v>#N/A</v>
      </c>
      <c r="B7" s="41" t="e">
        <f t="shared" si="0"/>
        <v>#N/A</v>
      </c>
    </row>
    <row r="8" spans="1:15" x14ac:dyDescent="0.25">
      <c r="A8" s="7" t="e">
        <f>CUBEMEMBER("ThisWorkbookDataModel","[rObrazecFinansiskiPlan2019].[Спецификации].[Спецификација].&amp;[5.3 Мебел и вградување на мебел]")</f>
        <v>#N/A</v>
      </c>
      <c r="B8" s="41" t="e">
        <f t="shared" si="0"/>
        <v>#N/A</v>
      </c>
    </row>
    <row r="9" spans="1:15" x14ac:dyDescent="0.25">
      <c r="A9" s="8" t="e">
        <f>CUBEMEMBER("ThisWorkbookDataModel","[rObrazecFinansiskiPlan2019].[Спецификации].[Спецификација].&amp;[5.3 Мебел и вградување на мебел].&amp;[Канцелариски мебел]")</f>
        <v>#N/A</v>
      </c>
      <c r="B9" s="41" t="e">
        <f t="shared" si="0"/>
        <v>#N/A</v>
      </c>
    </row>
    <row r="10" spans="1:15" x14ac:dyDescent="0.25">
      <c r="A10" s="7" t="e">
        <f>CUBEMEMBER("ThisWorkbookDataModel","[rObrazecFinansiskiPlan2019].[Спецификации].[Спецификација].&amp;[5.4 Останати материјални основни средства]")</f>
        <v>#N/A</v>
      </c>
      <c r="B10" s="41" t="e">
        <f t="shared" si="0"/>
        <v>#N/A</v>
      </c>
    </row>
    <row r="11" spans="1:15" x14ac:dyDescent="0.25">
      <c r="A11" s="8" t="e">
        <f>CUBEMEMBER("ThisWorkbookDataModel","[rObrazecFinansiskiPlan2019].[Спецификации].[Спецификација].&amp;[5.4 Останати материјални основни средства].&amp;[Инвестиции во тек - недвижности]")</f>
        <v>#N/A</v>
      </c>
      <c r="B11" s="41" t="e">
        <f t="shared" si="0"/>
        <v>#N/A</v>
      </c>
    </row>
    <row r="12" spans="1:15" x14ac:dyDescent="0.25">
      <c r="A12" s="8"/>
      <c r="B12" s="41"/>
    </row>
    <row r="13" spans="1:15" x14ac:dyDescent="0.25">
      <c r="A13" s="8"/>
      <c r="B13" s="41"/>
    </row>
    <row r="14" spans="1:15" x14ac:dyDescent="0.25">
      <c r="A14" s="7" t="e">
        <f>CUBEMEMBER("ThisWorkbookDataModel","[rObrazecFinansiskiPlan2019].[Спецификации].[Спецификација].&amp;[5.7. Права]")</f>
        <v>#N/A</v>
      </c>
      <c r="B14" s="41" t="e">
        <f>CUBEVALUE("ThisWorkbookDataModel",$A$1,$A14,B$2)</f>
        <v>#N/A</v>
      </c>
    </row>
    <row r="15" spans="1:15" x14ac:dyDescent="0.25">
      <c r="A15" s="8" t="e">
        <f>CUBEMEMBER("ThisWorkbookDataModel","[rObrazecFinansiskiPlan2019].[Спецификации].[Спецификација].&amp;[5.7. Права].&amp;[Права]")</f>
        <v>#N/A</v>
      </c>
      <c r="B15" s="41" t="e">
        <f>CUBEVALUE("ThisWorkbookDataModel",$A$1,$A15,B$2)</f>
        <v>#N/A</v>
      </c>
    </row>
    <row r="16" spans="1:15" x14ac:dyDescent="0.25">
      <c r="A16" s="7" t="e">
        <f>CUBEMEMBER("ThisWorkbookDataModel","[rObrazecFinansiskiPlan2019].[Спецификации].[Спецификација].&amp;[5.10 Други нематеријални средства]")</f>
        <v>#N/A</v>
      </c>
      <c r="B16" s="41" t="e">
        <f>CUBEVALUE("ThisWorkbookDataModel",$A$1,$A16,B$2)</f>
        <v>#N/A</v>
      </c>
    </row>
    <row r="17" spans="1:2" x14ac:dyDescent="0.25">
      <c r="A17" s="8" t="e">
        <f>CUBEMEMBER("ThisWorkbookDataModel","[rObrazecFinansiskiPlan2019].[Спецификации].[Спецификација].&amp;[5.10 Други нематеријални средства].&amp;[Софтвер]")</f>
        <v>#N/A</v>
      </c>
      <c r="B17" s="41" t="e">
        <f>CUBEVALUE("ThisWorkbookDataModel",$A$1,$A17,B$2)</f>
        <v>#N/A</v>
      </c>
    </row>
    <row r="18" spans="1:2" x14ac:dyDescent="0.25">
      <c r="A18"/>
      <c r="B18" s="104" t="e">
        <f>B3+B6+B8+B10+B16</f>
        <v>#N/A</v>
      </c>
    </row>
    <row r="19" spans="1:2" x14ac:dyDescent="0.25">
      <c r="A19"/>
    </row>
    <row r="20" spans="1:2" x14ac:dyDescent="0.25">
      <c r="A20"/>
      <c r="B20" t="s">
        <v>234</v>
      </c>
    </row>
    <row r="21" spans="1:2" x14ac:dyDescent="0.25">
      <c r="A21"/>
    </row>
    <row r="22" spans="1:2" x14ac:dyDescent="0.25">
      <c r="A22"/>
    </row>
    <row r="23" spans="1:2" x14ac:dyDescent="0.25">
      <c r="A23"/>
    </row>
    <row r="24" spans="1:2" x14ac:dyDescent="0.25">
      <c r="A24"/>
    </row>
    <row r="25" spans="1:2" x14ac:dyDescent="0.25">
      <c r="A25"/>
    </row>
    <row r="26" spans="1:2" x14ac:dyDescent="0.25">
      <c r="A26"/>
    </row>
    <row r="27" spans="1:2" x14ac:dyDescent="0.25">
      <c r="A27"/>
    </row>
    <row r="28" spans="1:2" x14ac:dyDescent="0.25">
      <c r="A28"/>
    </row>
    <row r="29" spans="1:2" x14ac:dyDescent="0.25">
      <c r="A29"/>
    </row>
    <row r="30" spans="1:2" x14ac:dyDescent="0.25">
      <c r="A30"/>
    </row>
    <row r="31" spans="1:2" x14ac:dyDescent="0.25">
      <c r="A31"/>
    </row>
    <row r="32" spans="1:2"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sheetData>
  <pageMargins left="0.7" right="0.7" top="0.75" bottom="0.75" header="0.3" footer="0.3"/>
  <pageSetup orientation="portrait"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CF7A1-30B6-4890-BEE5-E3A7281BF043}">
  <sheetPr>
    <tabColor rgb="FF92D050"/>
  </sheetPr>
  <dimension ref="A1:AM32"/>
  <sheetViews>
    <sheetView workbookViewId="0">
      <selection activeCell="O26" sqref="O26"/>
    </sheetView>
  </sheetViews>
  <sheetFormatPr defaultRowHeight="12.75" x14ac:dyDescent="0.25"/>
  <cols>
    <col min="1" max="1" width="2" style="345" customWidth="1"/>
    <col min="2" max="2" width="20.5703125" style="345" customWidth="1"/>
    <col min="3" max="3" width="13.42578125" style="345" customWidth="1"/>
    <col min="4" max="8" width="11.7109375" style="345" customWidth="1"/>
    <col min="9" max="9" width="17" style="345" customWidth="1"/>
    <col min="10" max="10" width="11.7109375" style="345" customWidth="1"/>
    <col min="11" max="11" width="8.7109375" style="345" customWidth="1"/>
    <col min="12" max="12" width="7" style="345" hidden="1" customWidth="1"/>
    <col min="13" max="13" width="6.7109375" style="345" hidden="1" customWidth="1"/>
    <col min="14" max="14" width="7.140625" style="345" hidden="1" customWidth="1"/>
    <col min="15" max="15" width="8.140625" style="345" customWidth="1"/>
    <col min="16" max="16" width="8.5703125" style="345" customWidth="1"/>
    <col min="17" max="17" width="8.7109375" style="345" customWidth="1"/>
    <col min="18" max="256" width="9.140625" style="345"/>
    <col min="257" max="257" width="2" style="345" customWidth="1"/>
    <col min="258" max="258" width="20.5703125" style="345" customWidth="1"/>
    <col min="259" max="259" width="13.42578125" style="345" customWidth="1"/>
    <col min="260" max="264" width="11.7109375" style="345" customWidth="1"/>
    <col min="265" max="265" width="17" style="345" customWidth="1"/>
    <col min="266" max="266" width="11.7109375" style="345" customWidth="1"/>
    <col min="267" max="267" width="8.7109375" style="345" customWidth="1"/>
    <col min="268" max="270" width="0" style="345" hidden="1" customWidth="1"/>
    <col min="271" max="271" width="8.140625" style="345" customWidth="1"/>
    <col min="272" max="272" width="8.5703125" style="345" customWidth="1"/>
    <col min="273" max="273" width="8.7109375" style="345" customWidth="1"/>
    <col min="274" max="512" width="9.140625" style="345"/>
    <col min="513" max="513" width="2" style="345" customWidth="1"/>
    <col min="514" max="514" width="20.5703125" style="345" customWidth="1"/>
    <col min="515" max="515" width="13.42578125" style="345" customWidth="1"/>
    <col min="516" max="520" width="11.7109375" style="345" customWidth="1"/>
    <col min="521" max="521" width="17" style="345" customWidth="1"/>
    <col min="522" max="522" width="11.7109375" style="345" customWidth="1"/>
    <col min="523" max="523" width="8.7109375" style="345" customWidth="1"/>
    <col min="524" max="526" width="0" style="345" hidden="1" customWidth="1"/>
    <col min="527" max="527" width="8.140625" style="345" customWidth="1"/>
    <col min="528" max="528" width="8.5703125" style="345" customWidth="1"/>
    <col min="529" max="529" width="8.7109375" style="345" customWidth="1"/>
    <col min="530" max="768" width="9.140625" style="345"/>
    <col min="769" max="769" width="2" style="345" customWidth="1"/>
    <col min="770" max="770" width="20.5703125" style="345" customWidth="1"/>
    <col min="771" max="771" width="13.42578125" style="345" customWidth="1"/>
    <col min="772" max="776" width="11.7109375" style="345" customWidth="1"/>
    <col min="777" max="777" width="17" style="345" customWidth="1"/>
    <col min="778" max="778" width="11.7109375" style="345" customWidth="1"/>
    <col min="779" max="779" width="8.7109375" style="345" customWidth="1"/>
    <col min="780" max="782" width="0" style="345" hidden="1" customWidth="1"/>
    <col min="783" max="783" width="8.140625" style="345" customWidth="1"/>
    <col min="784" max="784" width="8.5703125" style="345" customWidth="1"/>
    <col min="785" max="785" width="8.7109375" style="345" customWidth="1"/>
    <col min="786" max="1024" width="9.140625" style="345"/>
    <col min="1025" max="1025" width="2" style="345" customWidth="1"/>
    <col min="1026" max="1026" width="20.5703125" style="345" customWidth="1"/>
    <col min="1027" max="1027" width="13.42578125" style="345" customWidth="1"/>
    <col min="1028" max="1032" width="11.7109375" style="345" customWidth="1"/>
    <col min="1033" max="1033" width="17" style="345" customWidth="1"/>
    <col min="1034" max="1034" width="11.7109375" style="345" customWidth="1"/>
    <col min="1035" max="1035" width="8.7109375" style="345" customWidth="1"/>
    <col min="1036" max="1038" width="0" style="345" hidden="1" customWidth="1"/>
    <col min="1039" max="1039" width="8.140625" style="345" customWidth="1"/>
    <col min="1040" max="1040" width="8.5703125" style="345" customWidth="1"/>
    <col min="1041" max="1041" width="8.7109375" style="345" customWidth="1"/>
    <col min="1042" max="1280" width="9.140625" style="345"/>
    <col min="1281" max="1281" width="2" style="345" customWidth="1"/>
    <col min="1282" max="1282" width="20.5703125" style="345" customWidth="1"/>
    <col min="1283" max="1283" width="13.42578125" style="345" customWidth="1"/>
    <col min="1284" max="1288" width="11.7109375" style="345" customWidth="1"/>
    <col min="1289" max="1289" width="17" style="345" customWidth="1"/>
    <col min="1290" max="1290" width="11.7109375" style="345" customWidth="1"/>
    <col min="1291" max="1291" width="8.7109375" style="345" customWidth="1"/>
    <col min="1292" max="1294" width="0" style="345" hidden="1" customWidth="1"/>
    <col min="1295" max="1295" width="8.140625" style="345" customWidth="1"/>
    <col min="1296" max="1296" width="8.5703125" style="345" customWidth="1"/>
    <col min="1297" max="1297" width="8.7109375" style="345" customWidth="1"/>
    <col min="1298" max="1536" width="9.140625" style="345"/>
    <col min="1537" max="1537" width="2" style="345" customWidth="1"/>
    <col min="1538" max="1538" width="20.5703125" style="345" customWidth="1"/>
    <col min="1539" max="1539" width="13.42578125" style="345" customWidth="1"/>
    <col min="1540" max="1544" width="11.7109375" style="345" customWidth="1"/>
    <col min="1545" max="1545" width="17" style="345" customWidth="1"/>
    <col min="1546" max="1546" width="11.7109375" style="345" customWidth="1"/>
    <col min="1547" max="1547" width="8.7109375" style="345" customWidth="1"/>
    <col min="1548" max="1550" width="0" style="345" hidden="1" customWidth="1"/>
    <col min="1551" max="1551" width="8.140625" style="345" customWidth="1"/>
    <col min="1552" max="1552" width="8.5703125" style="345" customWidth="1"/>
    <col min="1553" max="1553" width="8.7109375" style="345" customWidth="1"/>
    <col min="1554" max="1792" width="9.140625" style="345"/>
    <col min="1793" max="1793" width="2" style="345" customWidth="1"/>
    <col min="1794" max="1794" width="20.5703125" style="345" customWidth="1"/>
    <col min="1795" max="1795" width="13.42578125" style="345" customWidth="1"/>
    <col min="1796" max="1800" width="11.7109375" style="345" customWidth="1"/>
    <col min="1801" max="1801" width="17" style="345" customWidth="1"/>
    <col min="1802" max="1802" width="11.7109375" style="345" customWidth="1"/>
    <col min="1803" max="1803" width="8.7109375" style="345" customWidth="1"/>
    <col min="1804" max="1806" width="0" style="345" hidden="1" customWidth="1"/>
    <col min="1807" max="1807" width="8.140625" style="345" customWidth="1"/>
    <col min="1808" max="1808" width="8.5703125" style="345" customWidth="1"/>
    <col min="1809" max="1809" width="8.7109375" style="345" customWidth="1"/>
    <col min="1810" max="2048" width="9.140625" style="345"/>
    <col min="2049" max="2049" width="2" style="345" customWidth="1"/>
    <col min="2050" max="2050" width="20.5703125" style="345" customWidth="1"/>
    <col min="2051" max="2051" width="13.42578125" style="345" customWidth="1"/>
    <col min="2052" max="2056" width="11.7109375" style="345" customWidth="1"/>
    <col min="2057" max="2057" width="17" style="345" customWidth="1"/>
    <col min="2058" max="2058" width="11.7109375" style="345" customWidth="1"/>
    <col min="2059" max="2059" width="8.7109375" style="345" customWidth="1"/>
    <col min="2060" max="2062" width="0" style="345" hidden="1" customWidth="1"/>
    <col min="2063" max="2063" width="8.140625" style="345" customWidth="1"/>
    <col min="2064" max="2064" width="8.5703125" style="345" customWidth="1"/>
    <col min="2065" max="2065" width="8.7109375" style="345" customWidth="1"/>
    <col min="2066" max="2304" width="9.140625" style="345"/>
    <col min="2305" max="2305" width="2" style="345" customWidth="1"/>
    <col min="2306" max="2306" width="20.5703125" style="345" customWidth="1"/>
    <col min="2307" max="2307" width="13.42578125" style="345" customWidth="1"/>
    <col min="2308" max="2312" width="11.7109375" style="345" customWidth="1"/>
    <col min="2313" max="2313" width="17" style="345" customWidth="1"/>
    <col min="2314" max="2314" width="11.7109375" style="345" customWidth="1"/>
    <col min="2315" max="2315" width="8.7109375" style="345" customWidth="1"/>
    <col min="2316" max="2318" width="0" style="345" hidden="1" customWidth="1"/>
    <col min="2319" max="2319" width="8.140625" style="345" customWidth="1"/>
    <col min="2320" max="2320" width="8.5703125" style="345" customWidth="1"/>
    <col min="2321" max="2321" width="8.7109375" style="345" customWidth="1"/>
    <col min="2322" max="2560" width="9.140625" style="345"/>
    <col min="2561" max="2561" width="2" style="345" customWidth="1"/>
    <col min="2562" max="2562" width="20.5703125" style="345" customWidth="1"/>
    <col min="2563" max="2563" width="13.42578125" style="345" customWidth="1"/>
    <col min="2564" max="2568" width="11.7109375" style="345" customWidth="1"/>
    <col min="2569" max="2569" width="17" style="345" customWidth="1"/>
    <col min="2570" max="2570" width="11.7109375" style="345" customWidth="1"/>
    <col min="2571" max="2571" width="8.7109375" style="345" customWidth="1"/>
    <col min="2572" max="2574" width="0" style="345" hidden="1" customWidth="1"/>
    <col min="2575" max="2575" width="8.140625" style="345" customWidth="1"/>
    <col min="2576" max="2576" width="8.5703125" style="345" customWidth="1"/>
    <col min="2577" max="2577" width="8.7109375" style="345" customWidth="1"/>
    <col min="2578" max="2816" width="9.140625" style="345"/>
    <col min="2817" max="2817" width="2" style="345" customWidth="1"/>
    <col min="2818" max="2818" width="20.5703125" style="345" customWidth="1"/>
    <col min="2819" max="2819" width="13.42578125" style="345" customWidth="1"/>
    <col min="2820" max="2824" width="11.7109375" style="345" customWidth="1"/>
    <col min="2825" max="2825" width="17" style="345" customWidth="1"/>
    <col min="2826" max="2826" width="11.7109375" style="345" customWidth="1"/>
    <col min="2827" max="2827" width="8.7109375" style="345" customWidth="1"/>
    <col min="2828" max="2830" width="0" style="345" hidden="1" customWidth="1"/>
    <col min="2831" max="2831" width="8.140625" style="345" customWidth="1"/>
    <col min="2832" max="2832" width="8.5703125" style="345" customWidth="1"/>
    <col min="2833" max="2833" width="8.7109375" style="345" customWidth="1"/>
    <col min="2834" max="3072" width="9.140625" style="345"/>
    <col min="3073" max="3073" width="2" style="345" customWidth="1"/>
    <col min="3074" max="3074" width="20.5703125" style="345" customWidth="1"/>
    <col min="3075" max="3075" width="13.42578125" style="345" customWidth="1"/>
    <col min="3076" max="3080" width="11.7109375" style="345" customWidth="1"/>
    <col min="3081" max="3081" width="17" style="345" customWidth="1"/>
    <col min="3082" max="3082" width="11.7109375" style="345" customWidth="1"/>
    <col min="3083" max="3083" width="8.7109375" style="345" customWidth="1"/>
    <col min="3084" max="3086" width="0" style="345" hidden="1" customWidth="1"/>
    <col min="3087" max="3087" width="8.140625" style="345" customWidth="1"/>
    <col min="3088" max="3088" width="8.5703125" style="345" customWidth="1"/>
    <col min="3089" max="3089" width="8.7109375" style="345" customWidth="1"/>
    <col min="3090" max="3328" width="9.140625" style="345"/>
    <col min="3329" max="3329" width="2" style="345" customWidth="1"/>
    <col min="3330" max="3330" width="20.5703125" style="345" customWidth="1"/>
    <col min="3331" max="3331" width="13.42578125" style="345" customWidth="1"/>
    <col min="3332" max="3336" width="11.7109375" style="345" customWidth="1"/>
    <col min="3337" max="3337" width="17" style="345" customWidth="1"/>
    <col min="3338" max="3338" width="11.7109375" style="345" customWidth="1"/>
    <col min="3339" max="3339" width="8.7109375" style="345" customWidth="1"/>
    <col min="3340" max="3342" width="0" style="345" hidden="1" customWidth="1"/>
    <col min="3343" max="3343" width="8.140625" style="345" customWidth="1"/>
    <col min="3344" max="3344" width="8.5703125" style="345" customWidth="1"/>
    <col min="3345" max="3345" width="8.7109375" style="345" customWidth="1"/>
    <col min="3346" max="3584" width="9.140625" style="345"/>
    <col min="3585" max="3585" width="2" style="345" customWidth="1"/>
    <col min="3586" max="3586" width="20.5703125" style="345" customWidth="1"/>
    <col min="3587" max="3587" width="13.42578125" style="345" customWidth="1"/>
    <col min="3588" max="3592" width="11.7109375" style="345" customWidth="1"/>
    <col min="3593" max="3593" width="17" style="345" customWidth="1"/>
    <col min="3594" max="3594" width="11.7109375" style="345" customWidth="1"/>
    <col min="3595" max="3595" width="8.7109375" style="345" customWidth="1"/>
    <col min="3596" max="3598" width="0" style="345" hidden="1" customWidth="1"/>
    <col min="3599" max="3599" width="8.140625" style="345" customWidth="1"/>
    <col min="3600" max="3600" width="8.5703125" style="345" customWidth="1"/>
    <col min="3601" max="3601" width="8.7109375" style="345" customWidth="1"/>
    <col min="3602" max="3840" width="9.140625" style="345"/>
    <col min="3841" max="3841" width="2" style="345" customWidth="1"/>
    <col min="3842" max="3842" width="20.5703125" style="345" customWidth="1"/>
    <col min="3843" max="3843" width="13.42578125" style="345" customWidth="1"/>
    <col min="3844" max="3848" width="11.7109375" style="345" customWidth="1"/>
    <col min="3849" max="3849" width="17" style="345" customWidth="1"/>
    <col min="3850" max="3850" width="11.7109375" style="345" customWidth="1"/>
    <col min="3851" max="3851" width="8.7109375" style="345" customWidth="1"/>
    <col min="3852" max="3854" width="0" style="345" hidden="1" customWidth="1"/>
    <col min="3855" max="3855" width="8.140625" style="345" customWidth="1"/>
    <col min="3856" max="3856" width="8.5703125" style="345" customWidth="1"/>
    <col min="3857" max="3857" width="8.7109375" style="345" customWidth="1"/>
    <col min="3858" max="4096" width="9.140625" style="345"/>
    <col min="4097" max="4097" width="2" style="345" customWidth="1"/>
    <col min="4098" max="4098" width="20.5703125" style="345" customWidth="1"/>
    <col min="4099" max="4099" width="13.42578125" style="345" customWidth="1"/>
    <col min="4100" max="4104" width="11.7109375" style="345" customWidth="1"/>
    <col min="4105" max="4105" width="17" style="345" customWidth="1"/>
    <col min="4106" max="4106" width="11.7109375" style="345" customWidth="1"/>
    <col min="4107" max="4107" width="8.7109375" style="345" customWidth="1"/>
    <col min="4108" max="4110" width="0" style="345" hidden="1" customWidth="1"/>
    <col min="4111" max="4111" width="8.140625" style="345" customWidth="1"/>
    <col min="4112" max="4112" width="8.5703125" style="345" customWidth="1"/>
    <col min="4113" max="4113" width="8.7109375" style="345" customWidth="1"/>
    <col min="4114" max="4352" width="9.140625" style="345"/>
    <col min="4353" max="4353" width="2" style="345" customWidth="1"/>
    <col min="4354" max="4354" width="20.5703125" style="345" customWidth="1"/>
    <col min="4355" max="4355" width="13.42578125" style="345" customWidth="1"/>
    <col min="4356" max="4360" width="11.7109375" style="345" customWidth="1"/>
    <col min="4361" max="4361" width="17" style="345" customWidth="1"/>
    <col min="4362" max="4362" width="11.7109375" style="345" customWidth="1"/>
    <col min="4363" max="4363" width="8.7109375" style="345" customWidth="1"/>
    <col min="4364" max="4366" width="0" style="345" hidden="1" customWidth="1"/>
    <col min="4367" max="4367" width="8.140625" style="345" customWidth="1"/>
    <col min="4368" max="4368" width="8.5703125" style="345" customWidth="1"/>
    <col min="4369" max="4369" width="8.7109375" style="345" customWidth="1"/>
    <col min="4370" max="4608" width="9.140625" style="345"/>
    <col min="4609" max="4609" width="2" style="345" customWidth="1"/>
    <col min="4610" max="4610" width="20.5703125" style="345" customWidth="1"/>
    <col min="4611" max="4611" width="13.42578125" style="345" customWidth="1"/>
    <col min="4612" max="4616" width="11.7109375" style="345" customWidth="1"/>
    <col min="4617" max="4617" width="17" style="345" customWidth="1"/>
    <col min="4618" max="4618" width="11.7109375" style="345" customWidth="1"/>
    <col min="4619" max="4619" width="8.7109375" style="345" customWidth="1"/>
    <col min="4620" max="4622" width="0" style="345" hidden="1" customWidth="1"/>
    <col min="4623" max="4623" width="8.140625" style="345" customWidth="1"/>
    <col min="4624" max="4624" width="8.5703125" style="345" customWidth="1"/>
    <col min="4625" max="4625" width="8.7109375" style="345" customWidth="1"/>
    <col min="4626" max="4864" width="9.140625" style="345"/>
    <col min="4865" max="4865" width="2" style="345" customWidth="1"/>
    <col min="4866" max="4866" width="20.5703125" style="345" customWidth="1"/>
    <col min="4867" max="4867" width="13.42578125" style="345" customWidth="1"/>
    <col min="4868" max="4872" width="11.7109375" style="345" customWidth="1"/>
    <col min="4873" max="4873" width="17" style="345" customWidth="1"/>
    <col min="4874" max="4874" width="11.7109375" style="345" customWidth="1"/>
    <col min="4875" max="4875" width="8.7109375" style="345" customWidth="1"/>
    <col min="4876" max="4878" width="0" style="345" hidden="1" customWidth="1"/>
    <col min="4879" max="4879" width="8.140625" style="345" customWidth="1"/>
    <col min="4880" max="4880" width="8.5703125" style="345" customWidth="1"/>
    <col min="4881" max="4881" width="8.7109375" style="345" customWidth="1"/>
    <col min="4882" max="5120" width="9.140625" style="345"/>
    <col min="5121" max="5121" width="2" style="345" customWidth="1"/>
    <col min="5122" max="5122" width="20.5703125" style="345" customWidth="1"/>
    <col min="5123" max="5123" width="13.42578125" style="345" customWidth="1"/>
    <col min="5124" max="5128" width="11.7109375" style="345" customWidth="1"/>
    <col min="5129" max="5129" width="17" style="345" customWidth="1"/>
    <col min="5130" max="5130" width="11.7109375" style="345" customWidth="1"/>
    <col min="5131" max="5131" width="8.7109375" style="345" customWidth="1"/>
    <col min="5132" max="5134" width="0" style="345" hidden="1" customWidth="1"/>
    <col min="5135" max="5135" width="8.140625" style="345" customWidth="1"/>
    <col min="5136" max="5136" width="8.5703125" style="345" customWidth="1"/>
    <col min="5137" max="5137" width="8.7109375" style="345" customWidth="1"/>
    <col min="5138" max="5376" width="9.140625" style="345"/>
    <col min="5377" max="5377" width="2" style="345" customWidth="1"/>
    <col min="5378" max="5378" width="20.5703125" style="345" customWidth="1"/>
    <col min="5379" max="5379" width="13.42578125" style="345" customWidth="1"/>
    <col min="5380" max="5384" width="11.7109375" style="345" customWidth="1"/>
    <col min="5385" max="5385" width="17" style="345" customWidth="1"/>
    <col min="5386" max="5386" width="11.7109375" style="345" customWidth="1"/>
    <col min="5387" max="5387" width="8.7109375" style="345" customWidth="1"/>
    <col min="5388" max="5390" width="0" style="345" hidden="1" customWidth="1"/>
    <col min="5391" max="5391" width="8.140625" style="345" customWidth="1"/>
    <col min="5392" max="5392" width="8.5703125" style="345" customWidth="1"/>
    <col min="5393" max="5393" width="8.7109375" style="345" customWidth="1"/>
    <col min="5394" max="5632" width="9.140625" style="345"/>
    <col min="5633" max="5633" width="2" style="345" customWidth="1"/>
    <col min="5634" max="5634" width="20.5703125" style="345" customWidth="1"/>
    <col min="5635" max="5635" width="13.42578125" style="345" customWidth="1"/>
    <col min="5636" max="5640" width="11.7109375" style="345" customWidth="1"/>
    <col min="5641" max="5641" width="17" style="345" customWidth="1"/>
    <col min="5642" max="5642" width="11.7109375" style="345" customWidth="1"/>
    <col min="5643" max="5643" width="8.7109375" style="345" customWidth="1"/>
    <col min="5644" max="5646" width="0" style="345" hidden="1" customWidth="1"/>
    <col min="5647" max="5647" width="8.140625" style="345" customWidth="1"/>
    <col min="5648" max="5648" width="8.5703125" style="345" customWidth="1"/>
    <col min="5649" max="5649" width="8.7109375" style="345" customWidth="1"/>
    <col min="5650" max="5888" width="9.140625" style="345"/>
    <col min="5889" max="5889" width="2" style="345" customWidth="1"/>
    <col min="5890" max="5890" width="20.5703125" style="345" customWidth="1"/>
    <col min="5891" max="5891" width="13.42578125" style="345" customWidth="1"/>
    <col min="5892" max="5896" width="11.7109375" style="345" customWidth="1"/>
    <col min="5897" max="5897" width="17" style="345" customWidth="1"/>
    <col min="5898" max="5898" width="11.7109375" style="345" customWidth="1"/>
    <col min="5899" max="5899" width="8.7109375" style="345" customWidth="1"/>
    <col min="5900" max="5902" width="0" style="345" hidden="1" customWidth="1"/>
    <col min="5903" max="5903" width="8.140625" style="345" customWidth="1"/>
    <col min="5904" max="5904" width="8.5703125" style="345" customWidth="1"/>
    <col min="5905" max="5905" width="8.7109375" style="345" customWidth="1"/>
    <col min="5906" max="6144" width="9.140625" style="345"/>
    <col min="6145" max="6145" width="2" style="345" customWidth="1"/>
    <col min="6146" max="6146" width="20.5703125" style="345" customWidth="1"/>
    <col min="6147" max="6147" width="13.42578125" style="345" customWidth="1"/>
    <col min="6148" max="6152" width="11.7109375" style="345" customWidth="1"/>
    <col min="6153" max="6153" width="17" style="345" customWidth="1"/>
    <col min="6154" max="6154" width="11.7109375" style="345" customWidth="1"/>
    <col min="6155" max="6155" width="8.7109375" style="345" customWidth="1"/>
    <col min="6156" max="6158" width="0" style="345" hidden="1" customWidth="1"/>
    <col min="6159" max="6159" width="8.140625" style="345" customWidth="1"/>
    <col min="6160" max="6160" width="8.5703125" style="345" customWidth="1"/>
    <col min="6161" max="6161" width="8.7109375" style="345" customWidth="1"/>
    <col min="6162" max="6400" width="9.140625" style="345"/>
    <col min="6401" max="6401" width="2" style="345" customWidth="1"/>
    <col min="6402" max="6402" width="20.5703125" style="345" customWidth="1"/>
    <col min="6403" max="6403" width="13.42578125" style="345" customWidth="1"/>
    <col min="6404" max="6408" width="11.7109375" style="345" customWidth="1"/>
    <col min="6409" max="6409" width="17" style="345" customWidth="1"/>
    <col min="6410" max="6410" width="11.7109375" style="345" customWidth="1"/>
    <col min="6411" max="6411" width="8.7109375" style="345" customWidth="1"/>
    <col min="6412" max="6414" width="0" style="345" hidden="1" customWidth="1"/>
    <col min="6415" max="6415" width="8.140625" style="345" customWidth="1"/>
    <col min="6416" max="6416" width="8.5703125" style="345" customWidth="1"/>
    <col min="6417" max="6417" width="8.7109375" style="345" customWidth="1"/>
    <col min="6418" max="6656" width="9.140625" style="345"/>
    <col min="6657" max="6657" width="2" style="345" customWidth="1"/>
    <col min="6658" max="6658" width="20.5703125" style="345" customWidth="1"/>
    <col min="6659" max="6659" width="13.42578125" style="345" customWidth="1"/>
    <col min="6660" max="6664" width="11.7109375" style="345" customWidth="1"/>
    <col min="6665" max="6665" width="17" style="345" customWidth="1"/>
    <col min="6666" max="6666" width="11.7109375" style="345" customWidth="1"/>
    <col min="6667" max="6667" width="8.7109375" style="345" customWidth="1"/>
    <col min="6668" max="6670" width="0" style="345" hidden="1" customWidth="1"/>
    <col min="6671" max="6671" width="8.140625" style="345" customWidth="1"/>
    <col min="6672" max="6672" width="8.5703125" style="345" customWidth="1"/>
    <col min="6673" max="6673" width="8.7109375" style="345" customWidth="1"/>
    <col min="6674" max="6912" width="9.140625" style="345"/>
    <col min="6913" max="6913" width="2" style="345" customWidth="1"/>
    <col min="6914" max="6914" width="20.5703125" style="345" customWidth="1"/>
    <col min="6915" max="6915" width="13.42578125" style="345" customWidth="1"/>
    <col min="6916" max="6920" width="11.7109375" style="345" customWidth="1"/>
    <col min="6921" max="6921" width="17" style="345" customWidth="1"/>
    <col min="6922" max="6922" width="11.7109375" style="345" customWidth="1"/>
    <col min="6923" max="6923" width="8.7109375" style="345" customWidth="1"/>
    <col min="6924" max="6926" width="0" style="345" hidden="1" customWidth="1"/>
    <col min="6927" max="6927" width="8.140625" style="345" customWidth="1"/>
    <col min="6928" max="6928" width="8.5703125" style="345" customWidth="1"/>
    <col min="6929" max="6929" width="8.7109375" style="345" customWidth="1"/>
    <col min="6930" max="7168" width="9.140625" style="345"/>
    <col min="7169" max="7169" width="2" style="345" customWidth="1"/>
    <col min="7170" max="7170" width="20.5703125" style="345" customWidth="1"/>
    <col min="7171" max="7171" width="13.42578125" style="345" customWidth="1"/>
    <col min="7172" max="7176" width="11.7109375" style="345" customWidth="1"/>
    <col min="7177" max="7177" width="17" style="345" customWidth="1"/>
    <col min="7178" max="7178" width="11.7109375" style="345" customWidth="1"/>
    <col min="7179" max="7179" width="8.7109375" style="345" customWidth="1"/>
    <col min="7180" max="7182" width="0" style="345" hidden="1" customWidth="1"/>
    <col min="7183" max="7183" width="8.140625" style="345" customWidth="1"/>
    <col min="7184" max="7184" width="8.5703125" style="345" customWidth="1"/>
    <col min="7185" max="7185" width="8.7109375" style="345" customWidth="1"/>
    <col min="7186" max="7424" width="9.140625" style="345"/>
    <col min="7425" max="7425" width="2" style="345" customWidth="1"/>
    <col min="7426" max="7426" width="20.5703125" style="345" customWidth="1"/>
    <col min="7427" max="7427" width="13.42578125" style="345" customWidth="1"/>
    <col min="7428" max="7432" width="11.7109375" style="345" customWidth="1"/>
    <col min="7433" max="7433" width="17" style="345" customWidth="1"/>
    <col min="7434" max="7434" width="11.7109375" style="345" customWidth="1"/>
    <col min="7435" max="7435" width="8.7109375" style="345" customWidth="1"/>
    <col min="7436" max="7438" width="0" style="345" hidden="1" customWidth="1"/>
    <col min="7439" max="7439" width="8.140625" style="345" customWidth="1"/>
    <col min="7440" max="7440" width="8.5703125" style="345" customWidth="1"/>
    <col min="7441" max="7441" width="8.7109375" style="345" customWidth="1"/>
    <col min="7442" max="7680" width="9.140625" style="345"/>
    <col min="7681" max="7681" width="2" style="345" customWidth="1"/>
    <col min="7682" max="7682" width="20.5703125" style="345" customWidth="1"/>
    <col min="7683" max="7683" width="13.42578125" style="345" customWidth="1"/>
    <col min="7684" max="7688" width="11.7109375" style="345" customWidth="1"/>
    <col min="7689" max="7689" width="17" style="345" customWidth="1"/>
    <col min="7690" max="7690" width="11.7109375" style="345" customWidth="1"/>
    <col min="7691" max="7691" width="8.7109375" style="345" customWidth="1"/>
    <col min="7692" max="7694" width="0" style="345" hidden="1" customWidth="1"/>
    <col min="7695" max="7695" width="8.140625" style="345" customWidth="1"/>
    <col min="7696" max="7696" width="8.5703125" style="345" customWidth="1"/>
    <col min="7697" max="7697" width="8.7109375" style="345" customWidth="1"/>
    <col min="7698" max="7936" width="9.140625" style="345"/>
    <col min="7937" max="7937" width="2" style="345" customWidth="1"/>
    <col min="7938" max="7938" width="20.5703125" style="345" customWidth="1"/>
    <col min="7939" max="7939" width="13.42578125" style="345" customWidth="1"/>
    <col min="7940" max="7944" width="11.7109375" style="345" customWidth="1"/>
    <col min="7945" max="7945" width="17" style="345" customWidth="1"/>
    <col min="7946" max="7946" width="11.7109375" style="345" customWidth="1"/>
    <col min="7947" max="7947" width="8.7109375" style="345" customWidth="1"/>
    <col min="7948" max="7950" width="0" style="345" hidden="1" customWidth="1"/>
    <col min="7951" max="7951" width="8.140625" style="345" customWidth="1"/>
    <col min="7952" max="7952" width="8.5703125" style="345" customWidth="1"/>
    <col min="7953" max="7953" width="8.7109375" style="345" customWidth="1"/>
    <col min="7954" max="8192" width="9.140625" style="345"/>
    <col min="8193" max="8193" width="2" style="345" customWidth="1"/>
    <col min="8194" max="8194" width="20.5703125" style="345" customWidth="1"/>
    <col min="8195" max="8195" width="13.42578125" style="345" customWidth="1"/>
    <col min="8196" max="8200" width="11.7109375" style="345" customWidth="1"/>
    <col min="8201" max="8201" width="17" style="345" customWidth="1"/>
    <col min="8202" max="8202" width="11.7109375" style="345" customWidth="1"/>
    <col min="8203" max="8203" width="8.7109375" style="345" customWidth="1"/>
    <col min="8204" max="8206" width="0" style="345" hidden="1" customWidth="1"/>
    <col min="8207" max="8207" width="8.140625" style="345" customWidth="1"/>
    <col min="8208" max="8208" width="8.5703125" style="345" customWidth="1"/>
    <col min="8209" max="8209" width="8.7109375" style="345" customWidth="1"/>
    <col min="8210" max="8448" width="9.140625" style="345"/>
    <col min="8449" max="8449" width="2" style="345" customWidth="1"/>
    <col min="8450" max="8450" width="20.5703125" style="345" customWidth="1"/>
    <col min="8451" max="8451" width="13.42578125" style="345" customWidth="1"/>
    <col min="8452" max="8456" width="11.7109375" style="345" customWidth="1"/>
    <col min="8457" max="8457" width="17" style="345" customWidth="1"/>
    <col min="8458" max="8458" width="11.7109375" style="345" customWidth="1"/>
    <col min="8459" max="8459" width="8.7109375" style="345" customWidth="1"/>
    <col min="8460" max="8462" width="0" style="345" hidden="1" customWidth="1"/>
    <col min="8463" max="8463" width="8.140625" style="345" customWidth="1"/>
    <col min="8464" max="8464" width="8.5703125" style="345" customWidth="1"/>
    <col min="8465" max="8465" width="8.7109375" style="345" customWidth="1"/>
    <col min="8466" max="8704" width="9.140625" style="345"/>
    <col min="8705" max="8705" width="2" style="345" customWidth="1"/>
    <col min="8706" max="8706" width="20.5703125" style="345" customWidth="1"/>
    <col min="8707" max="8707" width="13.42578125" style="345" customWidth="1"/>
    <col min="8708" max="8712" width="11.7109375" style="345" customWidth="1"/>
    <col min="8713" max="8713" width="17" style="345" customWidth="1"/>
    <col min="8714" max="8714" width="11.7109375" style="345" customWidth="1"/>
    <col min="8715" max="8715" width="8.7109375" style="345" customWidth="1"/>
    <col min="8716" max="8718" width="0" style="345" hidden="1" customWidth="1"/>
    <col min="8719" max="8719" width="8.140625" style="345" customWidth="1"/>
    <col min="8720" max="8720" width="8.5703125" style="345" customWidth="1"/>
    <col min="8721" max="8721" width="8.7109375" style="345" customWidth="1"/>
    <col min="8722" max="8960" width="9.140625" style="345"/>
    <col min="8961" max="8961" width="2" style="345" customWidth="1"/>
    <col min="8962" max="8962" width="20.5703125" style="345" customWidth="1"/>
    <col min="8963" max="8963" width="13.42578125" style="345" customWidth="1"/>
    <col min="8964" max="8968" width="11.7109375" style="345" customWidth="1"/>
    <col min="8969" max="8969" width="17" style="345" customWidth="1"/>
    <col min="8970" max="8970" width="11.7109375" style="345" customWidth="1"/>
    <col min="8971" max="8971" width="8.7109375" style="345" customWidth="1"/>
    <col min="8972" max="8974" width="0" style="345" hidden="1" customWidth="1"/>
    <col min="8975" max="8975" width="8.140625" style="345" customWidth="1"/>
    <col min="8976" max="8976" width="8.5703125" style="345" customWidth="1"/>
    <col min="8977" max="8977" width="8.7109375" style="345" customWidth="1"/>
    <col min="8978" max="9216" width="9.140625" style="345"/>
    <col min="9217" max="9217" width="2" style="345" customWidth="1"/>
    <col min="9218" max="9218" width="20.5703125" style="345" customWidth="1"/>
    <col min="9219" max="9219" width="13.42578125" style="345" customWidth="1"/>
    <col min="9220" max="9224" width="11.7109375" style="345" customWidth="1"/>
    <col min="9225" max="9225" width="17" style="345" customWidth="1"/>
    <col min="9226" max="9226" width="11.7109375" style="345" customWidth="1"/>
    <col min="9227" max="9227" width="8.7109375" style="345" customWidth="1"/>
    <col min="9228" max="9230" width="0" style="345" hidden="1" customWidth="1"/>
    <col min="9231" max="9231" width="8.140625" style="345" customWidth="1"/>
    <col min="9232" max="9232" width="8.5703125" style="345" customWidth="1"/>
    <col min="9233" max="9233" width="8.7109375" style="345" customWidth="1"/>
    <col min="9234" max="9472" width="9.140625" style="345"/>
    <col min="9473" max="9473" width="2" style="345" customWidth="1"/>
    <col min="9474" max="9474" width="20.5703125" style="345" customWidth="1"/>
    <col min="9475" max="9475" width="13.42578125" style="345" customWidth="1"/>
    <col min="9476" max="9480" width="11.7109375" style="345" customWidth="1"/>
    <col min="9481" max="9481" width="17" style="345" customWidth="1"/>
    <col min="9482" max="9482" width="11.7109375" style="345" customWidth="1"/>
    <col min="9483" max="9483" width="8.7109375" style="345" customWidth="1"/>
    <col min="9484" max="9486" width="0" style="345" hidden="1" customWidth="1"/>
    <col min="9487" max="9487" width="8.140625" style="345" customWidth="1"/>
    <col min="9488" max="9488" width="8.5703125" style="345" customWidth="1"/>
    <col min="9489" max="9489" width="8.7109375" style="345" customWidth="1"/>
    <col min="9490" max="9728" width="9.140625" style="345"/>
    <col min="9729" max="9729" width="2" style="345" customWidth="1"/>
    <col min="9730" max="9730" width="20.5703125" style="345" customWidth="1"/>
    <col min="9731" max="9731" width="13.42578125" style="345" customWidth="1"/>
    <col min="9732" max="9736" width="11.7109375" style="345" customWidth="1"/>
    <col min="9737" max="9737" width="17" style="345" customWidth="1"/>
    <col min="9738" max="9738" width="11.7109375" style="345" customWidth="1"/>
    <col min="9739" max="9739" width="8.7109375" style="345" customWidth="1"/>
    <col min="9740" max="9742" width="0" style="345" hidden="1" customWidth="1"/>
    <col min="9743" max="9743" width="8.140625" style="345" customWidth="1"/>
    <col min="9744" max="9744" width="8.5703125" style="345" customWidth="1"/>
    <col min="9745" max="9745" width="8.7109375" style="345" customWidth="1"/>
    <col min="9746" max="9984" width="9.140625" style="345"/>
    <col min="9985" max="9985" width="2" style="345" customWidth="1"/>
    <col min="9986" max="9986" width="20.5703125" style="345" customWidth="1"/>
    <col min="9987" max="9987" width="13.42578125" style="345" customWidth="1"/>
    <col min="9988" max="9992" width="11.7109375" style="345" customWidth="1"/>
    <col min="9993" max="9993" width="17" style="345" customWidth="1"/>
    <col min="9994" max="9994" width="11.7109375" style="345" customWidth="1"/>
    <col min="9995" max="9995" width="8.7109375" style="345" customWidth="1"/>
    <col min="9996" max="9998" width="0" style="345" hidden="1" customWidth="1"/>
    <col min="9999" max="9999" width="8.140625" style="345" customWidth="1"/>
    <col min="10000" max="10000" width="8.5703125" style="345" customWidth="1"/>
    <col min="10001" max="10001" width="8.7109375" style="345" customWidth="1"/>
    <col min="10002" max="10240" width="9.140625" style="345"/>
    <col min="10241" max="10241" width="2" style="345" customWidth="1"/>
    <col min="10242" max="10242" width="20.5703125" style="345" customWidth="1"/>
    <col min="10243" max="10243" width="13.42578125" style="345" customWidth="1"/>
    <col min="10244" max="10248" width="11.7109375" style="345" customWidth="1"/>
    <col min="10249" max="10249" width="17" style="345" customWidth="1"/>
    <col min="10250" max="10250" width="11.7109375" style="345" customWidth="1"/>
    <col min="10251" max="10251" width="8.7109375" style="345" customWidth="1"/>
    <col min="10252" max="10254" width="0" style="345" hidden="1" customWidth="1"/>
    <col min="10255" max="10255" width="8.140625" style="345" customWidth="1"/>
    <col min="10256" max="10256" width="8.5703125" style="345" customWidth="1"/>
    <col min="10257" max="10257" width="8.7109375" style="345" customWidth="1"/>
    <col min="10258" max="10496" width="9.140625" style="345"/>
    <col min="10497" max="10497" width="2" style="345" customWidth="1"/>
    <col min="10498" max="10498" width="20.5703125" style="345" customWidth="1"/>
    <col min="10499" max="10499" width="13.42578125" style="345" customWidth="1"/>
    <col min="10500" max="10504" width="11.7109375" style="345" customWidth="1"/>
    <col min="10505" max="10505" width="17" style="345" customWidth="1"/>
    <col min="10506" max="10506" width="11.7109375" style="345" customWidth="1"/>
    <col min="10507" max="10507" width="8.7109375" style="345" customWidth="1"/>
    <col min="10508" max="10510" width="0" style="345" hidden="1" customWidth="1"/>
    <col min="10511" max="10511" width="8.140625" style="345" customWidth="1"/>
    <col min="10512" max="10512" width="8.5703125" style="345" customWidth="1"/>
    <col min="10513" max="10513" width="8.7109375" style="345" customWidth="1"/>
    <col min="10514" max="10752" width="9.140625" style="345"/>
    <col min="10753" max="10753" width="2" style="345" customWidth="1"/>
    <col min="10754" max="10754" width="20.5703125" style="345" customWidth="1"/>
    <col min="10755" max="10755" width="13.42578125" style="345" customWidth="1"/>
    <col min="10756" max="10760" width="11.7109375" style="345" customWidth="1"/>
    <col min="10761" max="10761" width="17" style="345" customWidth="1"/>
    <col min="10762" max="10762" width="11.7109375" style="345" customWidth="1"/>
    <col min="10763" max="10763" width="8.7109375" style="345" customWidth="1"/>
    <col min="10764" max="10766" width="0" style="345" hidden="1" customWidth="1"/>
    <col min="10767" max="10767" width="8.140625" style="345" customWidth="1"/>
    <col min="10768" max="10768" width="8.5703125" style="345" customWidth="1"/>
    <col min="10769" max="10769" width="8.7109375" style="345" customWidth="1"/>
    <col min="10770" max="11008" width="9.140625" style="345"/>
    <col min="11009" max="11009" width="2" style="345" customWidth="1"/>
    <col min="11010" max="11010" width="20.5703125" style="345" customWidth="1"/>
    <col min="11011" max="11011" width="13.42578125" style="345" customWidth="1"/>
    <col min="11012" max="11016" width="11.7109375" style="345" customWidth="1"/>
    <col min="11017" max="11017" width="17" style="345" customWidth="1"/>
    <col min="11018" max="11018" width="11.7109375" style="345" customWidth="1"/>
    <col min="11019" max="11019" width="8.7109375" style="345" customWidth="1"/>
    <col min="11020" max="11022" width="0" style="345" hidden="1" customWidth="1"/>
    <col min="11023" max="11023" width="8.140625" style="345" customWidth="1"/>
    <col min="11024" max="11024" width="8.5703125" style="345" customWidth="1"/>
    <col min="11025" max="11025" width="8.7109375" style="345" customWidth="1"/>
    <col min="11026" max="11264" width="9.140625" style="345"/>
    <col min="11265" max="11265" width="2" style="345" customWidth="1"/>
    <col min="11266" max="11266" width="20.5703125" style="345" customWidth="1"/>
    <col min="11267" max="11267" width="13.42578125" style="345" customWidth="1"/>
    <col min="11268" max="11272" width="11.7109375" style="345" customWidth="1"/>
    <col min="11273" max="11273" width="17" style="345" customWidth="1"/>
    <col min="11274" max="11274" width="11.7109375" style="345" customWidth="1"/>
    <col min="11275" max="11275" width="8.7109375" style="345" customWidth="1"/>
    <col min="11276" max="11278" width="0" style="345" hidden="1" customWidth="1"/>
    <col min="11279" max="11279" width="8.140625" style="345" customWidth="1"/>
    <col min="11280" max="11280" width="8.5703125" style="345" customWidth="1"/>
    <col min="11281" max="11281" width="8.7109375" style="345" customWidth="1"/>
    <col min="11282" max="11520" width="9.140625" style="345"/>
    <col min="11521" max="11521" width="2" style="345" customWidth="1"/>
    <col min="11522" max="11522" width="20.5703125" style="345" customWidth="1"/>
    <col min="11523" max="11523" width="13.42578125" style="345" customWidth="1"/>
    <col min="11524" max="11528" width="11.7109375" style="345" customWidth="1"/>
    <col min="11529" max="11529" width="17" style="345" customWidth="1"/>
    <col min="11530" max="11530" width="11.7109375" style="345" customWidth="1"/>
    <col min="11531" max="11531" width="8.7109375" style="345" customWidth="1"/>
    <col min="11532" max="11534" width="0" style="345" hidden="1" customWidth="1"/>
    <col min="11535" max="11535" width="8.140625" style="345" customWidth="1"/>
    <col min="11536" max="11536" width="8.5703125" style="345" customWidth="1"/>
    <col min="11537" max="11537" width="8.7109375" style="345" customWidth="1"/>
    <col min="11538" max="11776" width="9.140625" style="345"/>
    <col min="11777" max="11777" width="2" style="345" customWidth="1"/>
    <col min="11778" max="11778" width="20.5703125" style="345" customWidth="1"/>
    <col min="11779" max="11779" width="13.42578125" style="345" customWidth="1"/>
    <col min="11780" max="11784" width="11.7109375" style="345" customWidth="1"/>
    <col min="11785" max="11785" width="17" style="345" customWidth="1"/>
    <col min="11786" max="11786" width="11.7109375" style="345" customWidth="1"/>
    <col min="11787" max="11787" width="8.7109375" style="345" customWidth="1"/>
    <col min="11788" max="11790" width="0" style="345" hidden="1" customWidth="1"/>
    <col min="11791" max="11791" width="8.140625" style="345" customWidth="1"/>
    <col min="11792" max="11792" width="8.5703125" style="345" customWidth="1"/>
    <col min="11793" max="11793" width="8.7109375" style="345" customWidth="1"/>
    <col min="11794" max="12032" width="9.140625" style="345"/>
    <col min="12033" max="12033" width="2" style="345" customWidth="1"/>
    <col min="12034" max="12034" width="20.5703125" style="345" customWidth="1"/>
    <col min="12035" max="12035" width="13.42578125" style="345" customWidth="1"/>
    <col min="12036" max="12040" width="11.7109375" style="345" customWidth="1"/>
    <col min="12041" max="12041" width="17" style="345" customWidth="1"/>
    <col min="12042" max="12042" width="11.7109375" style="345" customWidth="1"/>
    <col min="12043" max="12043" width="8.7109375" style="345" customWidth="1"/>
    <col min="12044" max="12046" width="0" style="345" hidden="1" customWidth="1"/>
    <col min="12047" max="12047" width="8.140625" style="345" customWidth="1"/>
    <col min="12048" max="12048" width="8.5703125" style="345" customWidth="1"/>
    <col min="12049" max="12049" width="8.7109375" style="345" customWidth="1"/>
    <col min="12050" max="12288" width="9.140625" style="345"/>
    <col min="12289" max="12289" width="2" style="345" customWidth="1"/>
    <col min="12290" max="12290" width="20.5703125" style="345" customWidth="1"/>
    <col min="12291" max="12291" width="13.42578125" style="345" customWidth="1"/>
    <col min="12292" max="12296" width="11.7109375" style="345" customWidth="1"/>
    <col min="12297" max="12297" width="17" style="345" customWidth="1"/>
    <col min="12298" max="12298" width="11.7109375" style="345" customWidth="1"/>
    <col min="12299" max="12299" width="8.7109375" style="345" customWidth="1"/>
    <col min="12300" max="12302" width="0" style="345" hidden="1" customWidth="1"/>
    <col min="12303" max="12303" width="8.140625" style="345" customWidth="1"/>
    <col min="12304" max="12304" width="8.5703125" style="345" customWidth="1"/>
    <col min="12305" max="12305" width="8.7109375" style="345" customWidth="1"/>
    <col min="12306" max="12544" width="9.140625" style="345"/>
    <col min="12545" max="12545" width="2" style="345" customWidth="1"/>
    <col min="12546" max="12546" width="20.5703125" style="345" customWidth="1"/>
    <col min="12547" max="12547" width="13.42578125" style="345" customWidth="1"/>
    <col min="12548" max="12552" width="11.7109375" style="345" customWidth="1"/>
    <col min="12553" max="12553" width="17" style="345" customWidth="1"/>
    <col min="12554" max="12554" width="11.7109375" style="345" customWidth="1"/>
    <col min="12555" max="12555" width="8.7109375" style="345" customWidth="1"/>
    <col min="12556" max="12558" width="0" style="345" hidden="1" customWidth="1"/>
    <col min="12559" max="12559" width="8.140625" style="345" customWidth="1"/>
    <col min="12560" max="12560" width="8.5703125" style="345" customWidth="1"/>
    <col min="12561" max="12561" width="8.7109375" style="345" customWidth="1"/>
    <col min="12562" max="12800" width="9.140625" style="345"/>
    <col min="12801" max="12801" width="2" style="345" customWidth="1"/>
    <col min="12802" max="12802" width="20.5703125" style="345" customWidth="1"/>
    <col min="12803" max="12803" width="13.42578125" style="345" customWidth="1"/>
    <col min="12804" max="12808" width="11.7109375" style="345" customWidth="1"/>
    <col min="12809" max="12809" width="17" style="345" customWidth="1"/>
    <col min="12810" max="12810" width="11.7109375" style="345" customWidth="1"/>
    <col min="12811" max="12811" width="8.7109375" style="345" customWidth="1"/>
    <col min="12812" max="12814" width="0" style="345" hidden="1" customWidth="1"/>
    <col min="12815" max="12815" width="8.140625" style="345" customWidth="1"/>
    <col min="12816" max="12816" width="8.5703125" style="345" customWidth="1"/>
    <col min="12817" max="12817" width="8.7109375" style="345" customWidth="1"/>
    <col min="12818" max="13056" width="9.140625" style="345"/>
    <col min="13057" max="13057" width="2" style="345" customWidth="1"/>
    <col min="13058" max="13058" width="20.5703125" style="345" customWidth="1"/>
    <col min="13059" max="13059" width="13.42578125" style="345" customWidth="1"/>
    <col min="13060" max="13064" width="11.7109375" style="345" customWidth="1"/>
    <col min="13065" max="13065" width="17" style="345" customWidth="1"/>
    <col min="13066" max="13066" width="11.7109375" style="345" customWidth="1"/>
    <col min="13067" max="13067" width="8.7109375" style="345" customWidth="1"/>
    <col min="13068" max="13070" width="0" style="345" hidden="1" customWidth="1"/>
    <col min="13071" max="13071" width="8.140625" style="345" customWidth="1"/>
    <col min="13072" max="13072" width="8.5703125" style="345" customWidth="1"/>
    <col min="13073" max="13073" width="8.7109375" style="345" customWidth="1"/>
    <col min="13074" max="13312" width="9.140625" style="345"/>
    <col min="13313" max="13313" width="2" style="345" customWidth="1"/>
    <col min="13314" max="13314" width="20.5703125" style="345" customWidth="1"/>
    <col min="13315" max="13315" width="13.42578125" style="345" customWidth="1"/>
    <col min="13316" max="13320" width="11.7109375" style="345" customWidth="1"/>
    <col min="13321" max="13321" width="17" style="345" customWidth="1"/>
    <col min="13322" max="13322" width="11.7109375" style="345" customWidth="1"/>
    <col min="13323" max="13323" width="8.7109375" style="345" customWidth="1"/>
    <col min="13324" max="13326" width="0" style="345" hidden="1" customWidth="1"/>
    <col min="13327" max="13327" width="8.140625" style="345" customWidth="1"/>
    <col min="13328" max="13328" width="8.5703125" style="345" customWidth="1"/>
    <col min="13329" max="13329" width="8.7109375" style="345" customWidth="1"/>
    <col min="13330" max="13568" width="9.140625" style="345"/>
    <col min="13569" max="13569" width="2" style="345" customWidth="1"/>
    <col min="13570" max="13570" width="20.5703125" style="345" customWidth="1"/>
    <col min="13571" max="13571" width="13.42578125" style="345" customWidth="1"/>
    <col min="13572" max="13576" width="11.7109375" style="345" customWidth="1"/>
    <col min="13577" max="13577" width="17" style="345" customWidth="1"/>
    <col min="13578" max="13578" width="11.7109375" style="345" customWidth="1"/>
    <col min="13579" max="13579" width="8.7109375" style="345" customWidth="1"/>
    <col min="13580" max="13582" width="0" style="345" hidden="1" customWidth="1"/>
    <col min="13583" max="13583" width="8.140625" style="345" customWidth="1"/>
    <col min="13584" max="13584" width="8.5703125" style="345" customWidth="1"/>
    <col min="13585" max="13585" width="8.7109375" style="345" customWidth="1"/>
    <col min="13586" max="13824" width="9.140625" style="345"/>
    <col min="13825" max="13825" width="2" style="345" customWidth="1"/>
    <col min="13826" max="13826" width="20.5703125" style="345" customWidth="1"/>
    <col min="13827" max="13827" width="13.42578125" style="345" customWidth="1"/>
    <col min="13828" max="13832" width="11.7109375" style="345" customWidth="1"/>
    <col min="13833" max="13833" width="17" style="345" customWidth="1"/>
    <col min="13834" max="13834" width="11.7109375" style="345" customWidth="1"/>
    <col min="13835" max="13835" width="8.7109375" style="345" customWidth="1"/>
    <col min="13836" max="13838" width="0" style="345" hidden="1" customWidth="1"/>
    <col min="13839" max="13839" width="8.140625" style="345" customWidth="1"/>
    <col min="13840" max="13840" width="8.5703125" style="345" customWidth="1"/>
    <col min="13841" max="13841" width="8.7109375" style="345" customWidth="1"/>
    <col min="13842" max="14080" width="9.140625" style="345"/>
    <col min="14081" max="14081" width="2" style="345" customWidth="1"/>
    <col min="14082" max="14082" width="20.5703125" style="345" customWidth="1"/>
    <col min="14083" max="14083" width="13.42578125" style="345" customWidth="1"/>
    <col min="14084" max="14088" width="11.7109375" style="345" customWidth="1"/>
    <col min="14089" max="14089" width="17" style="345" customWidth="1"/>
    <col min="14090" max="14090" width="11.7109375" style="345" customWidth="1"/>
    <col min="14091" max="14091" width="8.7109375" style="345" customWidth="1"/>
    <col min="14092" max="14094" width="0" style="345" hidden="1" customWidth="1"/>
    <col min="14095" max="14095" width="8.140625" style="345" customWidth="1"/>
    <col min="14096" max="14096" width="8.5703125" style="345" customWidth="1"/>
    <col min="14097" max="14097" width="8.7109375" style="345" customWidth="1"/>
    <col min="14098" max="14336" width="9.140625" style="345"/>
    <col min="14337" max="14337" width="2" style="345" customWidth="1"/>
    <col min="14338" max="14338" width="20.5703125" style="345" customWidth="1"/>
    <col min="14339" max="14339" width="13.42578125" style="345" customWidth="1"/>
    <col min="14340" max="14344" width="11.7109375" style="345" customWidth="1"/>
    <col min="14345" max="14345" width="17" style="345" customWidth="1"/>
    <col min="14346" max="14346" width="11.7109375" style="345" customWidth="1"/>
    <col min="14347" max="14347" width="8.7109375" style="345" customWidth="1"/>
    <col min="14348" max="14350" width="0" style="345" hidden="1" customWidth="1"/>
    <col min="14351" max="14351" width="8.140625" style="345" customWidth="1"/>
    <col min="14352" max="14352" width="8.5703125" style="345" customWidth="1"/>
    <col min="14353" max="14353" width="8.7109375" style="345" customWidth="1"/>
    <col min="14354" max="14592" width="9.140625" style="345"/>
    <col min="14593" max="14593" width="2" style="345" customWidth="1"/>
    <col min="14594" max="14594" width="20.5703125" style="345" customWidth="1"/>
    <col min="14595" max="14595" width="13.42578125" style="345" customWidth="1"/>
    <col min="14596" max="14600" width="11.7109375" style="345" customWidth="1"/>
    <col min="14601" max="14601" width="17" style="345" customWidth="1"/>
    <col min="14602" max="14602" width="11.7109375" style="345" customWidth="1"/>
    <col min="14603" max="14603" width="8.7109375" style="345" customWidth="1"/>
    <col min="14604" max="14606" width="0" style="345" hidden="1" customWidth="1"/>
    <col min="14607" max="14607" width="8.140625" style="345" customWidth="1"/>
    <col min="14608" max="14608" width="8.5703125" style="345" customWidth="1"/>
    <col min="14609" max="14609" width="8.7109375" style="345" customWidth="1"/>
    <col min="14610" max="14848" width="9.140625" style="345"/>
    <col min="14849" max="14849" width="2" style="345" customWidth="1"/>
    <col min="14850" max="14850" width="20.5703125" style="345" customWidth="1"/>
    <col min="14851" max="14851" width="13.42578125" style="345" customWidth="1"/>
    <col min="14852" max="14856" width="11.7109375" style="345" customWidth="1"/>
    <col min="14857" max="14857" width="17" style="345" customWidth="1"/>
    <col min="14858" max="14858" width="11.7109375" style="345" customWidth="1"/>
    <col min="14859" max="14859" width="8.7109375" style="345" customWidth="1"/>
    <col min="14860" max="14862" width="0" style="345" hidden="1" customWidth="1"/>
    <col min="14863" max="14863" width="8.140625" style="345" customWidth="1"/>
    <col min="14864" max="14864" width="8.5703125" style="345" customWidth="1"/>
    <col min="14865" max="14865" width="8.7109375" style="345" customWidth="1"/>
    <col min="14866" max="15104" width="9.140625" style="345"/>
    <col min="15105" max="15105" width="2" style="345" customWidth="1"/>
    <col min="15106" max="15106" width="20.5703125" style="345" customWidth="1"/>
    <col min="15107" max="15107" width="13.42578125" style="345" customWidth="1"/>
    <col min="15108" max="15112" width="11.7109375" style="345" customWidth="1"/>
    <col min="15113" max="15113" width="17" style="345" customWidth="1"/>
    <col min="15114" max="15114" width="11.7109375" style="345" customWidth="1"/>
    <col min="15115" max="15115" width="8.7109375" style="345" customWidth="1"/>
    <col min="15116" max="15118" width="0" style="345" hidden="1" customWidth="1"/>
    <col min="15119" max="15119" width="8.140625" style="345" customWidth="1"/>
    <col min="15120" max="15120" width="8.5703125" style="345" customWidth="1"/>
    <col min="15121" max="15121" width="8.7109375" style="345" customWidth="1"/>
    <col min="15122" max="15360" width="9.140625" style="345"/>
    <col min="15361" max="15361" width="2" style="345" customWidth="1"/>
    <col min="15362" max="15362" width="20.5703125" style="345" customWidth="1"/>
    <col min="15363" max="15363" width="13.42578125" style="345" customWidth="1"/>
    <col min="15364" max="15368" width="11.7109375" style="345" customWidth="1"/>
    <col min="15369" max="15369" width="17" style="345" customWidth="1"/>
    <col min="15370" max="15370" width="11.7109375" style="345" customWidth="1"/>
    <col min="15371" max="15371" width="8.7109375" style="345" customWidth="1"/>
    <col min="15372" max="15374" width="0" style="345" hidden="1" customWidth="1"/>
    <col min="15375" max="15375" width="8.140625" style="345" customWidth="1"/>
    <col min="15376" max="15376" width="8.5703125" style="345" customWidth="1"/>
    <col min="15377" max="15377" width="8.7109375" style="345" customWidth="1"/>
    <col min="15378" max="15616" width="9.140625" style="345"/>
    <col min="15617" max="15617" width="2" style="345" customWidth="1"/>
    <col min="15618" max="15618" width="20.5703125" style="345" customWidth="1"/>
    <col min="15619" max="15619" width="13.42578125" style="345" customWidth="1"/>
    <col min="15620" max="15624" width="11.7109375" style="345" customWidth="1"/>
    <col min="15625" max="15625" width="17" style="345" customWidth="1"/>
    <col min="15626" max="15626" width="11.7109375" style="345" customWidth="1"/>
    <col min="15627" max="15627" width="8.7109375" style="345" customWidth="1"/>
    <col min="15628" max="15630" width="0" style="345" hidden="1" customWidth="1"/>
    <col min="15631" max="15631" width="8.140625" style="345" customWidth="1"/>
    <col min="15632" max="15632" width="8.5703125" style="345" customWidth="1"/>
    <col min="15633" max="15633" width="8.7109375" style="345" customWidth="1"/>
    <col min="15634" max="15872" width="9.140625" style="345"/>
    <col min="15873" max="15873" width="2" style="345" customWidth="1"/>
    <col min="15874" max="15874" width="20.5703125" style="345" customWidth="1"/>
    <col min="15875" max="15875" width="13.42578125" style="345" customWidth="1"/>
    <col min="15876" max="15880" width="11.7109375" style="345" customWidth="1"/>
    <col min="15881" max="15881" width="17" style="345" customWidth="1"/>
    <col min="15882" max="15882" width="11.7109375" style="345" customWidth="1"/>
    <col min="15883" max="15883" width="8.7109375" style="345" customWidth="1"/>
    <col min="15884" max="15886" width="0" style="345" hidden="1" customWidth="1"/>
    <col min="15887" max="15887" width="8.140625" style="345" customWidth="1"/>
    <col min="15888" max="15888" width="8.5703125" style="345" customWidth="1"/>
    <col min="15889" max="15889" width="8.7109375" style="345" customWidth="1"/>
    <col min="15890" max="16128" width="9.140625" style="345"/>
    <col min="16129" max="16129" width="2" style="345" customWidth="1"/>
    <col min="16130" max="16130" width="20.5703125" style="345" customWidth="1"/>
    <col min="16131" max="16131" width="13.42578125" style="345" customWidth="1"/>
    <col min="16132" max="16136" width="11.7109375" style="345" customWidth="1"/>
    <col min="16137" max="16137" width="17" style="345" customWidth="1"/>
    <col min="16138" max="16138" width="11.7109375" style="345" customWidth="1"/>
    <col min="16139" max="16139" width="8.7109375" style="345" customWidth="1"/>
    <col min="16140" max="16142" width="0" style="345" hidden="1" customWidth="1"/>
    <col min="16143" max="16143" width="8.140625" style="345" customWidth="1"/>
    <col min="16144" max="16144" width="8.5703125" style="345" customWidth="1"/>
    <col min="16145" max="16145" width="8.7109375" style="345" customWidth="1"/>
    <col min="16146" max="16384" width="9.140625" style="345"/>
  </cols>
  <sheetData>
    <row r="1" spans="1:39" x14ac:dyDescent="0.25">
      <c r="B1" s="346"/>
      <c r="C1" s="399" t="s">
        <v>1188</v>
      </c>
      <c r="D1" s="399"/>
      <c r="E1" s="399"/>
      <c r="F1" s="399"/>
      <c r="G1" s="399"/>
      <c r="H1" s="399"/>
      <c r="I1" s="346"/>
      <c r="J1" s="346"/>
      <c r="K1" s="347"/>
      <c r="L1" s="347"/>
      <c r="M1" s="347"/>
      <c r="N1" s="347"/>
      <c r="O1" s="347"/>
      <c r="P1" s="347"/>
      <c r="Q1" s="347"/>
      <c r="R1" s="347"/>
      <c r="S1" s="347"/>
    </row>
    <row r="2" spans="1:39" x14ac:dyDescent="0.25">
      <c r="B2" s="346"/>
      <c r="C2" s="399"/>
      <c r="D2" s="399"/>
      <c r="E2" s="399"/>
      <c r="F2" s="399"/>
      <c r="G2" s="399"/>
      <c r="H2" s="399"/>
      <c r="I2" s="346"/>
      <c r="J2" s="346"/>
      <c r="K2" s="347"/>
      <c r="L2" s="347"/>
      <c r="M2" s="347"/>
      <c r="N2" s="347"/>
      <c r="O2" s="347"/>
      <c r="P2" s="347"/>
      <c r="Q2" s="347"/>
      <c r="R2" s="347"/>
      <c r="S2" s="347"/>
    </row>
    <row r="4" spans="1:39" ht="13.5" thickBot="1" x14ac:dyDescent="0.3">
      <c r="B4" s="400" t="s">
        <v>1189</v>
      </c>
      <c r="C4" s="401"/>
      <c r="D4" s="401"/>
      <c r="E4" s="401"/>
      <c r="F4" s="401"/>
      <c r="G4" s="401"/>
      <c r="H4" s="401"/>
      <c r="I4" s="401"/>
      <c r="J4" s="401"/>
    </row>
    <row r="5" spans="1:39" ht="26.25" thickBot="1" x14ac:dyDescent="0.3">
      <c r="B5" s="348" t="s">
        <v>1190</v>
      </c>
      <c r="C5" s="349" t="s">
        <v>1191</v>
      </c>
      <c r="D5" s="350" t="s">
        <v>1192</v>
      </c>
      <c r="E5" s="350" t="s">
        <v>1193</v>
      </c>
      <c r="F5" s="350" t="s">
        <v>1194</v>
      </c>
      <c r="G5" s="350" t="s">
        <v>1195</v>
      </c>
      <c r="H5" s="350" t="s">
        <v>1196</v>
      </c>
      <c r="I5" s="351" t="s">
        <v>1197</v>
      </c>
      <c r="J5" s="352" t="s">
        <v>1198</v>
      </c>
      <c r="K5" s="353"/>
      <c r="L5" s="353"/>
      <c r="M5" s="353"/>
      <c r="N5" s="353"/>
    </row>
    <row r="6" spans="1:39" s="358" customFormat="1" x14ac:dyDescent="0.25">
      <c r="A6" s="345"/>
      <c r="B6" s="354" t="s">
        <v>1199</v>
      </c>
      <c r="C6" s="355">
        <v>83</v>
      </c>
      <c r="D6" s="355">
        <v>7</v>
      </c>
      <c r="E6" s="355">
        <v>3</v>
      </c>
      <c r="F6" s="355" t="s">
        <v>1200</v>
      </c>
      <c r="G6" s="355">
        <v>1</v>
      </c>
      <c r="H6" s="355">
        <v>2</v>
      </c>
      <c r="I6" s="356" t="s">
        <v>1200</v>
      </c>
      <c r="J6" s="357">
        <v>96</v>
      </c>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row>
    <row r="7" spans="1:39" s="365" customFormat="1" ht="13.5" thickBot="1" x14ac:dyDescent="0.3">
      <c r="A7" s="359"/>
      <c r="B7" s="360" t="s">
        <v>1201</v>
      </c>
      <c r="C7" s="361">
        <v>87</v>
      </c>
      <c r="D7" s="362">
        <v>7</v>
      </c>
      <c r="E7" s="362">
        <v>3</v>
      </c>
      <c r="F7" s="362" t="s">
        <v>1200</v>
      </c>
      <c r="G7" s="362">
        <v>1</v>
      </c>
      <c r="H7" s="362">
        <v>2</v>
      </c>
      <c r="I7" s="363" t="s">
        <v>1200</v>
      </c>
      <c r="J7" s="364">
        <v>100</v>
      </c>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row>
    <row r="8" spans="1:39" s="371" customFormat="1" x14ac:dyDescent="0.25">
      <c r="A8" s="353"/>
      <c r="B8" s="366" t="s">
        <v>134</v>
      </c>
      <c r="C8" s="367">
        <v>52</v>
      </c>
      <c r="D8" s="368">
        <v>12</v>
      </c>
      <c r="E8" s="368">
        <v>3</v>
      </c>
      <c r="F8" s="368" t="s">
        <v>1200</v>
      </c>
      <c r="G8" s="368" t="s">
        <v>1200</v>
      </c>
      <c r="H8" s="368" t="s">
        <v>1200</v>
      </c>
      <c r="I8" s="369" t="s">
        <v>1200</v>
      </c>
      <c r="J8" s="370">
        <v>67</v>
      </c>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row>
    <row r="9" spans="1:39" s="365" customFormat="1" ht="13.5" thickBot="1" x14ac:dyDescent="0.3">
      <c r="A9" s="359"/>
      <c r="B9" s="360" t="s">
        <v>1201</v>
      </c>
      <c r="C9" s="372">
        <v>78</v>
      </c>
      <c r="D9" s="373">
        <v>18</v>
      </c>
      <c r="E9" s="373">
        <v>4</v>
      </c>
      <c r="F9" s="373" t="s">
        <v>1200</v>
      </c>
      <c r="G9" s="373" t="s">
        <v>1200</v>
      </c>
      <c r="H9" s="373" t="s">
        <v>1200</v>
      </c>
      <c r="I9" s="374" t="s">
        <v>1200</v>
      </c>
      <c r="J9" s="375">
        <v>100</v>
      </c>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row>
    <row r="10" spans="1:39" s="371" customFormat="1" x14ac:dyDescent="0.25">
      <c r="A10" s="353"/>
      <c r="B10" s="354" t="s">
        <v>1202</v>
      </c>
      <c r="C10" s="355">
        <v>7</v>
      </c>
      <c r="D10" s="376">
        <v>9</v>
      </c>
      <c r="E10" s="376" t="s">
        <v>1200</v>
      </c>
      <c r="F10" s="376" t="s">
        <v>1200</v>
      </c>
      <c r="G10" s="377" t="s">
        <v>1200</v>
      </c>
      <c r="H10" s="377" t="s">
        <v>1200</v>
      </c>
      <c r="I10" s="378" t="s">
        <v>1200</v>
      </c>
      <c r="J10" s="357">
        <v>16</v>
      </c>
      <c r="K10" s="379"/>
      <c r="L10" s="353"/>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3"/>
      <c r="AJ10" s="353"/>
      <c r="AK10" s="353"/>
      <c r="AL10" s="353"/>
      <c r="AM10" s="353"/>
    </row>
    <row r="11" spans="1:39" s="365" customFormat="1" ht="13.5" thickBot="1" x14ac:dyDescent="0.3">
      <c r="A11" s="359"/>
      <c r="B11" s="380" t="s">
        <v>1201</v>
      </c>
      <c r="C11" s="361">
        <v>44</v>
      </c>
      <c r="D11" s="362">
        <v>56</v>
      </c>
      <c r="E11" s="362" t="s">
        <v>1200</v>
      </c>
      <c r="F11" s="362" t="s">
        <v>1200</v>
      </c>
      <c r="G11" s="362" t="s">
        <v>1200</v>
      </c>
      <c r="H11" s="362" t="s">
        <v>1200</v>
      </c>
      <c r="I11" s="363" t="s">
        <v>1200</v>
      </c>
      <c r="J11" s="364">
        <v>100</v>
      </c>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row>
    <row r="12" spans="1:39" s="358" customFormat="1" x14ac:dyDescent="0.25">
      <c r="A12" s="345"/>
      <c r="B12" s="354" t="s">
        <v>116</v>
      </c>
      <c r="C12" s="355">
        <v>15</v>
      </c>
      <c r="D12" s="355">
        <v>3</v>
      </c>
      <c r="E12" s="355"/>
      <c r="F12" s="355" t="s">
        <v>1200</v>
      </c>
      <c r="G12" s="355" t="s">
        <v>1200</v>
      </c>
      <c r="H12" s="355" t="s">
        <v>1200</v>
      </c>
      <c r="I12" s="356" t="s">
        <v>1200</v>
      </c>
      <c r="J12" s="357">
        <v>18</v>
      </c>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c r="AH12" s="345"/>
      <c r="AI12" s="345"/>
      <c r="AJ12" s="345"/>
      <c r="AK12" s="345"/>
      <c r="AL12" s="345"/>
      <c r="AM12" s="345"/>
    </row>
    <row r="13" spans="1:39" s="365" customFormat="1" ht="13.5" thickBot="1" x14ac:dyDescent="0.3">
      <c r="A13" s="359"/>
      <c r="B13" s="380" t="s">
        <v>1201</v>
      </c>
      <c r="C13" s="361">
        <v>83</v>
      </c>
      <c r="D13" s="362">
        <v>17</v>
      </c>
      <c r="E13" s="362" t="s">
        <v>1200</v>
      </c>
      <c r="F13" s="362" t="s">
        <v>1200</v>
      </c>
      <c r="G13" s="362" t="s">
        <v>1200</v>
      </c>
      <c r="H13" s="362" t="s">
        <v>1200</v>
      </c>
      <c r="I13" s="363" t="s">
        <v>1200</v>
      </c>
      <c r="J13" s="364">
        <v>100</v>
      </c>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359"/>
    </row>
    <row r="14" spans="1:39" s="371" customFormat="1" x14ac:dyDescent="0.25">
      <c r="A14" s="353"/>
      <c r="B14" s="366" t="s">
        <v>99</v>
      </c>
      <c r="C14" s="367">
        <v>13</v>
      </c>
      <c r="D14" s="368" t="s">
        <v>1200</v>
      </c>
      <c r="E14" s="368" t="s">
        <v>1200</v>
      </c>
      <c r="F14" s="368" t="s">
        <v>1200</v>
      </c>
      <c r="G14" s="368" t="s">
        <v>1200</v>
      </c>
      <c r="H14" s="368" t="s">
        <v>1200</v>
      </c>
      <c r="I14" s="369" t="s">
        <v>1200</v>
      </c>
      <c r="J14" s="370">
        <v>13</v>
      </c>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c r="AI14" s="353"/>
      <c r="AJ14" s="353"/>
      <c r="AK14" s="353"/>
      <c r="AL14" s="353"/>
      <c r="AM14" s="353"/>
    </row>
    <row r="15" spans="1:39" s="365" customFormat="1" ht="13.5" thickBot="1" x14ac:dyDescent="0.3">
      <c r="A15" s="359"/>
      <c r="B15" s="360" t="s">
        <v>1201</v>
      </c>
      <c r="C15" s="372">
        <v>100</v>
      </c>
      <c r="D15" s="373"/>
      <c r="E15" s="373" t="s">
        <v>1200</v>
      </c>
      <c r="F15" s="373" t="s">
        <v>1200</v>
      </c>
      <c r="G15" s="373" t="s">
        <v>1200</v>
      </c>
      <c r="H15" s="373" t="s">
        <v>1200</v>
      </c>
      <c r="I15" s="374" t="s">
        <v>1200</v>
      </c>
      <c r="J15" s="375">
        <v>100</v>
      </c>
      <c r="K15" s="359"/>
      <c r="L15" s="359"/>
      <c r="M15" s="359"/>
      <c r="N15" s="359"/>
      <c r="O15" s="359"/>
      <c r="P15" s="359"/>
      <c r="Q15" s="359"/>
      <c r="R15" s="359"/>
      <c r="S15" s="359"/>
      <c r="T15" s="359"/>
      <c r="U15" s="359"/>
      <c r="V15" s="359"/>
      <c r="W15" s="359"/>
      <c r="X15" s="359"/>
      <c r="Y15" s="359"/>
      <c r="Z15" s="359"/>
      <c r="AA15" s="359"/>
      <c r="AB15" s="359"/>
      <c r="AC15" s="359"/>
      <c r="AD15" s="359"/>
      <c r="AE15" s="359"/>
      <c r="AF15" s="359"/>
      <c r="AG15" s="359"/>
      <c r="AH15" s="359"/>
      <c r="AI15" s="359"/>
      <c r="AJ15" s="359"/>
      <c r="AK15" s="359"/>
      <c r="AL15" s="359"/>
      <c r="AM15" s="359"/>
    </row>
    <row r="16" spans="1:39" s="371" customFormat="1" x14ac:dyDescent="0.25">
      <c r="A16" s="353"/>
      <c r="B16" s="354" t="s">
        <v>120</v>
      </c>
      <c r="C16" s="355">
        <v>8</v>
      </c>
      <c r="D16" s="376" t="s">
        <v>1200</v>
      </c>
      <c r="E16" s="376" t="s">
        <v>1200</v>
      </c>
      <c r="F16" s="376" t="s">
        <v>1200</v>
      </c>
      <c r="G16" s="377" t="s">
        <v>1200</v>
      </c>
      <c r="H16" s="377" t="s">
        <v>1200</v>
      </c>
      <c r="I16" s="378">
        <v>1</v>
      </c>
      <c r="J16" s="357">
        <v>9</v>
      </c>
      <c r="K16" s="379"/>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row>
    <row r="17" spans="1:39" s="365" customFormat="1" ht="13.5" thickBot="1" x14ac:dyDescent="0.3">
      <c r="A17" s="359"/>
      <c r="B17" s="380" t="s">
        <v>1201</v>
      </c>
      <c r="C17" s="361">
        <v>89</v>
      </c>
      <c r="D17" s="362" t="s">
        <v>1200</v>
      </c>
      <c r="E17" s="362" t="s">
        <v>1200</v>
      </c>
      <c r="F17" s="362" t="s">
        <v>1200</v>
      </c>
      <c r="G17" s="362" t="s">
        <v>1200</v>
      </c>
      <c r="H17" s="362" t="s">
        <v>1200</v>
      </c>
      <c r="I17" s="363">
        <v>11</v>
      </c>
      <c r="J17" s="364">
        <v>100</v>
      </c>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row>
    <row r="18" spans="1:39" s="358" customFormat="1" x14ac:dyDescent="0.25">
      <c r="A18" s="345"/>
      <c r="B18" s="354" t="s">
        <v>103</v>
      </c>
      <c r="C18" s="355">
        <v>11</v>
      </c>
      <c r="D18" s="355" t="s">
        <v>1200</v>
      </c>
      <c r="E18" s="355" t="s">
        <v>1200</v>
      </c>
      <c r="F18" s="355" t="s">
        <v>1200</v>
      </c>
      <c r="G18" s="355" t="s">
        <v>1200</v>
      </c>
      <c r="H18" s="355" t="s">
        <v>1200</v>
      </c>
      <c r="I18" s="356" t="s">
        <v>1200</v>
      </c>
      <c r="J18" s="357">
        <v>11</v>
      </c>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row>
    <row r="19" spans="1:39" s="365" customFormat="1" ht="13.5" thickBot="1" x14ac:dyDescent="0.3">
      <c r="A19" s="359"/>
      <c r="B19" s="380" t="s">
        <v>1201</v>
      </c>
      <c r="C19" s="361">
        <v>100</v>
      </c>
      <c r="D19" s="362" t="s">
        <v>1200</v>
      </c>
      <c r="E19" s="362" t="s">
        <v>1200</v>
      </c>
      <c r="F19" s="362" t="s">
        <v>1200</v>
      </c>
      <c r="G19" s="362" t="s">
        <v>1200</v>
      </c>
      <c r="H19" s="362" t="s">
        <v>1200</v>
      </c>
      <c r="I19" s="363" t="s">
        <v>1200</v>
      </c>
      <c r="J19" s="364">
        <v>100</v>
      </c>
      <c r="K19" s="359"/>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359"/>
      <c r="AI19" s="359"/>
      <c r="AJ19" s="359"/>
      <c r="AK19" s="359"/>
      <c r="AL19" s="359"/>
      <c r="AM19" s="359"/>
    </row>
    <row r="20" spans="1:39" s="371" customFormat="1" x14ac:dyDescent="0.25">
      <c r="A20" s="353"/>
      <c r="B20" s="366" t="s">
        <v>130</v>
      </c>
      <c r="C20" s="367">
        <v>19</v>
      </c>
      <c r="D20" s="368" t="s">
        <v>1200</v>
      </c>
      <c r="E20" s="368" t="s">
        <v>1200</v>
      </c>
      <c r="F20" s="368" t="s">
        <v>1200</v>
      </c>
      <c r="G20" s="368" t="s">
        <v>1200</v>
      </c>
      <c r="H20" s="368" t="s">
        <v>1200</v>
      </c>
      <c r="I20" s="369" t="s">
        <v>1200</v>
      </c>
      <c r="J20" s="370">
        <v>19</v>
      </c>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row>
    <row r="21" spans="1:39" s="365" customFormat="1" ht="13.5" thickBot="1" x14ac:dyDescent="0.3">
      <c r="A21" s="359"/>
      <c r="B21" s="360" t="s">
        <v>1201</v>
      </c>
      <c r="C21" s="372">
        <v>100</v>
      </c>
      <c r="D21" s="373" t="s">
        <v>1200</v>
      </c>
      <c r="E21" s="373" t="s">
        <v>1200</v>
      </c>
      <c r="F21" s="373" t="s">
        <v>1200</v>
      </c>
      <c r="G21" s="373" t="s">
        <v>1200</v>
      </c>
      <c r="H21" s="373" t="s">
        <v>1200</v>
      </c>
      <c r="I21" s="374" t="s">
        <v>1200</v>
      </c>
      <c r="J21" s="375">
        <v>100</v>
      </c>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row>
    <row r="22" spans="1:39" s="371" customFormat="1" x14ac:dyDescent="0.25">
      <c r="A22" s="353"/>
      <c r="B22" s="354" t="s">
        <v>123</v>
      </c>
      <c r="C22" s="355">
        <v>17</v>
      </c>
      <c r="D22" s="376" t="s">
        <v>1200</v>
      </c>
      <c r="E22" s="376" t="s">
        <v>1200</v>
      </c>
      <c r="F22" s="376" t="s">
        <v>1200</v>
      </c>
      <c r="G22" s="377" t="s">
        <v>1200</v>
      </c>
      <c r="H22" s="377" t="s">
        <v>1200</v>
      </c>
      <c r="I22" s="378" t="s">
        <v>1200</v>
      </c>
      <c r="J22" s="357">
        <v>17</v>
      </c>
      <c r="K22" s="379"/>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row>
    <row r="23" spans="1:39" s="365" customFormat="1" ht="13.5" thickBot="1" x14ac:dyDescent="0.3">
      <c r="A23" s="359"/>
      <c r="B23" s="380" t="s">
        <v>1201</v>
      </c>
      <c r="C23" s="361">
        <v>100</v>
      </c>
      <c r="D23" s="362" t="s">
        <v>1200</v>
      </c>
      <c r="E23" s="362" t="s">
        <v>1200</v>
      </c>
      <c r="F23" s="362" t="s">
        <v>1200</v>
      </c>
      <c r="G23" s="362" t="s">
        <v>1200</v>
      </c>
      <c r="H23" s="362" t="s">
        <v>1200</v>
      </c>
      <c r="I23" s="363" t="s">
        <v>1200</v>
      </c>
      <c r="J23" s="364">
        <v>100</v>
      </c>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row>
    <row r="24" spans="1:39" s="358" customFormat="1" x14ac:dyDescent="0.25">
      <c r="A24" s="345"/>
      <c r="B24" s="354" t="s">
        <v>1203</v>
      </c>
      <c r="C24" s="355">
        <v>11</v>
      </c>
      <c r="D24" s="355" t="s">
        <v>1200</v>
      </c>
      <c r="E24" s="355" t="s">
        <v>1200</v>
      </c>
      <c r="F24" s="355" t="s">
        <v>1200</v>
      </c>
      <c r="G24" s="355" t="s">
        <v>1200</v>
      </c>
      <c r="H24" s="355" t="s">
        <v>1200</v>
      </c>
      <c r="I24" s="356" t="s">
        <v>1200</v>
      </c>
      <c r="J24" s="357">
        <v>11</v>
      </c>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row>
    <row r="25" spans="1:39" s="365" customFormat="1" ht="13.5" thickBot="1" x14ac:dyDescent="0.3">
      <c r="A25" s="359"/>
      <c r="B25" s="380" t="s">
        <v>1201</v>
      </c>
      <c r="C25" s="361">
        <v>100</v>
      </c>
      <c r="D25" s="362" t="s">
        <v>1200</v>
      </c>
      <c r="E25" s="362" t="s">
        <v>1200</v>
      </c>
      <c r="F25" s="362" t="s">
        <v>1200</v>
      </c>
      <c r="G25" s="362" t="s">
        <v>1200</v>
      </c>
      <c r="H25" s="362" t="s">
        <v>1200</v>
      </c>
      <c r="I25" s="363" t="s">
        <v>1200</v>
      </c>
      <c r="J25" s="364">
        <v>100</v>
      </c>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row>
    <row r="26" spans="1:39" s="371" customFormat="1" x14ac:dyDescent="0.25">
      <c r="A26" s="353"/>
      <c r="B26" s="366" t="s">
        <v>1204</v>
      </c>
      <c r="C26" s="367">
        <v>12</v>
      </c>
      <c r="D26" s="368">
        <v>7</v>
      </c>
      <c r="E26" s="368">
        <v>2</v>
      </c>
      <c r="F26" s="368" t="s">
        <v>1200</v>
      </c>
      <c r="G26" s="368" t="s">
        <v>1200</v>
      </c>
      <c r="H26" s="368" t="s">
        <v>1200</v>
      </c>
      <c r="I26" s="369" t="s">
        <v>1200</v>
      </c>
      <c r="J26" s="370">
        <v>21</v>
      </c>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row>
    <row r="27" spans="1:39" s="365" customFormat="1" ht="13.5" thickBot="1" x14ac:dyDescent="0.3">
      <c r="A27" s="359"/>
      <c r="B27" s="360" t="s">
        <v>1201</v>
      </c>
      <c r="C27" s="372">
        <v>57</v>
      </c>
      <c r="D27" s="373">
        <v>33</v>
      </c>
      <c r="E27" s="373">
        <v>10</v>
      </c>
      <c r="F27" s="373" t="s">
        <v>1200</v>
      </c>
      <c r="G27" s="373" t="s">
        <v>1200</v>
      </c>
      <c r="H27" s="373" t="s">
        <v>1200</v>
      </c>
      <c r="I27" s="374" t="s">
        <v>1200</v>
      </c>
      <c r="J27" s="375">
        <v>100</v>
      </c>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c r="AM27" s="359"/>
    </row>
    <row r="28" spans="1:39" s="371" customFormat="1" x14ac:dyDescent="0.25">
      <c r="A28" s="353"/>
      <c r="B28" s="354" t="s">
        <v>1205</v>
      </c>
      <c r="C28" s="355">
        <v>8</v>
      </c>
      <c r="D28" s="376">
        <v>6</v>
      </c>
      <c r="E28" s="376" t="s">
        <v>1200</v>
      </c>
      <c r="F28" s="376" t="s">
        <v>1200</v>
      </c>
      <c r="G28" s="377" t="s">
        <v>1200</v>
      </c>
      <c r="H28" s="377" t="s">
        <v>1200</v>
      </c>
      <c r="I28" s="378" t="s">
        <v>1200</v>
      </c>
      <c r="J28" s="357">
        <v>14</v>
      </c>
      <c r="K28" s="379"/>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row>
    <row r="29" spans="1:39" s="365" customFormat="1" ht="13.5" thickBot="1" x14ac:dyDescent="0.3">
      <c r="A29" s="359"/>
      <c r="B29" s="380" t="s">
        <v>1201</v>
      </c>
      <c r="C29" s="361">
        <v>57</v>
      </c>
      <c r="D29" s="362">
        <v>43</v>
      </c>
      <c r="E29" s="362" t="s">
        <v>1200</v>
      </c>
      <c r="F29" s="362" t="s">
        <v>1200</v>
      </c>
      <c r="G29" s="362" t="s">
        <v>1200</v>
      </c>
      <c r="H29" s="362" t="s">
        <v>1200</v>
      </c>
      <c r="I29" s="363" t="s">
        <v>1200</v>
      </c>
      <c r="J29" s="364">
        <v>100</v>
      </c>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row>
    <row r="30" spans="1:39" s="371" customFormat="1" x14ac:dyDescent="0.25">
      <c r="A30" s="353"/>
      <c r="B30" s="354" t="s">
        <v>1206</v>
      </c>
      <c r="C30" s="355">
        <v>7</v>
      </c>
      <c r="D30" s="376" t="s">
        <v>1200</v>
      </c>
      <c r="E30" s="376" t="s">
        <v>1200</v>
      </c>
      <c r="F30" s="376" t="s">
        <v>1200</v>
      </c>
      <c r="G30" s="377" t="s">
        <v>1200</v>
      </c>
      <c r="H30" s="377" t="s">
        <v>1200</v>
      </c>
      <c r="I30" s="378" t="s">
        <v>1200</v>
      </c>
      <c r="J30" s="357">
        <v>7</v>
      </c>
      <c r="K30" s="379"/>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row>
    <row r="31" spans="1:39" s="365" customFormat="1" ht="13.5" thickBot="1" x14ac:dyDescent="0.3">
      <c r="A31" s="359"/>
      <c r="B31" s="380" t="s">
        <v>1201</v>
      </c>
      <c r="C31" s="361">
        <v>100</v>
      </c>
      <c r="D31" s="362" t="s">
        <v>1200</v>
      </c>
      <c r="E31" s="362" t="s">
        <v>1200</v>
      </c>
      <c r="F31" s="362" t="s">
        <v>1200</v>
      </c>
      <c r="G31" s="362" t="s">
        <v>1200</v>
      </c>
      <c r="H31" s="362" t="s">
        <v>1200</v>
      </c>
      <c r="I31" s="363" t="s">
        <v>1200</v>
      </c>
      <c r="J31" s="364">
        <v>100</v>
      </c>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row>
    <row r="32" spans="1:39" s="358" customFormat="1" x14ac:dyDescent="0.25">
      <c r="A32" s="345"/>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45"/>
      <c r="AM32" s="345"/>
    </row>
  </sheetData>
  <sheetProtection algorithmName="SHA-512" hashValue="LyFUBNZlQOZsOqRt7PP6V2zWOnW8xb6sa5d9EN/oHQdLgZXQ8zjDKn33XWJ6BS/g1jFbBMKJEXYzZRbadEpzBQ==" saltValue="vhrzon9sWvbeiaSrJYTeSQ==" spinCount="100000" sheet="1" objects="1" scenarios="1"/>
  <mergeCells count="2">
    <mergeCell ref="C1:H2"/>
    <mergeCell ref="B4:J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92D050"/>
    <pageSetUpPr fitToPage="1"/>
  </sheetPr>
  <dimension ref="A2:F5862"/>
  <sheetViews>
    <sheetView showGridLines="0" zoomScale="110" zoomScaleNormal="110" workbookViewId="0">
      <selection activeCell="B10" sqref="B10"/>
    </sheetView>
  </sheetViews>
  <sheetFormatPr defaultRowHeight="15" x14ac:dyDescent="0.25"/>
  <cols>
    <col min="1" max="1" width="49" style="2" bestFit="1" customWidth="1"/>
    <col min="2" max="4" width="12.42578125" bestFit="1" customWidth="1"/>
    <col min="5" max="5" width="12.42578125" customWidth="1"/>
    <col min="6" max="6" width="13.42578125" customWidth="1"/>
    <col min="7" max="7" width="11.140625" customWidth="1"/>
    <col min="8" max="9" width="11.140625" bestFit="1" customWidth="1"/>
    <col min="10" max="14" width="10.140625" bestFit="1" customWidth="1"/>
    <col min="15" max="15" width="11.28515625" bestFit="1" customWidth="1"/>
    <col min="16" max="17" width="11.140625" bestFit="1" customWidth="1"/>
    <col min="18" max="20" width="12.7109375" bestFit="1" customWidth="1"/>
    <col min="21" max="21" width="8.42578125" bestFit="1" customWidth="1"/>
    <col min="22" max="22" width="9.42578125" bestFit="1" customWidth="1"/>
    <col min="23" max="24" width="8.42578125" bestFit="1" customWidth="1"/>
    <col min="26" max="26" width="11.28515625" bestFit="1" customWidth="1"/>
  </cols>
  <sheetData>
    <row r="2" spans="1:6" x14ac:dyDescent="0.25">
      <c r="A2" s="40"/>
      <c r="E2" s="86" t="s">
        <v>327</v>
      </c>
    </row>
    <row r="3" spans="1:6" s="20" customFormat="1" ht="30" x14ac:dyDescent="0.25">
      <c r="A3" s="84" t="s">
        <v>195</v>
      </c>
      <c r="B3" s="70" t="str" vm="248">
        <f>CUBEMEMBER("ThisWorkbookDataModel","[Calendar].[Квартал].&amp;[2022-03-31T00:00:00]")</f>
        <v>3/31/2022</v>
      </c>
      <c r="C3" s="70" t="str" vm="247">
        <f>CUBEMEMBER("ThisWorkbookDataModel","[Calendar].[Квартал].&amp;[2022-06-30T00:00:00]")</f>
        <v>6/30/2022</v>
      </c>
      <c r="D3" s="70" t="str" vm="251">
        <f>CUBEMEMBER("ThisWorkbookDataModel","[Calendar].[Квартал].&amp;[2022-09-30T00:00:00]")</f>
        <v>9/30/2022</v>
      </c>
      <c r="E3" s="76" t="str" vm="249">
        <f>CUBEMEMBER("ThisWorkbookDataModel","[Calendar].[Квартал].&amp;[2022-12-31T00:00:00]")</f>
        <v>12/31/2022</v>
      </c>
    </row>
    <row r="4" spans="1:6" s="20" customFormat="1" x14ac:dyDescent="0.25">
      <c r="A4" s="73" t="s">
        <v>208</v>
      </c>
      <c r="B4" s="90">
        <f>'1. BilansNaSostojba'!B23</f>
        <v>126859046</v>
      </c>
      <c r="C4" s="90">
        <f t="shared" ref="C4:E5" si="0">B4</f>
        <v>126859046</v>
      </c>
      <c r="D4" s="90">
        <f t="shared" si="0"/>
        <v>126859046</v>
      </c>
      <c r="E4" s="91">
        <f t="shared" si="0"/>
        <v>126859046</v>
      </c>
    </row>
    <row r="5" spans="1:6" s="20" customFormat="1" ht="30" x14ac:dyDescent="0.25">
      <c r="A5" s="73" t="s">
        <v>189</v>
      </c>
      <c r="B5" s="90">
        <f>'1. BilansNaSostojba'!B24+'1. BilansNaSostojba'!B27</f>
        <v>335292042</v>
      </c>
      <c r="C5" s="90">
        <f t="shared" si="0"/>
        <v>335292042</v>
      </c>
      <c r="D5" s="90">
        <f t="shared" si="0"/>
        <v>335292042</v>
      </c>
      <c r="E5" s="91">
        <f t="shared" si="0"/>
        <v>335292042</v>
      </c>
      <c r="F5" s="83"/>
    </row>
    <row r="6" spans="1:6" x14ac:dyDescent="0.25">
      <c r="A6" s="49" t="s">
        <v>190</v>
      </c>
      <c r="B6" s="90">
        <f>'1. BilansNaSostojba'!C27</f>
        <v>111061111</v>
      </c>
      <c r="C6" s="90">
        <f>'1. BilansNaSostojba'!D27</f>
        <v>69044732</v>
      </c>
      <c r="D6" s="90">
        <f>'1. BilansNaSostojba'!E27</f>
        <v>34862091</v>
      </c>
      <c r="E6" s="91">
        <f>'1. BilansNaSostojba'!F27</f>
        <v>1555459</v>
      </c>
    </row>
    <row r="7" spans="1:6" x14ac:dyDescent="0.25">
      <c r="A7" s="49" t="s">
        <v>191</v>
      </c>
      <c r="B7" s="90">
        <f>'1. BilansNaSostojba'!C25</f>
        <v>121393152</v>
      </c>
      <c r="C7" s="90">
        <f>'1. BilansNaSostojba'!D25</f>
        <v>121393152</v>
      </c>
      <c r="D7" s="90">
        <f>'1. BilansNaSostojba'!E25</f>
        <v>121393152</v>
      </c>
      <c r="E7" s="91">
        <f>'1. BilansNaSostojba'!F25</f>
        <v>121393152</v>
      </c>
    </row>
    <row r="8" spans="1:6" s="9" customFormat="1" x14ac:dyDescent="0.25">
      <c r="A8" s="49" t="s">
        <v>192</v>
      </c>
      <c r="B8" s="90">
        <f>SUMIF(БС!$A$11:$A$41,$A8,БС!$F$11:$F$41)</f>
        <v>0</v>
      </c>
      <c r="C8" s="90">
        <f>SUMIF(БС!$A$11:$A$41,$A8,БС!$I$11:$I$41)</f>
        <v>0</v>
      </c>
      <c r="D8" s="90">
        <f>SUMIF(БС!$A$11:$A$41,$A8,БС!$L$11:$L$41)</f>
        <v>0</v>
      </c>
      <c r="E8" s="91">
        <f>SUMIF(БС!$A$11:$A$41,$A8,БС!$O$11:$O$41)</f>
        <v>0</v>
      </c>
    </row>
    <row r="9" spans="1:6" s="9" customFormat="1" x14ac:dyDescent="0.25">
      <c r="A9" s="49" t="s">
        <v>193</v>
      </c>
      <c r="B9" s="90">
        <f>SUMIF(БС!$A$11:$A$41,$A9,БС!$F$11:$F$41)</f>
        <v>0</v>
      </c>
      <c r="C9" s="90">
        <f>SUMIF(БС!$A$11:$A$41,$A9,БС!$I$11:$I$41)</f>
        <v>0</v>
      </c>
      <c r="D9" s="90">
        <f>SUMIF(БС!$A$11:$A$41,$A9,БС!$L$11:$L$41)</f>
        <v>0</v>
      </c>
      <c r="E9" s="91">
        <f>SUMIF(БС!$A$11:$A$41,$A9,БС!$O$11:$O$41)</f>
        <v>0</v>
      </c>
    </row>
    <row r="10" spans="1:6" s="9" customFormat="1" x14ac:dyDescent="0.25">
      <c r="A10" s="49" t="s">
        <v>194</v>
      </c>
      <c r="B10" s="90">
        <f>SUMIF(БС!$A$11:$A$41,$A10,БС!$F$11:$F$41)</f>
        <v>0</v>
      </c>
      <c r="C10" s="90">
        <f>SUMIF(БС!$A$11:$A$41,$A10,БС!$I$11:$I$41)</f>
        <v>0</v>
      </c>
      <c r="D10" s="90">
        <f>SUMIF(БС!$A$11:$A$41,$A10,БС!$L$11:$L$41)</f>
        <v>0</v>
      </c>
      <c r="E10" s="91">
        <f>SUMIF(БС!$A$11:$A$41,$A10,БС!$O$11:$O$41)</f>
        <v>0</v>
      </c>
    </row>
    <row r="11" spans="1:6" s="9" customFormat="1" x14ac:dyDescent="0.25">
      <c r="A11" s="75" t="s">
        <v>231</v>
      </c>
      <c r="B11" s="98">
        <f>SUM(B4:B10)</f>
        <v>694605351</v>
      </c>
      <c r="C11" s="98">
        <f>SUM(C4:C10)</f>
        <v>652588972</v>
      </c>
      <c r="D11" s="98">
        <f>SUM(D4:D10)</f>
        <v>618406331</v>
      </c>
      <c r="E11" s="99">
        <f>SUM(E4:E10)</f>
        <v>585099699</v>
      </c>
    </row>
    <row r="12" spans="1:6" x14ac:dyDescent="0.25">
      <c r="A12"/>
    </row>
    <row r="13" spans="1:6" hidden="1" x14ac:dyDescent="0.25">
      <c r="A13"/>
      <c r="B13" s="1">
        <f>'1. BilansNaSostojba'!C28</f>
        <v>694605351</v>
      </c>
      <c r="C13" s="1">
        <f>'1. BilansNaSostojba'!D28</f>
        <v>652588972</v>
      </c>
      <c r="D13" s="1">
        <f>'1. BilansNaSostojba'!E28</f>
        <v>618406331</v>
      </c>
      <c r="E13" s="1">
        <f>'1. BilansNaSostojba'!F28</f>
        <v>585099699</v>
      </c>
    </row>
    <row r="14" spans="1:6" hidden="1" x14ac:dyDescent="0.25">
      <c r="A14" t="s">
        <v>230</v>
      </c>
      <c r="B14" s="1">
        <f>B13-B11</f>
        <v>0</v>
      </c>
      <c r="C14" s="1">
        <f>C13-C11</f>
        <v>0</v>
      </c>
      <c r="D14" s="1">
        <f>D13-D11</f>
        <v>0</v>
      </c>
      <c r="E14" s="1">
        <f>E13-E11</f>
        <v>0</v>
      </c>
    </row>
    <row r="15" spans="1:6" hidden="1" x14ac:dyDescent="0.25">
      <c r="A15"/>
    </row>
    <row r="16" spans="1:6" x14ac:dyDescent="0.25">
      <c r="A16"/>
    </row>
    <row r="17" spans="1:1" x14ac:dyDescent="0.25">
      <c r="A17"/>
    </row>
    <row r="18" spans="1:1" x14ac:dyDescent="0.25">
      <c r="A18"/>
    </row>
    <row r="19" spans="1:1" x14ac:dyDescent="0.25">
      <c r="A19"/>
    </row>
    <row r="20" spans="1:1" x14ac:dyDescent="0.25">
      <c r="A20"/>
    </row>
    <row r="21" spans="1:1" x14ac:dyDescent="0.25">
      <c r="A21"/>
    </row>
    <row r="22" spans="1:1" x14ac:dyDescent="0.25">
      <c r="A22"/>
    </row>
    <row r="23" spans="1:1" x14ac:dyDescent="0.25">
      <c r="A23"/>
    </row>
    <row r="24" spans="1:1" x14ac:dyDescent="0.25">
      <c r="A24"/>
    </row>
    <row r="25" spans="1:1" x14ac:dyDescent="0.25">
      <c r="A25"/>
    </row>
    <row r="26" spans="1:1" x14ac:dyDescent="0.25">
      <c r="A26"/>
    </row>
    <row r="27" spans="1:1" x14ac:dyDescent="0.25">
      <c r="A27"/>
    </row>
    <row r="28" spans="1:1" x14ac:dyDescent="0.25">
      <c r="A28"/>
    </row>
    <row r="29" spans="1:1" x14ac:dyDescent="0.25">
      <c r="A29"/>
    </row>
    <row r="30" spans="1:1" x14ac:dyDescent="0.25">
      <c r="A30"/>
    </row>
    <row r="31" spans="1:1" x14ac:dyDescent="0.25">
      <c r="A31"/>
    </row>
    <row r="32" spans="1:1"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sheetData>
  <sheetProtection algorithmName="SHA-512" hashValue="Okt6cRYGNxlOMVhT20j5pUFc1Pc2nWQHhPLPBJEYd59D8BwDOyxxQm/a2i6ugIm+zXgwjJK5XUVdaxXrU2wd9A==" saltValue="hfbzBLuJwbyVyXGDywDE/w==" spinCount="100000" sheet="1" objects="1" scenarios="1"/>
  <pageMargins left="0.7" right="0.7" top="0.75" bottom="0.75" header="0.3" footer="0.3"/>
  <pageSetup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tabColor rgb="FF92D050"/>
    <pageSetUpPr fitToPage="1"/>
  </sheetPr>
  <dimension ref="A2:Q5861"/>
  <sheetViews>
    <sheetView showGridLines="0" topLeftCell="B1" zoomScale="120" zoomScaleNormal="120" workbookViewId="0">
      <selection activeCell="H40" sqref="H40"/>
    </sheetView>
  </sheetViews>
  <sheetFormatPr defaultRowHeight="15" x14ac:dyDescent="0.25"/>
  <cols>
    <col min="1" max="1" width="50.7109375" style="2" bestFit="1" customWidth="1"/>
    <col min="2" max="2" width="13.28515625" bestFit="1" customWidth="1"/>
    <col min="3" max="14" width="14" bestFit="1" customWidth="1"/>
    <col min="15" max="15" width="11.28515625" hidden="1" customWidth="1"/>
    <col min="16" max="16" width="12.7109375" hidden="1" customWidth="1"/>
    <col min="17" max="17" width="11.140625" bestFit="1" customWidth="1"/>
    <col min="18" max="20" width="12.7109375" bestFit="1" customWidth="1"/>
    <col min="21" max="21" width="8.42578125" bestFit="1" customWidth="1"/>
    <col min="22" max="22" width="9.42578125" bestFit="1" customWidth="1"/>
    <col min="23" max="24" width="8.42578125" bestFit="1" customWidth="1"/>
    <col min="26" max="26" width="11.28515625" bestFit="1" customWidth="1"/>
  </cols>
  <sheetData>
    <row r="2" spans="1:17" x14ac:dyDescent="0.25">
      <c r="A2" s="40"/>
      <c r="N2" s="86" t="s">
        <v>327</v>
      </c>
      <c r="O2" t="s">
        <v>214</v>
      </c>
      <c r="P2" t="s">
        <v>215</v>
      </c>
    </row>
    <row r="3" spans="1:17" s="80" customFormat="1" x14ac:dyDescent="0.25">
      <c r="A3" s="38" t="s">
        <v>213</v>
      </c>
      <c r="B3" s="87">
        <v>1</v>
      </c>
      <c r="C3" s="88">
        <f>B3+1</f>
        <v>2</v>
      </c>
      <c r="D3" s="88">
        <f t="shared" ref="D3:M3" si="0">C3+1</f>
        <v>3</v>
      </c>
      <c r="E3" s="88">
        <f t="shared" si="0"/>
        <v>4</v>
      </c>
      <c r="F3" s="88">
        <f t="shared" si="0"/>
        <v>5</v>
      </c>
      <c r="G3" s="88">
        <f t="shared" si="0"/>
        <v>6</v>
      </c>
      <c r="H3" s="88">
        <f t="shared" si="0"/>
        <v>7</v>
      </c>
      <c r="I3" s="88">
        <f t="shared" si="0"/>
        <v>8</v>
      </c>
      <c r="J3" s="88">
        <f t="shared" si="0"/>
        <v>9</v>
      </c>
      <c r="K3" s="88">
        <f t="shared" si="0"/>
        <v>10</v>
      </c>
      <c r="L3" s="88">
        <f t="shared" si="0"/>
        <v>11</v>
      </c>
      <c r="M3" s="88">
        <f t="shared" si="0"/>
        <v>12</v>
      </c>
      <c r="N3" s="89" t="s">
        <v>153</v>
      </c>
    </row>
    <row r="4" spans="1:17" s="20" customFormat="1" x14ac:dyDescent="0.25">
      <c r="A4" s="73" t="s">
        <v>229</v>
      </c>
      <c r="B4" s="90">
        <f>'BU_pomosen_meseceн CUBE'!C59</f>
        <v>-6012452</v>
      </c>
      <c r="C4" s="90">
        <f>'BU_pomosen_meseceн CUBE'!D59</f>
        <v>84382376</v>
      </c>
      <c r="D4" s="90">
        <f>'BU_pomosen_meseceн CUBE'!E59</f>
        <v>32691187</v>
      </c>
      <c r="E4" s="90">
        <f>'BU_pomosen_meseceн CUBE'!F59</f>
        <v>-10287464</v>
      </c>
      <c r="F4" s="90">
        <f>'BU_pomosen_meseceн CUBE'!G59</f>
        <v>-13569269</v>
      </c>
      <c r="G4" s="90">
        <f>'BU_pomosen_meseceн CUBE'!H59</f>
        <v>-18159646</v>
      </c>
      <c r="H4" s="90">
        <f>'BU_pomosen_meseceн CUBE'!I59</f>
        <v>-10663918</v>
      </c>
      <c r="I4" s="90">
        <f>'BU_pomosen_meseceн CUBE'!J59</f>
        <v>-13550230</v>
      </c>
      <c r="J4" s="90">
        <f>'BU_pomosen_meseceн CUBE'!K59</f>
        <v>-9968493</v>
      </c>
      <c r="K4" s="90">
        <f>'BU_pomosen_meseceн CUBE'!L59</f>
        <v>-12211997</v>
      </c>
      <c r="L4" s="90">
        <f>'BU_pomosen_meseceн CUBE'!M59</f>
        <v>-9265225</v>
      </c>
      <c r="M4" s="90">
        <f>'BU_pomosen_meseceн CUBE'!N59</f>
        <v>-11829410</v>
      </c>
      <c r="N4" s="91">
        <f>SUM(B4:M4)</f>
        <v>1555459</v>
      </c>
    </row>
    <row r="5" spans="1:17" x14ac:dyDescent="0.25">
      <c r="A5" s="49" t="s">
        <v>196</v>
      </c>
      <c r="B5" s="90">
        <f>Amortizacija_CUBE!D21</f>
        <v>4139034</v>
      </c>
      <c r="C5" s="90">
        <f>Amortizacija_CUBE!E21</f>
        <v>4139034</v>
      </c>
      <c r="D5" s="90">
        <f>Amortizacija_CUBE!F21</f>
        <v>4139034</v>
      </c>
      <c r="E5" s="90">
        <f>Amortizacija_CUBE!G21</f>
        <v>4096015</v>
      </c>
      <c r="F5" s="90">
        <f>Amortizacija_CUBE!H21</f>
        <v>4380391</v>
      </c>
      <c r="G5" s="90">
        <f>Amortizacija_CUBE!I21</f>
        <v>4584568</v>
      </c>
      <c r="H5" s="90">
        <f>Amortizacija_CUBE!J21</f>
        <v>4609568</v>
      </c>
      <c r="I5" s="90">
        <f>Amortizacija_CUBE!K21</f>
        <v>4467380</v>
      </c>
      <c r="J5" s="90">
        <f>Amortizacija_CUBE!L21</f>
        <v>4751464</v>
      </c>
      <c r="K5" s="90">
        <f>Amortizacija_CUBE!M21</f>
        <v>4777714</v>
      </c>
      <c r="L5" s="90">
        <f>Amortizacija_CUBE!N21</f>
        <v>5072714</v>
      </c>
      <c r="M5" s="90">
        <f>Amortizacija_CUBE!O21</f>
        <v>5072714</v>
      </c>
      <c r="N5" s="91">
        <f t="shared" ref="N5:N18" si="1">SUM(B5:M5)</f>
        <v>54229630</v>
      </c>
      <c r="Q5" s="158">
        <f>N5-'2. Bilans Na Uspeh'!F90</f>
        <v>0</v>
      </c>
    </row>
    <row r="6" spans="1:17" x14ac:dyDescent="0.25">
      <c r="A6" s="49" t="s">
        <v>197</v>
      </c>
      <c r="B6" s="90">
        <v>0</v>
      </c>
      <c r="C6" s="90">
        <v>0</v>
      </c>
      <c r="D6" s="90">
        <v>0</v>
      </c>
      <c r="E6" s="90">
        <v>0</v>
      </c>
      <c r="F6" s="92">
        <v>0</v>
      </c>
      <c r="G6" s="92">
        <v>0</v>
      </c>
      <c r="H6" s="92">
        <v>0</v>
      </c>
      <c r="I6" s="92">
        <v>0</v>
      </c>
      <c r="J6" s="92">
        <v>0</v>
      </c>
      <c r="K6" s="92">
        <v>0</v>
      </c>
      <c r="L6" s="92">
        <v>0</v>
      </c>
      <c r="M6" s="92">
        <v>0</v>
      </c>
      <c r="N6" s="93">
        <f t="shared" si="1"/>
        <v>0</v>
      </c>
    </row>
    <row r="7" spans="1:17" s="9" customFormat="1" x14ac:dyDescent="0.25">
      <c r="A7" s="49" t="s">
        <v>198</v>
      </c>
      <c r="B7" s="90">
        <f>БС!C13-БС!D13</f>
        <v>0</v>
      </c>
      <c r="C7" s="90">
        <f>БС!D13-БС!E13</f>
        <v>0</v>
      </c>
      <c r="D7" s="90">
        <f>БС!E13-БС!F13</f>
        <v>0</v>
      </c>
      <c r="E7" s="90">
        <f>БС!F13-БС!G13</f>
        <v>0</v>
      </c>
      <c r="F7" s="90">
        <f>БС!G13-БС!H13</f>
        <v>0</v>
      </c>
      <c r="G7" s="90">
        <f>БС!H13-БС!I13</f>
        <v>0</v>
      </c>
      <c r="H7" s="90">
        <f>БС!I13-БС!J13</f>
        <v>0</v>
      </c>
      <c r="I7" s="90">
        <f>БС!J13-БС!K13</f>
        <v>0</v>
      </c>
      <c r="J7" s="90">
        <f>БС!K13-БС!L13</f>
        <v>0</v>
      </c>
      <c r="K7" s="90">
        <f>БС!L13-БС!M13</f>
        <v>0</v>
      </c>
      <c r="L7" s="90">
        <f>БС!M13-БС!N13</f>
        <v>0</v>
      </c>
      <c r="M7" s="90">
        <f>БС!N13-БС!O13</f>
        <v>0</v>
      </c>
      <c r="N7" s="91">
        <f t="shared" si="1"/>
        <v>0</v>
      </c>
    </row>
    <row r="8" spans="1:17" s="9" customFormat="1" x14ac:dyDescent="0.25">
      <c r="A8" s="49" t="s">
        <v>199</v>
      </c>
      <c r="B8" s="90">
        <f>БС!C14-БС!D14</f>
        <v>0</v>
      </c>
      <c r="C8" s="90">
        <f>БС!D14-БС!E14</f>
        <v>0</v>
      </c>
      <c r="D8" s="90">
        <f>БС!E14-БС!F14</f>
        <v>0</v>
      </c>
      <c r="E8" s="90">
        <f>БС!F14-БС!G14</f>
        <v>0</v>
      </c>
      <c r="F8" s="90">
        <f>БС!G14-БС!H14</f>
        <v>0</v>
      </c>
      <c r="G8" s="90">
        <f>БС!H14-БС!I14</f>
        <v>0</v>
      </c>
      <c r="H8" s="90">
        <f>БС!I14-БС!J14</f>
        <v>0</v>
      </c>
      <c r="I8" s="90">
        <f>БС!J14-БС!K14</f>
        <v>0</v>
      </c>
      <c r="J8" s="90">
        <f>БС!K14-БС!L14</f>
        <v>0</v>
      </c>
      <c r="K8" s="90">
        <f>БС!L14-БС!M14</f>
        <v>0</v>
      </c>
      <c r="L8" s="90">
        <f>БС!M14-БС!N14</f>
        <v>0</v>
      </c>
      <c r="M8" s="90">
        <f>БС!N14-БС!O14</f>
        <v>0</v>
      </c>
      <c r="N8" s="91">
        <f t="shared" si="1"/>
        <v>0</v>
      </c>
    </row>
    <row r="9" spans="1:17" s="9" customFormat="1" x14ac:dyDescent="0.25">
      <c r="A9" s="49" t="s">
        <v>200</v>
      </c>
      <c r="B9" s="90">
        <f>БС!D27-БС!C27</f>
        <v>0</v>
      </c>
      <c r="C9" s="90">
        <f>БС!E27-БС!D27</f>
        <v>0</v>
      </c>
      <c r="D9" s="90">
        <f>БС!F27-БС!E27</f>
        <v>0</v>
      </c>
      <c r="E9" s="90">
        <f>БС!G27-БС!F27</f>
        <v>0</v>
      </c>
      <c r="F9" s="90">
        <f>БС!H27-БС!G27</f>
        <v>0</v>
      </c>
      <c r="G9" s="90">
        <f>БС!I27-БС!H27</f>
        <v>0</v>
      </c>
      <c r="H9" s="90">
        <f>БС!J27-БС!I27</f>
        <v>0</v>
      </c>
      <c r="I9" s="90">
        <f>БС!K27-БС!J27</f>
        <v>0</v>
      </c>
      <c r="J9" s="90">
        <f>БС!L27-БС!K27</f>
        <v>0</v>
      </c>
      <c r="K9" s="90">
        <f>БС!M27-БС!L27</f>
        <v>0</v>
      </c>
      <c r="L9" s="90">
        <f>БС!N27-БС!M27</f>
        <v>0</v>
      </c>
      <c r="M9" s="90">
        <f>БС!O27-БС!N27</f>
        <v>19012130</v>
      </c>
      <c r="N9" s="91">
        <f t="shared" si="1"/>
        <v>19012130</v>
      </c>
    </row>
    <row r="10" spans="1:17" s="9" customFormat="1" x14ac:dyDescent="0.25">
      <c r="A10" s="74" t="s">
        <v>201</v>
      </c>
      <c r="B10" s="94">
        <f>БС!C16-БС!D16</f>
        <v>0</v>
      </c>
      <c r="C10" s="94">
        <f>БС!D16-БС!E16</f>
        <v>0</v>
      </c>
      <c r="D10" s="94">
        <f>БС!E16-БС!F16</f>
        <v>0</v>
      </c>
      <c r="E10" s="94">
        <f>БС!F16-БС!G16</f>
        <v>0</v>
      </c>
      <c r="F10" s="94">
        <f>БС!G16-БС!H16</f>
        <v>0</v>
      </c>
      <c r="G10" s="94">
        <f>БС!H16-БС!I16</f>
        <v>0</v>
      </c>
      <c r="H10" s="94">
        <f>БС!I16-БС!J16</f>
        <v>0</v>
      </c>
      <c r="I10" s="94">
        <f>БС!J16-БС!K16</f>
        <v>0</v>
      </c>
      <c r="J10" s="94">
        <f>БС!K16-БС!L16</f>
        <v>0</v>
      </c>
      <c r="K10" s="94">
        <f>БС!L16-БС!M16</f>
        <v>0</v>
      </c>
      <c r="L10" s="94">
        <f>БС!M16-БС!N16</f>
        <v>0</v>
      </c>
      <c r="M10" s="94">
        <f>БС!N16-БС!O16</f>
        <v>0</v>
      </c>
      <c r="N10" s="95">
        <f t="shared" si="1"/>
        <v>0</v>
      </c>
    </row>
    <row r="11" spans="1:17" x14ac:dyDescent="0.25">
      <c r="A11" s="49" t="s">
        <v>202</v>
      </c>
      <c r="B11" s="90">
        <f>БС!D28-БС!C28</f>
        <v>-392981</v>
      </c>
      <c r="C11" s="90">
        <f>БС!E28-БС!D28</f>
        <v>-392981</v>
      </c>
      <c r="D11" s="90">
        <f>БС!F28-БС!E28</f>
        <v>-392981</v>
      </c>
      <c r="E11" s="90">
        <f>БС!G28-БС!F28</f>
        <v>-392981</v>
      </c>
      <c r="F11" s="90">
        <f>БС!H28-БС!G28</f>
        <v>-392981</v>
      </c>
      <c r="G11" s="90">
        <f>БС!I28-БС!H28</f>
        <v>-392981</v>
      </c>
      <c r="H11" s="90">
        <f>БС!J28-БС!I28</f>
        <v>-392981</v>
      </c>
      <c r="I11" s="90">
        <f>БС!K28-БС!J28</f>
        <v>-392981</v>
      </c>
      <c r="J11" s="90">
        <f>БС!L28-БС!K28</f>
        <v>-392981</v>
      </c>
      <c r="K11" s="90">
        <f>БС!M28-БС!L28</f>
        <v>-392981</v>
      </c>
      <c r="L11" s="90">
        <f>БС!N28-БС!M28</f>
        <v>-687981</v>
      </c>
      <c r="M11" s="90">
        <f>БС!O28-БС!N28</f>
        <v>-687981</v>
      </c>
      <c r="N11" s="91">
        <f t="shared" si="1"/>
        <v>-5305772</v>
      </c>
    </row>
    <row r="12" spans="1:17" s="9" customFormat="1" x14ac:dyDescent="0.25">
      <c r="A12" s="33" t="s">
        <v>203</v>
      </c>
      <c r="B12" s="96">
        <f>SUM(B4:B11)</f>
        <v>-2266399</v>
      </c>
      <c r="C12" s="96">
        <f t="shared" ref="C12:N12" si="2">SUM(C4:C11)</f>
        <v>88128429</v>
      </c>
      <c r="D12" s="96">
        <f t="shared" si="2"/>
        <v>36437240</v>
      </c>
      <c r="E12" s="96">
        <f t="shared" si="2"/>
        <v>-6584430</v>
      </c>
      <c r="F12" s="96">
        <f t="shared" si="2"/>
        <v>-9581859</v>
      </c>
      <c r="G12" s="96">
        <f t="shared" si="2"/>
        <v>-13968059</v>
      </c>
      <c r="H12" s="96">
        <f t="shared" si="2"/>
        <v>-6447331</v>
      </c>
      <c r="I12" s="96">
        <f t="shared" si="2"/>
        <v>-9475831</v>
      </c>
      <c r="J12" s="96">
        <f t="shared" si="2"/>
        <v>-5610010</v>
      </c>
      <c r="K12" s="96">
        <f t="shared" si="2"/>
        <v>-7827264</v>
      </c>
      <c r="L12" s="96">
        <f t="shared" si="2"/>
        <v>-4880492</v>
      </c>
      <c r="M12" s="96">
        <f t="shared" si="2"/>
        <v>11567453</v>
      </c>
      <c r="N12" s="97">
        <f t="shared" si="2"/>
        <v>69491447</v>
      </c>
      <c r="O12" s="9">
        <f>102480895/1000</f>
        <v>102480.895</v>
      </c>
      <c r="P12" s="77">
        <f>O12-N12</f>
        <v>-69388966.105000004</v>
      </c>
    </row>
    <row r="13" spans="1:17" s="9" customFormat="1" x14ac:dyDescent="0.25">
      <c r="A13" s="33" t="s">
        <v>204</v>
      </c>
      <c r="B13" s="96">
        <f>'CAPEX po meseci CUBE'!F31*-1</f>
        <v>0</v>
      </c>
      <c r="C13" s="96">
        <f>'CAPEX po meseci CUBE'!G31*-1</f>
        <v>-4625600</v>
      </c>
      <c r="D13" s="96">
        <f>'CAPEX po meseci CUBE'!H31*-1</f>
        <v>-21670000</v>
      </c>
      <c r="E13" s="96">
        <f>'CAPEX po meseci CUBE'!I31*-1</f>
        <v>-36890000</v>
      </c>
      <c r="F13" s="96">
        <f>'CAPEX po meseci CUBE'!J31*-1</f>
        <v>-9500000</v>
      </c>
      <c r="G13" s="96">
        <f>'CAPEX po meseci CUBE'!K31*-1</f>
        <v>-6650000</v>
      </c>
      <c r="H13" s="96">
        <f>'CAPEX po meseci CUBE'!L31*-1</f>
        <v>-1200000</v>
      </c>
      <c r="I13" s="96">
        <f>'CAPEX po meseci CUBE'!M31*-1</f>
        <v>0</v>
      </c>
      <c r="J13" s="96">
        <f>'CAPEX po meseci CUBE'!N31*-1</f>
        <v>-32786000</v>
      </c>
      <c r="K13" s="96">
        <f>'CAPEX po meseci CUBE'!O31*-1</f>
        <v>0</v>
      </c>
      <c r="L13" s="96">
        <f>'CAPEX po meseci CUBE'!P31*-1</f>
        <v>-14160000</v>
      </c>
      <c r="M13" s="96">
        <f>'CAPEX po meseci CUBE'!Q31*-1</f>
        <v>-11825000</v>
      </c>
      <c r="N13" s="97">
        <f t="shared" si="1"/>
        <v>-139306600</v>
      </c>
      <c r="O13" s="9">
        <f>-196524970/1000</f>
        <v>-196524.97</v>
      </c>
      <c r="P13" s="77">
        <f>O13-N13</f>
        <v>139110075.03</v>
      </c>
    </row>
    <row r="14" spans="1:17" s="9" customFormat="1" x14ac:dyDescent="0.25">
      <c r="A14" s="33" t="s">
        <v>205</v>
      </c>
      <c r="B14" s="96">
        <f>SUM(B15:B18)</f>
        <v>0</v>
      </c>
      <c r="C14" s="96">
        <f t="shared" ref="C14:M14" si="3">SUM(C15:C18)</f>
        <v>0</v>
      </c>
      <c r="D14" s="96">
        <f t="shared" si="3"/>
        <v>0</v>
      </c>
      <c r="E14" s="96">
        <f t="shared" si="3"/>
        <v>0</v>
      </c>
      <c r="F14" s="96">
        <f t="shared" si="3"/>
        <v>0</v>
      </c>
      <c r="G14" s="96">
        <f t="shared" si="3"/>
        <v>0</v>
      </c>
      <c r="H14" s="96">
        <f t="shared" si="3"/>
        <v>0</v>
      </c>
      <c r="I14" s="96">
        <f t="shared" si="3"/>
        <v>0</v>
      </c>
      <c r="J14" s="96">
        <f t="shared" si="3"/>
        <v>0</v>
      </c>
      <c r="K14" s="96">
        <f t="shared" si="3"/>
        <v>0</v>
      </c>
      <c r="L14" s="96">
        <f t="shared" si="3"/>
        <v>0</v>
      </c>
      <c r="M14" s="96">
        <f t="shared" si="3"/>
        <v>0</v>
      </c>
      <c r="N14" s="97">
        <f t="shared" si="1"/>
        <v>0</v>
      </c>
    </row>
    <row r="15" spans="1:17" x14ac:dyDescent="0.25">
      <c r="A15" s="49" t="s">
        <v>206</v>
      </c>
      <c r="B15" s="90">
        <v>0</v>
      </c>
      <c r="C15" s="90">
        <v>0</v>
      </c>
      <c r="D15" s="90">
        <v>0</v>
      </c>
      <c r="E15" s="90">
        <v>0</v>
      </c>
      <c r="F15" s="90">
        <v>0</v>
      </c>
      <c r="G15" s="90">
        <v>0</v>
      </c>
      <c r="H15" s="90">
        <v>0</v>
      </c>
      <c r="I15" s="90">
        <v>0</v>
      </c>
      <c r="J15" s="90">
        <v>0</v>
      </c>
      <c r="K15" s="90">
        <v>0</v>
      </c>
      <c r="L15" s="90">
        <v>0</v>
      </c>
      <c r="M15" s="90">
        <v>0</v>
      </c>
      <c r="N15" s="91">
        <f t="shared" si="1"/>
        <v>0</v>
      </c>
    </row>
    <row r="16" spans="1:17" x14ac:dyDescent="0.25">
      <c r="A16" s="49" t="s">
        <v>207</v>
      </c>
      <c r="B16" s="90">
        <f>БС!D30-БС!C30</f>
        <v>0</v>
      </c>
      <c r="C16" s="90">
        <f>БС!E30-БС!D30</f>
        <v>0</v>
      </c>
      <c r="D16" s="90">
        <f>БС!F30-БС!E30</f>
        <v>0</v>
      </c>
      <c r="E16" s="90">
        <f>БС!G30-БС!F30</f>
        <v>0</v>
      </c>
      <c r="F16" s="90">
        <f>БС!H30-БС!G30</f>
        <v>0</v>
      </c>
      <c r="G16" s="90">
        <f>БС!I30-БС!H30</f>
        <v>0</v>
      </c>
      <c r="H16" s="90">
        <f>БС!J30-БС!I30</f>
        <v>0</v>
      </c>
      <c r="I16" s="90">
        <f>БС!K30-БС!J30</f>
        <v>0</v>
      </c>
      <c r="J16" s="90">
        <f>БС!L30-БС!K30</f>
        <v>0</v>
      </c>
      <c r="K16" s="90">
        <f>БС!M30-БС!L30</f>
        <v>0</v>
      </c>
      <c r="L16" s="90">
        <f>БС!N30-БС!M30</f>
        <v>0</v>
      </c>
      <c r="M16" s="90">
        <f>БС!O30-БС!N30</f>
        <v>0</v>
      </c>
      <c r="N16" s="91">
        <f t="shared" si="1"/>
        <v>0</v>
      </c>
    </row>
    <row r="17" spans="1:16" x14ac:dyDescent="0.25">
      <c r="A17" s="49" t="s">
        <v>208</v>
      </c>
      <c r="B17" s="90">
        <v>0</v>
      </c>
      <c r="C17" s="90">
        <v>0</v>
      </c>
      <c r="D17" s="90">
        <v>0</v>
      </c>
      <c r="E17" s="90">
        <v>0</v>
      </c>
      <c r="F17" s="90">
        <v>0</v>
      </c>
      <c r="G17" s="90">
        <v>0</v>
      </c>
      <c r="H17" s="90">
        <v>0</v>
      </c>
      <c r="I17" s="90">
        <v>0</v>
      </c>
      <c r="J17" s="90">
        <v>0</v>
      </c>
      <c r="K17" s="90">
        <v>0</v>
      </c>
      <c r="L17" s="90">
        <v>0</v>
      </c>
      <c r="M17" s="90">
        <v>0</v>
      </c>
      <c r="N17" s="91">
        <f t="shared" si="1"/>
        <v>0</v>
      </c>
    </row>
    <row r="18" spans="1:16" x14ac:dyDescent="0.25">
      <c r="A18" s="49" t="s">
        <v>209</v>
      </c>
      <c r="B18" s="90">
        <v>0</v>
      </c>
      <c r="C18" s="90">
        <v>0</v>
      </c>
      <c r="D18" s="90">
        <v>0</v>
      </c>
      <c r="E18" s="90">
        <v>0</v>
      </c>
      <c r="F18" s="90">
        <v>0</v>
      </c>
      <c r="G18" s="90">
        <v>0</v>
      </c>
      <c r="H18" s="90">
        <v>0</v>
      </c>
      <c r="I18" s="90">
        <v>0</v>
      </c>
      <c r="J18" s="90">
        <v>0</v>
      </c>
      <c r="K18" s="90">
        <v>0</v>
      </c>
      <c r="L18" s="90">
        <v>0</v>
      </c>
      <c r="M18" s="90">
        <v>0</v>
      </c>
      <c r="N18" s="91">
        <f t="shared" si="1"/>
        <v>0</v>
      </c>
    </row>
    <row r="19" spans="1:16" s="9" customFormat="1" x14ac:dyDescent="0.25">
      <c r="A19" s="33" t="s">
        <v>210</v>
      </c>
      <c r="B19" s="96">
        <f>SUM(B12:B14)</f>
        <v>-2266399</v>
      </c>
      <c r="C19" s="96">
        <f t="shared" ref="C19:M19" si="4">SUM(C12:C14)</f>
        <v>83502829</v>
      </c>
      <c r="D19" s="96">
        <f t="shared" si="4"/>
        <v>14767240</v>
      </c>
      <c r="E19" s="96">
        <f t="shared" si="4"/>
        <v>-43474430</v>
      </c>
      <c r="F19" s="96">
        <f t="shared" si="4"/>
        <v>-19081859</v>
      </c>
      <c r="G19" s="96">
        <f t="shared" si="4"/>
        <v>-20618059</v>
      </c>
      <c r="H19" s="96">
        <f t="shared" si="4"/>
        <v>-7647331</v>
      </c>
      <c r="I19" s="96">
        <f t="shared" si="4"/>
        <v>-9475831</v>
      </c>
      <c r="J19" s="96">
        <f t="shared" si="4"/>
        <v>-38396010</v>
      </c>
      <c r="K19" s="96">
        <f t="shared" si="4"/>
        <v>-7827264</v>
      </c>
      <c r="L19" s="96">
        <f t="shared" si="4"/>
        <v>-19040492</v>
      </c>
      <c r="M19" s="96">
        <f t="shared" si="4"/>
        <v>-257547</v>
      </c>
      <c r="N19" s="97">
        <f>SUM(N12:N14)</f>
        <v>-69815153</v>
      </c>
      <c r="O19" s="9">
        <f>-94044075/1000</f>
        <v>-94044.074999999997</v>
      </c>
      <c r="P19" s="77">
        <f>O19-N19</f>
        <v>69721108.924999997</v>
      </c>
    </row>
    <row r="20" spans="1:16" s="9" customFormat="1" x14ac:dyDescent="0.25">
      <c r="A20" s="33" t="s">
        <v>211</v>
      </c>
      <c r="B20" s="96">
        <f>БС!C12</f>
        <v>118116082</v>
      </c>
      <c r="C20" s="96">
        <f>B21</f>
        <v>115849683</v>
      </c>
      <c r="D20" s="96">
        <f t="shared" ref="D20:M20" si="5">C21</f>
        <v>199352512</v>
      </c>
      <c r="E20" s="96">
        <f t="shared" si="5"/>
        <v>214119752</v>
      </c>
      <c r="F20" s="96">
        <f t="shared" si="5"/>
        <v>170645322</v>
      </c>
      <c r="G20" s="96">
        <f t="shared" si="5"/>
        <v>151563463</v>
      </c>
      <c r="H20" s="96">
        <f t="shared" si="5"/>
        <v>130945404</v>
      </c>
      <c r="I20" s="96">
        <f t="shared" si="5"/>
        <v>123298073</v>
      </c>
      <c r="J20" s="96">
        <f t="shared" si="5"/>
        <v>113822242</v>
      </c>
      <c r="K20" s="96">
        <f t="shared" si="5"/>
        <v>75426232</v>
      </c>
      <c r="L20" s="96">
        <f t="shared" si="5"/>
        <v>67598968</v>
      </c>
      <c r="M20" s="96">
        <f t="shared" si="5"/>
        <v>48558476</v>
      </c>
      <c r="N20" s="97">
        <f>B20</f>
        <v>118116082</v>
      </c>
      <c r="O20" s="9">
        <f>150857906/1000</f>
        <v>150857.90599999999</v>
      </c>
      <c r="P20" s="77">
        <f>O20-N20</f>
        <v>-117965224.094</v>
      </c>
    </row>
    <row r="21" spans="1:16" s="9" customFormat="1" x14ac:dyDescent="0.25">
      <c r="A21" s="78" t="s">
        <v>212</v>
      </c>
      <c r="B21" s="98">
        <f>SUM(B19:B20)</f>
        <v>115849683</v>
      </c>
      <c r="C21" s="98">
        <f t="shared" ref="C21:N21" si="6">SUM(C19:C20)</f>
        <v>199352512</v>
      </c>
      <c r="D21" s="98">
        <f t="shared" si="6"/>
        <v>214119752</v>
      </c>
      <c r="E21" s="98">
        <f t="shared" si="6"/>
        <v>170645322</v>
      </c>
      <c r="F21" s="98">
        <f t="shared" si="6"/>
        <v>151563463</v>
      </c>
      <c r="G21" s="98">
        <f t="shared" si="6"/>
        <v>130945404</v>
      </c>
      <c r="H21" s="98">
        <f t="shared" si="6"/>
        <v>123298073</v>
      </c>
      <c r="I21" s="98">
        <f t="shared" si="6"/>
        <v>113822242</v>
      </c>
      <c r="J21" s="98">
        <f t="shared" si="6"/>
        <v>75426232</v>
      </c>
      <c r="K21" s="98">
        <f t="shared" si="6"/>
        <v>67598968</v>
      </c>
      <c r="L21" s="98">
        <f t="shared" si="6"/>
        <v>48558476</v>
      </c>
      <c r="M21" s="98">
        <f t="shared" si="6"/>
        <v>48300929</v>
      </c>
      <c r="N21" s="99">
        <f t="shared" si="6"/>
        <v>48300929</v>
      </c>
      <c r="O21" s="9">
        <f>56813831/1000</f>
        <v>56813.830999999998</v>
      </c>
      <c r="P21" s="77">
        <f>O21-N21</f>
        <v>-48244115.169</v>
      </c>
    </row>
    <row r="22" spans="1:16" x14ac:dyDescent="0.25">
      <c r="A22"/>
      <c r="B22" s="1">
        <f>БС!D12-B21</f>
        <v>0</v>
      </c>
      <c r="C22" s="1">
        <f>БС!E12-C21</f>
        <v>0</v>
      </c>
      <c r="D22" s="1">
        <f>БС!F12-D21</f>
        <v>0</v>
      </c>
      <c r="E22" s="1">
        <f>БС!G12-E21</f>
        <v>0</v>
      </c>
      <c r="F22" s="1">
        <f>БС!H12-F21</f>
        <v>0</v>
      </c>
      <c r="G22" s="1">
        <f>БС!I12-G21</f>
        <v>0</v>
      </c>
      <c r="H22" s="1">
        <f>БС!J12-H21</f>
        <v>0</v>
      </c>
      <c r="I22" s="1">
        <f>БС!K12-I21</f>
        <v>0</v>
      </c>
      <c r="J22" s="1">
        <f>БС!L12-J21</f>
        <v>0</v>
      </c>
      <c r="K22" s="1">
        <f>БС!M12-K21</f>
        <v>0</v>
      </c>
      <c r="L22" s="1">
        <f>БС!N12-L21</f>
        <v>0</v>
      </c>
      <c r="M22" s="1">
        <f>БС!O12-M21</f>
        <v>0</v>
      </c>
    </row>
    <row r="23" spans="1:16" x14ac:dyDescent="0.25">
      <c r="A23"/>
    </row>
    <row r="24" spans="1:16" x14ac:dyDescent="0.25">
      <c r="A24"/>
    </row>
    <row r="25" spans="1:16" x14ac:dyDescent="0.25">
      <c r="A25"/>
    </row>
    <row r="26" spans="1:16" ht="45" x14ac:dyDescent="0.25">
      <c r="A26"/>
      <c r="I26" s="2" t="s">
        <v>235</v>
      </c>
      <c r="J26" s="68" t="s">
        <v>236</v>
      </c>
      <c r="K26" s="107">
        <f>N21/'1. BilansNaSostojba'!F16</f>
        <v>2.5405322286350871</v>
      </c>
    </row>
    <row r="27" spans="1:16" x14ac:dyDescent="0.25">
      <c r="A27"/>
    </row>
    <row r="28" spans="1:16" x14ac:dyDescent="0.25">
      <c r="A28"/>
    </row>
    <row r="29" spans="1:16" x14ac:dyDescent="0.25">
      <c r="A29"/>
    </row>
    <row r="30" spans="1:16" x14ac:dyDescent="0.25">
      <c r="A30"/>
    </row>
    <row r="31" spans="1:16" x14ac:dyDescent="0.25">
      <c r="A31"/>
    </row>
    <row r="32" spans="1:16"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sheetData>
  <sheetProtection algorithmName="SHA-512" hashValue="T750V8R0BHER0UugDm1v2qK2m7gXWElzXTgLaNExSbn2Hu7ZZaHWUUsubPUvjax4iNjgi7vfGPxUJwc3mNGBiQ==" saltValue="qcVEPawHqUg4RLYALNvD4Q==" spinCount="100000" sheet="1" objects="1" scenarios="1"/>
  <pageMargins left="0.7" right="0.7" top="0.75" bottom="0.75" header="0.3" footer="0.3"/>
  <pageSetup scale="5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tabColor rgb="FF92D050"/>
    <pageSetUpPr fitToPage="1"/>
  </sheetPr>
  <dimension ref="A2:G5861"/>
  <sheetViews>
    <sheetView showGridLines="0" zoomScale="110" zoomScaleNormal="110" workbookViewId="0">
      <selection activeCell="B11" sqref="B11"/>
    </sheetView>
  </sheetViews>
  <sheetFormatPr defaultRowHeight="15" x14ac:dyDescent="0.25"/>
  <cols>
    <col min="1" max="1" width="36.5703125" style="2" bestFit="1" customWidth="1"/>
    <col min="2" max="5" width="12.28515625" bestFit="1" customWidth="1"/>
    <col min="6" max="6" width="14.7109375" customWidth="1"/>
    <col min="7" max="7" width="11.140625" customWidth="1"/>
    <col min="8" max="9" width="11.140625" bestFit="1" customWidth="1"/>
    <col min="10" max="14" width="10.140625" bestFit="1" customWidth="1"/>
    <col min="15" max="15" width="11.28515625" bestFit="1" customWidth="1"/>
    <col min="16" max="17" width="11.140625" bestFit="1" customWidth="1"/>
    <col min="18" max="20" width="12.7109375" bestFit="1" customWidth="1"/>
    <col min="21" max="21" width="8.42578125" bestFit="1" customWidth="1"/>
    <col min="22" max="22" width="9.42578125" bestFit="1" customWidth="1"/>
    <col min="23" max="24" width="8.42578125" bestFit="1" customWidth="1"/>
    <col min="26" max="26" width="11.28515625" bestFit="1" customWidth="1"/>
  </cols>
  <sheetData>
    <row r="2" spans="1:7" x14ac:dyDescent="0.25">
      <c r="A2" s="40"/>
      <c r="F2" s="86" t="s">
        <v>327</v>
      </c>
    </row>
    <row r="3" spans="1:7" s="20" customFormat="1" ht="30" x14ac:dyDescent="0.25">
      <c r="A3" s="38" t="s">
        <v>216</v>
      </c>
      <c r="B3" s="70" t="str" vm="248">
        <f>CUBEMEMBER("ThisWorkbookDataModel","[Calendar].[Квартал].&amp;[2022-03-31T00:00:00]")</f>
        <v>3/31/2022</v>
      </c>
      <c r="C3" s="70" t="str" vm="247">
        <f>CUBEMEMBER("ThisWorkbookDataModel","[Calendar].[Квартал].&amp;[2022-06-30T00:00:00]")</f>
        <v>6/30/2022</v>
      </c>
      <c r="D3" s="70" t="str" vm="251">
        <f>CUBEMEMBER("ThisWorkbookDataModel","[Calendar].[Квартал].&amp;[2022-09-30T00:00:00]")</f>
        <v>9/30/2022</v>
      </c>
      <c r="E3" s="70" t="str" vm="249">
        <f>CUBEMEMBER("ThisWorkbookDataModel","[Calendar].[Квартал].&amp;[2022-12-31T00:00:00]")</f>
        <v>12/31/2022</v>
      </c>
      <c r="F3" s="79" t="s">
        <v>153</v>
      </c>
    </row>
    <row r="4" spans="1:7" s="20" customFormat="1" x14ac:dyDescent="0.25">
      <c r="A4" s="73" t="s">
        <v>217</v>
      </c>
      <c r="B4" s="90">
        <f>'1. BilansNaSostojba'!C8</f>
        <v>219379068</v>
      </c>
      <c r="C4" s="90">
        <f>'1. BilansNaSostojba'!D8</f>
        <v>136204720</v>
      </c>
      <c r="D4" s="90">
        <f>'1. BilansNaSostojba'!E8</f>
        <v>80685548</v>
      </c>
      <c r="E4" s="90">
        <f>'1. BilansNaSostojba'!F8</f>
        <v>53560245</v>
      </c>
      <c r="F4" s="91">
        <f>E4</f>
        <v>53560245</v>
      </c>
    </row>
    <row r="5" spans="1:7" x14ac:dyDescent="0.25">
      <c r="A5" s="49" t="s">
        <v>218</v>
      </c>
      <c r="B5" s="90">
        <f>'1. BilansNaSostojba'!C18</f>
        <v>97464083</v>
      </c>
      <c r="C5" s="90">
        <f>'1. BilansNaSostojba'!D18</f>
        <v>96285140</v>
      </c>
      <c r="D5" s="90">
        <f>'1. BilansNaSostojba'!E18</f>
        <v>95106197</v>
      </c>
      <c r="E5" s="90">
        <f>'1. BilansNaSostojba'!F18</f>
        <v>112349384</v>
      </c>
      <c r="F5" s="91">
        <f>E5</f>
        <v>112349384</v>
      </c>
      <c r="G5" s="106"/>
    </row>
    <row r="6" spans="1:7" x14ac:dyDescent="0.25">
      <c r="A6" s="49" t="s">
        <v>219</v>
      </c>
      <c r="B6" s="90">
        <f>'3.Specificirani prihodi'!C21</f>
        <v>201126807</v>
      </c>
      <c r="C6" s="90">
        <f>'3.Specificirani prihodi'!D21</f>
        <v>53868887</v>
      </c>
      <c r="D6" s="90">
        <f>'3.Specificirani prihodi'!E21</f>
        <v>52255726</v>
      </c>
      <c r="E6" s="90">
        <f>'3.Specificirani prihodi'!F21</f>
        <v>53809853</v>
      </c>
      <c r="F6" s="91">
        <f>SUM(B6:E6)</f>
        <v>361061273</v>
      </c>
    </row>
    <row r="7" spans="1:7" s="9" customFormat="1" x14ac:dyDescent="0.25">
      <c r="A7" s="49" t="s">
        <v>170</v>
      </c>
      <c r="B7" s="90">
        <f>'3.Specificirani prihodi'!C32</f>
        <v>202408750</v>
      </c>
      <c r="C7" s="90">
        <f>'3.Specificirani prihodi'!D32</f>
        <v>55050830</v>
      </c>
      <c r="D7" s="90">
        <f>'3.Specificirani prihodi'!E32</f>
        <v>53437669</v>
      </c>
      <c r="E7" s="90">
        <f>'3.Specificirani prihodi'!F32</f>
        <v>55581796</v>
      </c>
      <c r="F7" s="91">
        <f>SUM(B7:E7)</f>
        <v>366479045</v>
      </c>
    </row>
    <row r="8" spans="1:7" s="9" customFormat="1" x14ac:dyDescent="0.25">
      <c r="A8" s="49" t="s">
        <v>220</v>
      </c>
      <c r="B8" s="90">
        <f>'4.Specificirani rashodi'!C25</f>
        <v>91347639</v>
      </c>
      <c r="C8" s="90">
        <f>'4.Specificirani rashodi'!D25</f>
        <v>97067209</v>
      </c>
      <c r="D8" s="90">
        <f>'4.Specificirani rashodi'!E25</f>
        <v>86520310</v>
      </c>
      <c r="E8" s="90">
        <f>'4.Specificirani rashodi'!F25</f>
        <v>88803428</v>
      </c>
      <c r="F8" s="91">
        <f>SUM(B8:E8)</f>
        <v>363738586</v>
      </c>
    </row>
    <row r="9" spans="1:7" s="9" customFormat="1" x14ac:dyDescent="0.25">
      <c r="A9" s="49" t="s">
        <v>173</v>
      </c>
      <c r="B9" s="90">
        <f>'4.Specificirani rashodi'!C32</f>
        <v>91347639</v>
      </c>
      <c r="C9" s="90">
        <f>'4.Specificirani rashodi'!D32</f>
        <v>97067209</v>
      </c>
      <c r="D9" s="90">
        <f>'4.Specificirani rashodi'!E32</f>
        <v>86520310</v>
      </c>
      <c r="E9" s="90">
        <f>'4.Specificirani rashodi'!F32</f>
        <v>88888428</v>
      </c>
      <c r="F9" s="91">
        <f>SUM(B9:E9)</f>
        <v>363823586</v>
      </c>
      <c r="G9" s="77"/>
    </row>
    <row r="10" spans="1:7" s="9" customFormat="1" x14ac:dyDescent="0.25">
      <c r="A10" s="74" t="s">
        <v>221</v>
      </c>
      <c r="B10" s="90">
        <f>'4.Specificirani rashodi'!C34</f>
        <v>59985873</v>
      </c>
      <c r="C10" s="90">
        <f>'4.Specificirani rashodi'!D34</f>
        <v>59985873</v>
      </c>
      <c r="D10" s="90">
        <f>'4.Specificirani rashodi'!E34</f>
        <v>57181706</v>
      </c>
      <c r="E10" s="90">
        <f>'4.Specificirani rashodi'!F34</f>
        <v>57036390</v>
      </c>
      <c r="F10" s="91">
        <f>SUM(B10:E10)</f>
        <v>234189842</v>
      </c>
    </row>
    <row r="11" spans="1:7" x14ac:dyDescent="0.25">
      <c r="A11" s="49" t="s">
        <v>222</v>
      </c>
      <c r="B11" s="90">
        <f>'4.Specificirani rashodi'!C35</f>
        <v>334</v>
      </c>
      <c r="C11" s="90">
        <f>'4.Specificirani rashodi'!D35</f>
        <v>334</v>
      </c>
      <c r="D11" s="90">
        <f>'4.Specificirani rashodi'!E35</f>
        <v>319</v>
      </c>
      <c r="E11" s="90">
        <f>'4.Specificirani rashodi'!F35</f>
        <v>318</v>
      </c>
      <c r="F11" s="91">
        <f>AVERAGE(B11:E11)</f>
        <v>326.25</v>
      </c>
    </row>
    <row r="12" spans="1:7" x14ac:dyDescent="0.25">
      <c r="A12" s="49" t="s">
        <v>223</v>
      </c>
      <c r="B12" s="90">
        <v>0</v>
      </c>
      <c r="C12" s="90">
        <v>0</v>
      </c>
      <c r="D12" s="90">
        <v>0</v>
      </c>
      <c r="E12" s="90">
        <v>0</v>
      </c>
      <c r="F12" s="91">
        <f>SUM(B12:E12)</f>
        <v>0</v>
      </c>
    </row>
    <row r="13" spans="1:7" x14ac:dyDescent="0.25">
      <c r="A13" s="49" t="s">
        <v>191</v>
      </c>
      <c r="B13" s="90">
        <f>'1. BilansNaSostojba'!C25+'1. BilansNaSostojba'!C26</f>
        <v>121393152</v>
      </c>
      <c r="C13" s="90">
        <f>'1. BilansNaSostojba'!D25+'1. BilansNaSostojba'!D26</f>
        <v>121393152</v>
      </c>
      <c r="D13" s="90">
        <f>'1. BilansNaSostojba'!E25+'1. BilansNaSostojba'!E26</f>
        <v>121393152</v>
      </c>
      <c r="E13" s="90">
        <f>'1. BilansNaSostojba'!F25+'1. BilansNaSostojba'!F26</f>
        <v>121393152</v>
      </c>
      <c r="F13" s="91">
        <f t="shared" ref="F13:F18" si="0">E13</f>
        <v>121393152</v>
      </c>
    </row>
    <row r="14" spans="1:7" x14ac:dyDescent="0.25">
      <c r="A14" s="49" t="s">
        <v>224</v>
      </c>
      <c r="B14" s="90">
        <f>'1. BilansNaSostojba'!C23</f>
        <v>126859046</v>
      </c>
      <c r="C14" s="90">
        <f>'1. BilansNaSostojba'!D23</f>
        <v>126859046</v>
      </c>
      <c r="D14" s="90">
        <f>'1. BilansNaSostojba'!E23</f>
        <v>126859046</v>
      </c>
      <c r="E14" s="90">
        <f>'1. BilansNaSostojba'!F23</f>
        <v>126859046</v>
      </c>
      <c r="F14" s="91">
        <f t="shared" si="0"/>
        <v>126859046</v>
      </c>
    </row>
    <row r="15" spans="1:7" x14ac:dyDescent="0.25">
      <c r="A15" s="49" t="s">
        <v>225</v>
      </c>
      <c r="B15" s="90">
        <f>'1. BilansNaSostojba'!C24+'1. BilansNaSostojba'!C27</f>
        <v>446353153</v>
      </c>
      <c r="C15" s="90">
        <f>'1. BilansNaSostojba'!D24+'1. BilansNaSostojba'!D27</f>
        <v>404336774</v>
      </c>
      <c r="D15" s="90">
        <f>'1. BilansNaSostojba'!E24+'1. BilansNaSostojba'!E27</f>
        <v>370154133</v>
      </c>
      <c r="E15" s="90">
        <f>'1. BilansNaSostojba'!F24+'1. BilansNaSostojba'!F27</f>
        <v>336847501</v>
      </c>
      <c r="F15" s="91">
        <f t="shared" si="0"/>
        <v>336847501</v>
      </c>
    </row>
    <row r="16" spans="1:7" x14ac:dyDescent="0.25">
      <c r="A16" s="49" t="s">
        <v>226</v>
      </c>
      <c r="B16" s="90">
        <f>'1. BilansNaSostojba'!C9</f>
        <v>613060337</v>
      </c>
      <c r="C16" s="90">
        <f>'1. BilansNaSostojba'!D9</f>
        <v>613697474</v>
      </c>
      <c r="D16" s="90">
        <f>'1. BilansNaSostojba'!E9</f>
        <v>609666569</v>
      </c>
      <c r="E16" s="90">
        <f>'1. BilansNaSostojba'!F9</f>
        <v>611118476</v>
      </c>
      <c r="F16" s="91">
        <f t="shared" si="0"/>
        <v>611118476</v>
      </c>
    </row>
    <row r="17" spans="1:6" x14ac:dyDescent="0.25">
      <c r="A17" s="49" t="s">
        <v>227</v>
      </c>
      <c r="B17" s="90">
        <f>'1. BilansNaSostojba'!C10</f>
        <v>45709869</v>
      </c>
      <c r="C17" s="90">
        <f>'1. BilansNaSostojba'!D10</f>
        <v>85051758</v>
      </c>
      <c r="D17" s="90">
        <f>'1. BilansNaSostojba'!E10</f>
        <v>109240251</v>
      </c>
      <c r="E17" s="90">
        <f>'1. BilansNaSostojba'!F10</f>
        <v>118850202</v>
      </c>
      <c r="F17" s="91">
        <f t="shared" si="0"/>
        <v>118850202</v>
      </c>
    </row>
    <row r="18" spans="1:6" x14ac:dyDescent="0.25">
      <c r="A18" s="58" t="s">
        <v>228</v>
      </c>
      <c r="B18" s="100">
        <f>'1. BilansNaSostojba'!C11</f>
        <v>878149274</v>
      </c>
      <c r="C18" s="100">
        <f>'1. BilansNaSostojba'!D11</f>
        <v>834953952</v>
      </c>
      <c r="D18" s="100">
        <f>'1. BilansNaSostojba'!E11</f>
        <v>799592368</v>
      </c>
      <c r="E18" s="100">
        <f>'1. BilansNaSostojba'!F11</f>
        <v>783528923</v>
      </c>
      <c r="F18" s="103">
        <f t="shared" si="0"/>
        <v>783528923</v>
      </c>
    </row>
    <row r="19" spans="1:6" x14ac:dyDescent="0.25">
      <c r="A19"/>
    </row>
    <row r="20" spans="1:6" x14ac:dyDescent="0.25">
      <c r="A20"/>
    </row>
    <row r="21" spans="1:6" x14ac:dyDescent="0.25">
      <c r="A21"/>
    </row>
    <row r="22" spans="1:6" x14ac:dyDescent="0.25">
      <c r="A22"/>
    </row>
    <row r="23" spans="1:6" x14ac:dyDescent="0.25">
      <c r="A23"/>
    </row>
    <row r="24" spans="1:6" x14ac:dyDescent="0.25">
      <c r="A24"/>
    </row>
    <row r="25" spans="1:6" x14ac:dyDescent="0.25">
      <c r="A25"/>
    </row>
    <row r="26" spans="1:6" x14ac:dyDescent="0.25">
      <c r="A26"/>
    </row>
    <row r="27" spans="1:6" x14ac:dyDescent="0.25">
      <c r="A27"/>
    </row>
    <row r="28" spans="1:6" x14ac:dyDescent="0.25">
      <c r="A28"/>
    </row>
    <row r="29" spans="1:6" x14ac:dyDescent="0.25">
      <c r="A29"/>
    </row>
    <row r="30" spans="1:6" x14ac:dyDescent="0.25">
      <c r="A30"/>
    </row>
    <row r="31" spans="1:6" x14ac:dyDescent="0.25">
      <c r="A31"/>
    </row>
    <row r="32" spans="1:6"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sheetData>
  <sheetProtection algorithmName="SHA-512" hashValue="J7NAD/CSXpgTudnb0Zc26k9VuXqItcms6aqBR8pzg9ZoEwbl539J0HbVQlx+ccauk/xWYB2jr4SMJGnjc/zsfg==" saltValue="LUNQRNahD3XPuDv2xXa79g==" spinCount="100000" sheet="1" objects="1" scenarios="1"/>
  <pageMargins left="0.7" right="0.7" top="0.75" bottom="0.75" header="0.3" footer="0.3"/>
  <pageSetup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A1:P30"/>
  <sheetViews>
    <sheetView topLeftCell="A16" workbookViewId="0">
      <selection activeCell="N41" sqref="N41"/>
    </sheetView>
  </sheetViews>
  <sheetFormatPr defaultRowHeight="12.75" x14ac:dyDescent="0.2"/>
  <cols>
    <col min="1" max="1" width="10" style="195" bestFit="1" customWidth="1"/>
    <col min="2" max="2" width="11.140625" style="195" bestFit="1" customWidth="1"/>
    <col min="3" max="3" width="7" style="195" bestFit="1" customWidth="1"/>
    <col min="4" max="4" width="10.140625" style="195" bestFit="1" customWidth="1"/>
    <col min="5" max="5" width="7" style="195" bestFit="1" customWidth="1"/>
    <col min="6" max="6" width="13.7109375" style="195" customWidth="1"/>
    <col min="7" max="7" width="7" style="195" bestFit="1" customWidth="1"/>
    <col min="8" max="8" width="20.28515625" style="195" customWidth="1"/>
    <col min="9" max="9" width="7" style="195" bestFit="1" customWidth="1"/>
    <col min="10" max="10" width="16.85546875" style="195" customWidth="1"/>
    <col min="11" max="11" width="7" style="195" bestFit="1" customWidth="1"/>
    <col min="12" max="12" width="17.85546875" style="195" customWidth="1"/>
    <col min="13" max="13" width="7" style="195" bestFit="1" customWidth="1"/>
    <col min="14" max="255" width="9.140625" style="195"/>
    <col min="256" max="256" width="10" style="195" bestFit="1" customWidth="1"/>
    <col min="257" max="257" width="11.140625" style="195" bestFit="1" customWidth="1"/>
    <col min="258" max="258" width="7" style="195" bestFit="1" customWidth="1"/>
    <col min="259" max="259" width="10.140625" style="195" bestFit="1" customWidth="1"/>
    <col min="260" max="260" width="7" style="195" bestFit="1" customWidth="1"/>
    <col min="261" max="261" width="13.7109375" style="195" customWidth="1"/>
    <col min="262" max="262" width="7" style="195" bestFit="1" customWidth="1"/>
    <col min="263" max="263" width="20.28515625" style="195" customWidth="1"/>
    <col min="264" max="264" width="7" style="195" bestFit="1" customWidth="1"/>
    <col min="265" max="265" width="16.85546875" style="195" customWidth="1"/>
    <col min="266" max="266" width="7" style="195" bestFit="1" customWidth="1"/>
    <col min="267" max="267" width="17.85546875" style="195" customWidth="1"/>
    <col min="268" max="268" width="7" style="195" bestFit="1" customWidth="1"/>
    <col min="269" max="511" width="9.140625" style="195"/>
    <col min="512" max="512" width="10" style="195" bestFit="1" customWidth="1"/>
    <col min="513" max="513" width="11.140625" style="195" bestFit="1" customWidth="1"/>
    <col min="514" max="514" width="7" style="195" bestFit="1" customWidth="1"/>
    <col min="515" max="515" width="10.140625" style="195" bestFit="1" customWidth="1"/>
    <col min="516" max="516" width="7" style="195" bestFit="1" customWidth="1"/>
    <col min="517" max="517" width="13.7109375" style="195" customWidth="1"/>
    <col min="518" max="518" width="7" style="195" bestFit="1" customWidth="1"/>
    <col min="519" max="519" width="20.28515625" style="195" customWidth="1"/>
    <col min="520" max="520" width="7" style="195" bestFit="1" customWidth="1"/>
    <col min="521" max="521" width="16.85546875" style="195" customWidth="1"/>
    <col min="522" max="522" width="7" style="195" bestFit="1" customWidth="1"/>
    <col min="523" max="523" width="17.85546875" style="195" customWidth="1"/>
    <col min="524" max="524" width="7" style="195" bestFit="1" customWidth="1"/>
    <col min="525" max="767" width="9.140625" style="195"/>
    <col min="768" max="768" width="10" style="195" bestFit="1" customWidth="1"/>
    <col min="769" max="769" width="11.140625" style="195" bestFit="1" customWidth="1"/>
    <col min="770" max="770" width="7" style="195" bestFit="1" customWidth="1"/>
    <col min="771" max="771" width="10.140625" style="195" bestFit="1" customWidth="1"/>
    <col min="772" max="772" width="7" style="195" bestFit="1" customWidth="1"/>
    <col min="773" max="773" width="13.7109375" style="195" customWidth="1"/>
    <col min="774" max="774" width="7" style="195" bestFit="1" customWidth="1"/>
    <col min="775" max="775" width="20.28515625" style="195" customWidth="1"/>
    <col min="776" max="776" width="7" style="195" bestFit="1" customWidth="1"/>
    <col min="777" max="777" width="16.85546875" style="195" customWidth="1"/>
    <col min="778" max="778" width="7" style="195" bestFit="1" customWidth="1"/>
    <col min="779" max="779" width="17.85546875" style="195" customWidth="1"/>
    <col min="780" max="780" width="7" style="195" bestFit="1" customWidth="1"/>
    <col min="781" max="1023" width="9.140625" style="195"/>
    <col min="1024" max="1024" width="10" style="195" bestFit="1" customWidth="1"/>
    <col min="1025" max="1025" width="11.140625" style="195" bestFit="1" customWidth="1"/>
    <col min="1026" max="1026" width="7" style="195" bestFit="1" customWidth="1"/>
    <col min="1027" max="1027" width="10.140625" style="195" bestFit="1" customWidth="1"/>
    <col min="1028" max="1028" width="7" style="195" bestFit="1" customWidth="1"/>
    <col min="1029" max="1029" width="13.7109375" style="195" customWidth="1"/>
    <col min="1030" max="1030" width="7" style="195" bestFit="1" customWidth="1"/>
    <col min="1031" max="1031" width="20.28515625" style="195" customWidth="1"/>
    <col min="1032" max="1032" width="7" style="195" bestFit="1" customWidth="1"/>
    <col min="1033" max="1033" width="16.85546875" style="195" customWidth="1"/>
    <col min="1034" max="1034" width="7" style="195" bestFit="1" customWidth="1"/>
    <col min="1035" max="1035" width="17.85546875" style="195" customWidth="1"/>
    <col min="1036" max="1036" width="7" style="195" bestFit="1" customWidth="1"/>
    <col min="1037" max="1279" width="9.140625" style="195"/>
    <col min="1280" max="1280" width="10" style="195" bestFit="1" customWidth="1"/>
    <col min="1281" max="1281" width="11.140625" style="195" bestFit="1" customWidth="1"/>
    <col min="1282" max="1282" width="7" style="195" bestFit="1" customWidth="1"/>
    <col min="1283" max="1283" width="10.140625" style="195" bestFit="1" customWidth="1"/>
    <col min="1284" max="1284" width="7" style="195" bestFit="1" customWidth="1"/>
    <col min="1285" max="1285" width="13.7109375" style="195" customWidth="1"/>
    <col min="1286" max="1286" width="7" style="195" bestFit="1" customWidth="1"/>
    <col min="1287" max="1287" width="20.28515625" style="195" customWidth="1"/>
    <col min="1288" max="1288" width="7" style="195" bestFit="1" customWidth="1"/>
    <col min="1289" max="1289" width="16.85546875" style="195" customWidth="1"/>
    <col min="1290" max="1290" width="7" style="195" bestFit="1" customWidth="1"/>
    <col min="1291" max="1291" width="17.85546875" style="195" customWidth="1"/>
    <col min="1292" max="1292" width="7" style="195" bestFit="1" customWidth="1"/>
    <col min="1293" max="1535" width="9.140625" style="195"/>
    <col min="1536" max="1536" width="10" style="195" bestFit="1" customWidth="1"/>
    <col min="1537" max="1537" width="11.140625" style="195" bestFit="1" customWidth="1"/>
    <col min="1538" max="1538" width="7" style="195" bestFit="1" customWidth="1"/>
    <col min="1539" max="1539" width="10.140625" style="195" bestFit="1" customWidth="1"/>
    <col min="1540" max="1540" width="7" style="195" bestFit="1" customWidth="1"/>
    <col min="1541" max="1541" width="13.7109375" style="195" customWidth="1"/>
    <col min="1542" max="1542" width="7" style="195" bestFit="1" customWidth="1"/>
    <col min="1543" max="1543" width="20.28515625" style="195" customWidth="1"/>
    <col min="1544" max="1544" width="7" style="195" bestFit="1" customWidth="1"/>
    <col min="1545" max="1545" width="16.85546875" style="195" customWidth="1"/>
    <col min="1546" max="1546" width="7" style="195" bestFit="1" customWidth="1"/>
    <col min="1547" max="1547" width="17.85546875" style="195" customWidth="1"/>
    <col min="1548" max="1548" width="7" style="195" bestFit="1" customWidth="1"/>
    <col min="1549" max="1791" width="9.140625" style="195"/>
    <col min="1792" max="1792" width="10" style="195" bestFit="1" customWidth="1"/>
    <col min="1793" max="1793" width="11.140625" style="195" bestFit="1" customWidth="1"/>
    <col min="1794" max="1794" width="7" style="195" bestFit="1" customWidth="1"/>
    <col min="1795" max="1795" width="10.140625" style="195" bestFit="1" customWidth="1"/>
    <col min="1796" max="1796" width="7" style="195" bestFit="1" customWidth="1"/>
    <col min="1797" max="1797" width="13.7109375" style="195" customWidth="1"/>
    <col min="1798" max="1798" width="7" style="195" bestFit="1" customWidth="1"/>
    <col min="1799" max="1799" width="20.28515625" style="195" customWidth="1"/>
    <col min="1800" max="1800" width="7" style="195" bestFit="1" customWidth="1"/>
    <col min="1801" max="1801" width="16.85546875" style="195" customWidth="1"/>
    <col min="1802" max="1802" width="7" style="195" bestFit="1" customWidth="1"/>
    <col min="1803" max="1803" width="17.85546875" style="195" customWidth="1"/>
    <col min="1804" max="1804" width="7" style="195" bestFit="1" customWidth="1"/>
    <col min="1805" max="2047" width="9.140625" style="195"/>
    <col min="2048" max="2048" width="10" style="195" bestFit="1" customWidth="1"/>
    <col min="2049" max="2049" width="11.140625" style="195" bestFit="1" customWidth="1"/>
    <col min="2050" max="2050" width="7" style="195" bestFit="1" customWidth="1"/>
    <col min="2051" max="2051" width="10.140625" style="195" bestFit="1" customWidth="1"/>
    <col min="2052" max="2052" width="7" style="195" bestFit="1" customWidth="1"/>
    <col min="2053" max="2053" width="13.7109375" style="195" customWidth="1"/>
    <col min="2054" max="2054" width="7" style="195" bestFit="1" customWidth="1"/>
    <col min="2055" max="2055" width="20.28515625" style="195" customWidth="1"/>
    <col min="2056" max="2056" width="7" style="195" bestFit="1" customWidth="1"/>
    <col min="2057" max="2057" width="16.85546875" style="195" customWidth="1"/>
    <col min="2058" max="2058" width="7" style="195" bestFit="1" customWidth="1"/>
    <col min="2059" max="2059" width="17.85546875" style="195" customWidth="1"/>
    <col min="2060" max="2060" width="7" style="195" bestFit="1" customWidth="1"/>
    <col min="2061" max="2303" width="9.140625" style="195"/>
    <col min="2304" max="2304" width="10" style="195" bestFit="1" customWidth="1"/>
    <col min="2305" max="2305" width="11.140625" style="195" bestFit="1" customWidth="1"/>
    <col min="2306" max="2306" width="7" style="195" bestFit="1" customWidth="1"/>
    <col min="2307" max="2307" width="10.140625" style="195" bestFit="1" customWidth="1"/>
    <col min="2308" max="2308" width="7" style="195" bestFit="1" customWidth="1"/>
    <col min="2309" max="2309" width="13.7109375" style="195" customWidth="1"/>
    <col min="2310" max="2310" width="7" style="195" bestFit="1" customWidth="1"/>
    <col min="2311" max="2311" width="20.28515625" style="195" customWidth="1"/>
    <col min="2312" max="2312" width="7" style="195" bestFit="1" customWidth="1"/>
    <col min="2313" max="2313" width="16.85546875" style="195" customWidth="1"/>
    <col min="2314" max="2314" width="7" style="195" bestFit="1" customWidth="1"/>
    <col min="2315" max="2315" width="17.85546875" style="195" customWidth="1"/>
    <col min="2316" max="2316" width="7" style="195" bestFit="1" customWidth="1"/>
    <col min="2317" max="2559" width="9.140625" style="195"/>
    <col min="2560" max="2560" width="10" style="195" bestFit="1" customWidth="1"/>
    <col min="2561" max="2561" width="11.140625" style="195" bestFit="1" customWidth="1"/>
    <col min="2562" max="2562" width="7" style="195" bestFit="1" customWidth="1"/>
    <col min="2563" max="2563" width="10.140625" style="195" bestFit="1" customWidth="1"/>
    <col min="2564" max="2564" width="7" style="195" bestFit="1" customWidth="1"/>
    <col min="2565" max="2565" width="13.7109375" style="195" customWidth="1"/>
    <col min="2566" max="2566" width="7" style="195" bestFit="1" customWidth="1"/>
    <col min="2567" max="2567" width="20.28515625" style="195" customWidth="1"/>
    <col min="2568" max="2568" width="7" style="195" bestFit="1" customWidth="1"/>
    <col min="2569" max="2569" width="16.85546875" style="195" customWidth="1"/>
    <col min="2570" max="2570" width="7" style="195" bestFit="1" customWidth="1"/>
    <col min="2571" max="2571" width="17.85546875" style="195" customWidth="1"/>
    <col min="2572" max="2572" width="7" style="195" bestFit="1" customWidth="1"/>
    <col min="2573" max="2815" width="9.140625" style="195"/>
    <col min="2816" max="2816" width="10" style="195" bestFit="1" customWidth="1"/>
    <col min="2817" max="2817" width="11.140625" style="195" bestFit="1" customWidth="1"/>
    <col min="2818" max="2818" width="7" style="195" bestFit="1" customWidth="1"/>
    <col min="2819" max="2819" width="10.140625" style="195" bestFit="1" customWidth="1"/>
    <col min="2820" max="2820" width="7" style="195" bestFit="1" customWidth="1"/>
    <col min="2821" max="2821" width="13.7109375" style="195" customWidth="1"/>
    <col min="2822" max="2822" width="7" style="195" bestFit="1" customWidth="1"/>
    <col min="2823" max="2823" width="20.28515625" style="195" customWidth="1"/>
    <col min="2824" max="2824" width="7" style="195" bestFit="1" customWidth="1"/>
    <col min="2825" max="2825" width="16.85546875" style="195" customWidth="1"/>
    <col min="2826" max="2826" width="7" style="195" bestFit="1" customWidth="1"/>
    <col min="2827" max="2827" width="17.85546875" style="195" customWidth="1"/>
    <col min="2828" max="2828" width="7" style="195" bestFit="1" customWidth="1"/>
    <col min="2829" max="3071" width="9.140625" style="195"/>
    <col min="3072" max="3072" width="10" style="195" bestFit="1" customWidth="1"/>
    <col min="3073" max="3073" width="11.140625" style="195" bestFit="1" customWidth="1"/>
    <col min="3074" max="3074" width="7" style="195" bestFit="1" customWidth="1"/>
    <col min="3075" max="3075" width="10.140625" style="195" bestFit="1" customWidth="1"/>
    <col min="3076" max="3076" width="7" style="195" bestFit="1" customWidth="1"/>
    <col min="3077" max="3077" width="13.7109375" style="195" customWidth="1"/>
    <col min="3078" max="3078" width="7" style="195" bestFit="1" customWidth="1"/>
    <col min="3079" max="3079" width="20.28515625" style="195" customWidth="1"/>
    <col min="3080" max="3080" width="7" style="195" bestFit="1" customWidth="1"/>
    <col min="3081" max="3081" width="16.85546875" style="195" customWidth="1"/>
    <col min="3082" max="3082" width="7" style="195" bestFit="1" customWidth="1"/>
    <col min="3083" max="3083" width="17.85546875" style="195" customWidth="1"/>
    <col min="3084" max="3084" width="7" style="195" bestFit="1" customWidth="1"/>
    <col min="3085" max="3327" width="9.140625" style="195"/>
    <col min="3328" max="3328" width="10" style="195" bestFit="1" customWidth="1"/>
    <col min="3329" max="3329" width="11.140625" style="195" bestFit="1" customWidth="1"/>
    <col min="3330" max="3330" width="7" style="195" bestFit="1" customWidth="1"/>
    <col min="3331" max="3331" width="10.140625" style="195" bestFit="1" customWidth="1"/>
    <col min="3332" max="3332" width="7" style="195" bestFit="1" customWidth="1"/>
    <col min="3333" max="3333" width="13.7109375" style="195" customWidth="1"/>
    <col min="3334" max="3334" width="7" style="195" bestFit="1" customWidth="1"/>
    <col min="3335" max="3335" width="20.28515625" style="195" customWidth="1"/>
    <col min="3336" max="3336" width="7" style="195" bestFit="1" customWidth="1"/>
    <col min="3337" max="3337" width="16.85546875" style="195" customWidth="1"/>
    <col min="3338" max="3338" width="7" style="195" bestFit="1" customWidth="1"/>
    <col min="3339" max="3339" width="17.85546875" style="195" customWidth="1"/>
    <col min="3340" max="3340" width="7" style="195" bestFit="1" customWidth="1"/>
    <col min="3341" max="3583" width="9.140625" style="195"/>
    <col min="3584" max="3584" width="10" style="195" bestFit="1" customWidth="1"/>
    <col min="3585" max="3585" width="11.140625" style="195" bestFit="1" customWidth="1"/>
    <col min="3586" max="3586" width="7" style="195" bestFit="1" customWidth="1"/>
    <col min="3587" max="3587" width="10.140625" style="195" bestFit="1" customWidth="1"/>
    <col min="3588" max="3588" width="7" style="195" bestFit="1" customWidth="1"/>
    <col min="3589" max="3589" width="13.7109375" style="195" customWidth="1"/>
    <col min="3590" max="3590" width="7" style="195" bestFit="1" customWidth="1"/>
    <col min="3591" max="3591" width="20.28515625" style="195" customWidth="1"/>
    <col min="3592" max="3592" width="7" style="195" bestFit="1" customWidth="1"/>
    <col min="3593" max="3593" width="16.85546875" style="195" customWidth="1"/>
    <col min="3594" max="3594" width="7" style="195" bestFit="1" customWidth="1"/>
    <col min="3595" max="3595" width="17.85546875" style="195" customWidth="1"/>
    <col min="3596" max="3596" width="7" style="195" bestFit="1" customWidth="1"/>
    <col min="3597" max="3839" width="9.140625" style="195"/>
    <col min="3840" max="3840" width="10" style="195" bestFit="1" customWidth="1"/>
    <col min="3841" max="3841" width="11.140625" style="195" bestFit="1" customWidth="1"/>
    <col min="3842" max="3842" width="7" style="195" bestFit="1" customWidth="1"/>
    <col min="3843" max="3843" width="10.140625" style="195" bestFit="1" customWidth="1"/>
    <col min="3844" max="3844" width="7" style="195" bestFit="1" customWidth="1"/>
    <col min="3845" max="3845" width="13.7109375" style="195" customWidth="1"/>
    <col min="3846" max="3846" width="7" style="195" bestFit="1" customWidth="1"/>
    <col min="3847" max="3847" width="20.28515625" style="195" customWidth="1"/>
    <col min="3848" max="3848" width="7" style="195" bestFit="1" customWidth="1"/>
    <col min="3849" max="3849" width="16.85546875" style="195" customWidth="1"/>
    <col min="3850" max="3850" width="7" style="195" bestFit="1" customWidth="1"/>
    <col min="3851" max="3851" width="17.85546875" style="195" customWidth="1"/>
    <col min="3852" max="3852" width="7" style="195" bestFit="1" customWidth="1"/>
    <col min="3853" max="4095" width="9.140625" style="195"/>
    <col min="4096" max="4096" width="10" style="195" bestFit="1" customWidth="1"/>
    <col min="4097" max="4097" width="11.140625" style="195" bestFit="1" customWidth="1"/>
    <col min="4098" max="4098" width="7" style="195" bestFit="1" customWidth="1"/>
    <col min="4099" max="4099" width="10.140625" style="195" bestFit="1" customWidth="1"/>
    <col min="4100" max="4100" width="7" style="195" bestFit="1" customWidth="1"/>
    <col min="4101" max="4101" width="13.7109375" style="195" customWidth="1"/>
    <col min="4102" max="4102" width="7" style="195" bestFit="1" customWidth="1"/>
    <col min="4103" max="4103" width="20.28515625" style="195" customWidth="1"/>
    <col min="4104" max="4104" width="7" style="195" bestFit="1" customWidth="1"/>
    <col min="4105" max="4105" width="16.85546875" style="195" customWidth="1"/>
    <col min="4106" max="4106" width="7" style="195" bestFit="1" customWidth="1"/>
    <col min="4107" max="4107" width="17.85546875" style="195" customWidth="1"/>
    <col min="4108" max="4108" width="7" style="195" bestFit="1" customWidth="1"/>
    <col min="4109" max="4351" width="9.140625" style="195"/>
    <col min="4352" max="4352" width="10" style="195" bestFit="1" customWidth="1"/>
    <col min="4353" max="4353" width="11.140625" style="195" bestFit="1" customWidth="1"/>
    <col min="4354" max="4354" width="7" style="195" bestFit="1" customWidth="1"/>
    <col min="4355" max="4355" width="10.140625" style="195" bestFit="1" customWidth="1"/>
    <col min="4356" max="4356" width="7" style="195" bestFit="1" customWidth="1"/>
    <col min="4357" max="4357" width="13.7109375" style="195" customWidth="1"/>
    <col min="4358" max="4358" width="7" style="195" bestFit="1" customWidth="1"/>
    <col min="4359" max="4359" width="20.28515625" style="195" customWidth="1"/>
    <col min="4360" max="4360" width="7" style="195" bestFit="1" customWidth="1"/>
    <col min="4361" max="4361" width="16.85546875" style="195" customWidth="1"/>
    <col min="4362" max="4362" width="7" style="195" bestFit="1" customWidth="1"/>
    <col min="4363" max="4363" width="17.85546875" style="195" customWidth="1"/>
    <col min="4364" max="4364" width="7" style="195" bestFit="1" customWidth="1"/>
    <col min="4365" max="4607" width="9.140625" style="195"/>
    <col min="4608" max="4608" width="10" style="195" bestFit="1" customWidth="1"/>
    <col min="4609" max="4609" width="11.140625" style="195" bestFit="1" customWidth="1"/>
    <col min="4610" max="4610" width="7" style="195" bestFit="1" customWidth="1"/>
    <col min="4611" max="4611" width="10.140625" style="195" bestFit="1" customWidth="1"/>
    <col min="4612" max="4612" width="7" style="195" bestFit="1" customWidth="1"/>
    <col min="4613" max="4613" width="13.7109375" style="195" customWidth="1"/>
    <col min="4614" max="4614" width="7" style="195" bestFit="1" customWidth="1"/>
    <col min="4615" max="4615" width="20.28515625" style="195" customWidth="1"/>
    <col min="4616" max="4616" width="7" style="195" bestFit="1" customWidth="1"/>
    <col min="4617" max="4617" width="16.85546875" style="195" customWidth="1"/>
    <col min="4618" max="4618" width="7" style="195" bestFit="1" customWidth="1"/>
    <col min="4619" max="4619" width="17.85546875" style="195" customWidth="1"/>
    <col min="4620" max="4620" width="7" style="195" bestFit="1" customWidth="1"/>
    <col min="4621" max="4863" width="9.140625" style="195"/>
    <col min="4864" max="4864" width="10" style="195" bestFit="1" customWidth="1"/>
    <col min="4865" max="4865" width="11.140625" style="195" bestFit="1" customWidth="1"/>
    <col min="4866" max="4866" width="7" style="195" bestFit="1" customWidth="1"/>
    <col min="4867" max="4867" width="10.140625" style="195" bestFit="1" customWidth="1"/>
    <col min="4868" max="4868" width="7" style="195" bestFit="1" customWidth="1"/>
    <col min="4869" max="4869" width="13.7109375" style="195" customWidth="1"/>
    <col min="4870" max="4870" width="7" style="195" bestFit="1" customWidth="1"/>
    <col min="4871" max="4871" width="20.28515625" style="195" customWidth="1"/>
    <col min="4872" max="4872" width="7" style="195" bestFit="1" customWidth="1"/>
    <col min="4873" max="4873" width="16.85546875" style="195" customWidth="1"/>
    <col min="4874" max="4874" width="7" style="195" bestFit="1" customWidth="1"/>
    <col min="4875" max="4875" width="17.85546875" style="195" customWidth="1"/>
    <col min="4876" max="4876" width="7" style="195" bestFit="1" customWidth="1"/>
    <col min="4877" max="5119" width="9.140625" style="195"/>
    <col min="5120" max="5120" width="10" style="195" bestFit="1" customWidth="1"/>
    <col min="5121" max="5121" width="11.140625" style="195" bestFit="1" customWidth="1"/>
    <col min="5122" max="5122" width="7" style="195" bestFit="1" customWidth="1"/>
    <col min="5123" max="5123" width="10.140625" style="195" bestFit="1" customWidth="1"/>
    <col min="5124" max="5124" width="7" style="195" bestFit="1" customWidth="1"/>
    <col min="5125" max="5125" width="13.7109375" style="195" customWidth="1"/>
    <col min="5126" max="5126" width="7" style="195" bestFit="1" customWidth="1"/>
    <col min="5127" max="5127" width="20.28515625" style="195" customWidth="1"/>
    <col min="5128" max="5128" width="7" style="195" bestFit="1" customWidth="1"/>
    <col min="5129" max="5129" width="16.85546875" style="195" customWidth="1"/>
    <col min="5130" max="5130" width="7" style="195" bestFit="1" customWidth="1"/>
    <col min="5131" max="5131" width="17.85546875" style="195" customWidth="1"/>
    <col min="5132" max="5132" width="7" style="195" bestFit="1" customWidth="1"/>
    <col min="5133" max="5375" width="9.140625" style="195"/>
    <col min="5376" max="5376" width="10" style="195" bestFit="1" customWidth="1"/>
    <col min="5377" max="5377" width="11.140625" style="195" bestFit="1" customWidth="1"/>
    <col min="5378" max="5378" width="7" style="195" bestFit="1" customWidth="1"/>
    <col min="5379" max="5379" width="10.140625" style="195" bestFit="1" customWidth="1"/>
    <col min="5380" max="5380" width="7" style="195" bestFit="1" customWidth="1"/>
    <col min="5381" max="5381" width="13.7109375" style="195" customWidth="1"/>
    <col min="5382" max="5382" width="7" style="195" bestFit="1" customWidth="1"/>
    <col min="5383" max="5383" width="20.28515625" style="195" customWidth="1"/>
    <col min="5384" max="5384" width="7" style="195" bestFit="1" customWidth="1"/>
    <col min="5385" max="5385" width="16.85546875" style="195" customWidth="1"/>
    <col min="5386" max="5386" width="7" style="195" bestFit="1" customWidth="1"/>
    <col min="5387" max="5387" width="17.85546875" style="195" customWidth="1"/>
    <col min="5388" max="5388" width="7" style="195" bestFit="1" customWidth="1"/>
    <col min="5389" max="5631" width="9.140625" style="195"/>
    <col min="5632" max="5632" width="10" style="195" bestFit="1" customWidth="1"/>
    <col min="5633" max="5633" width="11.140625" style="195" bestFit="1" customWidth="1"/>
    <col min="5634" max="5634" width="7" style="195" bestFit="1" customWidth="1"/>
    <col min="5635" max="5635" width="10.140625" style="195" bestFit="1" customWidth="1"/>
    <col min="5636" max="5636" width="7" style="195" bestFit="1" customWidth="1"/>
    <col min="5637" max="5637" width="13.7109375" style="195" customWidth="1"/>
    <col min="5638" max="5638" width="7" style="195" bestFit="1" customWidth="1"/>
    <col min="5639" max="5639" width="20.28515625" style="195" customWidth="1"/>
    <col min="5640" max="5640" width="7" style="195" bestFit="1" customWidth="1"/>
    <col min="5641" max="5641" width="16.85546875" style="195" customWidth="1"/>
    <col min="5642" max="5642" width="7" style="195" bestFit="1" customWidth="1"/>
    <col min="5643" max="5643" width="17.85546875" style="195" customWidth="1"/>
    <col min="5644" max="5644" width="7" style="195" bestFit="1" customWidth="1"/>
    <col min="5645" max="5887" width="9.140625" style="195"/>
    <col min="5888" max="5888" width="10" style="195" bestFit="1" customWidth="1"/>
    <col min="5889" max="5889" width="11.140625" style="195" bestFit="1" customWidth="1"/>
    <col min="5890" max="5890" width="7" style="195" bestFit="1" customWidth="1"/>
    <col min="5891" max="5891" width="10.140625" style="195" bestFit="1" customWidth="1"/>
    <col min="5892" max="5892" width="7" style="195" bestFit="1" customWidth="1"/>
    <col min="5893" max="5893" width="13.7109375" style="195" customWidth="1"/>
    <col min="5894" max="5894" width="7" style="195" bestFit="1" customWidth="1"/>
    <col min="5895" max="5895" width="20.28515625" style="195" customWidth="1"/>
    <col min="5896" max="5896" width="7" style="195" bestFit="1" customWidth="1"/>
    <col min="5897" max="5897" width="16.85546875" style="195" customWidth="1"/>
    <col min="5898" max="5898" width="7" style="195" bestFit="1" customWidth="1"/>
    <col min="5899" max="5899" width="17.85546875" style="195" customWidth="1"/>
    <col min="5900" max="5900" width="7" style="195" bestFit="1" customWidth="1"/>
    <col min="5901" max="6143" width="9.140625" style="195"/>
    <col min="6144" max="6144" width="10" style="195" bestFit="1" customWidth="1"/>
    <col min="6145" max="6145" width="11.140625" style="195" bestFit="1" customWidth="1"/>
    <col min="6146" max="6146" width="7" style="195" bestFit="1" customWidth="1"/>
    <col min="6147" max="6147" width="10.140625" style="195" bestFit="1" customWidth="1"/>
    <col min="6148" max="6148" width="7" style="195" bestFit="1" customWidth="1"/>
    <col min="6149" max="6149" width="13.7109375" style="195" customWidth="1"/>
    <col min="6150" max="6150" width="7" style="195" bestFit="1" customWidth="1"/>
    <col min="6151" max="6151" width="20.28515625" style="195" customWidth="1"/>
    <col min="6152" max="6152" width="7" style="195" bestFit="1" customWidth="1"/>
    <col min="6153" max="6153" width="16.85546875" style="195" customWidth="1"/>
    <col min="6154" max="6154" width="7" style="195" bestFit="1" customWidth="1"/>
    <col min="6155" max="6155" width="17.85546875" style="195" customWidth="1"/>
    <col min="6156" max="6156" width="7" style="195" bestFit="1" customWidth="1"/>
    <col min="6157" max="6399" width="9.140625" style="195"/>
    <col min="6400" max="6400" width="10" style="195" bestFit="1" customWidth="1"/>
    <col min="6401" max="6401" width="11.140625" style="195" bestFit="1" customWidth="1"/>
    <col min="6402" max="6402" width="7" style="195" bestFit="1" customWidth="1"/>
    <col min="6403" max="6403" width="10.140625" style="195" bestFit="1" customWidth="1"/>
    <col min="6404" max="6404" width="7" style="195" bestFit="1" customWidth="1"/>
    <col min="6405" max="6405" width="13.7109375" style="195" customWidth="1"/>
    <col min="6406" max="6406" width="7" style="195" bestFit="1" customWidth="1"/>
    <col min="6407" max="6407" width="20.28515625" style="195" customWidth="1"/>
    <col min="6408" max="6408" width="7" style="195" bestFit="1" customWidth="1"/>
    <col min="6409" max="6409" width="16.85546875" style="195" customWidth="1"/>
    <col min="6410" max="6410" width="7" style="195" bestFit="1" customWidth="1"/>
    <col min="6411" max="6411" width="17.85546875" style="195" customWidth="1"/>
    <col min="6412" max="6412" width="7" style="195" bestFit="1" customWidth="1"/>
    <col min="6413" max="6655" width="9.140625" style="195"/>
    <col min="6656" max="6656" width="10" style="195" bestFit="1" customWidth="1"/>
    <col min="6657" max="6657" width="11.140625" style="195" bestFit="1" customWidth="1"/>
    <col min="6658" max="6658" width="7" style="195" bestFit="1" customWidth="1"/>
    <col min="6659" max="6659" width="10.140625" style="195" bestFit="1" customWidth="1"/>
    <col min="6660" max="6660" width="7" style="195" bestFit="1" customWidth="1"/>
    <col min="6661" max="6661" width="13.7109375" style="195" customWidth="1"/>
    <col min="6662" max="6662" width="7" style="195" bestFit="1" customWidth="1"/>
    <col min="6663" max="6663" width="20.28515625" style="195" customWidth="1"/>
    <col min="6664" max="6664" width="7" style="195" bestFit="1" customWidth="1"/>
    <col min="6665" max="6665" width="16.85546875" style="195" customWidth="1"/>
    <col min="6666" max="6666" width="7" style="195" bestFit="1" customWidth="1"/>
    <col min="6667" max="6667" width="17.85546875" style="195" customWidth="1"/>
    <col min="6668" max="6668" width="7" style="195" bestFit="1" customWidth="1"/>
    <col min="6669" max="6911" width="9.140625" style="195"/>
    <col min="6912" max="6912" width="10" style="195" bestFit="1" customWidth="1"/>
    <col min="6913" max="6913" width="11.140625" style="195" bestFit="1" customWidth="1"/>
    <col min="6914" max="6914" width="7" style="195" bestFit="1" customWidth="1"/>
    <col min="6915" max="6915" width="10.140625" style="195" bestFit="1" customWidth="1"/>
    <col min="6916" max="6916" width="7" style="195" bestFit="1" customWidth="1"/>
    <col min="6917" max="6917" width="13.7109375" style="195" customWidth="1"/>
    <col min="6918" max="6918" width="7" style="195" bestFit="1" customWidth="1"/>
    <col min="6919" max="6919" width="20.28515625" style="195" customWidth="1"/>
    <col min="6920" max="6920" width="7" style="195" bestFit="1" customWidth="1"/>
    <col min="6921" max="6921" width="16.85546875" style="195" customWidth="1"/>
    <col min="6922" max="6922" width="7" style="195" bestFit="1" customWidth="1"/>
    <col min="6923" max="6923" width="17.85546875" style="195" customWidth="1"/>
    <col min="6924" max="6924" width="7" style="195" bestFit="1" customWidth="1"/>
    <col min="6925" max="7167" width="9.140625" style="195"/>
    <col min="7168" max="7168" width="10" style="195" bestFit="1" customWidth="1"/>
    <col min="7169" max="7169" width="11.140625" style="195" bestFit="1" customWidth="1"/>
    <col min="7170" max="7170" width="7" style="195" bestFit="1" customWidth="1"/>
    <col min="7171" max="7171" width="10.140625" style="195" bestFit="1" customWidth="1"/>
    <col min="7172" max="7172" width="7" style="195" bestFit="1" customWidth="1"/>
    <col min="7173" max="7173" width="13.7109375" style="195" customWidth="1"/>
    <col min="7174" max="7174" width="7" style="195" bestFit="1" customWidth="1"/>
    <col min="7175" max="7175" width="20.28515625" style="195" customWidth="1"/>
    <col min="7176" max="7176" width="7" style="195" bestFit="1" customWidth="1"/>
    <col min="7177" max="7177" width="16.85546875" style="195" customWidth="1"/>
    <col min="7178" max="7178" width="7" style="195" bestFit="1" customWidth="1"/>
    <col min="7179" max="7179" width="17.85546875" style="195" customWidth="1"/>
    <col min="7180" max="7180" width="7" style="195" bestFit="1" customWidth="1"/>
    <col min="7181" max="7423" width="9.140625" style="195"/>
    <col min="7424" max="7424" width="10" style="195" bestFit="1" customWidth="1"/>
    <col min="7425" max="7425" width="11.140625" style="195" bestFit="1" customWidth="1"/>
    <col min="7426" max="7426" width="7" style="195" bestFit="1" customWidth="1"/>
    <col min="7427" max="7427" width="10.140625" style="195" bestFit="1" customWidth="1"/>
    <col min="7428" max="7428" width="7" style="195" bestFit="1" customWidth="1"/>
    <col min="7429" max="7429" width="13.7109375" style="195" customWidth="1"/>
    <col min="7430" max="7430" width="7" style="195" bestFit="1" customWidth="1"/>
    <col min="7431" max="7431" width="20.28515625" style="195" customWidth="1"/>
    <col min="7432" max="7432" width="7" style="195" bestFit="1" customWidth="1"/>
    <col min="7433" max="7433" width="16.85546875" style="195" customWidth="1"/>
    <col min="7434" max="7434" width="7" style="195" bestFit="1" customWidth="1"/>
    <col min="7435" max="7435" width="17.85546875" style="195" customWidth="1"/>
    <col min="7436" max="7436" width="7" style="195" bestFit="1" customWidth="1"/>
    <col min="7437" max="7679" width="9.140625" style="195"/>
    <col min="7680" max="7680" width="10" style="195" bestFit="1" customWidth="1"/>
    <col min="7681" max="7681" width="11.140625" style="195" bestFit="1" customWidth="1"/>
    <col min="7682" max="7682" width="7" style="195" bestFit="1" customWidth="1"/>
    <col min="7683" max="7683" width="10.140625" style="195" bestFit="1" customWidth="1"/>
    <col min="7684" max="7684" width="7" style="195" bestFit="1" customWidth="1"/>
    <col min="7685" max="7685" width="13.7109375" style="195" customWidth="1"/>
    <col min="7686" max="7686" width="7" style="195" bestFit="1" customWidth="1"/>
    <col min="7687" max="7687" width="20.28515625" style="195" customWidth="1"/>
    <col min="7688" max="7688" width="7" style="195" bestFit="1" customWidth="1"/>
    <col min="7689" max="7689" width="16.85546875" style="195" customWidth="1"/>
    <col min="7690" max="7690" width="7" style="195" bestFit="1" customWidth="1"/>
    <col min="7691" max="7691" width="17.85546875" style="195" customWidth="1"/>
    <col min="7692" max="7692" width="7" style="195" bestFit="1" customWidth="1"/>
    <col min="7693" max="7935" width="9.140625" style="195"/>
    <col min="7936" max="7936" width="10" style="195" bestFit="1" customWidth="1"/>
    <col min="7937" max="7937" width="11.140625" style="195" bestFit="1" customWidth="1"/>
    <col min="7938" max="7938" width="7" style="195" bestFit="1" customWidth="1"/>
    <col min="7939" max="7939" width="10.140625" style="195" bestFit="1" customWidth="1"/>
    <col min="7940" max="7940" width="7" style="195" bestFit="1" customWidth="1"/>
    <col min="7941" max="7941" width="13.7109375" style="195" customWidth="1"/>
    <col min="7942" max="7942" width="7" style="195" bestFit="1" customWidth="1"/>
    <col min="7943" max="7943" width="20.28515625" style="195" customWidth="1"/>
    <col min="7944" max="7944" width="7" style="195" bestFit="1" customWidth="1"/>
    <col min="7945" max="7945" width="16.85546875" style="195" customWidth="1"/>
    <col min="7946" max="7946" width="7" style="195" bestFit="1" customWidth="1"/>
    <col min="7947" max="7947" width="17.85546875" style="195" customWidth="1"/>
    <col min="7948" max="7948" width="7" style="195" bestFit="1" customWidth="1"/>
    <col min="7949" max="8191" width="9.140625" style="195"/>
    <col min="8192" max="8192" width="10" style="195" bestFit="1" customWidth="1"/>
    <col min="8193" max="8193" width="11.140625" style="195" bestFit="1" customWidth="1"/>
    <col min="8194" max="8194" width="7" style="195" bestFit="1" customWidth="1"/>
    <col min="8195" max="8195" width="10.140625" style="195" bestFit="1" customWidth="1"/>
    <col min="8196" max="8196" width="7" style="195" bestFit="1" customWidth="1"/>
    <col min="8197" max="8197" width="13.7109375" style="195" customWidth="1"/>
    <col min="8198" max="8198" width="7" style="195" bestFit="1" customWidth="1"/>
    <col min="8199" max="8199" width="20.28515625" style="195" customWidth="1"/>
    <col min="8200" max="8200" width="7" style="195" bestFit="1" customWidth="1"/>
    <col min="8201" max="8201" width="16.85546875" style="195" customWidth="1"/>
    <col min="8202" max="8202" width="7" style="195" bestFit="1" customWidth="1"/>
    <col min="8203" max="8203" width="17.85546875" style="195" customWidth="1"/>
    <col min="8204" max="8204" width="7" style="195" bestFit="1" customWidth="1"/>
    <col min="8205" max="8447" width="9.140625" style="195"/>
    <col min="8448" max="8448" width="10" style="195" bestFit="1" customWidth="1"/>
    <col min="8449" max="8449" width="11.140625" style="195" bestFit="1" customWidth="1"/>
    <col min="8450" max="8450" width="7" style="195" bestFit="1" customWidth="1"/>
    <col min="8451" max="8451" width="10.140625" style="195" bestFit="1" customWidth="1"/>
    <col min="8452" max="8452" width="7" style="195" bestFit="1" customWidth="1"/>
    <col min="8453" max="8453" width="13.7109375" style="195" customWidth="1"/>
    <col min="8454" max="8454" width="7" style="195" bestFit="1" customWidth="1"/>
    <col min="8455" max="8455" width="20.28515625" style="195" customWidth="1"/>
    <col min="8456" max="8456" width="7" style="195" bestFit="1" customWidth="1"/>
    <col min="8457" max="8457" width="16.85546875" style="195" customWidth="1"/>
    <col min="8458" max="8458" width="7" style="195" bestFit="1" customWidth="1"/>
    <col min="8459" max="8459" width="17.85546875" style="195" customWidth="1"/>
    <col min="8460" max="8460" width="7" style="195" bestFit="1" customWidth="1"/>
    <col min="8461" max="8703" width="9.140625" style="195"/>
    <col min="8704" max="8704" width="10" style="195" bestFit="1" customWidth="1"/>
    <col min="8705" max="8705" width="11.140625" style="195" bestFit="1" customWidth="1"/>
    <col min="8706" max="8706" width="7" style="195" bestFit="1" customWidth="1"/>
    <col min="8707" max="8707" width="10.140625" style="195" bestFit="1" customWidth="1"/>
    <col min="8708" max="8708" width="7" style="195" bestFit="1" customWidth="1"/>
    <col min="8709" max="8709" width="13.7109375" style="195" customWidth="1"/>
    <col min="8710" max="8710" width="7" style="195" bestFit="1" customWidth="1"/>
    <col min="8711" max="8711" width="20.28515625" style="195" customWidth="1"/>
    <col min="8712" max="8712" width="7" style="195" bestFit="1" customWidth="1"/>
    <col min="8713" max="8713" width="16.85546875" style="195" customWidth="1"/>
    <col min="8714" max="8714" width="7" style="195" bestFit="1" customWidth="1"/>
    <col min="8715" max="8715" width="17.85546875" style="195" customWidth="1"/>
    <col min="8716" max="8716" width="7" style="195" bestFit="1" customWidth="1"/>
    <col min="8717" max="8959" width="9.140625" style="195"/>
    <col min="8960" max="8960" width="10" style="195" bestFit="1" customWidth="1"/>
    <col min="8961" max="8961" width="11.140625" style="195" bestFit="1" customWidth="1"/>
    <col min="8962" max="8962" width="7" style="195" bestFit="1" customWidth="1"/>
    <col min="8963" max="8963" width="10.140625" style="195" bestFit="1" customWidth="1"/>
    <col min="8964" max="8964" width="7" style="195" bestFit="1" customWidth="1"/>
    <col min="8965" max="8965" width="13.7109375" style="195" customWidth="1"/>
    <col min="8966" max="8966" width="7" style="195" bestFit="1" customWidth="1"/>
    <col min="8967" max="8967" width="20.28515625" style="195" customWidth="1"/>
    <col min="8968" max="8968" width="7" style="195" bestFit="1" customWidth="1"/>
    <col min="8969" max="8969" width="16.85546875" style="195" customWidth="1"/>
    <col min="8970" max="8970" width="7" style="195" bestFit="1" customWidth="1"/>
    <col min="8971" max="8971" width="17.85546875" style="195" customWidth="1"/>
    <col min="8972" max="8972" width="7" style="195" bestFit="1" customWidth="1"/>
    <col min="8973" max="9215" width="9.140625" style="195"/>
    <col min="9216" max="9216" width="10" style="195" bestFit="1" customWidth="1"/>
    <col min="9217" max="9217" width="11.140625" style="195" bestFit="1" customWidth="1"/>
    <col min="9218" max="9218" width="7" style="195" bestFit="1" customWidth="1"/>
    <col min="9219" max="9219" width="10.140625" style="195" bestFit="1" customWidth="1"/>
    <col min="9220" max="9220" width="7" style="195" bestFit="1" customWidth="1"/>
    <col min="9221" max="9221" width="13.7109375" style="195" customWidth="1"/>
    <col min="9222" max="9222" width="7" style="195" bestFit="1" customWidth="1"/>
    <col min="9223" max="9223" width="20.28515625" style="195" customWidth="1"/>
    <col min="9224" max="9224" width="7" style="195" bestFit="1" customWidth="1"/>
    <col min="9225" max="9225" width="16.85546875" style="195" customWidth="1"/>
    <col min="9226" max="9226" width="7" style="195" bestFit="1" customWidth="1"/>
    <col min="9227" max="9227" width="17.85546875" style="195" customWidth="1"/>
    <col min="9228" max="9228" width="7" style="195" bestFit="1" customWidth="1"/>
    <col min="9229" max="9471" width="9.140625" style="195"/>
    <col min="9472" max="9472" width="10" style="195" bestFit="1" customWidth="1"/>
    <col min="9473" max="9473" width="11.140625" style="195" bestFit="1" customWidth="1"/>
    <col min="9474" max="9474" width="7" style="195" bestFit="1" customWidth="1"/>
    <col min="9475" max="9475" width="10.140625" style="195" bestFit="1" customWidth="1"/>
    <col min="9476" max="9476" width="7" style="195" bestFit="1" customWidth="1"/>
    <col min="9477" max="9477" width="13.7109375" style="195" customWidth="1"/>
    <col min="9478" max="9478" width="7" style="195" bestFit="1" customWidth="1"/>
    <col min="9479" max="9479" width="20.28515625" style="195" customWidth="1"/>
    <col min="9480" max="9480" width="7" style="195" bestFit="1" customWidth="1"/>
    <col min="9481" max="9481" width="16.85546875" style="195" customWidth="1"/>
    <col min="9482" max="9482" width="7" style="195" bestFit="1" customWidth="1"/>
    <col min="9483" max="9483" width="17.85546875" style="195" customWidth="1"/>
    <col min="9484" max="9484" width="7" style="195" bestFit="1" customWidth="1"/>
    <col min="9485" max="9727" width="9.140625" style="195"/>
    <col min="9728" max="9728" width="10" style="195" bestFit="1" customWidth="1"/>
    <col min="9729" max="9729" width="11.140625" style="195" bestFit="1" customWidth="1"/>
    <col min="9730" max="9730" width="7" style="195" bestFit="1" customWidth="1"/>
    <col min="9731" max="9731" width="10.140625" style="195" bestFit="1" customWidth="1"/>
    <col min="9732" max="9732" width="7" style="195" bestFit="1" customWidth="1"/>
    <col min="9733" max="9733" width="13.7109375" style="195" customWidth="1"/>
    <col min="9734" max="9734" width="7" style="195" bestFit="1" customWidth="1"/>
    <col min="9735" max="9735" width="20.28515625" style="195" customWidth="1"/>
    <col min="9736" max="9736" width="7" style="195" bestFit="1" customWidth="1"/>
    <col min="9737" max="9737" width="16.85546875" style="195" customWidth="1"/>
    <col min="9738" max="9738" width="7" style="195" bestFit="1" customWidth="1"/>
    <col min="9739" max="9739" width="17.85546875" style="195" customWidth="1"/>
    <col min="9740" max="9740" width="7" style="195" bestFit="1" customWidth="1"/>
    <col min="9741" max="9983" width="9.140625" style="195"/>
    <col min="9984" max="9984" width="10" style="195" bestFit="1" customWidth="1"/>
    <col min="9985" max="9985" width="11.140625" style="195" bestFit="1" customWidth="1"/>
    <col min="9986" max="9986" width="7" style="195" bestFit="1" customWidth="1"/>
    <col min="9987" max="9987" width="10.140625" style="195" bestFit="1" customWidth="1"/>
    <col min="9988" max="9988" width="7" style="195" bestFit="1" customWidth="1"/>
    <col min="9989" max="9989" width="13.7109375" style="195" customWidth="1"/>
    <col min="9990" max="9990" width="7" style="195" bestFit="1" customWidth="1"/>
    <col min="9991" max="9991" width="20.28515625" style="195" customWidth="1"/>
    <col min="9992" max="9992" width="7" style="195" bestFit="1" customWidth="1"/>
    <col min="9993" max="9993" width="16.85546875" style="195" customWidth="1"/>
    <col min="9994" max="9994" width="7" style="195" bestFit="1" customWidth="1"/>
    <col min="9995" max="9995" width="17.85546875" style="195" customWidth="1"/>
    <col min="9996" max="9996" width="7" style="195" bestFit="1" customWidth="1"/>
    <col min="9997" max="10239" width="9.140625" style="195"/>
    <col min="10240" max="10240" width="10" style="195" bestFit="1" customWidth="1"/>
    <col min="10241" max="10241" width="11.140625" style="195" bestFit="1" customWidth="1"/>
    <col min="10242" max="10242" width="7" style="195" bestFit="1" customWidth="1"/>
    <col min="10243" max="10243" width="10.140625" style="195" bestFit="1" customWidth="1"/>
    <col min="10244" max="10244" width="7" style="195" bestFit="1" customWidth="1"/>
    <col min="10245" max="10245" width="13.7109375" style="195" customWidth="1"/>
    <col min="10246" max="10246" width="7" style="195" bestFit="1" customWidth="1"/>
    <col min="10247" max="10247" width="20.28515625" style="195" customWidth="1"/>
    <col min="10248" max="10248" width="7" style="195" bestFit="1" customWidth="1"/>
    <col min="10249" max="10249" width="16.85546875" style="195" customWidth="1"/>
    <col min="10250" max="10250" width="7" style="195" bestFit="1" customWidth="1"/>
    <col min="10251" max="10251" width="17.85546875" style="195" customWidth="1"/>
    <col min="10252" max="10252" width="7" style="195" bestFit="1" customWidth="1"/>
    <col min="10253" max="10495" width="9.140625" style="195"/>
    <col min="10496" max="10496" width="10" style="195" bestFit="1" customWidth="1"/>
    <col min="10497" max="10497" width="11.140625" style="195" bestFit="1" customWidth="1"/>
    <col min="10498" max="10498" width="7" style="195" bestFit="1" customWidth="1"/>
    <col min="10499" max="10499" width="10.140625" style="195" bestFit="1" customWidth="1"/>
    <col min="10500" max="10500" width="7" style="195" bestFit="1" customWidth="1"/>
    <col min="10501" max="10501" width="13.7109375" style="195" customWidth="1"/>
    <col min="10502" max="10502" width="7" style="195" bestFit="1" customWidth="1"/>
    <col min="10503" max="10503" width="20.28515625" style="195" customWidth="1"/>
    <col min="10504" max="10504" width="7" style="195" bestFit="1" customWidth="1"/>
    <col min="10505" max="10505" width="16.85546875" style="195" customWidth="1"/>
    <col min="10506" max="10506" width="7" style="195" bestFit="1" customWidth="1"/>
    <col min="10507" max="10507" width="17.85546875" style="195" customWidth="1"/>
    <col min="10508" max="10508" width="7" style="195" bestFit="1" customWidth="1"/>
    <col min="10509" max="10751" width="9.140625" style="195"/>
    <col min="10752" max="10752" width="10" style="195" bestFit="1" customWidth="1"/>
    <col min="10753" max="10753" width="11.140625" style="195" bestFit="1" customWidth="1"/>
    <col min="10754" max="10754" width="7" style="195" bestFit="1" customWidth="1"/>
    <col min="10755" max="10755" width="10.140625" style="195" bestFit="1" customWidth="1"/>
    <col min="10756" max="10756" width="7" style="195" bestFit="1" customWidth="1"/>
    <col min="10757" max="10757" width="13.7109375" style="195" customWidth="1"/>
    <col min="10758" max="10758" width="7" style="195" bestFit="1" customWidth="1"/>
    <col min="10759" max="10759" width="20.28515625" style="195" customWidth="1"/>
    <col min="10760" max="10760" width="7" style="195" bestFit="1" customWidth="1"/>
    <col min="10761" max="10761" width="16.85546875" style="195" customWidth="1"/>
    <col min="10762" max="10762" width="7" style="195" bestFit="1" customWidth="1"/>
    <col min="10763" max="10763" width="17.85546875" style="195" customWidth="1"/>
    <col min="10764" max="10764" width="7" style="195" bestFit="1" customWidth="1"/>
    <col min="10765" max="11007" width="9.140625" style="195"/>
    <col min="11008" max="11008" width="10" style="195" bestFit="1" customWidth="1"/>
    <col min="11009" max="11009" width="11.140625" style="195" bestFit="1" customWidth="1"/>
    <col min="11010" max="11010" width="7" style="195" bestFit="1" customWidth="1"/>
    <col min="11011" max="11011" width="10.140625" style="195" bestFit="1" customWidth="1"/>
    <col min="11012" max="11012" width="7" style="195" bestFit="1" customWidth="1"/>
    <col min="11013" max="11013" width="13.7109375" style="195" customWidth="1"/>
    <col min="11014" max="11014" width="7" style="195" bestFit="1" customWidth="1"/>
    <col min="11015" max="11015" width="20.28515625" style="195" customWidth="1"/>
    <col min="11016" max="11016" width="7" style="195" bestFit="1" customWidth="1"/>
    <col min="11017" max="11017" width="16.85546875" style="195" customWidth="1"/>
    <col min="11018" max="11018" width="7" style="195" bestFit="1" customWidth="1"/>
    <col min="11019" max="11019" width="17.85546875" style="195" customWidth="1"/>
    <col min="11020" max="11020" width="7" style="195" bestFit="1" customWidth="1"/>
    <col min="11021" max="11263" width="9.140625" style="195"/>
    <col min="11264" max="11264" width="10" style="195" bestFit="1" customWidth="1"/>
    <col min="11265" max="11265" width="11.140625" style="195" bestFit="1" customWidth="1"/>
    <col min="11266" max="11266" width="7" style="195" bestFit="1" customWidth="1"/>
    <col min="11267" max="11267" width="10.140625" style="195" bestFit="1" customWidth="1"/>
    <col min="11268" max="11268" width="7" style="195" bestFit="1" customWidth="1"/>
    <col min="11269" max="11269" width="13.7109375" style="195" customWidth="1"/>
    <col min="11270" max="11270" width="7" style="195" bestFit="1" customWidth="1"/>
    <col min="11271" max="11271" width="20.28515625" style="195" customWidth="1"/>
    <col min="11272" max="11272" width="7" style="195" bestFit="1" customWidth="1"/>
    <col min="11273" max="11273" width="16.85546875" style="195" customWidth="1"/>
    <col min="11274" max="11274" width="7" style="195" bestFit="1" customWidth="1"/>
    <col min="11275" max="11275" width="17.85546875" style="195" customWidth="1"/>
    <col min="11276" max="11276" width="7" style="195" bestFit="1" customWidth="1"/>
    <col min="11277" max="11519" width="9.140625" style="195"/>
    <col min="11520" max="11520" width="10" style="195" bestFit="1" customWidth="1"/>
    <col min="11521" max="11521" width="11.140625" style="195" bestFit="1" customWidth="1"/>
    <col min="11522" max="11522" width="7" style="195" bestFit="1" customWidth="1"/>
    <col min="11523" max="11523" width="10.140625" style="195" bestFit="1" customWidth="1"/>
    <col min="11524" max="11524" width="7" style="195" bestFit="1" customWidth="1"/>
    <col min="11525" max="11525" width="13.7109375" style="195" customWidth="1"/>
    <col min="11526" max="11526" width="7" style="195" bestFit="1" customWidth="1"/>
    <col min="11527" max="11527" width="20.28515625" style="195" customWidth="1"/>
    <col min="11528" max="11528" width="7" style="195" bestFit="1" customWidth="1"/>
    <col min="11529" max="11529" width="16.85546875" style="195" customWidth="1"/>
    <col min="11530" max="11530" width="7" style="195" bestFit="1" customWidth="1"/>
    <col min="11531" max="11531" width="17.85546875" style="195" customWidth="1"/>
    <col min="11532" max="11532" width="7" style="195" bestFit="1" customWidth="1"/>
    <col min="11533" max="11775" width="9.140625" style="195"/>
    <col min="11776" max="11776" width="10" style="195" bestFit="1" customWidth="1"/>
    <col min="11777" max="11777" width="11.140625" style="195" bestFit="1" customWidth="1"/>
    <col min="11778" max="11778" width="7" style="195" bestFit="1" customWidth="1"/>
    <col min="11779" max="11779" width="10.140625" style="195" bestFit="1" customWidth="1"/>
    <col min="11780" max="11780" width="7" style="195" bestFit="1" customWidth="1"/>
    <col min="11781" max="11781" width="13.7109375" style="195" customWidth="1"/>
    <col min="11782" max="11782" width="7" style="195" bestFit="1" customWidth="1"/>
    <col min="11783" max="11783" width="20.28515625" style="195" customWidth="1"/>
    <col min="11784" max="11784" width="7" style="195" bestFit="1" customWidth="1"/>
    <col min="11785" max="11785" width="16.85546875" style="195" customWidth="1"/>
    <col min="11786" max="11786" width="7" style="195" bestFit="1" customWidth="1"/>
    <col min="11787" max="11787" width="17.85546875" style="195" customWidth="1"/>
    <col min="11788" max="11788" width="7" style="195" bestFit="1" customWidth="1"/>
    <col min="11789" max="12031" width="9.140625" style="195"/>
    <col min="12032" max="12032" width="10" style="195" bestFit="1" customWidth="1"/>
    <col min="12033" max="12033" width="11.140625" style="195" bestFit="1" customWidth="1"/>
    <col min="12034" max="12034" width="7" style="195" bestFit="1" customWidth="1"/>
    <col min="12035" max="12035" width="10.140625" style="195" bestFit="1" customWidth="1"/>
    <col min="12036" max="12036" width="7" style="195" bestFit="1" customWidth="1"/>
    <col min="12037" max="12037" width="13.7109375" style="195" customWidth="1"/>
    <col min="12038" max="12038" width="7" style="195" bestFit="1" customWidth="1"/>
    <col min="12039" max="12039" width="20.28515625" style="195" customWidth="1"/>
    <col min="12040" max="12040" width="7" style="195" bestFit="1" customWidth="1"/>
    <col min="12041" max="12041" width="16.85546875" style="195" customWidth="1"/>
    <col min="12042" max="12042" width="7" style="195" bestFit="1" customWidth="1"/>
    <col min="12043" max="12043" width="17.85546875" style="195" customWidth="1"/>
    <col min="12044" max="12044" width="7" style="195" bestFit="1" customWidth="1"/>
    <col min="12045" max="12287" width="9.140625" style="195"/>
    <col min="12288" max="12288" width="10" style="195" bestFit="1" customWidth="1"/>
    <col min="12289" max="12289" width="11.140625" style="195" bestFit="1" customWidth="1"/>
    <col min="12290" max="12290" width="7" style="195" bestFit="1" customWidth="1"/>
    <col min="12291" max="12291" width="10.140625" style="195" bestFit="1" customWidth="1"/>
    <col min="12292" max="12292" width="7" style="195" bestFit="1" customWidth="1"/>
    <col min="12293" max="12293" width="13.7109375" style="195" customWidth="1"/>
    <col min="12294" max="12294" width="7" style="195" bestFit="1" customWidth="1"/>
    <col min="12295" max="12295" width="20.28515625" style="195" customWidth="1"/>
    <col min="12296" max="12296" width="7" style="195" bestFit="1" customWidth="1"/>
    <col min="12297" max="12297" width="16.85546875" style="195" customWidth="1"/>
    <col min="12298" max="12298" width="7" style="195" bestFit="1" customWidth="1"/>
    <col min="12299" max="12299" width="17.85546875" style="195" customWidth="1"/>
    <col min="12300" max="12300" width="7" style="195" bestFit="1" customWidth="1"/>
    <col min="12301" max="12543" width="9.140625" style="195"/>
    <col min="12544" max="12544" width="10" style="195" bestFit="1" customWidth="1"/>
    <col min="12545" max="12545" width="11.140625" style="195" bestFit="1" customWidth="1"/>
    <col min="12546" max="12546" width="7" style="195" bestFit="1" customWidth="1"/>
    <col min="12547" max="12547" width="10.140625" style="195" bestFit="1" customWidth="1"/>
    <col min="12548" max="12548" width="7" style="195" bestFit="1" customWidth="1"/>
    <col min="12549" max="12549" width="13.7109375" style="195" customWidth="1"/>
    <col min="12550" max="12550" width="7" style="195" bestFit="1" customWidth="1"/>
    <col min="12551" max="12551" width="20.28515625" style="195" customWidth="1"/>
    <col min="12552" max="12552" width="7" style="195" bestFit="1" customWidth="1"/>
    <col min="12553" max="12553" width="16.85546875" style="195" customWidth="1"/>
    <col min="12554" max="12554" width="7" style="195" bestFit="1" customWidth="1"/>
    <col min="12555" max="12555" width="17.85546875" style="195" customWidth="1"/>
    <col min="12556" max="12556" width="7" style="195" bestFit="1" customWidth="1"/>
    <col min="12557" max="12799" width="9.140625" style="195"/>
    <col min="12800" max="12800" width="10" style="195" bestFit="1" customWidth="1"/>
    <col min="12801" max="12801" width="11.140625" style="195" bestFit="1" customWidth="1"/>
    <col min="12802" max="12802" width="7" style="195" bestFit="1" customWidth="1"/>
    <col min="12803" max="12803" width="10.140625" style="195" bestFit="1" customWidth="1"/>
    <col min="12804" max="12804" width="7" style="195" bestFit="1" customWidth="1"/>
    <col min="12805" max="12805" width="13.7109375" style="195" customWidth="1"/>
    <col min="12806" max="12806" width="7" style="195" bestFit="1" customWidth="1"/>
    <col min="12807" max="12807" width="20.28515625" style="195" customWidth="1"/>
    <col min="12808" max="12808" width="7" style="195" bestFit="1" customWidth="1"/>
    <col min="12809" max="12809" width="16.85546875" style="195" customWidth="1"/>
    <col min="12810" max="12810" width="7" style="195" bestFit="1" customWidth="1"/>
    <col min="12811" max="12811" width="17.85546875" style="195" customWidth="1"/>
    <col min="12812" max="12812" width="7" style="195" bestFit="1" customWidth="1"/>
    <col min="12813" max="13055" width="9.140625" style="195"/>
    <col min="13056" max="13056" width="10" style="195" bestFit="1" customWidth="1"/>
    <col min="13057" max="13057" width="11.140625" style="195" bestFit="1" customWidth="1"/>
    <col min="13058" max="13058" width="7" style="195" bestFit="1" customWidth="1"/>
    <col min="13059" max="13059" width="10.140625" style="195" bestFit="1" customWidth="1"/>
    <col min="13060" max="13060" width="7" style="195" bestFit="1" customWidth="1"/>
    <col min="13061" max="13061" width="13.7109375" style="195" customWidth="1"/>
    <col min="13062" max="13062" width="7" style="195" bestFit="1" customWidth="1"/>
    <col min="13063" max="13063" width="20.28515625" style="195" customWidth="1"/>
    <col min="13064" max="13064" width="7" style="195" bestFit="1" customWidth="1"/>
    <col min="13065" max="13065" width="16.85546875" style="195" customWidth="1"/>
    <col min="13066" max="13066" width="7" style="195" bestFit="1" customWidth="1"/>
    <col min="13067" max="13067" width="17.85546875" style="195" customWidth="1"/>
    <col min="13068" max="13068" width="7" style="195" bestFit="1" customWidth="1"/>
    <col min="13069" max="13311" width="9.140625" style="195"/>
    <col min="13312" max="13312" width="10" style="195" bestFit="1" customWidth="1"/>
    <col min="13313" max="13313" width="11.140625" style="195" bestFit="1" customWidth="1"/>
    <col min="13314" max="13314" width="7" style="195" bestFit="1" customWidth="1"/>
    <col min="13315" max="13315" width="10.140625" style="195" bestFit="1" customWidth="1"/>
    <col min="13316" max="13316" width="7" style="195" bestFit="1" customWidth="1"/>
    <col min="13317" max="13317" width="13.7109375" style="195" customWidth="1"/>
    <col min="13318" max="13318" width="7" style="195" bestFit="1" customWidth="1"/>
    <col min="13319" max="13319" width="20.28515625" style="195" customWidth="1"/>
    <col min="13320" max="13320" width="7" style="195" bestFit="1" customWidth="1"/>
    <col min="13321" max="13321" width="16.85546875" style="195" customWidth="1"/>
    <col min="13322" max="13322" width="7" style="195" bestFit="1" customWidth="1"/>
    <col min="13323" max="13323" width="17.85546875" style="195" customWidth="1"/>
    <col min="13324" max="13324" width="7" style="195" bestFit="1" customWidth="1"/>
    <col min="13325" max="13567" width="9.140625" style="195"/>
    <col min="13568" max="13568" width="10" style="195" bestFit="1" customWidth="1"/>
    <col min="13569" max="13569" width="11.140625" style="195" bestFit="1" customWidth="1"/>
    <col min="13570" max="13570" width="7" style="195" bestFit="1" customWidth="1"/>
    <col min="13571" max="13571" width="10.140625" style="195" bestFit="1" customWidth="1"/>
    <col min="13572" max="13572" width="7" style="195" bestFit="1" customWidth="1"/>
    <col min="13573" max="13573" width="13.7109375" style="195" customWidth="1"/>
    <col min="13574" max="13574" width="7" style="195" bestFit="1" customWidth="1"/>
    <col min="13575" max="13575" width="20.28515625" style="195" customWidth="1"/>
    <col min="13576" max="13576" width="7" style="195" bestFit="1" customWidth="1"/>
    <col min="13577" max="13577" width="16.85546875" style="195" customWidth="1"/>
    <col min="13578" max="13578" width="7" style="195" bestFit="1" customWidth="1"/>
    <col min="13579" max="13579" width="17.85546875" style="195" customWidth="1"/>
    <col min="13580" max="13580" width="7" style="195" bestFit="1" customWidth="1"/>
    <col min="13581" max="13823" width="9.140625" style="195"/>
    <col min="13824" max="13824" width="10" style="195" bestFit="1" customWidth="1"/>
    <col min="13825" max="13825" width="11.140625" style="195" bestFit="1" customWidth="1"/>
    <col min="13826" max="13826" width="7" style="195" bestFit="1" customWidth="1"/>
    <col min="13827" max="13827" width="10.140625" style="195" bestFit="1" customWidth="1"/>
    <col min="13828" max="13828" width="7" style="195" bestFit="1" customWidth="1"/>
    <col min="13829" max="13829" width="13.7109375" style="195" customWidth="1"/>
    <col min="13830" max="13830" width="7" style="195" bestFit="1" customWidth="1"/>
    <col min="13831" max="13831" width="20.28515625" style="195" customWidth="1"/>
    <col min="13832" max="13832" width="7" style="195" bestFit="1" customWidth="1"/>
    <col min="13833" max="13833" width="16.85546875" style="195" customWidth="1"/>
    <col min="13834" max="13834" width="7" style="195" bestFit="1" customWidth="1"/>
    <col min="13835" max="13835" width="17.85546875" style="195" customWidth="1"/>
    <col min="13836" max="13836" width="7" style="195" bestFit="1" customWidth="1"/>
    <col min="13837" max="14079" width="9.140625" style="195"/>
    <col min="14080" max="14080" width="10" style="195" bestFit="1" customWidth="1"/>
    <col min="14081" max="14081" width="11.140625" style="195" bestFit="1" customWidth="1"/>
    <col min="14082" max="14082" width="7" style="195" bestFit="1" customWidth="1"/>
    <col min="14083" max="14083" width="10.140625" style="195" bestFit="1" customWidth="1"/>
    <col min="14084" max="14084" width="7" style="195" bestFit="1" customWidth="1"/>
    <col min="14085" max="14085" width="13.7109375" style="195" customWidth="1"/>
    <col min="14086" max="14086" width="7" style="195" bestFit="1" customWidth="1"/>
    <col min="14087" max="14087" width="20.28515625" style="195" customWidth="1"/>
    <col min="14088" max="14088" width="7" style="195" bestFit="1" customWidth="1"/>
    <col min="14089" max="14089" width="16.85546875" style="195" customWidth="1"/>
    <col min="14090" max="14090" width="7" style="195" bestFit="1" customWidth="1"/>
    <col min="14091" max="14091" width="17.85546875" style="195" customWidth="1"/>
    <col min="14092" max="14092" width="7" style="195" bestFit="1" customWidth="1"/>
    <col min="14093" max="14335" width="9.140625" style="195"/>
    <col min="14336" max="14336" width="10" style="195" bestFit="1" customWidth="1"/>
    <col min="14337" max="14337" width="11.140625" style="195" bestFit="1" customWidth="1"/>
    <col min="14338" max="14338" width="7" style="195" bestFit="1" customWidth="1"/>
    <col min="14339" max="14339" width="10.140625" style="195" bestFit="1" customWidth="1"/>
    <col min="14340" max="14340" width="7" style="195" bestFit="1" customWidth="1"/>
    <col min="14341" max="14341" width="13.7109375" style="195" customWidth="1"/>
    <col min="14342" max="14342" width="7" style="195" bestFit="1" customWidth="1"/>
    <col min="14343" max="14343" width="20.28515625" style="195" customWidth="1"/>
    <col min="14344" max="14344" width="7" style="195" bestFit="1" customWidth="1"/>
    <col min="14345" max="14345" width="16.85546875" style="195" customWidth="1"/>
    <col min="14346" max="14346" width="7" style="195" bestFit="1" customWidth="1"/>
    <col min="14347" max="14347" width="17.85546875" style="195" customWidth="1"/>
    <col min="14348" max="14348" width="7" style="195" bestFit="1" customWidth="1"/>
    <col min="14349" max="14591" width="9.140625" style="195"/>
    <col min="14592" max="14592" width="10" style="195" bestFit="1" customWidth="1"/>
    <col min="14593" max="14593" width="11.140625" style="195" bestFit="1" customWidth="1"/>
    <col min="14594" max="14594" width="7" style="195" bestFit="1" customWidth="1"/>
    <col min="14595" max="14595" width="10.140625" style="195" bestFit="1" customWidth="1"/>
    <col min="14596" max="14596" width="7" style="195" bestFit="1" customWidth="1"/>
    <col min="14597" max="14597" width="13.7109375" style="195" customWidth="1"/>
    <col min="14598" max="14598" width="7" style="195" bestFit="1" customWidth="1"/>
    <col min="14599" max="14599" width="20.28515625" style="195" customWidth="1"/>
    <col min="14600" max="14600" width="7" style="195" bestFit="1" customWidth="1"/>
    <col min="14601" max="14601" width="16.85546875" style="195" customWidth="1"/>
    <col min="14602" max="14602" width="7" style="195" bestFit="1" customWidth="1"/>
    <col min="14603" max="14603" width="17.85546875" style="195" customWidth="1"/>
    <col min="14604" max="14604" width="7" style="195" bestFit="1" customWidth="1"/>
    <col min="14605" max="14847" width="9.140625" style="195"/>
    <col min="14848" max="14848" width="10" style="195" bestFit="1" customWidth="1"/>
    <col min="14849" max="14849" width="11.140625" style="195" bestFit="1" customWidth="1"/>
    <col min="14850" max="14850" width="7" style="195" bestFit="1" customWidth="1"/>
    <col min="14851" max="14851" width="10.140625" style="195" bestFit="1" customWidth="1"/>
    <col min="14852" max="14852" width="7" style="195" bestFit="1" customWidth="1"/>
    <col min="14853" max="14853" width="13.7109375" style="195" customWidth="1"/>
    <col min="14854" max="14854" width="7" style="195" bestFit="1" customWidth="1"/>
    <col min="14855" max="14855" width="20.28515625" style="195" customWidth="1"/>
    <col min="14856" max="14856" width="7" style="195" bestFit="1" customWidth="1"/>
    <col min="14857" max="14857" width="16.85546875" style="195" customWidth="1"/>
    <col min="14858" max="14858" width="7" style="195" bestFit="1" customWidth="1"/>
    <col min="14859" max="14859" width="17.85546875" style="195" customWidth="1"/>
    <col min="14860" max="14860" width="7" style="195" bestFit="1" customWidth="1"/>
    <col min="14861" max="15103" width="9.140625" style="195"/>
    <col min="15104" max="15104" width="10" style="195" bestFit="1" customWidth="1"/>
    <col min="15105" max="15105" width="11.140625" style="195" bestFit="1" customWidth="1"/>
    <col min="15106" max="15106" width="7" style="195" bestFit="1" customWidth="1"/>
    <col min="15107" max="15107" width="10.140625" style="195" bestFit="1" customWidth="1"/>
    <col min="15108" max="15108" width="7" style="195" bestFit="1" customWidth="1"/>
    <col min="15109" max="15109" width="13.7109375" style="195" customWidth="1"/>
    <col min="15110" max="15110" width="7" style="195" bestFit="1" customWidth="1"/>
    <col min="15111" max="15111" width="20.28515625" style="195" customWidth="1"/>
    <col min="15112" max="15112" width="7" style="195" bestFit="1" customWidth="1"/>
    <col min="15113" max="15113" width="16.85546875" style="195" customWidth="1"/>
    <col min="15114" max="15114" width="7" style="195" bestFit="1" customWidth="1"/>
    <col min="15115" max="15115" width="17.85546875" style="195" customWidth="1"/>
    <col min="15116" max="15116" width="7" style="195" bestFit="1" customWidth="1"/>
    <col min="15117" max="15359" width="9.140625" style="195"/>
    <col min="15360" max="15360" width="10" style="195" bestFit="1" customWidth="1"/>
    <col min="15361" max="15361" width="11.140625" style="195" bestFit="1" customWidth="1"/>
    <col min="15362" max="15362" width="7" style="195" bestFit="1" customWidth="1"/>
    <col min="15363" max="15363" width="10.140625" style="195" bestFit="1" customWidth="1"/>
    <col min="15364" max="15364" width="7" style="195" bestFit="1" customWidth="1"/>
    <col min="15365" max="15365" width="13.7109375" style="195" customWidth="1"/>
    <col min="15366" max="15366" width="7" style="195" bestFit="1" customWidth="1"/>
    <col min="15367" max="15367" width="20.28515625" style="195" customWidth="1"/>
    <col min="15368" max="15368" width="7" style="195" bestFit="1" customWidth="1"/>
    <col min="15369" max="15369" width="16.85546875" style="195" customWidth="1"/>
    <col min="15370" max="15370" width="7" style="195" bestFit="1" customWidth="1"/>
    <col min="15371" max="15371" width="17.85546875" style="195" customWidth="1"/>
    <col min="15372" max="15372" width="7" style="195" bestFit="1" customWidth="1"/>
    <col min="15373" max="15615" width="9.140625" style="195"/>
    <col min="15616" max="15616" width="10" style="195" bestFit="1" customWidth="1"/>
    <col min="15617" max="15617" width="11.140625" style="195" bestFit="1" customWidth="1"/>
    <col min="15618" max="15618" width="7" style="195" bestFit="1" customWidth="1"/>
    <col min="15619" max="15619" width="10.140625" style="195" bestFit="1" customWidth="1"/>
    <col min="15620" max="15620" width="7" style="195" bestFit="1" customWidth="1"/>
    <col min="15621" max="15621" width="13.7109375" style="195" customWidth="1"/>
    <col min="15622" max="15622" width="7" style="195" bestFit="1" customWidth="1"/>
    <col min="15623" max="15623" width="20.28515625" style="195" customWidth="1"/>
    <col min="15624" max="15624" width="7" style="195" bestFit="1" customWidth="1"/>
    <col min="15625" max="15625" width="16.85546875" style="195" customWidth="1"/>
    <col min="15626" max="15626" width="7" style="195" bestFit="1" customWidth="1"/>
    <col min="15627" max="15627" width="17.85546875" style="195" customWidth="1"/>
    <col min="15628" max="15628" width="7" style="195" bestFit="1" customWidth="1"/>
    <col min="15629" max="15871" width="9.140625" style="195"/>
    <col min="15872" max="15872" width="10" style="195" bestFit="1" customWidth="1"/>
    <col min="15873" max="15873" width="11.140625" style="195" bestFit="1" customWidth="1"/>
    <col min="15874" max="15874" width="7" style="195" bestFit="1" customWidth="1"/>
    <col min="15875" max="15875" width="10.140625" style="195" bestFit="1" customWidth="1"/>
    <col min="15876" max="15876" width="7" style="195" bestFit="1" customWidth="1"/>
    <col min="15877" max="15877" width="13.7109375" style="195" customWidth="1"/>
    <col min="15878" max="15878" width="7" style="195" bestFit="1" customWidth="1"/>
    <col min="15879" max="15879" width="20.28515625" style="195" customWidth="1"/>
    <col min="15880" max="15880" width="7" style="195" bestFit="1" customWidth="1"/>
    <col min="15881" max="15881" width="16.85546875" style="195" customWidth="1"/>
    <col min="15882" max="15882" width="7" style="195" bestFit="1" customWidth="1"/>
    <col min="15883" max="15883" width="17.85546875" style="195" customWidth="1"/>
    <col min="15884" max="15884" width="7" style="195" bestFit="1" customWidth="1"/>
    <col min="15885" max="16127" width="9.140625" style="195"/>
    <col min="16128" max="16128" width="10" style="195" bestFit="1" customWidth="1"/>
    <col min="16129" max="16129" width="11.140625" style="195" bestFit="1" customWidth="1"/>
    <col min="16130" max="16130" width="7" style="195" bestFit="1" customWidth="1"/>
    <col min="16131" max="16131" width="10.140625" style="195" bestFit="1" customWidth="1"/>
    <col min="16132" max="16132" width="7" style="195" bestFit="1" customWidth="1"/>
    <col min="16133" max="16133" width="13.7109375" style="195" customWidth="1"/>
    <col min="16134" max="16134" width="7" style="195" bestFit="1" customWidth="1"/>
    <col min="16135" max="16135" width="20.28515625" style="195" customWidth="1"/>
    <col min="16136" max="16136" width="7" style="195" bestFit="1" customWidth="1"/>
    <col min="16137" max="16137" width="16.85546875" style="195" customWidth="1"/>
    <col min="16138" max="16138" width="7" style="195" bestFit="1" customWidth="1"/>
    <col min="16139" max="16139" width="17.85546875" style="195" customWidth="1"/>
    <col min="16140" max="16140" width="7" style="195" bestFit="1" customWidth="1"/>
    <col min="16141" max="16384" width="9.140625" style="195"/>
  </cols>
  <sheetData>
    <row r="1" spans="1:16" x14ac:dyDescent="0.2">
      <c r="A1" s="414" t="s">
        <v>334</v>
      </c>
      <c r="B1" s="414"/>
      <c r="C1" s="414"/>
      <c r="D1" s="414"/>
      <c r="E1" s="414"/>
      <c r="F1" s="414"/>
      <c r="G1" s="414"/>
      <c r="H1" s="414"/>
      <c r="I1" s="414"/>
      <c r="J1" s="414"/>
      <c r="K1" s="414"/>
      <c r="L1" s="414"/>
      <c r="M1" s="414"/>
    </row>
    <row r="2" spans="1:16" x14ac:dyDescent="0.2">
      <c r="A2" s="414" t="s">
        <v>335</v>
      </c>
      <c r="B2" s="414"/>
      <c r="C2" s="414"/>
      <c r="D2" s="414"/>
      <c r="E2" s="414"/>
      <c r="F2" s="414"/>
      <c r="G2" s="414"/>
      <c r="H2" s="414"/>
      <c r="I2" s="414"/>
      <c r="J2" s="414"/>
      <c r="K2" s="414"/>
      <c r="L2" s="414"/>
      <c r="M2" s="414"/>
    </row>
    <row r="3" spans="1:16" customFormat="1" ht="15" x14ac:dyDescent="0.25">
      <c r="A3" s="415">
        <v>2022</v>
      </c>
      <c r="B3" s="415"/>
      <c r="C3" s="415"/>
      <c r="D3" s="415"/>
      <c r="E3" s="415"/>
      <c r="F3" s="415"/>
      <c r="G3" s="415"/>
      <c r="H3" s="415"/>
      <c r="I3" s="415"/>
      <c r="J3" s="415"/>
      <c r="K3" s="415"/>
      <c r="L3" s="415"/>
      <c r="M3" s="415"/>
    </row>
    <row r="4" spans="1:16" customFormat="1" ht="15" x14ac:dyDescent="0.25">
      <c r="A4" s="415" t="s">
        <v>336</v>
      </c>
      <c r="B4" s="415"/>
      <c r="C4" s="415"/>
      <c r="D4" s="415"/>
      <c r="E4" s="415"/>
      <c r="F4" s="415"/>
      <c r="G4" s="415"/>
      <c r="H4" s="415"/>
      <c r="I4" s="415"/>
      <c r="J4" s="415"/>
      <c r="K4" s="415"/>
      <c r="L4" s="415"/>
      <c r="M4" s="415"/>
    </row>
    <row r="5" spans="1:16" customFormat="1" ht="15.75" thickBot="1" x14ac:dyDescent="0.3">
      <c r="A5" s="227"/>
      <c r="B5" s="227"/>
      <c r="C5" s="227"/>
      <c r="D5" s="227"/>
      <c r="E5" s="227"/>
      <c r="F5" s="227"/>
      <c r="G5" s="227"/>
      <c r="H5" s="227"/>
      <c r="I5" s="227"/>
      <c r="J5" s="227"/>
      <c r="K5" s="227"/>
      <c r="L5" s="227"/>
      <c r="M5" s="227"/>
    </row>
    <row r="6" spans="1:16" customFormat="1" ht="15.75" thickTop="1" x14ac:dyDescent="0.25">
      <c r="A6" s="416" t="s">
        <v>5</v>
      </c>
      <c r="B6" s="419" t="s">
        <v>337</v>
      </c>
      <c r="C6" s="420"/>
      <c r="D6" s="420"/>
      <c r="E6" s="421"/>
      <c r="F6" s="419" t="s">
        <v>338</v>
      </c>
      <c r="G6" s="421"/>
      <c r="H6" s="422" t="s">
        <v>339</v>
      </c>
      <c r="I6" s="423"/>
      <c r="J6" s="423"/>
      <c r="K6" s="424"/>
      <c r="L6" s="420" t="s">
        <v>340</v>
      </c>
      <c r="M6" s="426"/>
    </row>
    <row r="7" spans="1:16" customFormat="1" ht="15.75" thickBot="1" x14ac:dyDescent="0.3">
      <c r="A7" s="417"/>
      <c r="B7" s="402" t="s">
        <v>341</v>
      </c>
      <c r="C7" s="406"/>
      <c r="D7" s="406"/>
      <c r="E7" s="403"/>
      <c r="F7" s="402" t="s">
        <v>342</v>
      </c>
      <c r="G7" s="403"/>
      <c r="H7" s="410"/>
      <c r="I7" s="425"/>
      <c r="J7" s="425"/>
      <c r="K7" s="411"/>
      <c r="L7" s="406" t="s">
        <v>342</v>
      </c>
      <c r="M7" s="407"/>
    </row>
    <row r="8" spans="1:16" customFormat="1" ht="15" x14ac:dyDescent="0.25">
      <c r="A8" s="417"/>
      <c r="B8" s="427" t="s">
        <v>343</v>
      </c>
      <c r="C8" s="428"/>
      <c r="D8" s="427" t="s">
        <v>344</v>
      </c>
      <c r="E8" s="428"/>
      <c r="F8" s="402" t="s">
        <v>345</v>
      </c>
      <c r="G8" s="403"/>
      <c r="H8" s="408" t="s">
        <v>346</v>
      </c>
      <c r="I8" s="429"/>
      <c r="J8" s="408" t="s">
        <v>347</v>
      </c>
      <c r="K8" s="409"/>
      <c r="L8" s="406" t="s">
        <v>345</v>
      </c>
      <c r="M8" s="407"/>
    </row>
    <row r="9" spans="1:16" customFormat="1" ht="15" x14ac:dyDescent="0.25">
      <c r="A9" s="417"/>
      <c r="B9" s="402"/>
      <c r="C9" s="403"/>
      <c r="D9" s="402"/>
      <c r="E9" s="403"/>
      <c r="F9" s="402" t="s">
        <v>348</v>
      </c>
      <c r="G9" s="403"/>
      <c r="H9" s="410"/>
      <c r="I9" s="425"/>
      <c r="J9" s="410"/>
      <c r="K9" s="411"/>
      <c r="L9" s="406" t="s">
        <v>348</v>
      </c>
      <c r="M9" s="407"/>
    </row>
    <row r="10" spans="1:16" customFormat="1" ht="15" x14ac:dyDescent="0.25">
      <c r="A10" s="417"/>
      <c r="B10" s="402" t="s">
        <v>349</v>
      </c>
      <c r="C10" s="403"/>
      <c r="D10" s="402" t="s">
        <v>350</v>
      </c>
      <c r="E10" s="403"/>
      <c r="F10" s="402" t="s">
        <v>351</v>
      </c>
      <c r="G10" s="403"/>
      <c r="H10" s="410"/>
      <c r="I10" s="425"/>
      <c r="J10" s="410"/>
      <c r="K10" s="411"/>
      <c r="L10" s="406" t="s">
        <v>351</v>
      </c>
      <c r="M10" s="407"/>
    </row>
    <row r="11" spans="1:16" customFormat="1" ht="15.75" thickBot="1" x14ac:dyDescent="0.3">
      <c r="A11" s="417"/>
      <c r="B11" s="319"/>
      <c r="C11" s="320"/>
      <c r="D11" s="319"/>
      <c r="E11" s="320"/>
      <c r="F11" s="404" t="s">
        <v>352</v>
      </c>
      <c r="G11" s="405"/>
      <c r="H11" s="412"/>
      <c r="I11" s="430"/>
      <c r="J11" s="412"/>
      <c r="K11" s="413"/>
      <c r="L11" s="406" t="s">
        <v>352</v>
      </c>
      <c r="M11" s="407"/>
    </row>
    <row r="12" spans="1:16" customFormat="1" ht="15" x14ac:dyDescent="0.25">
      <c r="A12" s="417"/>
      <c r="B12" s="316" t="s">
        <v>353</v>
      </c>
      <c r="C12" s="228" t="s">
        <v>354</v>
      </c>
      <c r="D12" s="316" t="s">
        <v>353</v>
      </c>
      <c r="E12" s="228" t="s">
        <v>354</v>
      </c>
      <c r="F12" s="317" t="s">
        <v>353</v>
      </c>
      <c r="G12" s="229" t="s">
        <v>354</v>
      </c>
      <c r="H12" s="317" t="s">
        <v>353</v>
      </c>
      <c r="I12" s="230" t="s">
        <v>354</v>
      </c>
      <c r="J12" s="231" t="s">
        <v>353</v>
      </c>
      <c r="K12" s="318" t="s">
        <v>354</v>
      </c>
      <c r="L12" s="231" t="s">
        <v>353</v>
      </c>
      <c r="M12" s="232" t="s">
        <v>354</v>
      </c>
    </row>
    <row r="13" spans="1:16" customFormat="1" ht="15.75" thickBot="1" x14ac:dyDescent="0.3">
      <c r="A13" s="418"/>
      <c r="B13" s="316" t="s">
        <v>355</v>
      </c>
      <c r="C13" s="228" t="s">
        <v>356</v>
      </c>
      <c r="D13" s="233" t="s">
        <v>355</v>
      </c>
      <c r="E13" s="234" t="s">
        <v>356</v>
      </c>
      <c r="F13" s="233" t="s">
        <v>355</v>
      </c>
      <c r="G13" s="234" t="s">
        <v>356</v>
      </c>
      <c r="H13" s="319" t="s">
        <v>355</v>
      </c>
      <c r="I13" s="235" t="s">
        <v>356</v>
      </c>
      <c r="J13" s="236" t="s">
        <v>355</v>
      </c>
      <c r="K13" s="237" t="s">
        <v>356</v>
      </c>
      <c r="L13" s="236" t="s">
        <v>355</v>
      </c>
      <c r="M13" s="238" t="s">
        <v>356</v>
      </c>
    </row>
    <row r="14" spans="1:16" customFormat="1" ht="16.5" thickTop="1" thickBot="1" x14ac:dyDescent="0.3">
      <c r="A14" s="239" t="s">
        <v>357</v>
      </c>
      <c r="B14" s="321">
        <v>18290743</v>
      </c>
      <c r="C14" s="322">
        <v>313</v>
      </c>
      <c r="D14" s="240"/>
      <c r="E14" s="241">
        <v>0</v>
      </c>
      <c r="F14" s="240"/>
      <c r="G14" s="241"/>
      <c r="H14" s="242">
        <v>19995291</v>
      </c>
      <c r="I14" s="323">
        <v>334</v>
      </c>
      <c r="J14" s="105">
        <v>319662</v>
      </c>
      <c r="K14" s="241">
        <v>6</v>
      </c>
      <c r="L14" s="243"/>
      <c r="M14" s="244"/>
    </row>
    <row r="15" spans="1:16" customFormat="1" ht="16.5" thickTop="1" thickBot="1" x14ac:dyDescent="0.3">
      <c r="A15" s="246" t="s">
        <v>358</v>
      </c>
      <c r="B15" s="245">
        <v>18176701</v>
      </c>
      <c r="C15" s="322">
        <v>313</v>
      </c>
      <c r="D15" s="245"/>
      <c r="E15" s="241">
        <v>0</v>
      </c>
      <c r="F15" s="245"/>
      <c r="G15" s="241"/>
      <c r="H15" s="242">
        <v>19995291</v>
      </c>
      <c r="I15" s="323">
        <v>334</v>
      </c>
      <c r="J15" s="324">
        <v>319662</v>
      </c>
      <c r="K15" s="247">
        <v>6</v>
      </c>
      <c r="L15" s="248"/>
      <c r="M15" s="249"/>
      <c r="P15" s="105"/>
    </row>
    <row r="16" spans="1:16" customFormat="1" ht="16.5" thickTop="1" thickBot="1" x14ac:dyDescent="0.3">
      <c r="A16" s="246" t="s">
        <v>359</v>
      </c>
      <c r="B16" s="245">
        <v>18453874</v>
      </c>
      <c r="C16" s="322">
        <v>323</v>
      </c>
      <c r="D16" s="245"/>
      <c r="E16" s="241">
        <v>0</v>
      </c>
      <c r="F16" s="245"/>
      <c r="G16" s="241"/>
      <c r="H16" s="242">
        <v>19995291</v>
      </c>
      <c r="I16" s="323">
        <v>334</v>
      </c>
      <c r="J16" s="324">
        <v>319662</v>
      </c>
      <c r="K16" s="247">
        <v>6</v>
      </c>
      <c r="L16" s="248"/>
      <c r="M16" s="249"/>
    </row>
    <row r="17" spans="1:13" customFormat="1" ht="16.5" thickTop="1" thickBot="1" x14ac:dyDescent="0.3">
      <c r="A17" s="246" t="s">
        <v>360</v>
      </c>
      <c r="B17" s="245">
        <v>18719810</v>
      </c>
      <c r="C17" s="322">
        <v>322</v>
      </c>
      <c r="D17" s="245"/>
      <c r="E17" s="241">
        <v>0</v>
      </c>
      <c r="F17" s="245"/>
      <c r="G17" s="241"/>
      <c r="H17" s="242">
        <v>19995291</v>
      </c>
      <c r="I17" s="323">
        <v>334</v>
      </c>
      <c r="J17" s="324">
        <v>319662</v>
      </c>
      <c r="K17" s="247">
        <v>6</v>
      </c>
      <c r="L17" s="248"/>
      <c r="M17" s="249"/>
    </row>
    <row r="18" spans="1:13" customFormat="1" ht="16.5" thickTop="1" thickBot="1" x14ac:dyDescent="0.3">
      <c r="A18" s="246" t="s">
        <v>361</v>
      </c>
      <c r="B18" s="245">
        <v>19039808</v>
      </c>
      <c r="C18" s="322">
        <v>327</v>
      </c>
      <c r="D18" s="245"/>
      <c r="E18" s="241">
        <v>0</v>
      </c>
      <c r="F18" s="245"/>
      <c r="G18" s="241"/>
      <c r="H18" s="242">
        <v>19995291</v>
      </c>
      <c r="I18" s="323">
        <v>334</v>
      </c>
      <c r="J18" s="324">
        <v>319662</v>
      </c>
      <c r="K18" s="247">
        <v>6</v>
      </c>
      <c r="L18" s="248"/>
      <c r="M18" s="249"/>
    </row>
    <row r="19" spans="1:13" customFormat="1" ht="16.5" thickTop="1" thickBot="1" x14ac:dyDescent="0.3">
      <c r="A19" s="246" t="s">
        <v>362</v>
      </c>
      <c r="B19" s="245">
        <v>18910607</v>
      </c>
      <c r="C19" s="322">
        <v>326</v>
      </c>
      <c r="D19" s="245"/>
      <c r="E19" s="252">
        <v>0</v>
      </c>
      <c r="F19" s="245"/>
      <c r="G19" s="241"/>
      <c r="H19" s="242">
        <v>19995291</v>
      </c>
      <c r="I19" s="323">
        <v>334</v>
      </c>
      <c r="J19" s="324">
        <v>319662</v>
      </c>
      <c r="K19" s="247">
        <v>6</v>
      </c>
      <c r="L19" s="248"/>
      <c r="M19" s="249"/>
    </row>
    <row r="20" spans="1:13" customFormat="1" ht="16.5" thickTop="1" thickBot="1" x14ac:dyDescent="0.3">
      <c r="A20" s="246" t="s">
        <v>363</v>
      </c>
      <c r="B20" s="245">
        <v>18804943</v>
      </c>
      <c r="C20" s="322">
        <v>327</v>
      </c>
      <c r="D20" s="245"/>
      <c r="E20" s="325">
        <v>0</v>
      </c>
      <c r="F20" s="245"/>
      <c r="G20" s="241"/>
      <c r="H20" s="245">
        <v>19114724</v>
      </c>
      <c r="I20" s="323">
        <v>320</v>
      </c>
      <c r="J20" s="326">
        <v>0</v>
      </c>
      <c r="K20" s="247"/>
      <c r="L20" s="248"/>
      <c r="M20" s="249"/>
    </row>
    <row r="21" spans="1:13" customFormat="1" ht="16.5" thickTop="1" thickBot="1" x14ac:dyDescent="0.3">
      <c r="A21" s="246" t="s">
        <v>364</v>
      </c>
      <c r="B21" s="245">
        <v>18624859</v>
      </c>
      <c r="C21" s="322">
        <v>327</v>
      </c>
      <c r="D21" s="241">
        <v>180484</v>
      </c>
      <c r="E21" s="327">
        <v>5</v>
      </c>
      <c r="F21" s="245"/>
      <c r="G21" s="241"/>
      <c r="H21" s="245">
        <v>19054852</v>
      </c>
      <c r="I21" s="323">
        <v>319</v>
      </c>
      <c r="J21" s="326">
        <v>0</v>
      </c>
      <c r="K21" s="247"/>
      <c r="L21" s="248"/>
      <c r="M21" s="249"/>
    </row>
    <row r="22" spans="1:13" customFormat="1" ht="16.5" thickTop="1" thickBot="1" x14ac:dyDescent="0.3">
      <c r="A22" s="246" t="s">
        <v>365</v>
      </c>
      <c r="B22" s="245">
        <v>18722966</v>
      </c>
      <c r="C22" s="322">
        <v>327</v>
      </c>
      <c r="D22" s="241">
        <v>208544</v>
      </c>
      <c r="E22" s="327">
        <v>5</v>
      </c>
      <c r="F22" s="245"/>
      <c r="G22" s="241"/>
      <c r="H22" s="245">
        <v>19012130</v>
      </c>
      <c r="I22" s="323">
        <v>318</v>
      </c>
      <c r="J22" s="326">
        <v>0</v>
      </c>
      <c r="K22" s="247"/>
      <c r="L22" s="248"/>
      <c r="M22" s="249"/>
    </row>
    <row r="23" spans="1:13" customFormat="1" ht="16.5" thickTop="1" thickBot="1" x14ac:dyDescent="0.3">
      <c r="A23" s="246" t="s">
        <v>366</v>
      </c>
      <c r="B23" s="245">
        <v>18678858</v>
      </c>
      <c r="C23" s="328">
        <v>327</v>
      </c>
      <c r="D23" s="241">
        <v>215701</v>
      </c>
      <c r="E23" s="327">
        <v>5</v>
      </c>
      <c r="F23" s="245"/>
      <c r="G23" s="241"/>
      <c r="H23" s="245">
        <v>19012130</v>
      </c>
      <c r="I23" s="323">
        <v>318</v>
      </c>
      <c r="J23" s="326">
        <v>0</v>
      </c>
      <c r="K23" s="247"/>
      <c r="L23" s="248"/>
      <c r="M23" s="249"/>
    </row>
    <row r="24" spans="1:13" customFormat="1" ht="16.5" thickTop="1" thickBot="1" x14ac:dyDescent="0.3">
      <c r="A24" s="246" t="s">
        <v>367</v>
      </c>
      <c r="B24" s="245">
        <v>18678858</v>
      </c>
      <c r="C24" s="329">
        <v>327</v>
      </c>
      <c r="D24" s="241">
        <v>215701</v>
      </c>
      <c r="E24" s="327">
        <v>5</v>
      </c>
      <c r="F24" s="245"/>
      <c r="G24" s="241"/>
      <c r="H24" s="245">
        <v>19012130</v>
      </c>
      <c r="I24" s="323">
        <v>318</v>
      </c>
      <c r="J24" s="326">
        <v>0</v>
      </c>
      <c r="K24" s="247"/>
      <c r="L24" s="248"/>
      <c r="M24" s="249"/>
    </row>
    <row r="25" spans="1:13" customFormat="1" ht="16.5" thickTop="1" thickBot="1" x14ac:dyDescent="0.3">
      <c r="A25" s="250" t="s">
        <v>368</v>
      </c>
      <c r="B25" s="245">
        <v>18678858</v>
      </c>
      <c r="C25" s="330">
        <v>327</v>
      </c>
      <c r="D25" s="241">
        <v>215701</v>
      </c>
      <c r="E25" s="331">
        <v>5</v>
      </c>
      <c r="F25" s="251"/>
      <c r="G25" s="252"/>
      <c r="H25" s="251">
        <v>19012130</v>
      </c>
      <c r="I25" s="323">
        <v>318</v>
      </c>
      <c r="J25" s="332">
        <v>0</v>
      </c>
      <c r="K25" s="333"/>
      <c r="L25" s="334"/>
      <c r="M25" s="335"/>
    </row>
    <row r="26" spans="1:13" customFormat="1" ht="16.5" thickTop="1" thickBot="1" x14ac:dyDescent="0.3">
      <c r="A26" s="253" t="s">
        <v>369</v>
      </c>
      <c r="B26" s="336">
        <v>223780885</v>
      </c>
      <c r="C26" s="337"/>
      <c r="D26" s="256">
        <v>1036131</v>
      </c>
      <c r="E26" s="338"/>
      <c r="F26" s="254">
        <v>0</v>
      </c>
      <c r="G26" s="255"/>
      <c r="H26" s="339">
        <v>234189842</v>
      </c>
      <c r="I26" s="339"/>
      <c r="J26" s="340">
        <v>1917972</v>
      </c>
      <c r="K26" s="341"/>
      <c r="L26" s="342">
        <v>0</v>
      </c>
      <c r="M26" s="343"/>
    </row>
    <row r="27" spans="1:13" x14ac:dyDescent="0.2">
      <c r="A27" s="227"/>
      <c r="B27" s="227"/>
      <c r="C27" s="227"/>
      <c r="D27" s="227"/>
      <c r="E27" s="227"/>
      <c r="F27" s="227"/>
      <c r="G27" s="227"/>
      <c r="H27" s="227"/>
      <c r="I27" s="227"/>
      <c r="J27" s="227"/>
      <c r="K27" s="227"/>
      <c r="L27" s="227"/>
      <c r="M27" s="227"/>
    </row>
    <row r="28" spans="1:13" x14ac:dyDescent="0.2">
      <c r="A28" s="344" t="s">
        <v>370</v>
      </c>
      <c r="B28" s="227"/>
      <c r="C28" s="227"/>
      <c r="D28" s="227"/>
      <c r="E28" s="227"/>
      <c r="F28" s="227"/>
      <c r="G28" s="227"/>
      <c r="H28" s="227"/>
      <c r="I28" s="227"/>
      <c r="J28" s="227"/>
      <c r="K28" s="227"/>
      <c r="L28" s="227"/>
      <c r="M28" s="227"/>
    </row>
    <row r="29" spans="1:13" x14ac:dyDescent="0.2">
      <c r="A29" s="344" t="s">
        <v>371</v>
      </c>
      <c r="B29" s="227"/>
      <c r="C29" s="227"/>
      <c r="D29" s="227"/>
      <c r="E29" s="227"/>
      <c r="F29" s="227"/>
      <c r="G29" s="227"/>
      <c r="H29" s="227"/>
      <c r="I29" s="227"/>
      <c r="J29" s="227"/>
      <c r="K29" s="227"/>
      <c r="L29" s="227"/>
      <c r="M29" s="227"/>
    </row>
    <row r="30" spans="1:13" x14ac:dyDescent="0.2">
      <c r="A30" s="196"/>
    </row>
  </sheetData>
  <sheetProtection algorithmName="SHA-512" hashValue="hMxCkBP286mAWfiAg6WHB5yogp75NbS6Ch9HCr+8L9n55S0q+Hlb++TWNpgfWzkDAVTfcmW2RMs0TwCHzZqFVg==" saltValue="OWSCMJPmlkScofl9/kcbvg==" spinCount="100000" sheet="1" objects="1" scenarios="1"/>
  <mergeCells count="28">
    <mergeCell ref="A1:M1"/>
    <mergeCell ref="A2:M2"/>
    <mergeCell ref="A3:M3"/>
    <mergeCell ref="A4:M4"/>
    <mergeCell ref="A6:A13"/>
    <mergeCell ref="B6:E6"/>
    <mergeCell ref="F6:G6"/>
    <mergeCell ref="H6:K7"/>
    <mergeCell ref="L6:M6"/>
    <mergeCell ref="B7:E7"/>
    <mergeCell ref="F7:G7"/>
    <mergeCell ref="L7:M7"/>
    <mergeCell ref="B8:C8"/>
    <mergeCell ref="D8:E8"/>
    <mergeCell ref="F8:G8"/>
    <mergeCell ref="H8:I11"/>
    <mergeCell ref="B9:C9"/>
    <mergeCell ref="D9:E9"/>
    <mergeCell ref="F11:G11"/>
    <mergeCell ref="L11:M11"/>
    <mergeCell ref="F9:G9"/>
    <mergeCell ref="L9:M9"/>
    <mergeCell ref="B10:C10"/>
    <mergeCell ref="D10:E10"/>
    <mergeCell ref="F10:G10"/>
    <mergeCell ref="L10:M10"/>
    <mergeCell ref="J8:K11"/>
    <mergeCell ref="L8:M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30"/>
  <sheetViews>
    <sheetView workbookViewId="0">
      <selection activeCell="A13" sqref="A13"/>
    </sheetView>
  </sheetViews>
  <sheetFormatPr defaultRowHeight="15" x14ac:dyDescent="0.25"/>
  <cols>
    <col min="1" max="1" width="81.140625" customWidth="1"/>
    <col min="2" max="2" width="30.85546875" bestFit="1" customWidth="1"/>
    <col min="3" max="3" width="49.42578125" bestFit="1" customWidth="1"/>
    <col min="4" max="4" width="8.7109375" bestFit="1" customWidth="1"/>
    <col min="5" max="5" width="13.5703125" bestFit="1" customWidth="1"/>
    <col min="6" max="6" width="30.85546875" bestFit="1" customWidth="1"/>
    <col min="7" max="7" width="49.42578125" bestFit="1" customWidth="1"/>
  </cols>
  <sheetData>
    <row r="1" spans="1:5" x14ac:dyDescent="0.25">
      <c r="A1" s="199" t="s">
        <v>375</v>
      </c>
      <c r="B1" s="197" t="s">
        <v>376</v>
      </c>
      <c r="C1" s="198" t="s">
        <v>377</v>
      </c>
      <c r="D1" s="198" t="s">
        <v>232</v>
      </c>
      <c r="E1" s="198" t="s">
        <v>152</v>
      </c>
    </row>
    <row r="2" spans="1:5" x14ac:dyDescent="0.25">
      <c r="A2" s="199" t="s">
        <v>1121</v>
      </c>
      <c r="B2" s="199">
        <v>44713</v>
      </c>
      <c r="C2" s="198">
        <v>1000000</v>
      </c>
      <c r="D2" s="198" t="s">
        <v>292</v>
      </c>
      <c r="E2" s="198" t="s">
        <v>239</v>
      </c>
    </row>
    <row r="3" spans="1:5" x14ac:dyDescent="0.25">
      <c r="A3" s="199" t="s">
        <v>1122</v>
      </c>
      <c r="B3" s="199">
        <v>44805</v>
      </c>
      <c r="C3" s="198">
        <v>1000000</v>
      </c>
      <c r="D3" s="198" t="s">
        <v>292</v>
      </c>
      <c r="E3" s="198" t="s">
        <v>239</v>
      </c>
    </row>
    <row r="4" spans="1:5" x14ac:dyDescent="0.25">
      <c r="A4" s="199" t="s">
        <v>1123</v>
      </c>
      <c r="B4" s="199">
        <v>44621</v>
      </c>
      <c r="C4" s="198">
        <v>3670000</v>
      </c>
      <c r="D4" s="198" t="s">
        <v>292</v>
      </c>
      <c r="E4" s="198" t="s">
        <v>239</v>
      </c>
    </row>
    <row r="5" spans="1:5" x14ac:dyDescent="0.25">
      <c r="A5" s="199" t="s">
        <v>1124</v>
      </c>
      <c r="B5" s="199">
        <v>44713</v>
      </c>
      <c r="C5" s="198">
        <v>2500000</v>
      </c>
      <c r="D5" s="198" t="s">
        <v>292</v>
      </c>
      <c r="E5" s="198" t="s">
        <v>239</v>
      </c>
    </row>
    <row r="6" spans="1:5" x14ac:dyDescent="0.25">
      <c r="A6" s="199" t="s">
        <v>1125</v>
      </c>
      <c r="B6" s="199">
        <v>44805</v>
      </c>
      <c r="C6" s="198">
        <v>2500000</v>
      </c>
      <c r="D6" s="198" t="s">
        <v>292</v>
      </c>
      <c r="E6" s="198" t="s">
        <v>239</v>
      </c>
    </row>
    <row r="7" spans="1:5" x14ac:dyDescent="0.25">
      <c r="A7" s="199" t="s">
        <v>1126</v>
      </c>
      <c r="B7" s="199">
        <v>44896</v>
      </c>
      <c r="C7" s="198">
        <v>5000000</v>
      </c>
      <c r="D7" s="198" t="s">
        <v>292</v>
      </c>
      <c r="E7" s="198" t="s">
        <v>239</v>
      </c>
    </row>
    <row r="8" spans="1:5" x14ac:dyDescent="0.25">
      <c r="A8" s="199" t="s">
        <v>1127</v>
      </c>
      <c r="B8" s="199">
        <v>44927</v>
      </c>
      <c r="C8" s="198">
        <v>1340000</v>
      </c>
      <c r="D8" s="198" t="s">
        <v>292</v>
      </c>
      <c r="E8" s="198" t="s">
        <v>239</v>
      </c>
    </row>
    <row r="9" spans="1:5" x14ac:dyDescent="0.25">
      <c r="A9" s="199" t="s">
        <v>1128</v>
      </c>
      <c r="B9" s="199">
        <v>44652</v>
      </c>
      <c r="C9" s="198">
        <v>35000000</v>
      </c>
      <c r="D9" s="198" t="s">
        <v>292</v>
      </c>
      <c r="E9" s="198" t="s">
        <v>239</v>
      </c>
    </row>
    <row r="10" spans="1:5" x14ac:dyDescent="0.25">
      <c r="A10" s="199" t="s">
        <v>1181</v>
      </c>
      <c r="B10" s="199">
        <v>44805</v>
      </c>
      <c r="C10" s="198">
        <v>6811000</v>
      </c>
      <c r="D10" s="198" t="s">
        <v>302</v>
      </c>
      <c r="E10" s="198" t="s">
        <v>239</v>
      </c>
    </row>
    <row r="11" spans="1:5" x14ac:dyDescent="0.25">
      <c r="A11" s="199" t="s">
        <v>577</v>
      </c>
      <c r="B11" s="199">
        <v>44866</v>
      </c>
      <c r="C11" s="198">
        <v>14160000</v>
      </c>
      <c r="D11" s="198" t="s">
        <v>292</v>
      </c>
      <c r="E11" s="198" t="s">
        <v>239</v>
      </c>
    </row>
    <row r="12" spans="1:5" x14ac:dyDescent="0.25">
      <c r="A12" s="199" t="s">
        <v>1129</v>
      </c>
      <c r="B12" s="199">
        <v>44531</v>
      </c>
      <c r="C12" s="198">
        <v>2000000</v>
      </c>
      <c r="D12" s="198" t="s">
        <v>301</v>
      </c>
      <c r="E12" s="198" t="s">
        <v>239</v>
      </c>
    </row>
    <row r="13" spans="1:5" x14ac:dyDescent="0.25">
      <c r="A13" s="199" t="s">
        <v>1130</v>
      </c>
      <c r="B13" s="199">
        <v>44713</v>
      </c>
      <c r="C13" s="198">
        <v>1260000</v>
      </c>
      <c r="D13" s="198" t="s">
        <v>858</v>
      </c>
      <c r="E13" s="198" t="s">
        <v>239</v>
      </c>
    </row>
    <row r="14" spans="1:5" x14ac:dyDescent="0.25">
      <c r="A14" s="199" t="s">
        <v>1131</v>
      </c>
      <c r="B14" s="199">
        <v>44593</v>
      </c>
      <c r="C14" s="198">
        <v>590000</v>
      </c>
      <c r="D14" s="198" t="s">
        <v>858</v>
      </c>
      <c r="E14" s="198" t="s">
        <v>239</v>
      </c>
    </row>
    <row r="15" spans="1:5" x14ac:dyDescent="0.25">
      <c r="A15" s="199" t="s">
        <v>1132</v>
      </c>
      <c r="B15" s="199">
        <v>44593</v>
      </c>
      <c r="C15" s="198">
        <v>236000</v>
      </c>
      <c r="D15" s="198" t="s">
        <v>858</v>
      </c>
      <c r="E15" s="198" t="s">
        <v>239</v>
      </c>
    </row>
    <row r="16" spans="1:5" x14ac:dyDescent="0.25">
      <c r="A16" s="199" t="s">
        <v>1133</v>
      </c>
      <c r="B16" s="199">
        <v>44593</v>
      </c>
      <c r="C16" s="198">
        <v>495600</v>
      </c>
      <c r="D16" s="198" t="s">
        <v>292</v>
      </c>
      <c r="E16" s="198" t="s">
        <v>239</v>
      </c>
    </row>
    <row r="17" spans="1:5" x14ac:dyDescent="0.25">
      <c r="A17" s="199" t="s">
        <v>1162</v>
      </c>
      <c r="B17" s="199">
        <v>44593</v>
      </c>
      <c r="C17" s="199">
        <v>2124000</v>
      </c>
      <c r="D17" s="199" t="s">
        <v>302</v>
      </c>
      <c r="E17" s="199" t="s">
        <v>239</v>
      </c>
    </row>
    <row r="18" spans="1:5" x14ac:dyDescent="0.25">
      <c r="A18" s="199" t="s">
        <v>1163</v>
      </c>
      <c r="B18" s="199">
        <v>44652</v>
      </c>
      <c r="C18" s="199">
        <v>1890000</v>
      </c>
      <c r="D18" s="199" t="s">
        <v>292</v>
      </c>
      <c r="E18" s="199" t="s">
        <v>239</v>
      </c>
    </row>
    <row r="19" spans="1:5" x14ac:dyDescent="0.25">
      <c r="A19" s="199" t="s">
        <v>1134</v>
      </c>
      <c r="B19" s="199">
        <v>44682</v>
      </c>
      <c r="C19" s="199">
        <v>6000000</v>
      </c>
      <c r="D19" s="199" t="s">
        <v>292</v>
      </c>
      <c r="E19" s="199" t="s">
        <v>239</v>
      </c>
    </row>
    <row r="20" spans="1:5" x14ac:dyDescent="0.25">
      <c r="A20" s="199" t="s">
        <v>1135</v>
      </c>
      <c r="B20" s="199">
        <v>44621</v>
      </c>
      <c r="C20" s="199">
        <v>18000000</v>
      </c>
      <c r="D20" s="199" t="s">
        <v>858</v>
      </c>
      <c r="E20" s="199" t="s">
        <v>239</v>
      </c>
    </row>
    <row r="21" spans="1:5" x14ac:dyDescent="0.25">
      <c r="A21" s="199" t="s">
        <v>1136</v>
      </c>
      <c r="B21" s="199">
        <v>44593</v>
      </c>
      <c r="C21" s="199">
        <v>1180000</v>
      </c>
      <c r="D21" s="199" t="s">
        <v>302</v>
      </c>
      <c r="E21" s="199" t="s">
        <v>239</v>
      </c>
    </row>
    <row r="22" spans="1:5" x14ac:dyDescent="0.25">
      <c r="A22" s="199" t="s">
        <v>1182</v>
      </c>
      <c r="B22" s="199">
        <v>44927</v>
      </c>
      <c r="C22" s="199">
        <v>2310000</v>
      </c>
      <c r="D22" s="199" t="s">
        <v>292</v>
      </c>
      <c r="E22" s="199" t="s">
        <v>239</v>
      </c>
    </row>
    <row r="23" spans="1:5" x14ac:dyDescent="0.25">
      <c r="A23" s="199" t="s">
        <v>1174</v>
      </c>
      <c r="B23" s="199">
        <v>44805</v>
      </c>
      <c r="C23" s="199">
        <v>15375000</v>
      </c>
      <c r="D23" s="199" t="s">
        <v>292</v>
      </c>
      <c r="E23" s="199" t="s">
        <v>239</v>
      </c>
    </row>
    <row r="24" spans="1:5" x14ac:dyDescent="0.25">
      <c r="A24" s="199" t="s">
        <v>1175</v>
      </c>
      <c r="B24" s="199">
        <v>44805</v>
      </c>
      <c r="C24" s="199">
        <v>7100000</v>
      </c>
      <c r="D24" s="199" t="s">
        <v>292</v>
      </c>
      <c r="E24" s="199" t="s">
        <v>239</v>
      </c>
    </row>
    <row r="25" spans="1:5" x14ac:dyDescent="0.25">
      <c r="A25" s="199" t="s">
        <v>1137</v>
      </c>
      <c r="B25" s="199">
        <v>44743</v>
      </c>
      <c r="C25" s="199">
        <v>1200000</v>
      </c>
      <c r="D25" s="199" t="s">
        <v>863</v>
      </c>
      <c r="E25" s="199" t="s">
        <v>239</v>
      </c>
    </row>
    <row r="26" spans="1:5" x14ac:dyDescent="0.25">
      <c r="A26" s="199" t="s">
        <v>1145</v>
      </c>
      <c r="B26" s="199">
        <v>44896</v>
      </c>
      <c r="C26" s="199">
        <v>6825000</v>
      </c>
      <c r="D26" s="199" t="s">
        <v>858</v>
      </c>
      <c r="E26" s="199" t="s">
        <v>239</v>
      </c>
    </row>
    <row r="27" spans="1:5" x14ac:dyDescent="0.25">
      <c r="A27" s="199" t="s">
        <v>1146</v>
      </c>
      <c r="B27" s="199">
        <v>44713</v>
      </c>
      <c r="C27" s="199">
        <v>1260000</v>
      </c>
      <c r="D27" s="199" t="s">
        <v>292</v>
      </c>
      <c r="E27" s="199" t="s">
        <v>239</v>
      </c>
    </row>
    <row r="28" spans="1:5" x14ac:dyDescent="0.25">
      <c r="A28" s="199" t="s">
        <v>1176</v>
      </c>
      <c r="B28" s="199">
        <v>44682</v>
      </c>
      <c r="C28" s="199">
        <v>3500000</v>
      </c>
      <c r="D28" s="199" t="s">
        <v>301</v>
      </c>
      <c r="E28" s="199" t="s">
        <v>239</v>
      </c>
    </row>
    <row r="29" spans="1:5" x14ac:dyDescent="0.25">
      <c r="A29" s="199" t="s">
        <v>1164</v>
      </c>
      <c r="B29" s="199">
        <v>44713</v>
      </c>
      <c r="C29" s="199">
        <v>630000</v>
      </c>
      <c r="D29" s="199" t="s">
        <v>294</v>
      </c>
      <c r="E29" s="199" t="s">
        <v>239</v>
      </c>
    </row>
    <row r="30" spans="1:5" x14ac:dyDescent="0.25">
      <c r="A30" s="199" t="s">
        <v>1183</v>
      </c>
      <c r="B30" s="199">
        <v>44927</v>
      </c>
      <c r="C30" s="199">
        <v>6195000</v>
      </c>
      <c r="D30" s="199" t="s">
        <v>292</v>
      </c>
      <c r="E30" s="199" t="s">
        <v>239</v>
      </c>
    </row>
  </sheetData>
  <phoneticPr fontId="20" type="noConversion"/>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30"/>
  <sheetViews>
    <sheetView workbookViewId="0">
      <selection activeCell="A15" sqref="A15"/>
    </sheetView>
  </sheetViews>
  <sheetFormatPr defaultRowHeight="15" x14ac:dyDescent="0.25"/>
  <cols>
    <col min="1" max="1" width="44.7109375" bestFit="1" customWidth="1"/>
    <col min="2" max="2" width="30.85546875" bestFit="1" customWidth="1"/>
    <col min="3" max="3" width="49.42578125" bestFit="1" customWidth="1"/>
    <col min="4" max="4" width="8.7109375" bestFit="1" customWidth="1"/>
    <col min="5" max="5" width="13.5703125" bestFit="1" customWidth="1"/>
    <col min="6" max="11" width="8.85546875" bestFit="1" customWidth="1"/>
    <col min="12" max="12" width="30.85546875" bestFit="1" customWidth="1"/>
    <col min="13" max="13" width="49.42578125" bestFit="1" customWidth="1"/>
  </cols>
  <sheetData>
    <row r="1" spans="1:5" x14ac:dyDescent="0.25">
      <c r="A1" s="199" t="s">
        <v>375</v>
      </c>
      <c r="B1" s="197" t="s">
        <v>376</v>
      </c>
      <c r="C1" s="198" t="s">
        <v>377</v>
      </c>
      <c r="D1" s="198" t="s">
        <v>232</v>
      </c>
      <c r="E1" s="198" t="s">
        <v>152</v>
      </c>
    </row>
    <row r="2" spans="1:5" x14ac:dyDescent="0.25">
      <c r="A2" s="199" t="s">
        <v>372</v>
      </c>
      <c r="B2" s="199">
        <v>44562</v>
      </c>
      <c r="C2" s="198">
        <v>19995291</v>
      </c>
      <c r="D2" s="198" t="s">
        <v>393</v>
      </c>
      <c r="E2" s="198" t="s">
        <v>239</v>
      </c>
    </row>
    <row r="3" spans="1:5" x14ac:dyDescent="0.25">
      <c r="A3" s="199" t="s">
        <v>372</v>
      </c>
      <c r="B3" s="199">
        <v>44593</v>
      </c>
      <c r="C3" s="198">
        <v>19995291</v>
      </c>
      <c r="D3" s="198" t="s">
        <v>393</v>
      </c>
      <c r="E3" s="198" t="s">
        <v>239</v>
      </c>
    </row>
    <row r="4" spans="1:5" x14ac:dyDescent="0.25">
      <c r="A4" s="199" t="s">
        <v>372</v>
      </c>
      <c r="B4" s="199">
        <v>44621</v>
      </c>
      <c r="C4" s="198">
        <v>19995291</v>
      </c>
      <c r="D4" s="198" t="s">
        <v>393</v>
      </c>
      <c r="E4" s="198" t="s">
        <v>239</v>
      </c>
    </row>
    <row r="5" spans="1:5" x14ac:dyDescent="0.25">
      <c r="A5" s="199" t="s">
        <v>372</v>
      </c>
      <c r="B5" s="199">
        <v>44652</v>
      </c>
      <c r="C5" s="198">
        <v>19995291</v>
      </c>
      <c r="D5" s="198" t="s">
        <v>393</v>
      </c>
      <c r="E5" s="198" t="s">
        <v>239</v>
      </c>
    </row>
    <row r="6" spans="1:5" x14ac:dyDescent="0.25">
      <c r="A6" s="199" t="s">
        <v>372</v>
      </c>
      <c r="B6" s="199">
        <v>44682</v>
      </c>
      <c r="C6" s="198">
        <v>19995291</v>
      </c>
      <c r="D6" s="198" t="s">
        <v>393</v>
      </c>
      <c r="E6" s="198" t="s">
        <v>239</v>
      </c>
    </row>
    <row r="7" spans="1:5" x14ac:dyDescent="0.25">
      <c r="A7" s="199" t="s">
        <v>372</v>
      </c>
      <c r="B7" s="199">
        <v>44713</v>
      </c>
      <c r="C7" s="198">
        <v>19995291</v>
      </c>
      <c r="D7" s="198" t="s">
        <v>393</v>
      </c>
      <c r="E7" s="198" t="s">
        <v>239</v>
      </c>
    </row>
    <row r="8" spans="1:5" x14ac:dyDescent="0.25">
      <c r="A8" s="199" t="s">
        <v>372</v>
      </c>
      <c r="B8" s="199">
        <v>44743</v>
      </c>
      <c r="C8" s="198">
        <v>19114724</v>
      </c>
      <c r="D8" s="198" t="s">
        <v>393</v>
      </c>
      <c r="E8" s="198" t="s">
        <v>239</v>
      </c>
    </row>
    <row r="9" spans="1:5" x14ac:dyDescent="0.25">
      <c r="A9" s="199" t="s">
        <v>372</v>
      </c>
      <c r="B9" s="199">
        <v>44774</v>
      </c>
      <c r="C9" s="198">
        <v>19054852</v>
      </c>
      <c r="D9" s="198" t="s">
        <v>393</v>
      </c>
      <c r="E9" s="198" t="s">
        <v>239</v>
      </c>
    </row>
    <row r="10" spans="1:5" x14ac:dyDescent="0.25">
      <c r="A10" s="199" t="s">
        <v>372</v>
      </c>
      <c r="B10" s="199">
        <v>44805</v>
      </c>
      <c r="C10" s="198">
        <v>19012130</v>
      </c>
      <c r="D10" s="198" t="s">
        <v>393</v>
      </c>
      <c r="E10" s="198" t="s">
        <v>239</v>
      </c>
    </row>
    <row r="11" spans="1:5" x14ac:dyDescent="0.25">
      <c r="A11" s="199" t="s">
        <v>372</v>
      </c>
      <c r="B11" s="199">
        <v>44835</v>
      </c>
      <c r="C11" s="198">
        <v>19012130</v>
      </c>
      <c r="D11" s="198" t="s">
        <v>393</v>
      </c>
      <c r="E11" s="198" t="s">
        <v>239</v>
      </c>
    </row>
    <row r="12" spans="1:5" x14ac:dyDescent="0.25">
      <c r="A12" s="199" t="s">
        <v>372</v>
      </c>
      <c r="B12" s="199">
        <v>44866</v>
      </c>
      <c r="C12" s="198">
        <v>19012130</v>
      </c>
      <c r="D12" s="198" t="s">
        <v>393</v>
      </c>
      <c r="E12" s="198" t="s">
        <v>239</v>
      </c>
    </row>
    <row r="13" spans="1:5" x14ac:dyDescent="0.25">
      <c r="A13" s="199" t="s">
        <v>372</v>
      </c>
      <c r="B13" s="199">
        <v>44896</v>
      </c>
      <c r="C13" s="198">
        <v>19012130</v>
      </c>
      <c r="D13" s="198" t="s">
        <v>393</v>
      </c>
      <c r="E13" s="198" t="s">
        <v>239</v>
      </c>
    </row>
    <row r="14" spans="1:5" x14ac:dyDescent="0.25">
      <c r="A14" s="199" t="s">
        <v>372</v>
      </c>
      <c r="B14" s="199">
        <v>44743</v>
      </c>
      <c r="C14" s="198">
        <v>-880567</v>
      </c>
      <c r="D14" s="198" t="s">
        <v>393</v>
      </c>
      <c r="E14" s="198" t="s">
        <v>239</v>
      </c>
    </row>
    <row r="15" spans="1:5" x14ac:dyDescent="0.25">
      <c r="A15" s="199" t="s">
        <v>381</v>
      </c>
      <c r="B15" s="199">
        <v>44749</v>
      </c>
      <c r="C15" s="198">
        <v>804832</v>
      </c>
      <c r="D15" s="198" t="s">
        <v>394</v>
      </c>
      <c r="E15" s="198" t="s">
        <v>239</v>
      </c>
    </row>
    <row r="16" spans="1:5" x14ac:dyDescent="0.25">
      <c r="A16" s="199" t="s">
        <v>372</v>
      </c>
      <c r="B16" s="199">
        <v>44759</v>
      </c>
      <c r="C16" s="198">
        <v>-59872</v>
      </c>
      <c r="D16" s="198" t="s">
        <v>393</v>
      </c>
      <c r="E16" s="198" t="s">
        <v>239</v>
      </c>
    </row>
    <row r="17" spans="1:5" x14ac:dyDescent="0.25">
      <c r="A17" s="199" t="s">
        <v>381</v>
      </c>
      <c r="B17" s="199">
        <v>44805</v>
      </c>
      <c r="C17" s="198">
        <v>57488</v>
      </c>
      <c r="D17" s="198" t="s">
        <v>394</v>
      </c>
      <c r="E17" s="198" t="s">
        <v>239</v>
      </c>
    </row>
    <row r="18" spans="1:5" x14ac:dyDescent="0.25">
      <c r="A18" s="199" t="s">
        <v>372</v>
      </c>
      <c r="B18" s="199">
        <v>44807</v>
      </c>
      <c r="C18" s="198">
        <v>-42722</v>
      </c>
      <c r="D18" s="198" t="s">
        <v>393</v>
      </c>
      <c r="E18" s="198" t="s">
        <v>239</v>
      </c>
    </row>
    <row r="19" spans="1:5" x14ac:dyDescent="0.25">
      <c r="A19" s="199" t="s">
        <v>381</v>
      </c>
      <c r="B19" s="199">
        <v>44866</v>
      </c>
      <c r="C19" s="198">
        <v>57488</v>
      </c>
      <c r="D19" s="198" t="s">
        <v>394</v>
      </c>
      <c r="E19" s="198" t="s">
        <v>239</v>
      </c>
    </row>
    <row r="20" spans="1:5" x14ac:dyDescent="0.25">
      <c r="A20" s="199" t="s">
        <v>374</v>
      </c>
      <c r="B20" s="199">
        <v>44562</v>
      </c>
      <c r="C20" s="198">
        <v>12500</v>
      </c>
      <c r="D20" s="198" t="s">
        <v>396</v>
      </c>
      <c r="E20" s="198" t="s">
        <v>239</v>
      </c>
    </row>
    <row r="21" spans="1:5" x14ac:dyDescent="0.25">
      <c r="A21" s="199" t="s">
        <v>374</v>
      </c>
      <c r="B21" s="199">
        <v>44593</v>
      </c>
      <c r="C21" s="198">
        <v>12500</v>
      </c>
      <c r="D21" s="198" t="s">
        <v>396</v>
      </c>
      <c r="E21" s="198" t="s">
        <v>239</v>
      </c>
    </row>
    <row r="22" spans="1:5" x14ac:dyDescent="0.25">
      <c r="A22" s="199" t="s">
        <v>374</v>
      </c>
      <c r="B22" s="199">
        <v>44621</v>
      </c>
      <c r="C22" s="198">
        <v>12500</v>
      </c>
      <c r="D22" s="198" t="s">
        <v>396</v>
      </c>
      <c r="E22" s="198" t="s">
        <v>239</v>
      </c>
    </row>
    <row r="23" spans="1:5" x14ac:dyDescent="0.25">
      <c r="A23" s="199" t="s">
        <v>374</v>
      </c>
      <c r="B23" s="199">
        <v>44652</v>
      </c>
      <c r="C23" s="198">
        <v>12500</v>
      </c>
      <c r="D23" s="198" t="s">
        <v>396</v>
      </c>
      <c r="E23" s="198" t="s">
        <v>239</v>
      </c>
    </row>
    <row r="24" spans="1:5" x14ac:dyDescent="0.25">
      <c r="A24" s="199" t="s">
        <v>374</v>
      </c>
      <c r="B24" s="199">
        <v>44682</v>
      </c>
      <c r="C24" s="198">
        <v>12500</v>
      </c>
      <c r="D24" s="198" t="s">
        <v>396</v>
      </c>
      <c r="E24" s="198" t="s">
        <v>239</v>
      </c>
    </row>
    <row r="25" spans="1:5" x14ac:dyDescent="0.25">
      <c r="A25" s="199" t="s">
        <v>374</v>
      </c>
      <c r="B25" s="199">
        <v>44713</v>
      </c>
      <c r="C25" s="198">
        <v>12500</v>
      </c>
      <c r="D25" s="198" t="s">
        <v>396</v>
      </c>
      <c r="E25" s="198" t="s">
        <v>239</v>
      </c>
    </row>
    <row r="26" spans="1:5" x14ac:dyDescent="0.25">
      <c r="A26" s="199" t="s">
        <v>374</v>
      </c>
      <c r="B26" s="199">
        <v>44743</v>
      </c>
      <c r="C26" s="198">
        <v>12500</v>
      </c>
      <c r="D26" s="198" t="s">
        <v>396</v>
      </c>
      <c r="E26" s="198" t="s">
        <v>239</v>
      </c>
    </row>
    <row r="27" spans="1:5" x14ac:dyDescent="0.25">
      <c r="A27" s="199" t="s">
        <v>374</v>
      </c>
      <c r="B27" s="199">
        <v>44774</v>
      </c>
      <c r="C27" s="198">
        <v>12500</v>
      </c>
      <c r="D27" s="198" t="s">
        <v>396</v>
      </c>
      <c r="E27" s="198" t="s">
        <v>239</v>
      </c>
    </row>
    <row r="28" spans="1:5" x14ac:dyDescent="0.25">
      <c r="A28" s="199" t="s">
        <v>374</v>
      </c>
      <c r="B28" s="199">
        <v>44805</v>
      </c>
      <c r="C28" s="198">
        <v>12500</v>
      </c>
      <c r="D28" s="198" t="s">
        <v>396</v>
      </c>
      <c r="E28" s="198" t="s">
        <v>239</v>
      </c>
    </row>
    <row r="29" spans="1:5" x14ac:dyDescent="0.25">
      <c r="A29" s="199" t="s">
        <v>374</v>
      </c>
      <c r="B29" s="199">
        <v>44835</v>
      </c>
      <c r="C29" s="198">
        <v>12500</v>
      </c>
      <c r="D29" s="198" t="s">
        <v>396</v>
      </c>
      <c r="E29" s="198" t="s">
        <v>239</v>
      </c>
    </row>
    <row r="30" spans="1:5" x14ac:dyDescent="0.25">
      <c r="A30" s="199" t="s">
        <v>374</v>
      </c>
      <c r="B30" s="199">
        <v>44866</v>
      </c>
      <c r="C30" s="198">
        <v>12500</v>
      </c>
      <c r="D30" s="198" t="s">
        <v>396</v>
      </c>
      <c r="E30" s="198" t="s">
        <v>239</v>
      </c>
    </row>
    <row r="31" spans="1:5" x14ac:dyDescent="0.25">
      <c r="A31" s="199" t="s">
        <v>374</v>
      </c>
      <c r="B31" s="199">
        <v>44896</v>
      </c>
      <c r="C31" s="198">
        <v>12500</v>
      </c>
      <c r="D31" s="198" t="s">
        <v>396</v>
      </c>
      <c r="E31" s="198" t="s">
        <v>239</v>
      </c>
    </row>
    <row r="32" spans="1:5" x14ac:dyDescent="0.25">
      <c r="A32" s="199" t="s">
        <v>802</v>
      </c>
      <c r="B32" s="199">
        <v>44562</v>
      </c>
      <c r="C32" s="198">
        <v>25000</v>
      </c>
      <c r="D32" s="198" t="s">
        <v>421</v>
      </c>
      <c r="E32" s="198" t="s">
        <v>239</v>
      </c>
    </row>
    <row r="33" spans="1:5" x14ac:dyDescent="0.25">
      <c r="A33" s="199" t="s">
        <v>802</v>
      </c>
      <c r="B33" s="199">
        <v>44593</v>
      </c>
      <c r="C33" s="198">
        <v>25000</v>
      </c>
      <c r="D33" s="198" t="s">
        <v>421</v>
      </c>
      <c r="E33" s="198" t="s">
        <v>239</v>
      </c>
    </row>
    <row r="34" spans="1:5" x14ac:dyDescent="0.25">
      <c r="A34" s="199" t="s">
        <v>802</v>
      </c>
      <c r="B34" s="199">
        <v>44621</v>
      </c>
      <c r="C34" s="198">
        <v>25000</v>
      </c>
      <c r="D34" s="198" t="s">
        <v>421</v>
      </c>
      <c r="E34" s="198" t="s">
        <v>239</v>
      </c>
    </row>
    <row r="35" spans="1:5" x14ac:dyDescent="0.25">
      <c r="A35" s="199" t="s">
        <v>802</v>
      </c>
      <c r="B35" s="199">
        <v>44652</v>
      </c>
      <c r="C35" s="198">
        <v>25000</v>
      </c>
      <c r="D35" s="198" t="s">
        <v>421</v>
      </c>
      <c r="E35" s="198" t="s">
        <v>239</v>
      </c>
    </row>
    <row r="36" spans="1:5" x14ac:dyDescent="0.25">
      <c r="A36" s="199" t="s">
        <v>802</v>
      </c>
      <c r="B36" s="199">
        <v>44682</v>
      </c>
      <c r="C36" s="198">
        <v>25000</v>
      </c>
      <c r="D36" s="198" t="s">
        <v>421</v>
      </c>
      <c r="E36" s="198" t="s">
        <v>239</v>
      </c>
    </row>
    <row r="37" spans="1:5" x14ac:dyDescent="0.25">
      <c r="A37" s="199" t="s">
        <v>802</v>
      </c>
      <c r="B37" s="199">
        <v>44713</v>
      </c>
      <c r="C37" s="198">
        <v>25000</v>
      </c>
      <c r="D37" s="198" t="s">
        <v>421</v>
      </c>
      <c r="E37" s="198" t="s">
        <v>239</v>
      </c>
    </row>
    <row r="38" spans="1:5" x14ac:dyDescent="0.25">
      <c r="A38" s="199" t="s">
        <v>802</v>
      </c>
      <c r="B38" s="199">
        <v>44743</v>
      </c>
      <c r="C38" s="198">
        <v>25000</v>
      </c>
      <c r="D38" s="198" t="s">
        <v>421</v>
      </c>
      <c r="E38" s="198" t="s">
        <v>239</v>
      </c>
    </row>
    <row r="39" spans="1:5" x14ac:dyDescent="0.25">
      <c r="A39" s="199" t="s">
        <v>802</v>
      </c>
      <c r="B39" s="199">
        <v>44774</v>
      </c>
      <c r="C39" s="198">
        <v>25000</v>
      </c>
      <c r="D39" s="198" t="s">
        <v>421</v>
      </c>
      <c r="E39" s="198" t="s">
        <v>239</v>
      </c>
    </row>
    <row r="40" spans="1:5" x14ac:dyDescent="0.25">
      <c r="A40" s="199" t="s">
        <v>802</v>
      </c>
      <c r="B40" s="199">
        <v>44805</v>
      </c>
      <c r="C40" s="198">
        <v>25000</v>
      </c>
      <c r="D40" s="198" t="s">
        <v>421</v>
      </c>
      <c r="E40" s="198" t="s">
        <v>239</v>
      </c>
    </row>
    <row r="41" spans="1:5" x14ac:dyDescent="0.25">
      <c r="A41" s="199" t="s">
        <v>802</v>
      </c>
      <c r="B41" s="199">
        <v>44835</v>
      </c>
      <c r="C41" s="198">
        <v>25000</v>
      </c>
      <c r="D41" s="198" t="s">
        <v>421</v>
      </c>
      <c r="E41" s="198" t="s">
        <v>239</v>
      </c>
    </row>
    <row r="42" spans="1:5" x14ac:dyDescent="0.25">
      <c r="A42" s="199" t="s">
        <v>802</v>
      </c>
      <c r="B42" s="199">
        <v>44866</v>
      </c>
      <c r="C42" s="198">
        <v>25000</v>
      </c>
      <c r="D42" s="198" t="s">
        <v>421</v>
      </c>
      <c r="E42" s="198" t="s">
        <v>239</v>
      </c>
    </row>
    <row r="43" spans="1:5" x14ac:dyDescent="0.25">
      <c r="A43" s="199" t="s">
        <v>802</v>
      </c>
      <c r="B43" s="199">
        <v>44896</v>
      </c>
      <c r="C43" s="198">
        <v>25000</v>
      </c>
      <c r="D43" s="198" t="s">
        <v>421</v>
      </c>
      <c r="E43" s="198" t="s">
        <v>239</v>
      </c>
    </row>
    <row r="44" spans="1:5" x14ac:dyDescent="0.25">
      <c r="A44" s="199" t="s">
        <v>803</v>
      </c>
      <c r="B44" s="199">
        <v>44562</v>
      </c>
      <c r="C44" s="198">
        <v>105000</v>
      </c>
      <c r="D44" s="198" t="s">
        <v>422</v>
      </c>
      <c r="E44" s="198" t="s">
        <v>239</v>
      </c>
    </row>
    <row r="45" spans="1:5" x14ac:dyDescent="0.25">
      <c r="A45" s="199" t="s">
        <v>803</v>
      </c>
      <c r="B45" s="199">
        <v>44593</v>
      </c>
      <c r="C45" s="198">
        <v>105000</v>
      </c>
      <c r="D45" s="198" t="s">
        <v>422</v>
      </c>
      <c r="E45" s="198" t="s">
        <v>239</v>
      </c>
    </row>
    <row r="46" spans="1:5" x14ac:dyDescent="0.25">
      <c r="A46" s="199" t="s">
        <v>803</v>
      </c>
      <c r="B46" s="199">
        <v>44621</v>
      </c>
      <c r="C46" s="198">
        <v>105000</v>
      </c>
      <c r="D46" s="198" t="s">
        <v>422</v>
      </c>
      <c r="E46" s="198" t="s">
        <v>239</v>
      </c>
    </row>
    <row r="47" spans="1:5" x14ac:dyDescent="0.25">
      <c r="A47" s="199" t="s">
        <v>803</v>
      </c>
      <c r="B47" s="199">
        <v>44652</v>
      </c>
      <c r="C47" s="198">
        <v>105000</v>
      </c>
      <c r="D47" s="198" t="s">
        <v>422</v>
      </c>
      <c r="E47" s="198" t="s">
        <v>239</v>
      </c>
    </row>
    <row r="48" spans="1:5" x14ac:dyDescent="0.25">
      <c r="A48" s="199" t="s">
        <v>803</v>
      </c>
      <c r="B48" s="199">
        <v>44682</v>
      </c>
      <c r="C48" s="198">
        <v>105000</v>
      </c>
      <c r="D48" s="198" t="s">
        <v>422</v>
      </c>
      <c r="E48" s="198" t="s">
        <v>239</v>
      </c>
    </row>
    <row r="49" spans="1:5" x14ac:dyDescent="0.25">
      <c r="A49" s="199" t="s">
        <v>803</v>
      </c>
      <c r="B49" s="199">
        <v>44713</v>
      </c>
      <c r="C49" s="198">
        <v>105000</v>
      </c>
      <c r="D49" s="198" t="s">
        <v>422</v>
      </c>
      <c r="E49" s="198" t="s">
        <v>239</v>
      </c>
    </row>
    <row r="50" spans="1:5" x14ac:dyDescent="0.25">
      <c r="A50" s="199" t="s">
        <v>803</v>
      </c>
      <c r="B50" s="199">
        <v>44743</v>
      </c>
      <c r="C50" s="198">
        <v>105000</v>
      </c>
      <c r="D50" s="198" t="s">
        <v>422</v>
      </c>
      <c r="E50" s="198" t="s">
        <v>239</v>
      </c>
    </row>
    <row r="51" spans="1:5" x14ac:dyDescent="0.25">
      <c r="A51" s="199" t="s">
        <v>803</v>
      </c>
      <c r="B51" s="199">
        <v>44774</v>
      </c>
      <c r="C51" s="198">
        <v>105000</v>
      </c>
      <c r="D51" s="198" t="s">
        <v>422</v>
      </c>
      <c r="E51" s="198" t="s">
        <v>239</v>
      </c>
    </row>
    <row r="52" spans="1:5" x14ac:dyDescent="0.25">
      <c r="A52" s="199" t="s">
        <v>803</v>
      </c>
      <c r="B52" s="199">
        <v>44805</v>
      </c>
      <c r="C52" s="198">
        <v>105000</v>
      </c>
      <c r="D52" s="198" t="s">
        <v>422</v>
      </c>
      <c r="E52" s="198" t="s">
        <v>239</v>
      </c>
    </row>
    <row r="53" spans="1:5" x14ac:dyDescent="0.25">
      <c r="A53" s="199" t="s">
        <v>803</v>
      </c>
      <c r="B53" s="199">
        <v>44835</v>
      </c>
      <c r="C53" s="198">
        <v>105000</v>
      </c>
      <c r="D53" s="198" t="s">
        <v>422</v>
      </c>
      <c r="E53" s="198" t="s">
        <v>239</v>
      </c>
    </row>
    <row r="54" spans="1:5" x14ac:dyDescent="0.25">
      <c r="A54" s="199" t="s">
        <v>803</v>
      </c>
      <c r="B54" s="199">
        <v>44866</v>
      </c>
      <c r="C54" s="198">
        <v>105000</v>
      </c>
      <c r="D54" s="198" t="s">
        <v>422</v>
      </c>
      <c r="E54" s="198" t="s">
        <v>239</v>
      </c>
    </row>
    <row r="55" spans="1:5" x14ac:dyDescent="0.25">
      <c r="A55" s="199" t="s">
        <v>803</v>
      </c>
      <c r="B55" s="199">
        <v>44896</v>
      </c>
      <c r="C55" s="198">
        <v>105000</v>
      </c>
      <c r="D55" s="198" t="s">
        <v>422</v>
      </c>
      <c r="E55" s="198" t="s">
        <v>239</v>
      </c>
    </row>
    <row r="56" spans="1:5" x14ac:dyDescent="0.25">
      <c r="A56" s="199" t="s">
        <v>332</v>
      </c>
      <c r="B56" s="199">
        <v>44621</v>
      </c>
      <c r="C56" s="198">
        <v>0</v>
      </c>
      <c r="D56" s="198" t="s">
        <v>424</v>
      </c>
      <c r="E56" s="198" t="s">
        <v>239</v>
      </c>
    </row>
    <row r="57" spans="1:5" x14ac:dyDescent="0.25">
      <c r="A57" s="199" t="s">
        <v>373</v>
      </c>
      <c r="B57" s="199">
        <v>44896</v>
      </c>
      <c r="C57" s="198">
        <v>0</v>
      </c>
      <c r="D57" s="198" t="s">
        <v>395</v>
      </c>
      <c r="E57" s="198" t="s">
        <v>239</v>
      </c>
    </row>
    <row r="58" spans="1:5" x14ac:dyDescent="0.25">
      <c r="A58" s="199" t="s">
        <v>333</v>
      </c>
      <c r="B58" s="199">
        <v>44562</v>
      </c>
      <c r="C58" s="198">
        <v>319662</v>
      </c>
      <c r="D58" s="198" t="s">
        <v>445</v>
      </c>
      <c r="E58" s="198" t="s">
        <v>239</v>
      </c>
    </row>
    <row r="59" spans="1:5" x14ac:dyDescent="0.25">
      <c r="A59" s="199" t="s">
        <v>333</v>
      </c>
      <c r="B59" s="199">
        <v>44593</v>
      </c>
      <c r="C59" s="198">
        <v>319662</v>
      </c>
      <c r="D59" s="198" t="s">
        <v>445</v>
      </c>
      <c r="E59" s="198" t="s">
        <v>239</v>
      </c>
    </row>
    <row r="60" spans="1:5" x14ac:dyDescent="0.25">
      <c r="A60" s="199" t="s">
        <v>333</v>
      </c>
      <c r="B60" s="199">
        <v>44621</v>
      </c>
      <c r="C60" s="198">
        <v>319662</v>
      </c>
      <c r="D60" s="198" t="s">
        <v>445</v>
      </c>
      <c r="E60" s="198" t="s">
        <v>239</v>
      </c>
    </row>
    <row r="61" spans="1:5" x14ac:dyDescent="0.25">
      <c r="A61" s="199" t="s">
        <v>333</v>
      </c>
      <c r="B61" s="199">
        <v>44652</v>
      </c>
      <c r="C61" s="198">
        <v>319662</v>
      </c>
      <c r="D61" s="198" t="s">
        <v>445</v>
      </c>
      <c r="E61" s="198" t="s">
        <v>239</v>
      </c>
    </row>
    <row r="62" spans="1:5" x14ac:dyDescent="0.25">
      <c r="A62" s="199" t="s">
        <v>333</v>
      </c>
      <c r="B62" s="199">
        <v>44682</v>
      </c>
      <c r="C62" s="198">
        <v>319662</v>
      </c>
      <c r="D62" s="198" t="s">
        <v>445</v>
      </c>
      <c r="E62" s="198" t="s">
        <v>239</v>
      </c>
    </row>
    <row r="63" spans="1:5" x14ac:dyDescent="0.25">
      <c r="A63" s="199" t="s">
        <v>333</v>
      </c>
      <c r="B63" s="199">
        <v>44713</v>
      </c>
      <c r="C63" s="198">
        <v>319662</v>
      </c>
      <c r="D63" s="198" t="s">
        <v>445</v>
      </c>
      <c r="E63" s="198" t="s">
        <v>239</v>
      </c>
    </row>
    <row r="64" spans="1:5" x14ac:dyDescent="0.25">
      <c r="A64" s="199" t="s">
        <v>333</v>
      </c>
      <c r="B64" s="199">
        <v>44743</v>
      </c>
      <c r="C64" s="198">
        <v>0</v>
      </c>
      <c r="D64" s="198" t="s">
        <v>445</v>
      </c>
      <c r="E64" s="198" t="s">
        <v>239</v>
      </c>
    </row>
    <row r="65" spans="1:5" x14ac:dyDescent="0.25">
      <c r="A65" s="199" t="s">
        <v>333</v>
      </c>
      <c r="B65" s="199">
        <v>44774</v>
      </c>
      <c r="C65" s="198">
        <v>0</v>
      </c>
      <c r="D65" s="198" t="s">
        <v>445</v>
      </c>
      <c r="E65" s="198" t="s">
        <v>239</v>
      </c>
    </row>
    <row r="66" spans="1:5" x14ac:dyDescent="0.25">
      <c r="A66" s="199" t="s">
        <v>333</v>
      </c>
      <c r="B66" s="199">
        <v>44805</v>
      </c>
      <c r="C66" s="198">
        <v>0</v>
      </c>
      <c r="D66" s="198" t="s">
        <v>445</v>
      </c>
      <c r="E66" s="198" t="s">
        <v>239</v>
      </c>
    </row>
    <row r="67" spans="1:5" x14ac:dyDescent="0.25">
      <c r="A67" s="199" t="s">
        <v>333</v>
      </c>
      <c r="B67" s="199">
        <v>44835</v>
      </c>
      <c r="C67" s="198">
        <v>0</v>
      </c>
      <c r="D67" s="198" t="s">
        <v>445</v>
      </c>
      <c r="E67" s="198" t="s">
        <v>239</v>
      </c>
    </row>
    <row r="68" spans="1:5" x14ac:dyDescent="0.25">
      <c r="A68" s="199" t="s">
        <v>333</v>
      </c>
      <c r="B68" s="199">
        <v>44866</v>
      </c>
      <c r="C68" s="198">
        <v>0</v>
      </c>
      <c r="D68" s="198" t="s">
        <v>445</v>
      </c>
      <c r="E68" s="198" t="s">
        <v>239</v>
      </c>
    </row>
    <row r="69" spans="1:5" x14ac:dyDescent="0.25">
      <c r="A69" s="199" t="s">
        <v>333</v>
      </c>
      <c r="B69" s="199">
        <v>44896</v>
      </c>
      <c r="C69" s="198">
        <v>0</v>
      </c>
      <c r="D69" s="198" t="s">
        <v>445</v>
      </c>
      <c r="E69" s="198" t="s">
        <v>239</v>
      </c>
    </row>
    <row r="70" spans="1:5" x14ac:dyDescent="0.25">
      <c r="A70" s="199" t="s">
        <v>757</v>
      </c>
      <c r="B70" s="199">
        <v>44562</v>
      </c>
      <c r="C70" s="198">
        <v>0</v>
      </c>
      <c r="D70" s="198" t="s">
        <v>430</v>
      </c>
      <c r="E70" s="198" t="s">
        <v>239</v>
      </c>
    </row>
    <row r="71" spans="1:5" x14ac:dyDescent="0.25">
      <c r="A71" s="199" t="s">
        <v>757</v>
      </c>
      <c r="B71" s="199">
        <v>44593</v>
      </c>
      <c r="C71" s="198">
        <v>0</v>
      </c>
      <c r="D71" s="198" t="s">
        <v>430</v>
      </c>
      <c r="E71" s="198" t="s">
        <v>239</v>
      </c>
    </row>
    <row r="72" spans="1:5" x14ac:dyDescent="0.25">
      <c r="A72" s="199" t="s">
        <v>757</v>
      </c>
      <c r="B72" s="199">
        <v>44621</v>
      </c>
      <c r="C72" s="198">
        <v>0</v>
      </c>
      <c r="D72" s="198" t="s">
        <v>430</v>
      </c>
      <c r="E72" s="198" t="s">
        <v>239</v>
      </c>
    </row>
    <row r="73" spans="1:5" x14ac:dyDescent="0.25">
      <c r="A73" s="199" t="s">
        <v>757</v>
      </c>
      <c r="B73" s="199">
        <v>44652</v>
      </c>
      <c r="C73" s="198">
        <v>0</v>
      </c>
      <c r="D73" s="198" t="s">
        <v>430</v>
      </c>
      <c r="E73" s="198" t="s">
        <v>239</v>
      </c>
    </row>
    <row r="74" spans="1:5" x14ac:dyDescent="0.25">
      <c r="A74" s="199" t="s">
        <v>757</v>
      </c>
      <c r="B74" s="199">
        <v>44682</v>
      </c>
      <c r="C74" s="198">
        <v>0</v>
      </c>
      <c r="D74" s="198" t="s">
        <v>430</v>
      </c>
      <c r="E74" s="198" t="s">
        <v>239</v>
      </c>
    </row>
    <row r="75" spans="1:5" x14ac:dyDescent="0.25">
      <c r="A75" s="199" t="s">
        <v>757</v>
      </c>
      <c r="B75" s="199">
        <v>44713</v>
      </c>
      <c r="C75" s="198">
        <v>0</v>
      </c>
      <c r="D75" s="198" t="s">
        <v>430</v>
      </c>
      <c r="E75" s="198" t="s">
        <v>239</v>
      </c>
    </row>
    <row r="76" spans="1:5" x14ac:dyDescent="0.25">
      <c r="A76" s="199" t="s">
        <v>757</v>
      </c>
      <c r="B76" s="199">
        <v>44743</v>
      </c>
      <c r="C76" s="198">
        <v>0</v>
      </c>
      <c r="D76" s="198" t="s">
        <v>430</v>
      </c>
      <c r="E76" s="198" t="s">
        <v>239</v>
      </c>
    </row>
    <row r="77" spans="1:5" x14ac:dyDescent="0.25">
      <c r="A77" s="199" t="s">
        <v>757</v>
      </c>
      <c r="B77" s="199">
        <v>44774</v>
      </c>
      <c r="C77" s="198">
        <v>0</v>
      </c>
      <c r="D77" s="198" t="s">
        <v>430</v>
      </c>
      <c r="E77" s="198" t="s">
        <v>239</v>
      </c>
    </row>
    <row r="78" spans="1:5" x14ac:dyDescent="0.25">
      <c r="A78" s="199" t="s">
        <v>757</v>
      </c>
      <c r="B78" s="199">
        <v>44805</v>
      </c>
      <c r="C78" s="198"/>
      <c r="D78" s="198" t="s">
        <v>430</v>
      </c>
      <c r="E78" s="198" t="s">
        <v>239</v>
      </c>
    </row>
    <row r="79" spans="1:5" x14ac:dyDescent="0.25">
      <c r="A79" s="199" t="s">
        <v>757</v>
      </c>
      <c r="B79" s="199">
        <v>44835</v>
      </c>
      <c r="C79" s="198">
        <v>0</v>
      </c>
      <c r="D79" s="198" t="s">
        <v>430</v>
      </c>
      <c r="E79" s="198" t="s">
        <v>239</v>
      </c>
    </row>
    <row r="80" spans="1:5" x14ac:dyDescent="0.25">
      <c r="A80" s="199" t="s">
        <v>757</v>
      </c>
      <c r="B80" s="199">
        <v>44866</v>
      </c>
      <c r="C80" s="198">
        <v>0</v>
      </c>
      <c r="D80" s="198" t="s">
        <v>430</v>
      </c>
      <c r="E80" s="198" t="s">
        <v>239</v>
      </c>
    </row>
    <row r="81" spans="1:5" x14ac:dyDescent="0.25">
      <c r="A81" s="199" t="s">
        <v>757</v>
      </c>
      <c r="B81" s="199">
        <v>44896</v>
      </c>
      <c r="C81" s="198">
        <v>0</v>
      </c>
      <c r="D81" s="198" t="s">
        <v>430</v>
      </c>
      <c r="E81" s="198" t="s">
        <v>239</v>
      </c>
    </row>
    <row r="82" spans="1:5" x14ac:dyDescent="0.25">
      <c r="A82" s="199" t="s">
        <v>378</v>
      </c>
      <c r="B82" s="199">
        <v>44562</v>
      </c>
      <c r="C82" s="198">
        <v>64127</v>
      </c>
      <c r="D82" s="198" t="s">
        <v>431</v>
      </c>
      <c r="E82" s="198" t="s">
        <v>239</v>
      </c>
    </row>
    <row r="83" spans="1:5" x14ac:dyDescent="0.25">
      <c r="A83" s="199" t="s">
        <v>378</v>
      </c>
      <c r="B83" s="199">
        <v>44593</v>
      </c>
      <c r="C83" s="198">
        <v>64127</v>
      </c>
      <c r="D83" s="198" t="s">
        <v>431</v>
      </c>
      <c r="E83" s="198" t="s">
        <v>239</v>
      </c>
    </row>
    <row r="84" spans="1:5" x14ac:dyDescent="0.25">
      <c r="A84" s="199" t="s">
        <v>378</v>
      </c>
      <c r="B84" s="199">
        <v>44621</v>
      </c>
      <c r="C84" s="198">
        <v>64127</v>
      </c>
      <c r="D84" s="198" t="s">
        <v>431</v>
      </c>
      <c r="E84" s="198" t="s">
        <v>239</v>
      </c>
    </row>
    <row r="85" spans="1:5" x14ac:dyDescent="0.25">
      <c r="A85" s="199" t="s">
        <v>378</v>
      </c>
      <c r="B85" s="199">
        <v>44652</v>
      </c>
      <c r="C85" s="198">
        <v>64127</v>
      </c>
      <c r="D85" s="198" t="s">
        <v>431</v>
      </c>
      <c r="E85" s="198" t="s">
        <v>239</v>
      </c>
    </row>
    <row r="86" spans="1:5" x14ac:dyDescent="0.25">
      <c r="A86" s="199" t="s">
        <v>378</v>
      </c>
      <c r="B86" s="199">
        <v>44682</v>
      </c>
      <c r="C86" s="198">
        <v>64127</v>
      </c>
      <c r="D86" s="198" t="s">
        <v>431</v>
      </c>
      <c r="E86" s="198" t="s">
        <v>239</v>
      </c>
    </row>
    <row r="87" spans="1:5" x14ac:dyDescent="0.25">
      <c r="A87" s="199" t="s">
        <v>378</v>
      </c>
      <c r="B87" s="199">
        <v>44713</v>
      </c>
      <c r="C87" s="198">
        <v>64127</v>
      </c>
      <c r="D87" s="198" t="s">
        <v>431</v>
      </c>
      <c r="E87" s="198" t="s">
        <v>239</v>
      </c>
    </row>
    <row r="88" spans="1:5" x14ac:dyDescent="0.25">
      <c r="A88" s="199" t="s">
        <v>378</v>
      </c>
      <c r="B88" s="199">
        <v>44743</v>
      </c>
      <c r="C88" s="198">
        <v>64127</v>
      </c>
      <c r="D88" s="198" t="s">
        <v>431</v>
      </c>
      <c r="E88" s="198" t="s">
        <v>239</v>
      </c>
    </row>
    <row r="89" spans="1:5" x14ac:dyDescent="0.25">
      <c r="A89" s="199" t="s">
        <v>378</v>
      </c>
      <c r="B89" s="199">
        <v>44774</v>
      </c>
      <c r="C89" s="198">
        <v>64127</v>
      </c>
      <c r="D89" s="198" t="s">
        <v>431</v>
      </c>
      <c r="E89" s="198" t="s">
        <v>239</v>
      </c>
    </row>
    <row r="90" spans="1:5" x14ac:dyDescent="0.25">
      <c r="A90" s="199" t="s">
        <v>378</v>
      </c>
      <c r="B90" s="199">
        <v>44805</v>
      </c>
      <c r="C90" s="198">
        <v>64127</v>
      </c>
      <c r="D90" s="198" t="s">
        <v>431</v>
      </c>
      <c r="E90" s="198" t="s">
        <v>239</v>
      </c>
    </row>
    <row r="91" spans="1:5" x14ac:dyDescent="0.25">
      <c r="A91" s="199" t="s">
        <v>378</v>
      </c>
      <c r="B91" s="199">
        <v>44835</v>
      </c>
      <c r="C91" s="198">
        <v>64127</v>
      </c>
      <c r="D91" s="198" t="s">
        <v>431</v>
      </c>
      <c r="E91" s="198" t="s">
        <v>239</v>
      </c>
    </row>
    <row r="92" spans="1:5" x14ac:dyDescent="0.25">
      <c r="A92" s="199" t="s">
        <v>378</v>
      </c>
      <c r="B92" s="199">
        <v>44866</v>
      </c>
      <c r="C92" s="198">
        <v>64127</v>
      </c>
      <c r="D92" s="198" t="s">
        <v>431</v>
      </c>
      <c r="E92" s="198" t="s">
        <v>239</v>
      </c>
    </row>
    <row r="93" spans="1:5" x14ac:dyDescent="0.25">
      <c r="A93" s="199" t="s">
        <v>378</v>
      </c>
      <c r="B93" s="199">
        <v>44896</v>
      </c>
      <c r="C93" s="198">
        <v>64127</v>
      </c>
      <c r="D93" s="198" t="s">
        <v>431</v>
      </c>
      <c r="E93" s="198" t="s">
        <v>239</v>
      </c>
    </row>
    <row r="94" spans="1:5" x14ac:dyDescent="0.25">
      <c r="A94" s="199" t="s">
        <v>379</v>
      </c>
      <c r="B94" s="199">
        <v>44562</v>
      </c>
      <c r="C94" s="198">
        <v>53333</v>
      </c>
      <c r="D94" s="198" t="s">
        <v>432</v>
      </c>
      <c r="E94" s="198" t="s">
        <v>239</v>
      </c>
    </row>
    <row r="95" spans="1:5" x14ac:dyDescent="0.25">
      <c r="A95" s="199" t="s">
        <v>379</v>
      </c>
      <c r="B95" s="199">
        <v>44593</v>
      </c>
      <c r="C95" s="198">
        <v>53333</v>
      </c>
      <c r="D95" s="198" t="s">
        <v>432</v>
      </c>
      <c r="E95" s="198" t="s">
        <v>239</v>
      </c>
    </row>
    <row r="96" spans="1:5" x14ac:dyDescent="0.25">
      <c r="A96" s="199" t="s">
        <v>379</v>
      </c>
      <c r="B96" s="199">
        <v>44621</v>
      </c>
      <c r="C96" s="198">
        <v>53333</v>
      </c>
      <c r="D96" s="198" t="s">
        <v>432</v>
      </c>
      <c r="E96" s="198" t="s">
        <v>239</v>
      </c>
    </row>
    <row r="97" spans="1:5" x14ac:dyDescent="0.25">
      <c r="A97" s="199" t="s">
        <v>379</v>
      </c>
      <c r="B97" s="199">
        <v>44652</v>
      </c>
      <c r="C97" s="198">
        <v>53333</v>
      </c>
      <c r="D97" s="198" t="s">
        <v>432</v>
      </c>
      <c r="E97" s="198" t="s">
        <v>239</v>
      </c>
    </row>
    <row r="98" spans="1:5" x14ac:dyDescent="0.25">
      <c r="A98" s="199" t="s">
        <v>379</v>
      </c>
      <c r="B98" s="199">
        <v>44682</v>
      </c>
      <c r="C98" s="198">
        <v>53333</v>
      </c>
      <c r="D98" s="198" t="s">
        <v>432</v>
      </c>
      <c r="E98" s="198" t="s">
        <v>239</v>
      </c>
    </row>
    <row r="99" spans="1:5" x14ac:dyDescent="0.25">
      <c r="A99" s="199" t="s">
        <v>379</v>
      </c>
      <c r="B99" s="199">
        <v>44713</v>
      </c>
      <c r="C99" s="198">
        <v>53333</v>
      </c>
      <c r="D99" s="198" t="s">
        <v>432</v>
      </c>
      <c r="E99" s="198" t="s">
        <v>239</v>
      </c>
    </row>
    <row r="100" spans="1:5" x14ac:dyDescent="0.25">
      <c r="A100" s="199" t="s">
        <v>379</v>
      </c>
      <c r="B100" s="199">
        <v>44743</v>
      </c>
      <c r="C100" s="198">
        <v>53333</v>
      </c>
      <c r="D100" s="198" t="s">
        <v>432</v>
      </c>
      <c r="E100" s="198" t="s">
        <v>239</v>
      </c>
    </row>
    <row r="101" spans="1:5" x14ac:dyDescent="0.25">
      <c r="A101" s="199" t="s">
        <v>379</v>
      </c>
      <c r="B101" s="199">
        <v>44774</v>
      </c>
      <c r="C101" s="198">
        <v>53333</v>
      </c>
      <c r="D101" s="198" t="s">
        <v>432</v>
      </c>
      <c r="E101" s="198" t="s">
        <v>239</v>
      </c>
    </row>
    <row r="102" spans="1:5" x14ac:dyDescent="0.25">
      <c r="A102" s="199" t="s">
        <v>379</v>
      </c>
      <c r="B102" s="199">
        <v>44805</v>
      </c>
      <c r="C102" s="198">
        <v>53333</v>
      </c>
      <c r="D102" s="198" t="s">
        <v>432</v>
      </c>
      <c r="E102" s="198" t="s">
        <v>239</v>
      </c>
    </row>
    <row r="103" spans="1:5" x14ac:dyDescent="0.25">
      <c r="A103" s="199" t="s">
        <v>379</v>
      </c>
      <c r="B103" s="199">
        <v>44835</v>
      </c>
      <c r="C103" s="199">
        <v>53333</v>
      </c>
      <c r="D103" s="199" t="s">
        <v>432</v>
      </c>
      <c r="E103" s="199" t="s">
        <v>239</v>
      </c>
    </row>
    <row r="104" spans="1:5" x14ac:dyDescent="0.25">
      <c r="A104" s="199" t="s">
        <v>379</v>
      </c>
      <c r="B104" s="199">
        <v>44866</v>
      </c>
      <c r="C104" s="199">
        <v>53333</v>
      </c>
      <c r="D104" s="199" t="s">
        <v>432</v>
      </c>
      <c r="E104" s="199" t="s">
        <v>239</v>
      </c>
    </row>
    <row r="105" spans="1:5" x14ac:dyDescent="0.25">
      <c r="A105" s="199" t="s">
        <v>379</v>
      </c>
      <c r="B105" s="199">
        <v>44896</v>
      </c>
      <c r="C105" s="199">
        <v>53333</v>
      </c>
      <c r="D105" s="199" t="s">
        <v>432</v>
      </c>
      <c r="E105" s="199" t="s">
        <v>239</v>
      </c>
    </row>
    <row r="106" spans="1:5" x14ac:dyDescent="0.25">
      <c r="A106" s="199" t="s">
        <v>380</v>
      </c>
      <c r="B106" s="199">
        <v>44562</v>
      </c>
      <c r="C106" s="199">
        <v>32500</v>
      </c>
      <c r="D106" s="199" t="s">
        <v>425</v>
      </c>
      <c r="E106" s="199" t="s">
        <v>239</v>
      </c>
    </row>
    <row r="107" spans="1:5" x14ac:dyDescent="0.25">
      <c r="A107" s="199" t="s">
        <v>380</v>
      </c>
      <c r="B107" s="199">
        <v>44593</v>
      </c>
      <c r="C107" s="199">
        <v>32500</v>
      </c>
      <c r="D107" s="199" t="s">
        <v>425</v>
      </c>
      <c r="E107" s="199" t="s">
        <v>239</v>
      </c>
    </row>
    <row r="108" spans="1:5" x14ac:dyDescent="0.25">
      <c r="A108" s="199" t="s">
        <v>380</v>
      </c>
      <c r="B108" s="199">
        <v>44621</v>
      </c>
      <c r="C108" s="199">
        <v>32500</v>
      </c>
      <c r="D108" s="199" t="s">
        <v>425</v>
      </c>
      <c r="E108" s="199" t="s">
        <v>239</v>
      </c>
    </row>
    <row r="109" spans="1:5" x14ac:dyDescent="0.25">
      <c r="A109" s="199" t="s">
        <v>380</v>
      </c>
      <c r="B109" s="199">
        <v>44652</v>
      </c>
      <c r="C109" s="199">
        <v>32500</v>
      </c>
      <c r="D109" s="199" t="s">
        <v>425</v>
      </c>
      <c r="E109" s="199" t="s">
        <v>239</v>
      </c>
    </row>
    <row r="110" spans="1:5" x14ac:dyDescent="0.25">
      <c r="A110" s="199" t="s">
        <v>380</v>
      </c>
      <c r="B110" s="199">
        <v>44682</v>
      </c>
      <c r="C110" s="199">
        <v>32500</v>
      </c>
      <c r="D110" s="199" t="s">
        <v>425</v>
      </c>
      <c r="E110" s="199" t="s">
        <v>239</v>
      </c>
    </row>
    <row r="111" spans="1:5" x14ac:dyDescent="0.25">
      <c r="A111" s="199" t="s">
        <v>380</v>
      </c>
      <c r="B111" s="199">
        <v>44713</v>
      </c>
      <c r="C111" s="199">
        <v>32500</v>
      </c>
      <c r="D111" s="199" t="s">
        <v>425</v>
      </c>
      <c r="E111" s="199" t="s">
        <v>239</v>
      </c>
    </row>
    <row r="112" spans="1:5" x14ac:dyDescent="0.25">
      <c r="A112" s="199" t="s">
        <v>380</v>
      </c>
      <c r="B112" s="199">
        <v>44743</v>
      </c>
      <c r="C112" s="199">
        <v>32500</v>
      </c>
      <c r="D112" s="199" t="s">
        <v>425</v>
      </c>
      <c r="E112" s="199" t="s">
        <v>239</v>
      </c>
    </row>
    <row r="113" spans="1:5" x14ac:dyDescent="0.25">
      <c r="A113" s="199" t="s">
        <v>380</v>
      </c>
      <c r="B113" s="199">
        <v>44774</v>
      </c>
      <c r="C113" s="199">
        <v>32500</v>
      </c>
      <c r="D113" s="199" t="s">
        <v>425</v>
      </c>
      <c r="E113" s="199" t="s">
        <v>239</v>
      </c>
    </row>
    <row r="114" spans="1:5" x14ac:dyDescent="0.25">
      <c r="A114" s="199" t="s">
        <v>380</v>
      </c>
      <c r="B114" s="199">
        <v>44805</v>
      </c>
      <c r="C114" s="199">
        <v>32500</v>
      </c>
      <c r="D114" s="199" t="s">
        <v>425</v>
      </c>
      <c r="E114" s="199" t="s">
        <v>239</v>
      </c>
    </row>
    <row r="115" spans="1:5" x14ac:dyDescent="0.25">
      <c r="A115" s="199" t="s">
        <v>380</v>
      </c>
      <c r="B115" s="199">
        <v>44835</v>
      </c>
      <c r="C115" s="199">
        <v>32500</v>
      </c>
      <c r="D115" s="199" t="s">
        <v>425</v>
      </c>
      <c r="E115" s="199" t="s">
        <v>239</v>
      </c>
    </row>
    <row r="116" spans="1:5" x14ac:dyDescent="0.25">
      <c r="A116" s="199" t="s">
        <v>380</v>
      </c>
      <c r="B116" s="199">
        <v>44866</v>
      </c>
      <c r="C116" s="199">
        <v>32500</v>
      </c>
      <c r="D116" s="199" t="s">
        <v>425</v>
      </c>
      <c r="E116" s="199" t="s">
        <v>239</v>
      </c>
    </row>
    <row r="117" spans="1:5" x14ac:dyDescent="0.25">
      <c r="A117" s="199" t="s">
        <v>380</v>
      </c>
      <c r="B117" s="199">
        <v>44896</v>
      </c>
      <c r="C117" s="199">
        <v>32500</v>
      </c>
      <c r="D117" s="199" t="s">
        <v>425</v>
      </c>
      <c r="E117" s="199" t="s">
        <v>239</v>
      </c>
    </row>
    <row r="118" spans="1:5" x14ac:dyDescent="0.25">
      <c r="A118" s="199" t="s">
        <v>330</v>
      </c>
      <c r="B118" s="199">
        <v>44562</v>
      </c>
      <c r="C118" s="199">
        <v>52083</v>
      </c>
      <c r="D118" s="199" t="s">
        <v>447</v>
      </c>
      <c r="E118" s="199" t="s">
        <v>239</v>
      </c>
    </row>
    <row r="119" spans="1:5" x14ac:dyDescent="0.25">
      <c r="A119" s="199" t="s">
        <v>330</v>
      </c>
      <c r="B119" s="199">
        <v>44593</v>
      </c>
      <c r="C119" s="199">
        <v>52083</v>
      </c>
      <c r="D119" s="199" t="s">
        <v>447</v>
      </c>
      <c r="E119" s="199" t="s">
        <v>239</v>
      </c>
    </row>
    <row r="120" spans="1:5" x14ac:dyDescent="0.25">
      <c r="A120" s="199" t="s">
        <v>330</v>
      </c>
      <c r="B120" s="199">
        <v>44621</v>
      </c>
      <c r="C120" s="199">
        <v>52083</v>
      </c>
      <c r="D120" s="199" t="s">
        <v>447</v>
      </c>
      <c r="E120" s="199" t="s">
        <v>239</v>
      </c>
    </row>
    <row r="121" spans="1:5" x14ac:dyDescent="0.25">
      <c r="A121" s="199" t="s">
        <v>330</v>
      </c>
      <c r="B121" s="199">
        <v>44652</v>
      </c>
      <c r="C121" s="199">
        <v>52083</v>
      </c>
      <c r="D121" s="199" t="s">
        <v>447</v>
      </c>
      <c r="E121" s="199" t="s">
        <v>239</v>
      </c>
    </row>
    <row r="122" spans="1:5" x14ac:dyDescent="0.25">
      <c r="A122" s="199" t="s">
        <v>330</v>
      </c>
      <c r="B122" s="199">
        <v>44682</v>
      </c>
      <c r="C122" s="199">
        <v>52083</v>
      </c>
      <c r="D122" s="199" t="s">
        <v>447</v>
      </c>
      <c r="E122" s="199" t="s">
        <v>239</v>
      </c>
    </row>
    <row r="123" spans="1:5" x14ac:dyDescent="0.25">
      <c r="A123" s="199" t="s">
        <v>330</v>
      </c>
      <c r="B123" s="199">
        <v>44713</v>
      </c>
      <c r="C123" s="199">
        <v>52083</v>
      </c>
      <c r="D123" s="199" t="s">
        <v>447</v>
      </c>
      <c r="E123" s="199" t="s">
        <v>239</v>
      </c>
    </row>
    <row r="124" spans="1:5" x14ac:dyDescent="0.25">
      <c r="A124" s="199" t="s">
        <v>330</v>
      </c>
      <c r="B124" s="199">
        <v>44743</v>
      </c>
      <c r="C124" s="199">
        <v>52083</v>
      </c>
      <c r="D124" s="199" t="s">
        <v>447</v>
      </c>
      <c r="E124" s="199" t="s">
        <v>239</v>
      </c>
    </row>
    <row r="125" spans="1:5" x14ac:dyDescent="0.25">
      <c r="A125" s="199" t="s">
        <v>330</v>
      </c>
      <c r="B125" s="199">
        <v>44774</v>
      </c>
      <c r="C125" s="199">
        <v>52083</v>
      </c>
      <c r="D125" s="199" t="s">
        <v>447</v>
      </c>
      <c r="E125" s="199" t="s">
        <v>239</v>
      </c>
    </row>
    <row r="126" spans="1:5" x14ac:dyDescent="0.25">
      <c r="A126" s="199" t="s">
        <v>330</v>
      </c>
      <c r="B126" s="199">
        <v>44805</v>
      </c>
      <c r="C126" s="199">
        <v>52083</v>
      </c>
      <c r="D126" s="199" t="s">
        <v>447</v>
      </c>
      <c r="E126" s="199" t="s">
        <v>239</v>
      </c>
    </row>
    <row r="127" spans="1:5" x14ac:dyDescent="0.25">
      <c r="A127" s="199" t="s">
        <v>330</v>
      </c>
      <c r="B127" s="199">
        <v>44835</v>
      </c>
      <c r="C127" s="199">
        <v>52083</v>
      </c>
      <c r="D127" s="199" t="s">
        <v>447</v>
      </c>
      <c r="E127" s="199" t="s">
        <v>239</v>
      </c>
    </row>
    <row r="128" spans="1:5" x14ac:dyDescent="0.25">
      <c r="A128" s="199" t="s">
        <v>330</v>
      </c>
      <c r="B128" s="199">
        <v>44866</v>
      </c>
      <c r="C128" s="199">
        <v>52083</v>
      </c>
      <c r="D128" s="199" t="s">
        <v>447</v>
      </c>
      <c r="E128" s="199" t="s">
        <v>239</v>
      </c>
    </row>
    <row r="129" spans="1:5" x14ac:dyDescent="0.25">
      <c r="A129" s="199" t="s">
        <v>330</v>
      </c>
      <c r="B129" s="199">
        <v>44896</v>
      </c>
      <c r="C129" s="199">
        <v>52083</v>
      </c>
      <c r="D129" s="199" t="s">
        <v>447</v>
      </c>
      <c r="E129" s="199" t="s">
        <v>239</v>
      </c>
    </row>
    <row r="130" spans="1:5" x14ac:dyDescent="0.25">
      <c r="A130" s="199" t="s">
        <v>1169</v>
      </c>
      <c r="B130" s="199">
        <v>44713</v>
      </c>
      <c r="C130" s="199">
        <v>6147600</v>
      </c>
      <c r="D130" s="199" t="s">
        <v>845</v>
      </c>
      <c r="E130" s="199" t="s">
        <v>239</v>
      </c>
    </row>
  </sheetData>
  <phoneticPr fontId="20" type="noConversion"/>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3:Q130"/>
  <sheetViews>
    <sheetView topLeftCell="A16" workbookViewId="0">
      <selection activeCell="B16" sqref="B16"/>
    </sheetView>
  </sheetViews>
  <sheetFormatPr defaultRowHeight="15" x14ac:dyDescent="0.25"/>
  <cols>
    <col min="1" max="1" width="79.140625" style="2" customWidth="1"/>
    <col min="2" max="2" width="16.28515625" bestFit="1" customWidth="1"/>
    <col min="3" max="26" width="10.140625" bestFit="1" customWidth="1"/>
    <col min="27" max="27" width="11.140625" bestFit="1" customWidth="1"/>
    <col min="28" max="28" width="11.28515625" bestFit="1" customWidth="1"/>
  </cols>
  <sheetData>
    <row r="3" spans="1:17" x14ac:dyDescent="0.25">
      <c r="A3" s="4" t="s">
        <v>269</v>
      </c>
      <c r="B3" s="4" t="s">
        <v>137</v>
      </c>
    </row>
    <row r="4" spans="1:17" x14ac:dyDescent="0.25">
      <c r="A4" s="4" t="s">
        <v>242</v>
      </c>
      <c r="B4" s="6">
        <v>44531</v>
      </c>
      <c r="C4" s="6">
        <v>44774</v>
      </c>
      <c r="D4" s="6">
        <v>44652</v>
      </c>
      <c r="E4" s="6">
        <v>44896</v>
      </c>
      <c r="F4" s="6">
        <v>44621</v>
      </c>
      <c r="G4" s="6">
        <v>44562</v>
      </c>
      <c r="H4" s="6">
        <v>44713</v>
      </c>
      <c r="I4" s="6">
        <v>44749</v>
      </c>
      <c r="J4" s="6">
        <v>44805</v>
      </c>
      <c r="K4" s="6">
        <v>44866</v>
      </c>
      <c r="L4" s="6">
        <v>44593</v>
      </c>
      <c r="M4" s="6">
        <v>44682</v>
      </c>
      <c r="N4" s="6">
        <v>44743</v>
      </c>
      <c r="O4" s="6">
        <v>44835</v>
      </c>
      <c r="P4" s="6">
        <v>44927</v>
      </c>
      <c r="Q4" s="6" t="s">
        <v>138</v>
      </c>
    </row>
    <row r="5" spans="1:17" x14ac:dyDescent="0.25">
      <c r="A5" s="191" t="s">
        <v>333</v>
      </c>
      <c r="B5" s="1"/>
      <c r="C5" s="1">
        <v>0</v>
      </c>
      <c r="D5" s="1">
        <v>319662</v>
      </c>
      <c r="E5" s="1">
        <v>0</v>
      </c>
      <c r="F5" s="1">
        <v>319662</v>
      </c>
      <c r="G5" s="1">
        <v>319662</v>
      </c>
      <c r="H5" s="1">
        <v>319662</v>
      </c>
      <c r="I5" s="1"/>
      <c r="J5" s="1">
        <v>0</v>
      </c>
      <c r="K5" s="1">
        <v>0</v>
      </c>
      <c r="L5" s="1">
        <v>319662</v>
      </c>
      <c r="M5" s="1">
        <v>319662</v>
      </c>
      <c r="N5" s="1">
        <v>0</v>
      </c>
      <c r="O5" s="1">
        <v>0</v>
      </c>
      <c r="P5" s="1"/>
      <c r="Q5" s="1">
        <v>1917972</v>
      </c>
    </row>
    <row r="6" spans="1:17" x14ac:dyDescent="0.25">
      <c r="A6" s="191" t="s">
        <v>330</v>
      </c>
      <c r="B6" s="1"/>
      <c r="C6" s="1">
        <v>52083</v>
      </c>
      <c r="D6" s="1">
        <v>52083</v>
      </c>
      <c r="E6" s="1">
        <v>52083</v>
      </c>
      <c r="F6" s="1">
        <v>52083</v>
      </c>
      <c r="G6" s="1">
        <v>52083</v>
      </c>
      <c r="H6" s="1">
        <v>52083</v>
      </c>
      <c r="I6" s="1"/>
      <c r="J6" s="1">
        <v>52083</v>
      </c>
      <c r="K6" s="1">
        <v>52083</v>
      </c>
      <c r="L6" s="1">
        <v>52083</v>
      </c>
      <c r="M6" s="1">
        <v>52083</v>
      </c>
      <c r="N6" s="1">
        <v>52083</v>
      </c>
      <c r="O6" s="1">
        <v>52083</v>
      </c>
      <c r="P6" s="1"/>
      <c r="Q6" s="1">
        <v>624996</v>
      </c>
    </row>
    <row r="7" spans="1:17" x14ac:dyDescent="0.25">
      <c r="A7" s="191" t="s">
        <v>332</v>
      </c>
      <c r="B7" s="1"/>
      <c r="C7" s="1"/>
      <c r="D7" s="1"/>
      <c r="E7" s="1"/>
      <c r="F7" s="1">
        <v>0</v>
      </c>
      <c r="G7" s="1"/>
      <c r="H7" s="1"/>
      <c r="I7" s="1"/>
      <c r="J7" s="1"/>
      <c r="K7" s="1"/>
      <c r="L7" s="1"/>
      <c r="M7" s="1"/>
      <c r="N7" s="1"/>
      <c r="O7" s="1"/>
      <c r="P7" s="1"/>
      <c r="Q7" s="1">
        <v>0</v>
      </c>
    </row>
    <row r="8" spans="1:17" x14ac:dyDescent="0.25">
      <c r="A8" s="191" t="s">
        <v>381</v>
      </c>
      <c r="B8" s="1"/>
      <c r="C8" s="1"/>
      <c r="D8" s="1"/>
      <c r="E8" s="1"/>
      <c r="F8" s="1"/>
      <c r="G8" s="1"/>
      <c r="H8" s="1"/>
      <c r="I8" s="1">
        <v>804832</v>
      </c>
      <c r="J8" s="1">
        <v>57488</v>
      </c>
      <c r="K8" s="1">
        <v>57488</v>
      </c>
      <c r="L8" s="1"/>
      <c r="M8" s="1"/>
      <c r="N8" s="1"/>
      <c r="O8" s="1"/>
      <c r="P8" s="1"/>
      <c r="Q8" s="1">
        <v>919808</v>
      </c>
    </row>
    <row r="9" spans="1:17" x14ac:dyDescent="0.25">
      <c r="A9" s="191" t="s">
        <v>1169</v>
      </c>
      <c r="B9" s="1"/>
      <c r="C9" s="1"/>
      <c r="D9" s="1"/>
      <c r="E9" s="1"/>
      <c r="F9" s="1"/>
      <c r="G9" s="1"/>
      <c r="H9" s="1">
        <v>6147600</v>
      </c>
      <c r="I9" s="1"/>
      <c r="J9" s="1"/>
      <c r="K9" s="1"/>
      <c r="L9" s="1"/>
      <c r="M9" s="1"/>
      <c r="N9" s="1"/>
      <c r="O9" s="1"/>
      <c r="P9" s="1"/>
      <c r="Q9" s="1">
        <v>6147600</v>
      </c>
    </row>
    <row r="10" spans="1:17" x14ac:dyDescent="0.25">
      <c r="A10" s="191" t="s">
        <v>577</v>
      </c>
      <c r="B10" s="1"/>
      <c r="C10" s="1"/>
      <c r="D10" s="1"/>
      <c r="E10" s="1"/>
      <c r="F10" s="1"/>
      <c r="G10" s="1"/>
      <c r="H10" s="1"/>
      <c r="I10" s="1"/>
      <c r="J10" s="1"/>
      <c r="K10" s="1">
        <v>14160000</v>
      </c>
      <c r="L10" s="1"/>
      <c r="M10" s="1"/>
      <c r="N10" s="1"/>
      <c r="O10" s="1"/>
      <c r="P10" s="1"/>
      <c r="Q10" s="1">
        <v>14160000</v>
      </c>
    </row>
    <row r="11" spans="1:17" x14ac:dyDescent="0.25">
      <c r="A11" s="191" t="s">
        <v>492</v>
      </c>
      <c r="B11" s="1"/>
      <c r="C11" s="1">
        <v>491667</v>
      </c>
      <c r="D11" s="1">
        <v>491667</v>
      </c>
      <c r="E11" s="1">
        <v>491667</v>
      </c>
      <c r="F11" s="1">
        <v>491667</v>
      </c>
      <c r="G11" s="1">
        <v>491667</v>
      </c>
      <c r="H11" s="1">
        <v>491667</v>
      </c>
      <c r="I11" s="1"/>
      <c r="J11" s="1">
        <v>491667</v>
      </c>
      <c r="K11" s="1">
        <v>491667</v>
      </c>
      <c r="L11" s="1">
        <v>491667</v>
      </c>
      <c r="M11" s="1">
        <v>491667</v>
      </c>
      <c r="N11" s="1">
        <v>491667</v>
      </c>
      <c r="O11" s="1">
        <v>491667</v>
      </c>
      <c r="P11" s="1"/>
      <c r="Q11" s="1">
        <v>5900004</v>
      </c>
    </row>
    <row r="12" spans="1:17" x14ac:dyDescent="0.25">
      <c r="A12" s="191" t="s">
        <v>489</v>
      </c>
      <c r="B12" s="1"/>
      <c r="C12" s="1"/>
      <c r="D12" s="1"/>
      <c r="E12" s="1"/>
      <c r="F12" s="1"/>
      <c r="G12" s="1"/>
      <c r="H12" s="1"/>
      <c r="I12" s="1"/>
      <c r="J12" s="1"/>
      <c r="K12" s="1"/>
      <c r="L12" s="1">
        <v>220000</v>
      </c>
      <c r="M12" s="1"/>
      <c r="N12" s="1"/>
      <c r="O12" s="1"/>
      <c r="P12" s="1"/>
      <c r="Q12" s="1">
        <v>220000</v>
      </c>
    </row>
    <row r="13" spans="1:17" x14ac:dyDescent="0.25">
      <c r="A13" s="191" t="s">
        <v>490</v>
      </c>
      <c r="B13" s="1"/>
      <c r="C13" s="1">
        <v>11500</v>
      </c>
      <c r="D13" s="1">
        <v>11500</v>
      </c>
      <c r="E13" s="1">
        <v>11500</v>
      </c>
      <c r="F13" s="1">
        <v>11500</v>
      </c>
      <c r="G13" s="1">
        <v>11500</v>
      </c>
      <c r="H13" s="1">
        <v>11500</v>
      </c>
      <c r="I13" s="1"/>
      <c r="J13" s="1">
        <v>11500</v>
      </c>
      <c r="K13" s="1">
        <v>11500</v>
      </c>
      <c r="L13" s="1">
        <v>11500</v>
      </c>
      <c r="M13" s="1">
        <v>11500</v>
      </c>
      <c r="N13" s="1">
        <v>11500</v>
      </c>
      <c r="O13" s="1">
        <v>11500</v>
      </c>
      <c r="P13" s="1"/>
      <c r="Q13" s="1">
        <v>138000</v>
      </c>
    </row>
    <row r="14" spans="1:17" x14ac:dyDescent="0.25">
      <c r="A14" s="191" t="s">
        <v>484</v>
      </c>
      <c r="B14" s="1"/>
      <c r="C14" s="1">
        <v>495850</v>
      </c>
      <c r="D14" s="1">
        <v>495850</v>
      </c>
      <c r="E14" s="1">
        <v>495850</v>
      </c>
      <c r="F14" s="1">
        <v>495850</v>
      </c>
      <c r="G14" s="1">
        <v>495850</v>
      </c>
      <c r="H14" s="1">
        <v>495850</v>
      </c>
      <c r="I14" s="1"/>
      <c r="J14" s="1">
        <v>495850</v>
      </c>
      <c r="K14" s="1">
        <v>495850</v>
      </c>
      <c r="L14" s="1">
        <v>495850</v>
      </c>
      <c r="M14" s="1">
        <v>495850</v>
      </c>
      <c r="N14" s="1">
        <v>495850</v>
      </c>
      <c r="O14" s="1">
        <v>495850</v>
      </c>
      <c r="P14" s="1"/>
      <c r="Q14" s="1">
        <v>5950200</v>
      </c>
    </row>
    <row r="15" spans="1:17" x14ac:dyDescent="0.25">
      <c r="A15" s="191" t="s">
        <v>483</v>
      </c>
      <c r="B15" s="1"/>
      <c r="C15" s="1">
        <v>487600</v>
      </c>
      <c r="D15" s="1">
        <v>487600</v>
      </c>
      <c r="E15" s="1">
        <v>487600</v>
      </c>
      <c r="F15" s="1">
        <v>487600</v>
      </c>
      <c r="G15" s="1">
        <v>487600</v>
      </c>
      <c r="H15" s="1">
        <v>487600</v>
      </c>
      <c r="I15" s="1"/>
      <c r="J15" s="1">
        <v>487600</v>
      </c>
      <c r="K15" s="1">
        <v>487600</v>
      </c>
      <c r="L15" s="1">
        <v>487600</v>
      </c>
      <c r="M15" s="1">
        <v>487600</v>
      </c>
      <c r="N15" s="1">
        <v>487600</v>
      </c>
      <c r="O15" s="1">
        <v>487600</v>
      </c>
      <c r="P15" s="1"/>
      <c r="Q15" s="1">
        <v>5851200</v>
      </c>
    </row>
    <row r="16" spans="1:17" x14ac:dyDescent="0.25">
      <c r="A16" s="191" t="s">
        <v>482</v>
      </c>
      <c r="B16" s="1"/>
      <c r="C16" s="1">
        <v>125000</v>
      </c>
      <c r="D16" s="1">
        <v>125000</v>
      </c>
      <c r="E16" s="1">
        <v>125000</v>
      </c>
      <c r="F16" s="1">
        <v>125000</v>
      </c>
      <c r="G16" s="1">
        <v>125000</v>
      </c>
      <c r="H16" s="1">
        <v>125000</v>
      </c>
      <c r="I16" s="1"/>
      <c r="J16" s="1">
        <v>125000</v>
      </c>
      <c r="K16" s="1">
        <v>125000</v>
      </c>
      <c r="L16" s="1">
        <v>125000</v>
      </c>
      <c r="M16" s="1">
        <v>125000</v>
      </c>
      <c r="N16" s="1">
        <v>125000</v>
      </c>
      <c r="O16" s="1">
        <v>125000</v>
      </c>
      <c r="P16" s="1"/>
      <c r="Q16" s="1">
        <v>1500000</v>
      </c>
    </row>
    <row r="17" spans="1:17" x14ac:dyDescent="0.25">
      <c r="A17" s="191" t="s">
        <v>485</v>
      </c>
      <c r="B17" s="1"/>
      <c r="C17" s="1">
        <v>135012</v>
      </c>
      <c r="D17" s="1">
        <v>135012</v>
      </c>
      <c r="E17" s="1">
        <v>135012</v>
      </c>
      <c r="F17" s="1">
        <v>135012</v>
      </c>
      <c r="G17" s="1">
        <v>135012</v>
      </c>
      <c r="H17" s="1">
        <v>135012</v>
      </c>
      <c r="I17" s="1"/>
      <c r="J17" s="1">
        <v>135012</v>
      </c>
      <c r="K17" s="1">
        <v>135012</v>
      </c>
      <c r="L17" s="1">
        <v>135012</v>
      </c>
      <c r="M17" s="1">
        <v>135012</v>
      </c>
      <c r="N17" s="1">
        <v>135012</v>
      </c>
      <c r="O17" s="1">
        <v>135012</v>
      </c>
      <c r="P17" s="1"/>
      <c r="Q17" s="1">
        <v>1620144</v>
      </c>
    </row>
    <row r="18" spans="1:17" x14ac:dyDescent="0.25">
      <c r="A18" s="191" t="s">
        <v>524</v>
      </c>
      <c r="B18" s="1"/>
      <c r="C18" s="1">
        <v>35000</v>
      </c>
      <c r="D18" s="1">
        <v>35000</v>
      </c>
      <c r="E18" s="1">
        <v>35000</v>
      </c>
      <c r="F18" s="1">
        <v>35000</v>
      </c>
      <c r="G18" s="1">
        <v>35000</v>
      </c>
      <c r="H18" s="1">
        <v>35000</v>
      </c>
      <c r="I18" s="1"/>
      <c r="J18" s="1">
        <v>35000</v>
      </c>
      <c r="K18" s="1">
        <v>35000</v>
      </c>
      <c r="L18" s="1">
        <v>35000</v>
      </c>
      <c r="M18" s="1">
        <v>35000</v>
      </c>
      <c r="N18" s="1">
        <v>35000</v>
      </c>
      <c r="O18" s="1">
        <v>35000</v>
      </c>
      <c r="P18" s="1"/>
      <c r="Q18" s="1">
        <v>420000</v>
      </c>
    </row>
    <row r="19" spans="1:17" x14ac:dyDescent="0.25">
      <c r="A19" s="191" t="s">
        <v>525</v>
      </c>
      <c r="B19" s="1"/>
      <c r="C19" s="1">
        <v>6500</v>
      </c>
      <c r="D19" s="1">
        <v>6500</v>
      </c>
      <c r="E19" s="1">
        <v>6500</v>
      </c>
      <c r="F19" s="1">
        <v>6500</v>
      </c>
      <c r="G19" s="1">
        <v>6500</v>
      </c>
      <c r="H19" s="1">
        <v>6500</v>
      </c>
      <c r="I19" s="1"/>
      <c r="J19" s="1">
        <v>6500</v>
      </c>
      <c r="K19" s="1">
        <v>6500</v>
      </c>
      <c r="L19" s="1">
        <v>6500</v>
      </c>
      <c r="M19" s="1">
        <v>6500</v>
      </c>
      <c r="N19" s="1">
        <v>6500</v>
      </c>
      <c r="O19" s="1">
        <v>6500</v>
      </c>
      <c r="P19" s="1"/>
      <c r="Q19" s="1">
        <v>78000</v>
      </c>
    </row>
    <row r="20" spans="1:17" x14ac:dyDescent="0.25">
      <c r="A20" s="191" t="s">
        <v>500</v>
      </c>
      <c r="B20" s="1"/>
      <c r="C20" s="1">
        <v>325000</v>
      </c>
      <c r="D20" s="1">
        <v>325000</v>
      </c>
      <c r="E20" s="1">
        <v>325000</v>
      </c>
      <c r="F20" s="1">
        <v>325000</v>
      </c>
      <c r="G20" s="1">
        <v>325000</v>
      </c>
      <c r="H20" s="1">
        <v>325000</v>
      </c>
      <c r="I20" s="1"/>
      <c r="J20" s="1">
        <v>325000</v>
      </c>
      <c r="K20" s="1">
        <v>325000</v>
      </c>
      <c r="L20" s="1">
        <v>325000</v>
      </c>
      <c r="M20" s="1">
        <v>325000</v>
      </c>
      <c r="N20" s="1">
        <v>325000</v>
      </c>
      <c r="O20" s="1">
        <v>325000</v>
      </c>
      <c r="P20" s="1"/>
      <c r="Q20" s="1">
        <v>3900000</v>
      </c>
    </row>
    <row r="21" spans="1:17" x14ac:dyDescent="0.25">
      <c r="A21" s="191" t="s">
        <v>505</v>
      </c>
      <c r="B21" s="1"/>
      <c r="C21" s="1">
        <v>51546</v>
      </c>
      <c r="D21" s="1">
        <v>151546</v>
      </c>
      <c r="E21" s="1">
        <v>51546</v>
      </c>
      <c r="F21" s="1">
        <v>51546</v>
      </c>
      <c r="G21" s="1">
        <v>51546</v>
      </c>
      <c r="H21" s="1">
        <v>51546</v>
      </c>
      <c r="I21" s="1"/>
      <c r="J21" s="1">
        <v>51546</v>
      </c>
      <c r="K21" s="1">
        <v>51546</v>
      </c>
      <c r="L21" s="1">
        <v>51546</v>
      </c>
      <c r="M21" s="1">
        <v>51546</v>
      </c>
      <c r="N21" s="1">
        <v>51546</v>
      </c>
      <c r="O21" s="1">
        <v>51546</v>
      </c>
      <c r="P21" s="1"/>
      <c r="Q21" s="1">
        <v>718552</v>
      </c>
    </row>
    <row r="22" spans="1:17" x14ac:dyDescent="0.25">
      <c r="A22" s="191" t="s">
        <v>481</v>
      </c>
      <c r="B22" s="1"/>
      <c r="C22" s="1"/>
      <c r="D22" s="1"/>
      <c r="E22" s="1">
        <v>0</v>
      </c>
      <c r="F22" s="1">
        <v>489500</v>
      </c>
      <c r="G22" s="1"/>
      <c r="H22" s="1"/>
      <c r="I22" s="1"/>
      <c r="J22" s="1"/>
      <c r="K22" s="1"/>
      <c r="L22" s="1"/>
      <c r="M22" s="1">
        <v>88500</v>
      </c>
      <c r="N22" s="1"/>
      <c r="O22" s="1"/>
      <c r="P22" s="1"/>
      <c r="Q22" s="1">
        <v>578000</v>
      </c>
    </row>
    <row r="23" spans="1:17" x14ac:dyDescent="0.25">
      <c r="A23" s="191" t="s">
        <v>494</v>
      </c>
      <c r="B23" s="1"/>
      <c r="C23" s="1">
        <v>7388</v>
      </c>
      <c r="D23" s="1">
        <v>7388</v>
      </c>
      <c r="E23" s="1">
        <v>7388</v>
      </c>
      <c r="F23" s="1">
        <v>7388</v>
      </c>
      <c r="G23" s="1">
        <v>7388</v>
      </c>
      <c r="H23" s="1">
        <v>7388</v>
      </c>
      <c r="I23" s="1"/>
      <c r="J23" s="1">
        <v>7388</v>
      </c>
      <c r="K23" s="1">
        <v>7388</v>
      </c>
      <c r="L23" s="1">
        <v>7388</v>
      </c>
      <c r="M23" s="1">
        <v>7388</v>
      </c>
      <c r="N23" s="1">
        <v>7388</v>
      </c>
      <c r="O23" s="1">
        <v>7388</v>
      </c>
      <c r="P23" s="1"/>
      <c r="Q23" s="1">
        <v>88656</v>
      </c>
    </row>
    <row r="24" spans="1:17" x14ac:dyDescent="0.25">
      <c r="A24" s="191" t="s">
        <v>507</v>
      </c>
      <c r="B24" s="1"/>
      <c r="C24" s="1">
        <v>34717</v>
      </c>
      <c r="D24" s="1">
        <v>34717</v>
      </c>
      <c r="E24" s="1">
        <v>34717</v>
      </c>
      <c r="F24" s="1">
        <v>34717</v>
      </c>
      <c r="G24" s="1">
        <v>34717</v>
      </c>
      <c r="H24" s="1">
        <v>34717</v>
      </c>
      <c r="I24" s="1"/>
      <c r="J24" s="1">
        <v>34717</v>
      </c>
      <c r="K24" s="1">
        <v>34717</v>
      </c>
      <c r="L24" s="1">
        <v>34717</v>
      </c>
      <c r="M24" s="1">
        <v>34717</v>
      </c>
      <c r="N24" s="1">
        <v>34717</v>
      </c>
      <c r="O24" s="1">
        <v>34717</v>
      </c>
      <c r="P24" s="1"/>
      <c r="Q24" s="1">
        <v>416604</v>
      </c>
    </row>
    <row r="25" spans="1:17" x14ac:dyDescent="0.25">
      <c r="A25" s="191" t="s">
        <v>526</v>
      </c>
      <c r="B25" s="1"/>
      <c r="C25" s="1">
        <v>700</v>
      </c>
      <c r="D25" s="1">
        <v>700</v>
      </c>
      <c r="E25" s="1">
        <v>700</v>
      </c>
      <c r="F25" s="1">
        <v>700</v>
      </c>
      <c r="G25" s="1">
        <v>700</v>
      </c>
      <c r="H25" s="1">
        <v>700</v>
      </c>
      <c r="I25" s="1"/>
      <c r="J25" s="1">
        <v>700</v>
      </c>
      <c r="K25" s="1">
        <v>700</v>
      </c>
      <c r="L25" s="1">
        <v>700</v>
      </c>
      <c r="M25" s="1">
        <v>700</v>
      </c>
      <c r="N25" s="1">
        <v>700</v>
      </c>
      <c r="O25" s="1">
        <v>700</v>
      </c>
      <c r="P25" s="1"/>
      <c r="Q25" s="1">
        <v>8400</v>
      </c>
    </row>
    <row r="26" spans="1:17" x14ac:dyDescent="0.25">
      <c r="A26" s="191" t="s">
        <v>502</v>
      </c>
      <c r="B26" s="1"/>
      <c r="C26" s="1">
        <v>185000</v>
      </c>
      <c r="D26" s="1">
        <v>185000</v>
      </c>
      <c r="E26" s="1">
        <v>185000</v>
      </c>
      <c r="F26" s="1">
        <v>185000</v>
      </c>
      <c r="G26" s="1">
        <v>185000</v>
      </c>
      <c r="H26" s="1">
        <v>185000</v>
      </c>
      <c r="I26" s="1"/>
      <c r="J26" s="1">
        <v>185000</v>
      </c>
      <c r="K26" s="1">
        <v>185000</v>
      </c>
      <c r="L26" s="1">
        <v>185000</v>
      </c>
      <c r="M26" s="1">
        <v>185000</v>
      </c>
      <c r="N26" s="1">
        <v>185000</v>
      </c>
      <c r="O26" s="1">
        <v>185000</v>
      </c>
      <c r="P26" s="1"/>
      <c r="Q26" s="1">
        <v>2220000</v>
      </c>
    </row>
    <row r="27" spans="1:17" x14ac:dyDescent="0.25">
      <c r="A27" s="191" t="s">
        <v>501</v>
      </c>
      <c r="B27" s="1"/>
      <c r="C27" s="1">
        <v>131200</v>
      </c>
      <c r="D27" s="1">
        <v>131200</v>
      </c>
      <c r="E27" s="1">
        <v>131200</v>
      </c>
      <c r="F27" s="1">
        <v>131200</v>
      </c>
      <c r="G27" s="1">
        <v>131200</v>
      </c>
      <c r="H27" s="1">
        <v>131200</v>
      </c>
      <c r="I27" s="1"/>
      <c r="J27" s="1">
        <v>131200</v>
      </c>
      <c r="K27" s="1">
        <v>131200</v>
      </c>
      <c r="L27" s="1">
        <v>131200</v>
      </c>
      <c r="M27" s="1">
        <v>131200</v>
      </c>
      <c r="N27" s="1">
        <v>131200</v>
      </c>
      <c r="O27" s="1">
        <v>131200</v>
      </c>
      <c r="P27" s="1"/>
      <c r="Q27" s="1">
        <v>1574400</v>
      </c>
    </row>
    <row r="28" spans="1:17" x14ac:dyDescent="0.25">
      <c r="A28" s="191" t="s">
        <v>527</v>
      </c>
      <c r="B28" s="1"/>
      <c r="C28" s="1">
        <v>3800</v>
      </c>
      <c r="D28" s="1">
        <v>3800</v>
      </c>
      <c r="E28" s="1">
        <v>3800</v>
      </c>
      <c r="F28" s="1">
        <v>3800</v>
      </c>
      <c r="G28" s="1">
        <v>3800</v>
      </c>
      <c r="H28" s="1">
        <v>3800</v>
      </c>
      <c r="I28" s="1"/>
      <c r="J28" s="1">
        <v>3800</v>
      </c>
      <c r="K28" s="1">
        <v>3800</v>
      </c>
      <c r="L28" s="1">
        <v>103800</v>
      </c>
      <c r="M28" s="1">
        <v>3800</v>
      </c>
      <c r="N28" s="1">
        <v>3800</v>
      </c>
      <c r="O28" s="1">
        <v>3800</v>
      </c>
      <c r="P28" s="1"/>
      <c r="Q28" s="1">
        <v>145600</v>
      </c>
    </row>
    <row r="29" spans="1:17" x14ac:dyDescent="0.25">
      <c r="A29" s="191" t="s">
        <v>498</v>
      </c>
      <c r="B29" s="1"/>
      <c r="C29" s="1">
        <v>150</v>
      </c>
      <c r="D29" s="1">
        <v>150</v>
      </c>
      <c r="E29" s="1">
        <v>150</v>
      </c>
      <c r="F29" s="1">
        <v>150</v>
      </c>
      <c r="G29" s="1">
        <v>150</v>
      </c>
      <c r="H29" s="1">
        <v>150</v>
      </c>
      <c r="I29" s="1"/>
      <c r="J29" s="1">
        <v>150</v>
      </c>
      <c r="K29" s="1">
        <v>150</v>
      </c>
      <c r="L29" s="1">
        <v>150</v>
      </c>
      <c r="M29" s="1">
        <v>150</v>
      </c>
      <c r="N29" s="1">
        <v>150</v>
      </c>
      <c r="O29" s="1">
        <v>150</v>
      </c>
      <c r="P29" s="1"/>
      <c r="Q29" s="1">
        <v>1800</v>
      </c>
    </row>
    <row r="30" spans="1:17" x14ac:dyDescent="0.25">
      <c r="A30" s="191" t="s">
        <v>508</v>
      </c>
      <c r="B30" s="1"/>
      <c r="C30" s="1">
        <v>2042</v>
      </c>
      <c r="D30" s="1">
        <v>2042</v>
      </c>
      <c r="E30" s="1">
        <v>2042</v>
      </c>
      <c r="F30" s="1">
        <v>2042</v>
      </c>
      <c r="G30" s="1">
        <v>2042</v>
      </c>
      <c r="H30" s="1">
        <v>2042</v>
      </c>
      <c r="I30" s="1"/>
      <c r="J30" s="1">
        <v>2042</v>
      </c>
      <c r="K30" s="1">
        <v>2042</v>
      </c>
      <c r="L30" s="1">
        <v>2042</v>
      </c>
      <c r="M30" s="1">
        <v>2042</v>
      </c>
      <c r="N30" s="1">
        <v>2042</v>
      </c>
      <c r="O30" s="1">
        <v>2042</v>
      </c>
      <c r="P30" s="1"/>
      <c r="Q30" s="1">
        <v>24504</v>
      </c>
    </row>
    <row r="31" spans="1:17" x14ac:dyDescent="0.25">
      <c r="A31" s="191" t="s">
        <v>495</v>
      </c>
      <c r="B31" s="1"/>
      <c r="C31" s="1">
        <v>33375</v>
      </c>
      <c r="D31" s="1">
        <v>33375</v>
      </c>
      <c r="E31" s="1">
        <v>33375</v>
      </c>
      <c r="F31" s="1">
        <v>33375</v>
      </c>
      <c r="G31" s="1">
        <v>33375</v>
      </c>
      <c r="H31" s="1">
        <v>33375</v>
      </c>
      <c r="I31" s="1"/>
      <c r="J31" s="1">
        <v>33375</v>
      </c>
      <c r="K31" s="1">
        <v>33375</v>
      </c>
      <c r="L31" s="1">
        <v>33375</v>
      </c>
      <c r="M31" s="1">
        <v>33375</v>
      </c>
      <c r="N31" s="1">
        <v>33375</v>
      </c>
      <c r="O31" s="1">
        <v>33375</v>
      </c>
      <c r="P31" s="1"/>
      <c r="Q31" s="1">
        <v>400500</v>
      </c>
    </row>
    <row r="32" spans="1:17" x14ac:dyDescent="0.25">
      <c r="A32" s="191" t="s">
        <v>534</v>
      </c>
      <c r="B32" s="1"/>
      <c r="C32" s="1"/>
      <c r="D32" s="1"/>
      <c r="E32" s="1"/>
      <c r="F32" s="1"/>
      <c r="G32" s="1"/>
      <c r="H32" s="1"/>
      <c r="I32" s="1"/>
      <c r="J32" s="1"/>
      <c r="K32" s="1"/>
      <c r="L32" s="1"/>
      <c r="M32" s="1">
        <v>30245</v>
      </c>
      <c r="N32" s="1"/>
      <c r="O32" s="1"/>
      <c r="P32" s="1"/>
      <c r="Q32" s="1">
        <v>30245</v>
      </c>
    </row>
    <row r="33" spans="1:17" x14ac:dyDescent="0.25">
      <c r="A33" s="191" t="s">
        <v>532</v>
      </c>
      <c r="B33" s="1"/>
      <c r="C33" s="1"/>
      <c r="D33" s="1"/>
      <c r="E33" s="1"/>
      <c r="F33" s="1"/>
      <c r="G33" s="1"/>
      <c r="H33" s="1"/>
      <c r="I33" s="1"/>
      <c r="J33" s="1"/>
      <c r="K33" s="1"/>
      <c r="L33" s="1"/>
      <c r="M33" s="1">
        <v>794065</v>
      </c>
      <c r="N33" s="1"/>
      <c r="O33" s="1"/>
      <c r="P33" s="1"/>
      <c r="Q33" s="1">
        <v>794065</v>
      </c>
    </row>
    <row r="34" spans="1:17" x14ac:dyDescent="0.25">
      <c r="A34" s="191" t="s">
        <v>533</v>
      </c>
      <c r="B34" s="1"/>
      <c r="C34" s="1"/>
      <c r="D34" s="1"/>
      <c r="E34" s="1"/>
      <c r="F34" s="1"/>
      <c r="G34" s="1"/>
      <c r="H34" s="1"/>
      <c r="I34" s="1"/>
      <c r="J34" s="1"/>
      <c r="K34" s="1"/>
      <c r="L34" s="1"/>
      <c r="M34" s="1">
        <v>188853</v>
      </c>
      <c r="N34" s="1"/>
      <c r="O34" s="1"/>
      <c r="P34" s="1"/>
      <c r="Q34" s="1">
        <v>188853</v>
      </c>
    </row>
    <row r="35" spans="1:17" x14ac:dyDescent="0.25">
      <c r="A35" s="191" t="s">
        <v>531</v>
      </c>
      <c r="B35" s="1"/>
      <c r="C35" s="1"/>
      <c r="D35" s="1"/>
      <c r="E35" s="1"/>
      <c r="F35" s="1"/>
      <c r="G35" s="1"/>
      <c r="H35" s="1"/>
      <c r="I35" s="1"/>
      <c r="J35" s="1"/>
      <c r="K35" s="1"/>
      <c r="L35" s="1"/>
      <c r="M35" s="1">
        <v>120080</v>
      </c>
      <c r="N35" s="1"/>
      <c r="O35" s="1"/>
      <c r="P35" s="1"/>
      <c r="Q35" s="1">
        <v>120080</v>
      </c>
    </row>
    <row r="36" spans="1:17" x14ac:dyDescent="0.25">
      <c r="A36" s="191" t="s">
        <v>488</v>
      </c>
      <c r="B36" s="1"/>
      <c r="C36" s="1">
        <v>33354</v>
      </c>
      <c r="D36" s="1">
        <v>33354</v>
      </c>
      <c r="E36" s="1">
        <v>33354</v>
      </c>
      <c r="F36" s="1">
        <v>33354</v>
      </c>
      <c r="G36" s="1">
        <v>33354</v>
      </c>
      <c r="H36" s="1">
        <v>33354</v>
      </c>
      <c r="I36" s="1"/>
      <c r="J36" s="1">
        <v>33354</v>
      </c>
      <c r="K36" s="1">
        <v>33354</v>
      </c>
      <c r="L36" s="1">
        <v>33354</v>
      </c>
      <c r="M36" s="1">
        <v>33354</v>
      </c>
      <c r="N36" s="1">
        <v>33354</v>
      </c>
      <c r="O36" s="1">
        <v>33354</v>
      </c>
      <c r="P36" s="1"/>
      <c r="Q36" s="1">
        <v>400248</v>
      </c>
    </row>
    <row r="37" spans="1:17" x14ac:dyDescent="0.25">
      <c r="A37" s="191" t="s">
        <v>512</v>
      </c>
      <c r="B37" s="1"/>
      <c r="C37" s="1">
        <v>68838</v>
      </c>
      <c r="D37" s="1">
        <v>68838</v>
      </c>
      <c r="E37" s="1">
        <v>68838</v>
      </c>
      <c r="F37" s="1">
        <v>68838</v>
      </c>
      <c r="G37" s="1">
        <v>68838</v>
      </c>
      <c r="H37" s="1">
        <v>68838</v>
      </c>
      <c r="I37" s="1"/>
      <c r="J37" s="1">
        <v>68838</v>
      </c>
      <c r="K37" s="1">
        <v>68838</v>
      </c>
      <c r="L37" s="1">
        <v>68838</v>
      </c>
      <c r="M37" s="1">
        <v>68838</v>
      </c>
      <c r="N37" s="1">
        <v>68838</v>
      </c>
      <c r="O37" s="1">
        <v>68838</v>
      </c>
      <c r="P37" s="1"/>
      <c r="Q37" s="1">
        <v>826056</v>
      </c>
    </row>
    <row r="38" spans="1:17" x14ac:dyDescent="0.25">
      <c r="A38" s="191" t="s">
        <v>511</v>
      </c>
      <c r="B38" s="1"/>
      <c r="C38" s="1">
        <v>187583</v>
      </c>
      <c r="D38" s="1">
        <v>187583</v>
      </c>
      <c r="E38" s="1">
        <v>187583</v>
      </c>
      <c r="F38" s="1">
        <v>187583</v>
      </c>
      <c r="G38" s="1">
        <v>187583</v>
      </c>
      <c r="H38" s="1">
        <v>187583</v>
      </c>
      <c r="I38" s="1"/>
      <c r="J38" s="1">
        <v>187583</v>
      </c>
      <c r="K38" s="1">
        <v>187583</v>
      </c>
      <c r="L38" s="1">
        <v>187583</v>
      </c>
      <c r="M38" s="1">
        <v>187583</v>
      </c>
      <c r="N38" s="1">
        <v>187583</v>
      </c>
      <c r="O38" s="1">
        <v>187583</v>
      </c>
      <c r="P38" s="1"/>
      <c r="Q38" s="1">
        <v>2250996</v>
      </c>
    </row>
    <row r="39" spans="1:17" x14ac:dyDescent="0.25">
      <c r="A39" s="191" t="s">
        <v>542</v>
      </c>
      <c r="B39" s="1"/>
      <c r="C39" s="1">
        <v>4000</v>
      </c>
      <c r="D39" s="1">
        <v>4000</v>
      </c>
      <c r="E39" s="1">
        <v>4000</v>
      </c>
      <c r="F39" s="1">
        <v>4000</v>
      </c>
      <c r="G39" s="1">
        <v>4000</v>
      </c>
      <c r="H39" s="1">
        <v>4000</v>
      </c>
      <c r="I39" s="1"/>
      <c r="J39" s="1">
        <v>4000</v>
      </c>
      <c r="K39" s="1">
        <v>4000</v>
      </c>
      <c r="L39" s="1">
        <v>4000</v>
      </c>
      <c r="M39" s="1">
        <v>4000</v>
      </c>
      <c r="N39" s="1">
        <v>4000</v>
      </c>
      <c r="O39" s="1">
        <v>4000</v>
      </c>
      <c r="P39" s="1"/>
      <c r="Q39" s="1">
        <v>48000</v>
      </c>
    </row>
    <row r="40" spans="1:17" x14ac:dyDescent="0.25">
      <c r="A40" s="191" t="s">
        <v>543</v>
      </c>
      <c r="B40" s="1"/>
      <c r="C40" s="1">
        <v>4000</v>
      </c>
      <c r="D40" s="1">
        <v>4000</v>
      </c>
      <c r="E40" s="1">
        <v>4000</v>
      </c>
      <c r="F40" s="1">
        <v>4000</v>
      </c>
      <c r="G40" s="1">
        <v>4000</v>
      </c>
      <c r="H40" s="1">
        <v>4000</v>
      </c>
      <c r="I40" s="1"/>
      <c r="J40" s="1">
        <v>4000</v>
      </c>
      <c r="K40" s="1">
        <v>4000</v>
      </c>
      <c r="L40" s="1">
        <v>4000</v>
      </c>
      <c r="M40" s="1">
        <v>4000</v>
      </c>
      <c r="N40" s="1">
        <v>4000</v>
      </c>
      <c r="O40" s="1">
        <v>4000</v>
      </c>
      <c r="P40" s="1"/>
      <c r="Q40" s="1">
        <v>48000</v>
      </c>
    </row>
    <row r="41" spans="1:17" x14ac:dyDescent="0.25">
      <c r="A41" s="191" t="s">
        <v>544</v>
      </c>
      <c r="B41" s="1"/>
      <c r="C41" s="1">
        <v>4000</v>
      </c>
      <c r="D41" s="1">
        <v>4000</v>
      </c>
      <c r="E41" s="1">
        <v>4000</v>
      </c>
      <c r="F41" s="1">
        <v>4000</v>
      </c>
      <c r="G41" s="1">
        <v>4000</v>
      </c>
      <c r="H41" s="1">
        <v>4000</v>
      </c>
      <c r="I41" s="1"/>
      <c r="J41" s="1">
        <v>4000</v>
      </c>
      <c r="K41" s="1">
        <v>4000</v>
      </c>
      <c r="L41" s="1">
        <v>4000</v>
      </c>
      <c r="M41" s="1">
        <v>4000</v>
      </c>
      <c r="N41" s="1">
        <v>4000</v>
      </c>
      <c r="O41" s="1">
        <v>4000</v>
      </c>
      <c r="P41" s="1"/>
      <c r="Q41" s="1">
        <v>48000</v>
      </c>
    </row>
    <row r="42" spans="1:17" x14ac:dyDescent="0.25">
      <c r="A42" s="191" t="s">
        <v>545</v>
      </c>
      <c r="B42" s="1"/>
      <c r="C42" s="1">
        <v>4000</v>
      </c>
      <c r="D42" s="1">
        <v>4000</v>
      </c>
      <c r="E42" s="1">
        <v>4000</v>
      </c>
      <c r="F42" s="1">
        <v>4000</v>
      </c>
      <c r="G42" s="1">
        <v>4000</v>
      </c>
      <c r="H42" s="1">
        <v>4000</v>
      </c>
      <c r="I42" s="1"/>
      <c r="J42" s="1">
        <v>4000</v>
      </c>
      <c r="K42" s="1">
        <v>4000</v>
      </c>
      <c r="L42" s="1">
        <v>4000</v>
      </c>
      <c r="M42" s="1">
        <v>4000</v>
      </c>
      <c r="N42" s="1">
        <v>4000</v>
      </c>
      <c r="O42" s="1">
        <v>4000</v>
      </c>
      <c r="P42" s="1"/>
      <c r="Q42" s="1">
        <v>48000</v>
      </c>
    </row>
    <row r="43" spans="1:17" x14ac:dyDescent="0.25">
      <c r="A43" s="191" t="s">
        <v>546</v>
      </c>
      <c r="B43" s="1"/>
      <c r="C43" s="1">
        <v>4000</v>
      </c>
      <c r="D43" s="1">
        <v>4000</v>
      </c>
      <c r="E43" s="1">
        <v>4000</v>
      </c>
      <c r="F43" s="1">
        <v>4000</v>
      </c>
      <c r="G43" s="1">
        <v>4000</v>
      </c>
      <c r="H43" s="1">
        <v>4000</v>
      </c>
      <c r="I43" s="1"/>
      <c r="J43" s="1">
        <v>4000</v>
      </c>
      <c r="K43" s="1">
        <v>4000</v>
      </c>
      <c r="L43" s="1">
        <v>4000</v>
      </c>
      <c r="M43" s="1">
        <v>4000</v>
      </c>
      <c r="N43" s="1">
        <v>4000</v>
      </c>
      <c r="O43" s="1">
        <v>4000</v>
      </c>
      <c r="P43" s="1"/>
      <c r="Q43" s="1">
        <v>48000</v>
      </c>
    </row>
    <row r="44" spans="1:17" x14ac:dyDescent="0.25">
      <c r="A44" s="191" t="s">
        <v>547</v>
      </c>
      <c r="B44" s="1"/>
      <c r="C44" s="1">
        <v>4000</v>
      </c>
      <c r="D44" s="1">
        <v>4000</v>
      </c>
      <c r="E44" s="1">
        <v>4000</v>
      </c>
      <c r="F44" s="1">
        <v>4000</v>
      </c>
      <c r="G44" s="1">
        <v>4000</v>
      </c>
      <c r="H44" s="1">
        <v>4000</v>
      </c>
      <c r="I44" s="1"/>
      <c r="J44" s="1">
        <v>4000</v>
      </c>
      <c r="K44" s="1">
        <v>4000</v>
      </c>
      <c r="L44" s="1">
        <v>4000</v>
      </c>
      <c r="M44" s="1">
        <v>4000</v>
      </c>
      <c r="N44" s="1">
        <v>4000</v>
      </c>
      <c r="O44" s="1">
        <v>4000</v>
      </c>
      <c r="P44" s="1"/>
      <c r="Q44" s="1">
        <v>48000</v>
      </c>
    </row>
    <row r="45" spans="1:17" x14ac:dyDescent="0.25">
      <c r="A45" s="191" t="s">
        <v>548</v>
      </c>
      <c r="B45" s="1"/>
      <c r="C45" s="1">
        <v>4000</v>
      </c>
      <c r="D45" s="1">
        <v>4000</v>
      </c>
      <c r="E45" s="1">
        <v>4000</v>
      </c>
      <c r="F45" s="1">
        <v>4000</v>
      </c>
      <c r="G45" s="1">
        <v>4000</v>
      </c>
      <c r="H45" s="1">
        <v>4000</v>
      </c>
      <c r="I45" s="1"/>
      <c r="J45" s="1">
        <v>4000</v>
      </c>
      <c r="K45" s="1">
        <v>4000</v>
      </c>
      <c r="L45" s="1">
        <v>4000</v>
      </c>
      <c r="M45" s="1">
        <v>4000</v>
      </c>
      <c r="N45" s="1">
        <v>4000</v>
      </c>
      <c r="O45" s="1">
        <v>4000</v>
      </c>
      <c r="P45" s="1"/>
      <c r="Q45" s="1">
        <v>48000</v>
      </c>
    </row>
    <row r="46" spans="1:17" x14ac:dyDescent="0.25">
      <c r="A46" s="191" t="s">
        <v>549</v>
      </c>
      <c r="B46" s="1"/>
      <c r="C46" s="1">
        <v>4000</v>
      </c>
      <c r="D46" s="1">
        <v>4000</v>
      </c>
      <c r="E46" s="1">
        <v>4000</v>
      </c>
      <c r="F46" s="1">
        <v>4000</v>
      </c>
      <c r="G46" s="1">
        <v>4000</v>
      </c>
      <c r="H46" s="1">
        <v>4000</v>
      </c>
      <c r="I46" s="1"/>
      <c r="J46" s="1">
        <v>4000</v>
      </c>
      <c r="K46" s="1">
        <v>4000</v>
      </c>
      <c r="L46" s="1">
        <v>4000</v>
      </c>
      <c r="M46" s="1">
        <v>4000</v>
      </c>
      <c r="N46" s="1">
        <v>4000</v>
      </c>
      <c r="O46" s="1">
        <v>4000</v>
      </c>
      <c r="P46" s="1"/>
      <c r="Q46" s="1">
        <v>48000</v>
      </c>
    </row>
    <row r="47" spans="1:17" x14ac:dyDescent="0.25">
      <c r="A47" s="191" t="s">
        <v>550</v>
      </c>
      <c r="B47" s="1"/>
      <c r="C47" s="1">
        <v>4000</v>
      </c>
      <c r="D47" s="1">
        <v>4000</v>
      </c>
      <c r="E47" s="1">
        <v>4000</v>
      </c>
      <c r="F47" s="1">
        <v>4000</v>
      </c>
      <c r="G47" s="1">
        <v>4000</v>
      </c>
      <c r="H47" s="1">
        <v>4000</v>
      </c>
      <c r="I47" s="1"/>
      <c r="J47" s="1">
        <v>4000</v>
      </c>
      <c r="K47" s="1">
        <v>4000</v>
      </c>
      <c r="L47" s="1">
        <v>4000</v>
      </c>
      <c r="M47" s="1">
        <v>4000</v>
      </c>
      <c r="N47" s="1">
        <v>4000</v>
      </c>
      <c r="O47" s="1">
        <v>4000</v>
      </c>
      <c r="P47" s="1"/>
      <c r="Q47" s="1">
        <v>48000</v>
      </c>
    </row>
    <row r="48" spans="1:17" x14ac:dyDescent="0.25">
      <c r="A48" s="191" t="s">
        <v>551</v>
      </c>
      <c r="B48" s="1"/>
      <c r="C48" s="1">
        <v>4000</v>
      </c>
      <c r="D48" s="1">
        <v>4000</v>
      </c>
      <c r="E48" s="1">
        <v>4000</v>
      </c>
      <c r="F48" s="1">
        <v>4000</v>
      </c>
      <c r="G48" s="1">
        <v>4000</v>
      </c>
      <c r="H48" s="1">
        <v>4000</v>
      </c>
      <c r="I48" s="1"/>
      <c r="J48" s="1">
        <v>4000</v>
      </c>
      <c r="K48" s="1">
        <v>4000</v>
      </c>
      <c r="L48" s="1">
        <v>4000</v>
      </c>
      <c r="M48" s="1">
        <v>4000</v>
      </c>
      <c r="N48" s="1">
        <v>4000</v>
      </c>
      <c r="O48" s="1">
        <v>4000</v>
      </c>
      <c r="P48" s="1"/>
      <c r="Q48" s="1">
        <v>48000</v>
      </c>
    </row>
    <row r="49" spans="1:17" x14ac:dyDescent="0.25">
      <c r="A49" s="191" t="s">
        <v>552</v>
      </c>
      <c r="B49" s="1"/>
      <c r="C49" s="1">
        <v>4000</v>
      </c>
      <c r="D49" s="1">
        <v>4000</v>
      </c>
      <c r="E49" s="1">
        <v>4000</v>
      </c>
      <c r="F49" s="1">
        <v>4000</v>
      </c>
      <c r="G49" s="1">
        <v>4000</v>
      </c>
      <c r="H49" s="1">
        <v>4000</v>
      </c>
      <c r="I49" s="1"/>
      <c r="J49" s="1">
        <v>4000</v>
      </c>
      <c r="K49" s="1">
        <v>4000</v>
      </c>
      <c r="L49" s="1">
        <v>4000</v>
      </c>
      <c r="M49" s="1">
        <v>4000</v>
      </c>
      <c r="N49" s="1">
        <v>4000</v>
      </c>
      <c r="O49" s="1">
        <v>4000</v>
      </c>
      <c r="P49" s="1"/>
      <c r="Q49" s="1">
        <v>48000</v>
      </c>
    </row>
    <row r="50" spans="1:17" x14ac:dyDescent="0.25">
      <c r="A50" s="191" t="s">
        <v>553</v>
      </c>
      <c r="B50" s="1"/>
      <c r="C50" s="1">
        <v>4000</v>
      </c>
      <c r="D50" s="1">
        <v>4000</v>
      </c>
      <c r="E50" s="1">
        <v>4000</v>
      </c>
      <c r="F50" s="1">
        <v>4000</v>
      </c>
      <c r="G50" s="1">
        <v>4000</v>
      </c>
      <c r="H50" s="1">
        <v>4000</v>
      </c>
      <c r="I50" s="1"/>
      <c r="J50" s="1">
        <v>4000</v>
      </c>
      <c r="K50" s="1">
        <v>4000</v>
      </c>
      <c r="L50" s="1">
        <v>4000</v>
      </c>
      <c r="M50" s="1">
        <v>4000</v>
      </c>
      <c r="N50" s="1">
        <v>4000</v>
      </c>
      <c r="O50" s="1">
        <v>4000</v>
      </c>
      <c r="P50" s="1"/>
      <c r="Q50" s="1">
        <v>48000</v>
      </c>
    </row>
    <row r="51" spans="1:17" x14ac:dyDescent="0.25">
      <c r="A51" s="191" t="s">
        <v>554</v>
      </c>
      <c r="B51" s="1"/>
      <c r="C51" s="1">
        <v>4000</v>
      </c>
      <c r="D51" s="1">
        <v>4000</v>
      </c>
      <c r="E51" s="1">
        <v>4000</v>
      </c>
      <c r="F51" s="1">
        <v>4000</v>
      </c>
      <c r="G51" s="1">
        <v>4000</v>
      </c>
      <c r="H51" s="1">
        <v>4000</v>
      </c>
      <c r="I51" s="1"/>
      <c r="J51" s="1">
        <v>4000</v>
      </c>
      <c r="K51" s="1">
        <v>4000</v>
      </c>
      <c r="L51" s="1">
        <v>4000</v>
      </c>
      <c r="M51" s="1">
        <v>4000</v>
      </c>
      <c r="N51" s="1">
        <v>4000</v>
      </c>
      <c r="O51" s="1">
        <v>4000</v>
      </c>
      <c r="P51" s="1"/>
      <c r="Q51" s="1">
        <v>48000</v>
      </c>
    </row>
    <row r="52" spans="1:17" x14ac:dyDescent="0.25">
      <c r="A52" s="191" t="s">
        <v>555</v>
      </c>
      <c r="B52" s="1"/>
      <c r="C52" s="1">
        <v>4000</v>
      </c>
      <c r="D52" s="1">
        <v>4000</v>
      </c>
      <c r="E52" s="1">
        <v>4000</v>
      </c>
      <c r="F52" s="1">
        <v>4000</v>
      </c>
      <c r="G52" s="1">
        <v>4000</v>
      </c>
      <c r="H52" s="1">
        <v>4000</v>
      </c>
      <c r="I52" s="1"/>
      <c r="J52" s="1">
        <v>4000</v>
      </c>
      <c r="K52" s="1">
        <v>4000</v>
      </c>
      <c r="L52" s="1">
        <v>4000</v>
      </c>
      <c r="M52" s="1">
        <v>4000</v>
      </c>
      <c r="N52" s="1">
        <v>4000</v>
      </c>
      <c r="O52" s="1">
        <v>4000</v>
      </c>
      <c r="P52" s="1"/>
      <c r="Q52" s="1">
        <v>48000</v>
      </c>
    </row>
    <row r="53" spans="1:17" x14ac:dyDescent="0.25">
      <c r="A53" s="191" t="s">
        <v>556</v>
      </c>
      <c r="B53" s="1"/>
      <c r="C53" s="1">
        <v>4000</v>
      </c>
      <c r="D53" s="1">
        <v>4000</v>
      </c>
      <c r="E53" s="1">
        <v>4000</v>
      </c>
      <c r="F53" s="1">
        <v>4000</v>
      </c>
      <c r="G53" s="1">
        <v>4000</v>
      </c>
      <c r="H53" s="1">
        <v>4000</v>
      </c>
      <c r="I53" s="1"/>
      <c r="J53" s="1">
        <v>4000</v>
      </c>
      <c r="K53" s="1">
        <v>4000</v>
      </c>
      <c r="L53" s="1">
        <v>4000</v>
      </c>
      <c r="M53" s="1">
        <v>4000</v>
      </c>
      <c r="N53" s="1">
        <v>4000</v>
      </c>
      <c r="O53" s="1">
        <v>4000</v>
      </c>
      <c r="P53" s="1"/>
      <c r="Q53" s="1">
        <v>48000</v>
      </c>
    </row>
    <row r="54" spans="1:17" x14ac:dyDescent="0.25">
      <c r="A54" s="191" t="s">
        <v>539</v>
      </c>
      <c r="B54" s="1"/>
      <c r="C54" s="1">
        <v>3438</v>
      </c>
      <c r="D54" s="1">
        <v>3438</v>
      </c>
      <c r="E54" s="1">
        <v>3438</v>
      </c>
      <c r="F54" s="1">
        <v>3438</v>
      </c>
      <c r="G54" s="1">
        <v>3438</v>
      </c>
      <c r="H54" s="1">
        <v>3438</v>
      </c>
      <c r="I54" s="1"/>
      <c r="J54" s="1">
        <v>3438</v>
      </c>
      <c r="K54" s="1">
        <v>3438</v>
      </c>
      <c r="L54" s="1">
        <v>3438</v>
      </c>
      <c r="M54" s="1">
        <v>3438</v>
      </c>
      <c r="N54" s="1">
        <v>3438</v>
      </c>
      <c r="O54" s="1">
        <v>3438</v>
      </c>
      <c r="P54" s="1"/>
      <c r="Q54" s="1">
        <v>41256</v>
      </c>
    </row>
    <row r="55" spans="1:17" x14ac:dyDescent="0.25">
      <c r="A55" s="191" t="s">
        <v>540</v>
      </c>
      <c r="B55" s="1"/>
      <c r="C55" s="1">
        <v>666667</v>
      </c>
      <c r="D55" s="1">
        <v>666667</v>
      </c>
      <c r="E55" s="1">
        <v>666667</v>
      </c>
      <c r="F55" s="1">
        <v>666667</v>
      </c>
      <c r="G55" s="1">
        <v>666667</v>
      </c>
      <c r="H55" s="1">
        <v>666667</v>
      </c>
      <c r="I55" s="1"/>
      <c r="J55" s="1">
        <v>666667</v>
      </c>
      <c r="K55" s="1">
        <v>666667</v>
      </c>
      <c r="L55" s="1">
        <v>666667</v>
      </c>
      <c r="M55" s="1">
        <v>666667</v>
      </c>
      <c r="N55" s="1">
        <v>666667</v>
      </c>
      <c r="O55" s="1">
        <v>666667</v>
      </c>
      <c r="P55" s="1"/>
      <c r="Q55" s="1">
        <v>8000004</v>
      </c>
    </row>
    <row r="56" spans="1:17" x14ac:dyDescent="0.25">
      <c r="A56" s="191" t="s">
        <v>503</v>
      </c>
      <c r="B56" s="1"/>
      <c r="C56" s="1">
        <v>79500</v>
      </c>
      <c r="D56" s="1">
        <v>79500</v>
      </c>
      <c r="E56" s="1">
        <v>79500</v>
      </c>
      <c r="F56" s="1">
        <v>79500</v>
      </c>
      <c r="G56" s="1">
        <v>79500</v>
      </c>
      <c r="H56" s="1">
        <v>79500</v>
      </c>
      <c r="I56" s="1"/>
      <c r="J56" s="1">
        <v>79500</v>
      </c>
      <c r="K56" s="1">
        <v>79500</v>
      </c>
      <c r="L56" s="1">
        <v>79500</v>
      </c>
      <c r="M56" s="1">
        <v>79500</v>
      </c>
      <c r="N56" s="1">
        <v>79500</v>
      </c>
      <c r="O56" s="1">
        <v>79500</v>
      </c>
      <c r="P56" s="1"/>
      <c r="Q56" s="1">
        <v>954000</v>
      </c>
    </row>
    <row r="57" spans="1:17" x14ac:dyDescent="0.25">
      <c r="A57" s="191" t="s">
        <v>519</v>
      </c>
      <c r="B57" s="1"/>
      <c r="C57" s="1">
        <v>61667</v>
      </c>
      <c r="D57" s="1">
        <v>61667</v>
      </c>
      <c r="E57" s="1">
        <v>61667</v>
      </c>
      <c r="F57" s="1">
        <v>61667</v>
      </c>
      <c r="G57" s="1">
        <v>61667</v>
      </c>
      <c r="H57" s="1">
        <v>61667</v>
      </c>
      <c r="I57" s="1"/>
      <c r="J57" s="1">
        <v>61667</v>
      </c>
      <c r="K57" s="1">
        <v>61667</v>
      </c>
      <c r="L57" s="1">
        <v>61667</v>
      </c>
      <c r="M57" s="1">
        <v>61667</v>
      </c>
      <c r="N57" s="1">
        <v>61667</v>
      </c>
      <c r="O57" s="1">
        <v>61667</v>
      </c>
      <c r="P57" s="1"/>
      <c r="Q57" s="1">
        <v>740004</v>
      </c>
    </row>
    <row r="58" spans="1:17" x14ac:dyDescent="0.25">
      <c r="A58" s="191" t="s">
        <v>518</v>
      </c>
      <c r="B58" s="1"/>
      <c r="C58" s="1">
        <v>2500</v>
      </c>
      <c r="D58" s="1">
        <v>2500</v>
      </c>
      <c r="E58" s="1">
        <v>2500</v>
      </c>
      <c r="F58" s="1">
        <v>2500</v>
      </c>
      <c r="G58" s="1">
        <v>2500</v>
      </c>
      <c r="H58" s="1">
        <v>2500</v>
      </c>
      <c r="I58" s="1"/>
      <c r="J58" s="1">
        <v>2500</v>
      </c>
      <c r="K58" s="1">
        <v>2500</v>
      </c>
      <c r="L58" s="1">
        <v>2500</v>
      </c>
      <c r="M58" s="1">
        <v>2500</v>
      </c>
      <c r="N58" s="1">
        <v>2500</v>
      </c>
      <c r="O58" s="1">
        <v>2500</v>
      </c>
      <c r="P58" s="1"/>
      <c r="Q58" s="1">
        <v>30000</v>
      </c>
    </row>
    <row r="59" spans="1:17" x14ac:dyDescent="0.25">
      <c r="A59" s="191" t="s">
        <v>537</v>
      </c>
      <c r="B59" s="1"/>
      <c r="C59" s="1">
        <v>75108</v>
      </c>
      <c r="D59" s="1">
        <v>75108</v>
      </c>
      <c r="E59" s="1">
        <v>75108</v>
      </c>
      <c r="F59" s="1">
        <v>75108</v>
      </c>
      <c r="G59" s="1">
        <v>75108</v>
      </c>
      <c r="H59" s="1">
        <v>75108</v>
      </c>
      <c r="I59" s="1"/>
      <c r="J59" s="1">
        <v>75108</v>
      </c>
      <c r="K59" s="1">
        <v>75108</v>
      </c>
      <c r="L59" s="1">
        <v>75108</v>
      </c>
      <c r="M59" s="1">
        <v>75108</v>
      </c>
      <c r="N59" s="1">
        <v>75108</v>
      </c>
      <c r="O59" s="1">
        <v>75108</v>
      </c>
      <c r="P59" s="1"/>
      <c r="Q59" s="1">
        <v>901296</v>
      </c>
    </row>
    <row r="60" spans="1:17" x14ac:dyDescent="0.25">
      <c r="A60" s="191" t="s">
        <v>538</v>
      </c>
      <c r="B60" s="1"/>
      <c r="C60" s="1"/>
      <c r="D60" s="1"/>
      <c r="E60" s="1">
        <v>45000</v>
      </c>
      <c r="F60" s="1">
        <v>0</v>
      </c>
      <c r="G60" s="1"/>
      <c r="H60" s="1"/>
      <c r="I60" s="1"/>
      <c r="J60" s="1"/>
      <c r="K60" s="1"/>
      <c r="L60" s="1"/>
      <c r="M60" s="1">
        <v>45000</v>
      </c>
      <c r="N60" s="1"/>
      <c r="O60" s="1"/>
      <c r="P60" s="1"/>
      <c r="Q60" s="1">
        <v>90000</v>
      </c>
    </row>
    <row r="61" spans="1:17" x14ac:dyDescent="0.25">
      <c r="A61" s="191" t="s">
        <v>528</v>
      </c>
      <c r="B61" s="1"/>
      <c r="C61" s="1"/>
      <c r="D61" s="1"/>
      <c r="E61" s="1"/>
      <c r="F61" s="1"/>
      <c r="G61" s="1"/>
      <c r="H61" s="1"/>
      <c r="I61" s="1"/>
      <c r="J61" s="1"/>
      <c r="K61" s="1"/>
      <c r="L61" s="1">
        <v>48000</v>
      </c>
      <c r="M61" s="1"/>
      <c r="N61" s="1"/>
      <c r="O61" s="1"/>
      <c r="P61" s="1"/>
      <c r="Q61" s="1">
        <v>48000</v>
      </c>
    </row>
    <row r="62" spans="1:17" x14ac:dyDescent="0.25">
      <c r="A62" s="191" t="s">
        <v>504</v>
      </c>
      <c r="B62" s="1"/>
      <c r="C62" s="1">
        <v>1542</v>
      </c>
      <c r="D62" s="1">
        <v>1542</v>
      </c>
      <c r="E62" s="1">
        <v>1542</v>
      </c>
      <c r="F62" s="1">
        <v>1542</v>
      </c>
      <c r="G62" s="1">
        <v>1542</v>
      </c>
      <c r="H62" s="1">
        <v>1542</v>
      </c>
      <c r="I62" s="1"/>
      <c r="J62" s="1">
        <v>1542</v>
      </c>
      <c r="K62" s="1">
        <v>1542</v>
      </c>
      <c r="L62" s="1">
        <v>1542</v>
      </c>
      <c r="M62" s="1">
        <v>1542</v>
      </c>
      <c r="N62" s="1">
        <v>1542</v>
      </c>
      <c r="O62" s="1">
        <v>1542</v>
      </c>
      <c r="P62" s="1"/>
      <c r="Q62" s="1">
        <v>18504</v>
      </c>
    </row>
    <row r="63" spans="1:17" x14ac:dyDescent="0.25">
      <c r="A63" s="191" t="s">
        <v>529</v>
      </c>
      <c r="B63" s="1"/>
      <c r="C63" s="1">
        <v>37500</v>
      </c>
      <c r="D63" s="1">
        <v>37500</v>
      </c>
      <c r="E63" s="1">
        <v>37500</v>
      </c>
      <c r="F63" s="1">
        <v>37500</v>
      </c>
      <c r="G63" s="1">
        <v>37500</v>
      </c>
      <c r="H63" s="1">
        <v>37500</v>
      </c>
      <c r="I63" s="1"/>
      <c r="J63" s="1">
        <v>37500</v>
      </c>
      <c r="K63" s="1">
        <v>37500</v>
      </c>
      <c r="L63" s="1">
        <v>37500</v>
      </c>
      <c r="M63" s="1">
        <v>37500</v>
      </c>
      <c r="N63" s="1">
        <v>37500</v>
      </c>
      <c r="O63" s="1">
        <v>37500</v>
      </c>
      <c r="P63" s="1"/>
      <c r="Q63" s="1">
        <v>450000</v>
      </c>
    </row>
    <row r="64" spans="1:17" x14ac:dyDescent="0.25">
      <c r="A64" s="191" t="s">
        <v>530</v>
      </c>
      <c r="B64" s="1"/>
      <c r="C64" s="1">
        <v>18000</v>
      </c>
      <c r="D64" s="1">
        <v>18000</v>
      </c>
      <c r="E64" s="1">
        <v>18000</v>
      </c>
      <c r="F64" s="1">
        <v>18000</v>
      </c>
      <c r="G64" s="1">
        <v>18000</v>
      </c>
      <c r="H64" s="1">
        <v>18000</v>
      </c>
      <c r="I64" s="1"/>
      <c r="J64" s="1">
        <v>18000</v>
      </c>
      <c r="K64" s="1">
        <v>18000</v>
      </c>
      <c r="L64" s="1">
        <v>18000</v>
      </c>
      <c r="M64" s="1">
        <v>48000</v>
      </c>
      <c r="N64" s="1">
        <v>18000</v>
      </c>
      <c r="O64" s="1">
        <v>18000</v>
      </c>
      <c r="P64" s="1"/>
      <c r="Q64" s="1">
        <v>246000</v>
      </c>
    </row>
    <row r="65" spans="1:17" x14ac:dyDescent="0.25">
      <c r="A65" s="191" t="s">
        <v>520</v>
      </c>
      <c r="B65" s="1"/>
      <c r="C65" s="1"/>
      <c r="D65" s="1"/>
      <c r="E65" s="1">
        <v>55000</v>
      </c>
      <c r="F65" s="1"/>
      <c r="G65" s="1"/>
      <c r="H65" s="1"/>
      <c r="I65" s="1"/>
      <c r="J65" s="1"/>
      <c r="K65" s="1"/>
      <c r="L65" s="1"/>
      <c r="M65" s="1"/>
      <c r="N65" s="1"/>
      <c r="O65" s="1"/>
      <c r="P65" s="1"/>
      <c r="Q65" s="1">
        <v>55000</v>
      </c>
    </row>
    <row r="66" spans="1:17" x14ac:dyDescent="0.25">
      <c r="A66" s="191" t="s">
        <v>521</v>
      </c>
      <c r="B66" s="1"/>
      <c r="C66" s="1">
        <v>58333</v>
      </c>
      <c r="D66" s="1">
        <v>58333</v>
      </c>
      <c r="E66" s="1">
        <v>58333</v>
      </c>
      <c r="F66" s="1">
        <v>58333</v>
      </c>
      <c r="G66" s="1">
        <v>58333</v>
      </c>
      <c r="H66" s="1">
        <v>58333</v>
      </c>
      <c r="I66" s="1"/>
      <c r="J66" s="1">
        <v>58333</v>
      </c>
      <c r="K66" s="1">
        <v>58333</v>
      </c>
      <c r="L66" s="1">
        <v>58333</v>
      </c>
      <c r="M66" s="1">
        <v>58333</v>
      </c>
      <c r="N66" s="1">
        <v>58333</v>
      </c>
      <c r="O66" s="1">
        <v>58333</v>
      </c>
      <c r="P66" s="1"/>
      <c r="Q66" s="1">
        <v>699996</v>
      </c>
    </row>
    <row r="67" spans="1:17" x14ac:dyDescent="0.25">
      <c r="A67" s="191" t="s">
        <v>493</v>
      </c>
      <c r="B67" s="1"/>
      <c r="C67" s="1"/>
      <c r="D67" s="1"/>
      <c r="E67" s="1"/>
      <c r="F67" s="1"/>
      <c r="G67" s="1"/>
      <c r="H67" s="1"/>
      <c r="I67" s="1"/>
      <c r="J67" s="1">
        <v>250000</v>
      </c>
      <c r="K67" s="1"/>
      <c r="L67" s="1"/>
      <c r="M67" s="1"/>
      <c r="N67" s="1"/>
      <c r="O67" s="1"/>
      <c r="P67" s="1"/>
      <c r="Q67" s="1">
        <v>250000</v>
      </c>
    </row>
    <row r="68" spans="1:17" x14ac:dyDescent="0.25">
      <c r="A68" s="191" t="s">
        <v>487</v>
      </c>
      <c r="B68" s="1"/>
      <c r="C68" s="1">
        <v>553073</v>
      </c>
      <c r="D68" s="1">
        <v>553073</v>
      </c>
      <c r="E68" s="1">
        <v>553073</v>
      </c>
      <c r="F68" s="1">
        <v>553073</v>
      </c>
      <c r="G68" s="1">
        <v>553073</v>
      </c>
      <c r="H68" s="1">
        <v>553073</v>
      </c>
      <c r="I68" s="1"/>
      <c r="J68" s="1">
        <v>553073</v>
      </c>
      <c r="K68" s="1">
        <v>553073</v>
      </c>
      <c r="L68" s="1">
        <v>553073</v>
      </c>
      <c r="M68" s="1">
        <v>553073</v>
      </c>
      <c r="N68" s="1">
        <v>553073</v>
      </c>
      <c r="O68" s="1">
        <v>553073</v>
      </c>
      <c r="P68" s="1"/>
      <c r="Q68" s="1">
        <v>6636876</v>
      </c>
    </row>
    <row r="69" spans="1:17" x14ac:dyDescent="0.25">
      <c r="A69" s="191" t="s">
        <v>491</v>
      </c>
      <c r="B69" s="1"/>
      <c r="C69" s="1">
        <v>74425</v>
      </c>
      <c r="D69" s="1">
        <v>74425</v>
      </c>
      <c r="E69" s="1">
        <v>74425</v>
      </c>
      <c r="F69" s="1">
        <v>74425</v>
      </c>
      <c r="G69" s="1">
        <v>74425</v>
      </c>
      <c r="H69" s="1">
        <v>74425</v>
      </c>
      <c r="I69" s="1"/>
      <c r="J69" s="1">
        <v>74425</v>
      </c>
      <c r="K69" s="1">
        <v>74425</v>
      </c>
      <c r="L69" s="1">
        <v>74425</v>
      </c>
      <c r="M69" s="1">
        <v>74425</v>
      </c>
      <c r="N69" s="1">
        <v>74425</v>
      </c>
      <c r="O69" s="1">
        <v>74425</v>
      </c>
      <c r="P69" s="1"/>
      <c r="Q69" s="1">
        <v>893100</v>
      </c>
    </row>
    <row r="70" spans="1:17" x14ac:dyDescent="0.25">
      <c r="A70" s="191" t="s">
        <v>496</v>
      </c>
      <c r="B70" s="1"/>
      <c r="C70" s="1">
        <v>11462</v>
      </c>
      <c r="D70" s="1">
        <v>11462</v>
      </c>
      <c r="E70" s="1">
        <v>11462</v>
      </c>
      <c r="F70" s="1">
        <v>11462</v>
      </c>
      <c r="G70" s="1">
        <v>11462</v>
      </c>
      <c r="H70" s="1">
        <v>11462</v>
      </c>
      <c r="I70" s="1"/>
      <c r="J70" s="1">
        <v>11462</v>
      </c>
      <c r="K70" s="1">
        <v>11462</v>
      </c>
      <c r="L70" s="1">
        <v>11462</v>
      </c>
      <c r="M70" s="1">
        <v>11462</v>
      </c>
      <c r="N70" s="1">
        <v>11462</v>
      </c>
      <c r="O70" s="1">
        <v>11462</v>
      </c>
      <c r="P70" s="1"/>
      <c r="Q70" s="1">
        <v>137544</v>
      </c>
    </row>
    <row r="71" spans="1:17" x14ac:dyDescent="0.25">
      <c r="A71" s="191" t="s">
        <v>506</v>
      </c>
      <c r="B71" s="1"/>
      <c r="C71" s="1"/>
      <c r="D71" s="1"/>
      <c r="E71" s="1"/>
      <c r="F71" s="1"/>
      <c r="G71" s="1"/>
      <c r="H71" s="1"/>
      <c r="I71" s="1"/>
      <c r="J71" s="1"/>
      <c r="K71" s="1"/>
      <c r="L71" s="1"/>
      <c r="M71" s="1">
        <v>18000</v>
      </c>
      <c r="N71" s="1"/>
      <c r="O71" s="1"/>
      <c r="P71" s="1"/>
      <c r="Q71" s="1">
        <v>18000</v>
      </c>
    </row>
    <row r="72" spans="1:17" x14ac:dyDescent="0.25">
      <c r="A72" s="191" t="s">
        <v>509</v>
      </c>
      <c r="B72" s="1"/>
      <c r="C72" s="1">
        <v>2083</v>
      </c>
      <c r="D72" s="1">
        <v>2083</v>
      </c>
      <c r="E72" s="1">
        <v>2083</v>
      </c>
      <c r="F72" s="1">
        <v>2083</v>
      </c>
      <c r="G72" s="1">
        <v>2083</v>
      </c>
      <c r="H72" s="1">
        <v>2083</v>
      </c>
      <c r="I72" s="1"/>
      <c r="J72" s="1">
        <v>2083</v>
      </c>
      <c r="K72" s="1">
        <v>2083</v>
      </c>
      <c r="L72" s="1">
        <v>2083</v>
      </c>
      <c r="M72" s="1">
        <v>2083</v>
      </c>
      <c r="N72" s="1">
        <v>2083</v>
      </c>
      <c r="O72" s="1">
        <v>2083</v>
      </c>
      <c r="P72" s="1"/>
      <c r="Q72" s="1">
        <v>24996</v>
      </c>
    </row>
    <row r="73" spans="1:17" x14ac:dyDescent="0.25">
      <c r="A73" s="191" t="s">
        <v>510</v>
      </c>
      <c r="B73" s="1"/>
      <c r="C73" s="1">
        <v>25000</v>
      </c>
      <c r="D73" s="1">
        <v>25000</v>
      </c>
      <c r="E73" s="1">
        <v>25000</v>
      </c>
      <c r="F73" s="1">
        <v>25000</v>
      </c>
      <c r="G73" s="1">
        <v>25000</v>
      </c>
      <c r="H73" s="1">
        <v>25000</v>
      </c>
      <c r="I73" s="1"/>
      <c r="J73" s="1">
        <v>25000</v>
      </c>
      <c r="K73" s="1">
        <v>25000</v>
      </c>
      <c r="L73" s="1">
        <v>25000</v>
      </c>
      <c r="M73" s="1">
        <v>25000</v>
      </c>
      <c r="N73" s="1">
        <v>25000</v>
      </c>
      <c r="O73" s="1">
        <v>25000</v>
      </c>
      <c r="P73" s="1"/>
      <c r="Q73" s="1">
        <v>300000</v>
      </c>
    </row>
    <row r="74" spans="1:17" x14ac:dyDescent="0.25">
      <c r="A74" s="191" t="s">
        <v>516</v>
      </c>
      <c r="B74" s="1"/>
      <c r="C74" s="1">
        <v>21188</v>
      </c>
      <c r="D74" s="1">
        <v>21188</v>
      </c>
      <c r="E74" s="1">
        <v>21188</v>
      </c>
      <c r="F74" s="1">
        <v>21188</v>
      </c>
      <c r="G74" s="1">
        <v>21188</v>
      </c>
      <c r="H74" s="1">
        <v>21188</v>
      </c>
      <c r="I74" s="1"/>
      <c r="J74" s="1">
        <v>21188</v>
      </c>
      <c r="K74" s="1">
        <v>21188</v>
      </c>
      <c r="L74" s="1">
        <v>21188</v>
      </c>
      <c r="M74" s="1">
        <v>21188</v>
      </c>
      <c r="N74" s="1">
        <v>21188</v>
      </c>
      <c r="O74" s="1">
        <v>21188</v>
      </c>
      <c r="P74" s="1"/>
      <c r="Q74" s="1">
        <v>254256</v>
      </c>
    </row>
    <row r="75" spans="1:17" x14ac:dyDescent="0.25">
      <c r="A75" s="191" t="s">
        <v>588</v>
      </c>
      <c r="B75" s="1"/>
      <c r="C75" s="1">
        <v>1528</v>
      </c>
      <c r="D75" s="1">
        <v>1528</v>
      </c>
      <c r="E75" s="1">
        <v>1528</v>
      </c>
      <c r="F75" s="1">
        <v>1528</v>
      </c>
      <c r="G75" s="1">
        <v>1528</v>
      </c>
      <c r="H75" s="1">
        <v>1528</v>
      </c>
      <c r="I75" s="1"/>
      <c r="J75" s="1">
        <v>1528</v>
      </c>
      <c r="K75" s="1">
        <v>1528</v>
      </c>
      <c r="L75" s="1">
        <v>1528</v>
      </c>
      <c r="M75" s="1">
        <v>1528</v>
      </c>
      <c r="N75" s="1">
        <v>1528</v>
      </c>
      <c r="O75" s="1">
        <v>1528</v>
      </c>
      <c r="P75" s="1"/>
      <c r="Q75" s="1">
        <v>18336</v>
      </c>
    </row>
    <row r="76" spans="1:17" x14ac:dyDescent="0.25">
      <c r="A76" s="191" t="s">
        <v>589</v>
      </c>
      <c r="B76" s="1"/>
      <c r="C76" s="1">
        <v>173856</v>
      </c>
      <c r="D76" s="1">
        <v>173856</v>
      </c>
      <c r="E76" s="1">
        <v>173856</v>
      </c>
      <c r="F76" s="1">
        <v>173856</v>
      </c>
      <c r="G76" s="1">
        <v>173856</v>
      </c>
      <c r="H76" s="1">
        <v>173856</v>
      </c>
      <c r="I76" s="1"/>
      <c r="J76" s="1">
        <v>173856</v>
      </c>
      <c r="K76" s="1">
        <v>173856</v>
      </c>
      <c r="L76" s="1">
        <v>173856</v>
      </c>
      <c r="M76" s="1">
        <v>173856</v>
      </c>
      <c r="N76" s="1">
        <v>173856</v>
      </c>
      <c r="O76" s="1">
        <v>173856</v>
      </c>
      <c r="P76" s="1"/>
      <c r="Q76" s="1">
        <v>2086272</v>
      </c>
    </row>
    <row r="77" spans="1:17" x14ac:dyDescent="0.25">
      <c r="A77" s="191" t="s">
        <v>590</v>
      </c>
      <c r="B77" s="1"/>
      <c r="C77" s="1">
        <v>144062</v>
      </c>
      <c r="D77" s="1">
        <v>144062</v>
      </c>
      <c r="E77" s="1">
        <v>144062</v>
      </c>
      <c r="F77" s="1">
        <v>144062</v>
      </c>
      <c r="G77" s="1">
        <v>144062</v>
      </c>
      <c r="H77" s="1">
        <v>144062</v>
      </c>
      <c r="I77" s="1"/>
      <c r="J77" s="1">
        <v>144062</v>
      </c>
      <c r="K77" s="1">
        <v>144062</v>
      </c>
      <c r="L77" s="1">
        <v>144062</v>
      </c>
      <c r="M77" s="1">
        <v>144062</v>
      </c>
      <c r="N77" s="1">
        <v>144062</v>
      </c>
      <c r="O77" s="1">
        <v>144062</v>
      </c>
      <c r="P77" s="1"/>
      <c r="Q77" s="1">
        <v>1728744</v>
      </c>
    </row>
    <row r="78" spans="1:17" x14ac:dyDescent="0.25">
      <c r="A78" s="191" t="s">
        <v>515</v>
      </c>
      <c r="B78" s="1"/>
      <c r="C78" s="1">
        <v>30403</v>
      </c>
      <c r="D78" s="1">
        <v>30403</v>
      </c>
      <c r="E78" s="1">
        <v>30403</v>
      </c>
      <c r="F78" s="1">
        <v>30403</v>
      </c>
      <c r="G78" s="1">
        <v>30403</v>
      </c>
      <c r="H78" s="1">
        <v>30403</v>
      </c>
      <c r="I78" s="1"/>
      <c r="J78" s="1">
        <v>30403</v>
      </c>
      <c r="K78" s="1">
        <v>30403</v>
      </c>
      <c r="L78" s="1">
        <v>30403</v>
      </c>
      <c r="M78" s="1">
        <v>30403</v>
      </c>
      <c r="N78" s="1">
        <v>30403</v>
      </c>
      <c r="O78" s="1">
        <v>30403</v>
      </c>
      <c r="P78" s="1"/>
      <c r="Q78" s="1">
        <v>364836</v>
      </c>
    </row>
    <row r="79" spans="1:17" x14ac:dyDescent="0.25">
      <c r="A79" s="191" t="s">
        <v>514</v>
      </c>
      <c r="B79" s="1"/>
      <c r="C79" s="1">
        <v>1316658</v>
      </c>
      <c r="D79" s="1">
        <v>1316658</v>
      </c>
      <c r="E79" s="1">
        <v>1316658</v>
      </c>
      <c r="F79" s="1">
        <v>1316658</v>
      </c>
      <c r="G79" s="1">
        <v>1316658</v>
      </c>
      <c r="H79" s="1">
        <v>1316658</v>
      </c>
      <c r="I79" s="1"/>
      <c r="J79" s="1">
        <v>1316658</v>
      </c>
      <c r="K79" s="1">
        <v>1316658</v>
      </c>
      <c r="L79" s="1">
        <v>1316658</v>
      </c>
      <c r="M79" s="1">
        <v>1316658</v>
      </c>
      <c r="N79" s="1">
        <v>1316658</v>
      </c>
      <c r="O79" s="1">
        <v>1316658</v>
      </c>
      <c r="P79" s="1"/>
      <c r="Q79" s="1">
        <v>15799896</v>
      </c>
    </row>
    <row r="80" spans="1:17" x14ac:dyDescent="0.25">
      <c r="A80" s="191" t="s">
        <v>591</v>
      </c>
      <c r="B80" s="1"/>
      <c r="C80" s="1">
        <v>17160</v>
      </c>
      <c r="D80" s="1">
        <v>17160</v>
      </c>
      <c r="E80" s="1">
        <v>17160</v>
      </c>
      <c r="F80" s="1">
        <v>17160</v>
      </c>
      <c r="G80" s="1">
        <v>17160</v>
      </c>
      <c r="H80" s="1">
        <v>17160</v>
      </c>
      <c r="I80" s="1"/>
      <c r="J80" s="1">
        <v>17160</v>
      </c>
      <c r="K80" s="1">
        <v>17160</v>
      </c>
      <c r="L80" s="1">
        <v>17160</v>
      </c>
      <c r="M80" s="1">
        <v>17160</v>
      </c>
      <c r="N80" s="1">
        <v>17160</v>
      </c>
      <c r="O80" s="1">
        <v>17160</v>
      </c>
      <c r="P80" s="1"/>
      <c r="Q80" s="1">
        <v>205920</v>
      </c>
    </row>
    <row r="81" spans="1:17" x14ac:dyDescent="0.25">
      <c r="A81" s="191" t="s">
        <v>592</v>
      </c>
      <c r="B81" s="1"/>
      <c r="C81" s="1">
        <v>1700252</v>
      </c>
      <c r="D81" s="1">
        <v>1700252</v>
      </c>
      <c r="E81" s="1">
        <v>1700252</v>
      </c>
      <c r="F81" s="1">
        <v>1767854</v>
      </c>
      <c r="G81" s="1">
        <v>1767854</v>
      </c>
      <c r="H81" s="1">
        <v>1700252</v>
      </c>
      <c r="I81" s="1"/>
      <c r="J81" s="1">
        <v>1700252</v>
      </c>
      <c r="K81" s="1">
        <v>1700252</v>
      </c>
      <c r="L81" s="1">
        <v>1767854</v>
      </c>
      <c r="M81" s="1">
        <v>1700252</v>
      </c>
      <c r="N81" s="1">
        <v>1700252</v>
      </c>
      <c r="O81" s="1">
        <v>1700252</v>
      </c>
      <c r="P81" s="1"/>
      <c r="Q81" s="1">
        <v>20605830</v>
      </c>
    </row>
    <row r="82" spans="1:17" x14ac:dyDescent="0.25">
      <c r="A82" s="191" t="s">
        <v>523</v>
      </c>
      <c r="B82" s="1"/>
      <c r="C82" s="1">
        <v>0</v>
      </c>
      <c r="D82" s="1">
        <v>0</v>
      </c>
      <c r="E82" s="1">
        <v>0</v>
      </c>
      <c r="F82" s="1">
        <v>0</v>
      </c>
      <c r="G82" s="1">
        <v>0</v>
      </c>
      <c r="H82" s="1">
        <v>0</v>
      </c>
      <c r="I82" s="1"/>
      <c r="J82" s="1">
        <v>0</v>
      </c>
      <c r="K82" s="1">
        <v>0</v>
      </c>
      <c r="L82" s="1">
        <v>0</v>
      </c>
      <c r="M82" s="1">
        <v>0</v>
      </c>
      <c r="N82" s="1">
        <v>0</v>
      </c>
      <c r="O82" s="1">
        <v>0</v>
      </c>
      <c r="P82" s="1"/>
      <c r="Q82" s="1">
        <v>0</v>
      </c>
    </row>
    <row r="83" spans="1:17" x14ac:dyDescent="0.25">
      <c r="A83" s="191" t="s">
        <v>593</v>
      </c>
      <c r="B83" s="1"/>
      <c r="C83" s="1">
        <v>205394</v>
      </c>
      <c r="D83" s="1">
        <v>205394</v>
      </c>
      <c r="E83" s="1">
        <v>205394</v>
      </c>
      <c r="F83" s="1">
        <v>205394</v>
      </c>
      <c r="G83" s="1">
        <v>205394</v>
      </c>
      <c r="H83" s="1">
        <v>205394</v>
      </c>
      <c r="I83" s="1"/>
      <c r="J83" s="1">
        <v>205394</v>
      </c>
      <c r="K83" s="1">
        <v>205394</v>
      </c>
      <c r="L83" s="1">
        <v>205394</v>
      </c>
      <c r="M83" s="1">
        <v>205394</v>
      </c>
      <c r="N83" s="1">
        <v>205394</v>
      </c>
      <c r="O83" s="1">
        <v>205394</v>
      </c>
      <c r="P83" s="1"/>
      <c r="Q83" s="1">
        <v>2464728</v>
      </c>
    </row>
    <row r="84" spans="1:17" x14ac:dyDescent="0.25">
      <c r="A84" s="191" t="s">
        <v>517</v>
      </c>
      <c r="B84" s="1"/>
      <c r="C84" s="1"/>
      <c r="D84" s="1"/>
      <c r="E84" s="1"/>
      <c r="F84" s="1"/>
      <c r="G84" s="1">
        <v>28320</v>
      </c>
      <c r="H84" s="1"/>
      <c r="I84" s="1"/>
      <c r="J84" s="1"/>
      <c r="K84" s="1">
        <v>1026600</v>
      </c>
      <c r="L84" s="1"/>
      <c r="M84" s="1">
        <v>118000</v>
      </c>
      <c r="N84" s="1"/>
      <c r="O84" s="1"/>
      <c r="P84" s="1"/>
      <c r="Q84" s="1">
        <v>1172920</v>
      </c>
    </row>
    <row r="85" spans="1:17" x14ac:dyDescent="0.25">
      <c r="A85" s="191" t="s">
        <v>497</v>
      </c>
      <c r="B85" s="1"/>
      <c r="C85" s="1">
        <v>5000</v>
      </c>
      <c r="D85" s="1">
        <v>5000</v>
      </c>
      <c r="E85" s="1">
        <v>5000</v>
      </c>
      <c r="F85" s="1">
        <v>5000</v>
      </c>
      <c r="G85" s="1">
        <v>5000</v>
      </c>
      <c r="H85" s="1">
        <v>5000</v>
      </c>
      <c r="I85" s="1"/>
      <c r="J85" s="1">
        <v>5000</v>
      </c>
      <c r="K85" s="1">
        <v>5000</v>
      </c>
      <c r="L85" s="1">
        <v>5000</v>
      </c>
      <c r="M85" s="1">
        <v>5000</v>
      </c>
      <c r="N85" s="1">
        <v>5000</v>
      </c>
      <c r="O85" s="1">
        <v>5000</v>
      </c>
      <c r="P85" s="1"/>
      <c r="Q85" s="1">
        <v>60000</v>
      </c>
    </row>
    <row r="86" spans="1:17" x14ac:dyDescent="0.25">
      <c r="A86" s="191" t="s">
        <v>499</v>
      </c>
      <c r="B86" s="1"/>
      <c r="C86" s="1"/>
      <c r="D86" s="1"/>
      <c r="E86" s="1"/>
      <c r="F86" s="1">
        <v>100000</v>
      </c>
      <c r="G86" s="1"/>
      <c r="H86" s="1"/>
      <c r="I86" s="1"/>
      <c r="J86" s="1"/>
      <c r="K86" s="1"/>
      <c r="L86" s="1"/>
      <c r="M86" s="1"/>
      <c r="N86" s="1"/>
      <c r="O86" s="1"/>
      <c r="P86" s="1"/>
      <c r="Q86" s="1">
        <v>100000</v>
      </c>
    </row>
    <row r="87" spans="1:17" x14ac:dyDescent="0.25">
      <c r="A87" s="191" t="s">
        <v>513</v>
      </c>
      <c r="B87" s="1"/>
      <c r="C87" s="1"/>
      <c r="D87" s="1"/>
      <c r="E87" s="1"/>
      <c r="F87" s="1">
        <v>782500</v>
      </c>
      <c r="G87" s="1"/>
      <c r="H87" s="1"/>
      <c r="I87" s="1"/>
      <c r="J87" s="1"/>
      <c r="K87" s="1"/>
      <c r="L87" s="1"/>
      <c r="M87" s="1"/>
      <c r="N87" s="1"/>
      <c r="O87" s="1"/>
      <c r="P87" s="1"/>
      <c r="Q87" s="1">
        <v>782500</v>
      </c>
    </row>
    <row r="88" spans="1:17" x14ac:dyDescent="0.25">
      <c r="A88" s="191" t="s">
        <v>558</v>
      </c>
      <c r="B88" s="1"/>
      <c r="C88" s="1">
        <v>84971</v>
      </c>
      <c r="D88" s="1">
        <v>84971</v>
      </c>
      <c r="E88" s="1">
        <v>84971</v>
      </c>
      <c r="F88" s="1">
        <v>84971</v>
      </c>
      <c r="G88" s="1">
        <v>84971</v>
      </c>
      <c r="H88" s="1">
        <v>84971</v>
      </c>
      <c r="I88" s="1"/>
      <c r="J88" s="1">
        <v>84971</v>
      </c>
      <c r="K88" s="1">
        <v>84971</v>
      </c>
      <c r="L88" s="1">
        <v>84971</v>
      </c>
      <c r="M88" s="1">
        <v>84971</v>
      </c>
      <c r="N88" s="1">
        <v>84971</v>
      </c>
      <c r="O88" s="1">
        <v>84971</v>
      </c>
      <c r="P88" s="1"/>
      <c r="Q88" s="1">
        <v>1019652</v>
      </c>
    </row>
    <row r="89" spans="1:17" x14ac:dyDescent="0.25">
      <c r="A89" s="191" t="s">
        <v>594</v>
      </c>
      <c r="B89" s="1"/>
      <c r="C89" s="1">
        <v>392981</v>
      </c>
      <c r="D89" s="1">
        <v>392981</v>
      </c>
      <c r="E89" s="1">
        <v>392981</v>
      </c>
      <c r="F89" s="1">
        <v>392981</v>
      </c>
      <c r="G89" s="1">
        <v>392981</v>
      </c>
      <c r="H89" s="1">
        <v>392981</v>
      </c>
      <c r="I89" s="1"/>
      <c r="J89" s="1">
        <v>392981</v>
      </c>
      <c r="K89" s="1">
        <v>392981</v>
      </c>
      <c r="L89" s="1">
        <v>392981</v>
      </c>
      <c r="M89" s="1">
        <v>392981</v>
      </c>
      <c r="N89" s="1">
        <v>392981</v>
      </c>
      <c r="O89" s="1">
        <v>392981</v>
      </c>
      <c r="P89" s="1"/>
      <c r="Q89" s="1">
        <v>4715772</v>
      </c>
    </row>
    <row r="90" spans="1:17" x14ac:dyDescent="0.25">
      <c r="A90" s="191" t="s">
        <v>536</v>
      </c>
      <c r="B90" s="1"/>
      <c r="C90" s="1"/>
      <c r="D90" s="1"/>
      <c r="E90" s="1">
        <v>5000</v>
      </c>
      <c r="F90" s="1"/>
      <c r="G90" s="1"/>
      <c r="H90" s="1"/>
      <c r="I90" s="1"/>
      <c r="J90" s="1"/>
      <c r="K90" s="1"/>
      <c r="L90" s="1"/>
      <c r="M90" s="1"/>
      <c r="N90" s="1"/>
      <c r="O90" s="1"/>
      <c r="P90" s="1"/>
      <c r="Q90" s="1">
        <v>5000</v>
      </c>
    </row>
    <row r="91" spans="1:17" x14ac:dyDescent="0.25">
      <c r="A91" s="191" t="s">
        <v>535</v>
      </c>
      <c r="B91" s="1"/>
      <c r="C91" s="1"/>
      <c r="D91" s="1"/>
      <c r="E91" s="1">
        <v>80000</v>
      </c>
      <c r="F91" s="1"/>
      <c r="G91" s="1"/>
      <c r="H91" s="1"/>
      <c r="I91" s="1"/>
      <c r="J91" s="1"/>
      <c r="K91" s="1"/>
      <c r="L91" s="1"/>
      <c r="M91" s="1"/>
      <c r="N91" s="1"/>
      <c r="O91" s="1"/>
      <c r="P91" s="1"/>
      <c r="Q91" s="1">
        <v>80000</v>
      </c>
    </row>
    <row r="92" spans="1:17" x14ac:dyDescent="0.25">
      <c r="A92" s="191" t="s">
        <v>486</v>
      </c>
      <c r="B92" s="1"/>
      <c r="C92" s="1">
        <v>69660</v>
      </c>
      <c r="D92" s="1">
        <v>69660</v>
      </c>
      <c r="E92" s="1">
        <v>69660</v>
      </c>
      <c r="F92" s="1">
        <v>69660</v>
      </c>
      <c r="G92" s="1">
        <v>69660</v>
      </c>
      <c r="H92" s="1">
        <v>69660</v>
      </c>
      <c r="I92" s="1"/>
      <c r="J92" s="1">
        <v>69660</v>
      </c>
      <c r="K92" s="1">
        <v>69660</v>
      </c>
      <c r="L92" s="1">
        <v>69660</v>
      </c>
      <c r="M92" s="1">
        <v>69660</v>
      </c>
      <c r="N92" s="1">
        <v>69660</v>
      </c>
      <c r="O92" s="1">
        <v>69660</v>
      </c>
      <c r="P92" s="1"/>
      <c r="Q92" s="1">
        <v>835920</v>
      </c>
    </row>
    <row r="93" spans="1:17" x14ac:dyDescent="0.25">
      <c r="A93" s="191" t="s">
        <v>522</v>
      </c>
      <c r="B93" s="1"/>
      <c r="C93" s="1"/>
      <c r="D93" s="1"/>
      <c r="E93" s="1"/>
      <c r="F93" s="1"/>
      <c r="G93" s="1"/>
      <c r="H93" s="1"/>
      <c r="I93" s="1"/>
      <c r="J93" s="1"/>
      <c r="K93" s="1"/>
      <c r="L93" s="1"/>
      <c r="M93" s="1"/>
      <c r="N93" s="1">
        <v>1100000</v>
      </c>
      <c r="O93" s="1"/>
      <c r="P93" s="1"/>
      <c r="Q93" s="1">
        <v>1100000</v>
      </c>
    </row>
    <row r="94" spans="1:17" x14ac:dyDescent="0.25">
      <c r="A94" s="191" t="s">
        <v>595</v>
      </c>
      <c r="B94" s="1"/>
      <c r="C94" s="1"/>
      <c r="D94" s="1"/>
      <c r="E94" s="1"/>
      <c r="F94" s="1"/>
      <c r="G94" s="1"/>
      <c r="H94" s="1"/>
      <c r="I94" s="1"/>
      <c r="J94" s="1"/>
      <c r="K94" s="1"/>
      <c r="L94" s="1"/>
      <c r="M94" s="1"/>
      <c r="N94" s="1"/>
      <c r="O94" s="1"/>
      <c r="P94" s="1"/>
      <c r="Q94" s="1"/>
    </row>
    <row r="95" spans="1:17" x14ac:dyDescent="0.25">
      <c r="A95" s="191" t="s">
        <v>605</v>
      </c>
      <c r="B95" s="1"/>
      <c r="C95" s="1">
        <v>103500</v>
      </c>
      <c r="D95" s="1">
        <v>103500</v>
      </c>
      <c r="E95" s="1">
        <v>103500</v>
      </c>
      <c r="F95" s="1">
        <v>103500</v>
      </c>
      <c r="G95" s="1">
        <v>103500</v>
      </c>
      <c r="H95" s="1">
        <v>103500</v>
      </c>
      <c r="I95" s="1"/>
      <c r="J95" s="1">
        <v>103500</v>
      </c>
      <c r="K95" s="1">
        <v>103500</v>
      </c>
      <c r="L95" s="1">
        <v>103500</v>
      </c>
      <c r="M95" s="1">
        <v>103500</v>
      </c>
      <c r="N95" s="1">
        <v>103500</v>
      </c>
      <c r="O95" s="1">
        <v>103500</v>
      </c>
      <c r="P95" s="1"/>
      <c r="Q95" s="1">
        <v>1242000</v>
      </c>
    </row>
    <row r="96" spans="1:17" x14ac:dyDescent="0.25">
      <c r="A96" s="191" t="s">
        <v>541</v>
      </c>
      <c r="B96" s="1"/>
      <c r="C96" s="1"/>
      <c r="D96" s="1"/>
      <c r="E96" s="1">
        <v>278775</v>
      </c>
      <c r="F96" s="1">
        <v>278775</v>
      </c>
      <c r="G96" s="1">
        <v>278775</v>
      </c>
      <c r="H96" s="1"/>
      <c r="I96" s="1"/>
      <c r="J96" s="1"/>
      <c r="K96" s="1"/>
      <c r="L96" s="1">
        <v>278775</v>
      </c>
      <c r="M96" s="1"/>
      <c r="N96" s="1"/>
      <c r="O96" s="1"/>
      <c r="P96" s="1"/>
      <c r="Q96" s="1">
        <v>1115100</v>
      </c>
    </row>
    <row r="97" spans="1:17" x14ac:dyDescent="0.25">
      <c r="A97" s="191" t="s">
        <v>757</v>
      </c>
      <c r="B97" s="1"/>
      <c r="C97" s="1">
        <v>0</v>
      </c>
      <c r="D97" s="1">
        <v>0</v>
      </c>
      <c r="E97" s="1">
        <v>0</v>
      </c>
      <c r="F97" s="1">
        <v>0</v>
      </c>
      <c r="G97" s="1">
        <v>0</v>
      </c>
      <c r="H97" s="1">
        <v>0</v>
      </c>
      <c r="I97" s="1"/>
      <c r="J97" s="1"/>
      <c r="K97" s="1">
        <v>0</v>
      </c>
      <c r="L97" s="1">
        <v>0</v>
      </c>
      <c r="M97" s="1">
        <v>0</v>
      </c>
      <c r="N97" s="1">
        <v>0</v>
      </c>
      <c r="O97" s="1">
        <v>0</v>
      </c>
      <c r="P97" s="1"/>
      <c r="Q97" s="1">
        <v>0</v>
      </c>
    </row>
    <row r="98" spans="1:17" x14ac:dyDescent="0.25">
      <c r="A98" s="191" t="s">
        <v>802</v>
      </c>
      <c r="B98" s="1"/>
      <c r="C98" s="1">
        <v>25000</v>
      </c>
      <c r="D98" s="1">
        <v>25000</v>
      </c>
      <c r="E98" s="1">
        <v>25000</v>
      </c>
      <c r="F98" s="1">
        <v>25000</v>
      </c>
      <c r="G98" s="1">
        <v>25000</v>
      </c>
      <c r="H98" s="1">
        <v>25000</v>
      </c>
      <c r="I98" s="1"/>
      <c r="J98" s="1">
        <v>25000</v>
      </c>
      <c r="K98" s="1">
        <v>25000</v>
      </c>
      <c r="L98" s="1">
        <v>25000</v>
      </c>
      <c r="M98" s="1">
        <v>25000</v>
      </c>
      <c r="N98" s="1">
        <v>25000</v>
      </c>
      <c r="O98" s="1">
        <v>25000</v>
      </c>
      <c r="P98" s="1"/>
      <c r="Q98" s="1">
        <v>300000</v>
      </c>
    </row>
    <row r="99" spans="1:17" x14ac:dyDescent="0.25">
      <c r="A99" s="191" t="s">
        <v>803</v>
      </c>
      <c r="B99" s="1"/>
      <c r="C99" s="1">
        <v>105000</v>
      </c>
      <c r="D99" s="1">
        <v>105000</v>
      </c>
      <c r="E99" s="1">
        <v>105000</v>
      </c>
      <c r="F99" s="1">
        <v>105000</v>
      </c>
      <c r="G99" s="1">
        <v>105000</v>
      </c>
      <c r="H99" s="1">
        <v>105000</v>
      </c>
      <c r="I99" s="1"/>
      <c r="J99" s="1">
        <v>105000</v>
      </c>
      <c r="K99" s="1">
        <v>105000</v>
      </c>
      <c r="L99" s="1">
        <v>105000</v>
      </c>
      <c r="M99" s="1">
        <v>105000</v>
      </c>
      <c r="N99" s="1">
        <v>105000</v>
      </c>
      <c r="O99" s="1">
        <v>105000</v>
      </c>
      <c r="P99" s="1"/>
      <c r="Q99" s="1">
        <v>1260000</v>
      </c>
    </row>
    <row r="100" spans="1:17" ht="45" x14ac:dyDescent="0.25">
      <c r="A100" s="191" t="s">
        <v>1121</v>
      </c>
      <c r="B100" s="1"/>
      <c r="C100" s="1"/>
      <c r="D100" s="1"/>
      <c r="E100" s="1"/>
      <c r="F100" s="1"/>
      <c r="G100" s="1"/>
      <c r="H100" s="1">
        <v>1000000</v>
      </c>
      <c r="I100" s="1"/>
      <c r="J100" s="1"/>
      <c r="K100" s="1"/>
      <c r="L100" s="1"/>
      <c r="M100" s="1"/>
      <c r="N100" s="1"/>
      <c r="O100" s="1"/>
      <c r="P100" s="1"/>
      <c r="Q100" s="1">
        <v>1000000</v>
      </c>
    </row>
    <row r="101" spans="1:17" ht="30" x14ac:dyDescent="0.25">
      <c r="A101" s="191" t="s">
        <v>1122</v>
      </c>
      <c r="B101" s="1"/>
      <c r="C101" s="1"/>
      <c r="D101" s="1"/>
      <c r="E101" s="1"/>
      <c r="F101" s="1"/>
      <c r="G101" s="1"/>
      <c r="H101" s="1"/>
      <c r="I101" s="1"/>
      <c r="J101" s="1">
        <v>1000000</v>
      </c>
      <c r="K101" s="1"/>
      <c r="L101" s="1"/>
      <c r="M101" s="1"/>
      <c r="N101" s="1"/>
      <c r="O101" s="1"/>
      <c r="P101" s="1"/>
      <c r="Q101" s="1">
        <v>1000000</v>
      </c>
    </row>
    <row r="102" spans="1:17" ht="30" x14ac:dyDescent="0.25">
      <c r="A102" s="191" t="s">
        <v>1123</v>
      </c>
      <c r="B102" s="1"/>
      <c r="C102" s="1"/>
      <c r="D102" s="1"/>
      <c r="E102" s="1"/>
      <c r="F102" s="1">
        <v>3670000</v>
      </c>
      <c r="G102" s="1"/>
      <c r="H102" s="1"/>
      <c r="I102" s="1"/>
      <c r="J102" s="1"/>
      <c r="K102" s="1"/>
      <c r="L102" s="1"/>
      <c r="M102" s="1"/>
      <c r="N102" s="1"/>
      <c r="O102" s="1"/>
      <c r="P102" s="1"/>
      <c r="Q102" s="1">
        <v>3670000</v>
      </c>
    </row>
    <row r="103" spans="1:17" ht="105" x14ac:dyDescent="0.25">
      <c r="A103" s="191" t="s">
        <v>1124</v>
      </c>
      <c r="B103" s="1"/>
      <c r="C103" s="1"/>
      <c r="D103" s="1"/>
      <c r="E103" s="1"/>
      <c r="F103" s="1"/>
      <c r="G103" s="1"/>
      <c r="H103" s="1">
        <v>2500000</v>
      </c>
      <c r="I103" s="1"/>
      <c r="J103" s="1"/>
      <c r="K103" s="1"/>
      <c r="L103" s="1"/>
      <c r="M103" s="1"/>
      <c r="N103" s="1"/>
      <c r="O103" s="1"/>
      <c r="P103" s="1"/>
      <c r="Q103" s="1">
        <v>2500000</v>
      </c>
    </row>
    <row r="104" spans="1:17" ht="105" x14ac:dyDescent="0.25">
      <c r="A104" s="191" t="s">
        <v>1125</v>
      </c>
      <c r="B104" s="1"/>
      <c r="C104" s="1"/>
      <c r="D104" s="1"/>
      <c r="E104" s="1"/>
      <c r="F104" s="1"/>
      <c r="G104" s="1"/>
      <c r="H104" s="1"/>
      <c r="I104" s="1"/>
      <c r="J104" s="1">
        <v>2500000</v>
      </c>
      <c r="K104" s="1"/>
      <c r="L104" s="1"/>
      <c r="M104" s="1"/>
      <c r="N104" s="1"/>
      <c r="O104" s="1"/>
      <c r="P104" s="1"/>
      <c r="Q104" s="1">
        <v>2500000</v>
      </c>
    </row>
    <row r="105" spans="1:17" ht="105" x14ac:dyDescent="0.25">
      <c r="A105" s="191" t="s">
        <v>1126</v>
      </c>
      <c r="B105" s="1"/>
      <c r="C105" s="1"/>
      <c r="D105" s="1"/>
      <c r="E105" s="1">
        <v>5000000</v>
      </c>
      <c r="F105" s="1"/>
      <c r="G105" s="1"/>
      <c r="H105" s="1"/>
      <c r="I105" s="1"/>
      <c r="J105" s="1"/>
      <c r="K105" s="1"/>
      <c r="L105" s="1"/>
      <c r="M105" s="1"/>
      <c r="N105" s="1"/>
      <c r="O105" s="1"/>
      <c r="P105" s="1"/>
      <c r="Q105" s="1">
        <v>5000000</v>
      </c>
    </row>
    <row r="106" spans="1:17" ht="105" x14ac:dyDescent="0.25">
      <c r="A106" s="191" t="s">
        <v>1127</v>
      </c>
      <c r="B106" s="1"/>
      <c r="C106" s="1"/>
      <c r="D106" s="1"/>
      <c r="E106" s="1"/>
      <c r="F106" s="1"/>
      <c r="G106" s="1"/>
      <c r="H106" s="1"/>
      <c r="I106" s="1"/>
      <c r="J106" s="1"/>
      <c r="K106" s="1"/>
      <c r="L106" s="1"/>
      <c r="M106" s="1"/>
      <c r="N106" s="1"/>
      <c r="O106" s="1"/>
      <c r="P106" s="1">
        <v>1340000</v>
      </c>
      <c r="Q106" s="1">
        <v>1340000</v>
      </c>
    </row>
    <row r="107" spans="1:17" x14ac:dyDescent="0.25">
      <c r="A107" s="191" t="s">
        <v>1128</v>
      </c>
      <c r="B107" s="1"/>
      <c r="C107" s="1"/>
      <c r="D107" s="1">
        <v>35000000</v>
      </c>
      <c r="E107" s="1"/>
      <c r="F107" s="1"/>
      <c r="G107" s="1"/>
      <c r="H107" s="1"/>
      <c r="I107" s="1"/>
      <c r="J107" s="1"/>
      <c r="K107" s="1"/>
      <c r="L107" s="1"/>
      <c r="M107" s="1"/>
      <c r="N107" s="1"/>
      <c r="O107" s="1"/>
      <c r="P107" s="1"/>
      <c r="Q107" s="1">
        <v>35000000</v>
      </c>
    </row>
    <row r="108" spans="1:17" ht="30" x14ac:dyDescent="0.25">
      <c r="A108" s="191" t="s">
        <v>1129</v>
      </c>
      <c r="B108" s="1">
        <v>2000000</v>
      </c>
      <c r="C108" s="1"/>
      <c r="D108" s="1"/>
      <c r="E108" s="1"/>
      <c r="F108" s="1"/>
      <c r="G108" s="1"/>
      <c r="H108" s="1"/>
      <c r="I108" s="1"/>
      <c r="J108" s="1"/>
      <c r="K108" s="1"/>
      <c r="L108" s="1"/>
      <c r="M108" s="1"/>
      <c r="N108" s="1"/>
      <c r="O108" s="1"/>
      <c r="P108" s="1"/>
      <c r="Q108" s="1">
        <v>2000000</v>
      </c>
    </row>
    <row r="109" spans="1:17" x14ac:dyDescent="0.25">
      <c r="A109" s="191" t="s">
        <v>1130</v>
      </c>
      <c r="B109" s="1"/>
      <c r="C109" s="1"/>
      <c r="D109" s="1"/>
      <c r="E109" s="1"/>
      <c r="F109" s="1"/>
      <c r="G109" s="1"/>
      <c r="H109" s="1">
        <v>1260000</v>
      </c>
      <c r="I109" s="1"/>
      <c r="J109" s="1"/>
      <c r="K109" s="1"/>
      <c r="L109" s="1"/>
      <c r="M109" s="1"/>
      <c r="N109" s="1"/>
      <c r="O109" s="1"/>
      <c r="P109" s="1"/>
      <c r="Q109" s="1">
        <v>1260000</v>
      </c>
    </row>
    <row r="110" spans="1:17" x14ac:dyDescent="0.25">
      <c r="A110" s="191" t="s">
        <v>1131</v>
      </c>
      <c r="B110" s="1"/>
      <c r="C110" s="1"/>
      <c r="D110" s="1"/>
      <c r="E110" s="1"/>
      <c r="F110" s="1"/>
      <c r="G110" s="1"/>
      <c r="H110" s="1"/>
      <c r="I110" s="1"/>
      <c r="J110" s="1"/>
      <c r="K110" s="1"/>
      <c r="L110" s="1">
        <v>590000</v>
      </c>
      <c r="M110" s="1"/>
      <c r="N110" s="1"/>
      <c r="O110" s="1"/>
      <c r="P110" s="1"/>
      <c r="Q110" s="1">
        <v>590000</v>
      </c>
    </row>
    <row r="111" spans="1:17" x14ac:dyDescent="0.25">
      <c r="A111" s="191" t="s">
        <v>1132</v>
      </c>
      <c r="B111" s="1"/>
      <c r="C111" s="1"/>
      <c r="D111" s="1"/>
      <c r="E111" s="1"/>
      <c r="F111" s="1"/>
      <c r="G111" s="1"/>
      <c r="H111" s="1"/>
      <c r="I111" s="1"/>
      <c r="J111" s="1"/>
      <c r="K111" s="1"/>
      <c r="L111" s="1">
        <v>236000</v>
      </c>
      <c r="M111" s="1"/>
      <c r="N111" s="1"/>
      <c r="O111" s="1"/>
      <c r="P111" s="1"/>
      <c r="Q111" s="1">
        <v>236000</v>
      </c>
    </row>
    <row r="112" spans="1:17" x14ac:dyDescent="0.25">
      <c r="A112" s="191" t="s">
        <v>1133</v>
      </c>
      <c r="B112" s="1"/>
      <c r="C112" s="1"/>
      <c r="D112" s="1"/>
      <c r="E112" s="1"/>
      <c r="F112" s="1"/>
      <c r="G112" s="1"/>
      <c r="H112" s="1"/>
      <c r="I112" s="1"/>
      <c r="J112" s="1"/>
      <c r="K112" s="1"/>
      <c r="L112" s="1">
        <v>495600</v>
      </c>
      <c r="M112" s="1"/>
      <c r="N112" s="1"/>
      <c r="O112" s="1"/>
      <c r="P112" s="1"/>
      <c r="Q112" s="1">
        <v>495600</v>
      </c>
    </row>
    <row r="113" spans="1:17" x14ac:dyDescent="0.25">
      <c r="A113" s="191" t="s">
        <v>1134</v>
      </c>
      <c r="B113" s="1"/>
      <c r="C113" s="1"/>
      <c r="D113" s="1"/>
      <c r="E113" s="1"/>
      <c r="F113" s="1"/>
      <c r="G113" s="1"/>
      <c r="H113" s="1"/>
      <c r="I113" s="1"/>
      <c r="J113" s="1"/>
      <c r="K113" s="1"/>
      <c r="L113" s="1"/>
      <c r="M113" s="1">
        <v>6000000</v>
      </c>
      <c r="N113" s="1"/>
      <c r="O113" s="1"/>
      <c r="P113" s="1"/>
      <c r="Q113" s="1">
        <v>6000000</v>
      </c>
    </row>
    <row r="114" spans="1:17" x14ac:dyDescent="0.25">
      <c r="A114" s="191" t="s">
        <v>1135</v>
      </c>
      <c r="B114" s="1"/>
      <c r="C114" s="1"/>
      <c r="D114" s="1"/>
      <c r="E114" s="1"/>
      <c r="F114" s="1">
        <v>18000000</v>
      </c>
      <c r="G114" s="1"/>
      <c r="H114" s="1"/>
      <c r="I114" s="1"/>
      <c r="J114" s="1"/>
      <c r="K114" s="1"/>
      <c r="L114" s="1"/>
      <c r="M114" s="1"/>
      <c r="N114" s="1"/>
      <c r="O114" s="1"/>
      <c r="P114" s="1"/>
      <c r="Q114" s="1">
        <v>18000000</v>
      </c>
    </row>
    <row r="115" spans="1:17" ht="30" x14ac:dyDescent="0.25">
      <c r="A115" s="191" t="s">
        <v>1136</v>
      </c>
      <c r="B115" s="1"/>
      <c r="C115" s="1"/>
      <c r="D115" s="1"/>
      <c r="E115" s="1"/>
      <c r="F115" s="1"/>
      <c r="G115" s="1"/>
      <c r="H115" s="1"/>
      <c r="I115" s="1"/>
      <c r="J115" s="1"/>
      <c r="K115" s="1"/>
      <c r="L115" s="1">
        <v>1180000</v>
      </c>
      <c r="M115" s="1"/>
      <c r="N115" s="1"/>
      <c r="O115" s="1"/>
      <c r="P115" s="1"/>
      <c r="Q115" s="1">
        <v>1180000</v>
      </c>
    </row>
    <row r="116" spans="1:17" x14ac:dyDescent="0.25">
      <c r="A116" s="191" t="s">
        <v>1137</v>
      </c>
      <c r="B116" s="1"/>
      <c r="C116" s="1"/>
      <c r="D116" s="1"/>
      <c r="E116" s="1"/>
      <c r="F116" s="1"/>
      <c r="G116" s="1"/>
      <c r="H116" s="1"/>
      <c r="I116" s="1"/>
      <c r="J116" s="1"/>
      <c r="K116" s="1"/>
      <c r="L116" s="1"/>
      <c r="M116" s="1"/>
      <c r="N116" s="1">
        <v>1200000</v>
      </c>
      <c r="O116" s="1"/>
      <c r="P116" s="1"/>
      <c r="Q116" s="1">
        <v>1200000</v>
      </c>
    </row>
    <row r="117" spans="1:17" x14ac:dyDescent="0.25">
      <c r="A117" s="191" t="s">
        <v>1145</v>
      </c>
      <c r="B117" s="1"/>
      <c r="C117" s="1"/>
      <c r="D117" s="1"/>
      <c r="E117" s="1">
        <v>6825000</v>
      </c>
      <c r="F117" s="1"/>
      <c r="G117" s="1"/>
      <c r="H117" s="1"/>
      <c r="I117" s="1"/>
      <c r="J117" s="1"/>
      <c r="K117" s="1"/>
      <c r="L117" s="1"/>
      <c r="M117" s="1"/>
      <c r="N117" s="1"/>
      <c r="O117" s="1"/>
      <c r="P117" s="1"/>
      <c r="Q117" s="1">
        <v>6825000</v>
      </c>
    </row>
    <row r="118" spans="1:17" ht="30" x14ac:dyDescent="0.25">
      <c r="A118" s="191" t="s">
        <v>1146</v>
      </c>
      <c r="B118" s="1"/>
      <c r="C118" s="1"/>
      <c r="D118" s="1"/>
      <c r="E118" s="1"/>
      <c r="F118" s="1"/>
      <c r="G118" s="1"/>
      <c r="H118" s="1">
        <v>1260000</v>
      </c>
      <c r="I118" s="1"/>
      <c r="J118" s="1"/>
      <c r="K118" s="1"/>
      <c r="L118" s="1"/>
      <c r="M118" s="1"/>
      <c r="N118" s="1"/>
      <c r="O118" s="1"/>
      <c r="P118" s="1"/>
      <c r="Q118" s="1">
        <v>1260000</v>
      </c>
    </row>
    <row r="119" spans="1:17" x14ac:dyDescent="0.25">
      <c r="A119" s="191" t="s">
        <v>1162</v>
      </c>
      <c r="B119" s="1"/>
      <c r="C119" s="1"/>
      <c r="D119" s="1"/>
      <c r="E119" s="1"/>
      <c r="F119" s="1"/>
      <c r="G119" s="1"/>
      <c r="H119" s="1"/>
      <c r="I119" s="1"/>
      <c r="J119" s="1"/>
      <c r="K119" s="1"/>
      <c r="L119" s="1">
        <v>2124000</v>
      </c>
      <c r="M119" s="1"/>
      <c r="N119" s="1"/>
      <c r="O119" s="1"/>
      <c r="P119" s="1"/>
      <c r="Q119" s="1">
        <v>2124000</v>
      </c>
    </row>
    <row r="120" spans="1:17" ht="30" x14ac:dyDescent="0.25">
      <c r="A120" s="191" t="s">
        <v>1163</v>
      </c>
      <c r="B120" s="1"/>
      <c r="C120" s="1"/>
      <c r="D120" s="1">
        <v>1890000</v>
      </c>
      <c r="E120" s="1"/>
      <c r="F120" s="1"/>
      <c r="G120" s="1"/>
      <c r="H120" s="1"/>
      <c r="I120" s="1"/>
      <c r="J120" s="1"/>
      <c r="K120" s="1"/>
      <c r="L120" s="1"/>
      <c r="M120" s="1"/>
      <c r="N120" s="1"/>
      <c r="O120" s="1"/>
      <c r="P120" s="1"/>
      <c r="Q120" s="1">
        <v>1890000</v>
      </c>
    </row>
    <row r="121" spans="1:17" x14ac:dyDescent="0.25">
      <c r="A121" s="191" t="s">
        <v>1164</v>
      </c>
      <c r="B121" s="1"/>
      <c r="C121" s="1"/>
      <c r="D121" s="1"/>
      <c r="E121" s="1"/>
      <c r="F121" s="1"/>
      <c r="G121" s="1"/>
      <c r="H121" s="1">
        <v>630000</v>
      </c>
      <c r="I121" s="1"/>
      <c r="J121" s="1"/>
      <c r="K121" s="1"/>
      <c r="L121" s="1"/>
      <c r="M121" s="1"/>
      <c r="N121" s="1"/>
      <c r="O121" s="1"/>
      <c r="P121" s="1"/>
      <c r="Q121" s="1">
        <v>630000</v>
      </c>
    </row>
    <row r="122" spans="1:17" ht="30" x14ac:dyDescent="0.25">
      <c r="A122" s="191" t="s">
        <v>1174</v>
      </c>
      <c r="B122" s="1"/>
      <c r="C122" s="1"/>
      <c r="D122" s="1"/>
      <c r="E122" s="1"/>
      <c r="F122" s="1"/>
      <c r="G122" s="1"/>
      <c r="H122" s="1"/>
      <c r="I122" s="1"/>
      <c r="J122" s="1">
        <v>15375000</v>
      </c>
      <c r="K122" s="1"/>
      <c r="L122" s="1"/>
      <c r="M122" s="1"/>
      <c r="N122" s="1"/>
      <c r="O122" s="1"/>
      <c r="P122" s="1"/>
      <c r="Q122" s="1">
        <v>15375000</v>
      </c>
    </row>
    <row r="123" spans="1:17" ht="30" x14ac:dyDescent="0.25">
      <c r="A123" s="191" t="s">
        <v>1175</v>
      </c>
      <c r="B123" s="1"/>
      <c r="C123" s="1"/>
      <c r="D123" s="1"/>
      <c r="E123" s="1"/>
      <c r="F123" s="1"/>
      <c r="G123" s="1"/>
      <c r="H123" s="1"/>
      <c r="I123" s="1"/>
      <c r="J123" s="1">
        <v>7100000</v>
      </c>
      <c r="K123" s="1"/>
      <c r="L123" s="1"/>
      <c r="M123" s="1"/>
      <c r="N123" s="1"/>
      <c r="O123" s="1"/>
      <c r="P123" s="1"/>
      <c r="Q123" s="1">
        <v>7100000</v>
      </c>
    </row>
    <row r="124" spans="1:17" x14ac:dyDescent="0.25">
      <c r="A124" s="191" t="s">
        <v>1176</v>
      </c>
      <c r="B124" s="1"/>
      <c r="C124" s="1"/>
      <c r="D124" s="1"/>
      <c r="E124" s="1"/>
      <c r="F124" s="1"/>
      <c r="G124" s="1"/>
      <c r="H124" s="1"/>
      <c r="I124" s="1"/>
      <c r="J124" s="1"/>
      <c r="K124" s="1"/>
      <c r="L124" s="1"/>
      <c r="M124" s="1">
        <v>3500000</v>
      </c>
      <c r="N124" s="1"/>
      <c r="O124" s="1"/>
      <c r="P124" s="1"/>
      <c r="Q124" s="1">
        <v>3500000</v>
      </c>
    </row>
    <row r="125" spans="1:17" ht="30" x14ac:dyDescent="0.25">
      <c r="A125" s="191" t="s">
        <v>1181</v>
      </c>
      <c r="B125" s="1"/>
      <c r="C125" s="1"/>
      <c r="D125" s="1"/>
      <c r="E125" s="1"/>
      <c r="F125" s="1"/>
      <c r="G125" s="1"/>
      <c r="H125" s="1"/>
      <c r="I125" s="1"/>
      <c r="J125" s="1">
        <v>6811000</v>
      </c>
      <c r="K125" s="1"/>
      <c r="L125" s="1"/>
      <c r="M125" s="1"/>
      <c r="N125" s="1"/>
      <c r="O125" s="1"/>
      <c r="P125" s="1"/>
      <c r="Q125" s="1">
        <v>6811000</v>
      </c>
    </row>
    <row r="126" spans="1:17" ht="45" x14ac:dyDescent="0.25">
      <c r="A126" s="191" t="s">
        <v>1182</v>
      </c>
      <c r="B126" s="1"/>
      <c r="C126" s="1"/>
      <c r="D126" s="1"/>
      <c r="E126" s="1"/>
      <c r="F126" s="1"/>
      <c r="G126" s="1"/>
      <c r="H126" s="1"/>
      <c r="I126" s="1"/>
      <c r="J126" s="1"/>
      <c r="K126" s="1"/>
      <c r="L126" s="1"/>
      <c r="M126" s="1"/>
      <c r="N126" s="1"/>
      <c r="O126" s="1"/>
      <c r="P126" s="1">
        <v>2310000</v>
      </c>
      <c r="Q126" s="1">
        <v>2310000</v>
      </c>
    </row>
    <row r="127" spans="1:17" ht="90" x14ac:dyDescent="0.25">
      <c r="A127" s="191" t="s">
        <v>1183</v>
      </c>
      <c r="B127" s="1"/>
      <c r="C127" s="1"/>
      <c r="D127" s="1"/>
      <c r="E127" s="1"/>
      <c r="F127" s="1"/>
      <c r="G127" s="1"/>
      <c r="H127" s="1"/>
      <c r="I127" s="1"/>
      <c r="J127" s="1"/>
      <c r="K127" s="1"/>
      <c r="L127" s="1"/>
      <c r="M127" s="1"/>
      <c r="N127" s="1"/>
      <c r="O127" s="1"/>
      <c r="P127" s="1">
        <v>6195000</v>
      </c>
      <c r="Q127" s="1">
        <v>6195000</v>
      </c>
    </row>
    <row r="128" spans="1:17" x14ac:dyDescent="0.25">
      <c r="A128" s="191" t="s">
        <v>138</v>
      </c>
      <c r="B128" s="1">
        <v>2000000</v>
      </c>
      <c r="C128" s="1">
        <v>9031816</v>
      </c>
      <c r="D128" s="1">
        <v>46341478</v>
      </c>
      <c r="E128" s="1">
        <v>21320591</v>
      </c>
      <c r="F128" s="1">
        <v>32739855</v>
      </c>
      <c r="G128" s="1">
        <v>9726175</v>
      </c>
      <c r="H128" s="1">
        <v>22149078</v>
      </c>
      <c r="I128" s="1">
        <v>804832</v>
      </c>
      <c r="J128" s="1">
        <v>42125304</v>
      </c>
      <c r="K128" s="1">
        <v>24275904</v>
      </c>
      <c r="L128" s="1">
        <v>14691455</v>
      </c>
      <c r="M128" s="1">
        <v>20284221</v>
      </c>
      <c r="N128" s="1">
        <v>11331816</v>
      </c>
      <c r="O128" s="1">
        <v>9031816</v>
      </c>
      <c r="P128" s="1">
        <v>9845000</v>
      </c>
      <c r="Q128" s="1">
        <v>275699341</v>
      </c>
    </row>
    <row r="129" spans="1:1" x14ac:dyDescent="0.25">
      <c r="A129"/>
    </row>
    <row r="130" spans="1:1" x14ac:dyDescent="0.25">
      <c r="A130"/>
    </row>
  </sheetData>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1046"/>
  <sheetViews>
    <sheetView workbookViewId="0">
      <selection activeCell="B15" sqref="B15"/>
    </sheetView>
  </sheetViews>
  <sheetFormatPr defaultRowHeight="15" x14ac:dyDescent="0.25"/>
  <cols>
    <col min="1" max="1" width="81.140625" bestFit="1" customWidth="1"/>
    <col min="2" max="2" width="30.85546875" bestFit="1" customWidth="1"/>
    <col min="3" max="3" width="49.42578125" bestFit="1" customWidth="1"/>
    <col min="4" max="4" width="8.7109375" bestFit="1" customWidth="1"/>
    <col min="5" max="5" width="13.5703125" bestFit="1" customWidth="1"/>
    <col min="6" max="8" width="8.85546875" bestFit="1" customWidth="1"/>
    <col min="9" max="9" width="30.85546875" bestFit="1" customWidth="1"/>
    <col min="10" max="10" width="49.42578125" bestFit="1" customWidth="1"/>
  </cols>
  <sheetData>
    <row r="1" spans="1:5" x14ac:dyDescent="0.25">
      <c r="A1" s="199" t="s">
        <v>375</v>
      </c>
      <c r="B1" s="199" t="s">
        <v>376</v>
      </c>
      <c r="C1" s="198" t="s">
        <v>377</v>
      </c>
      <c r="D1" s="198" t="s">
        <v>232</v>
      </c>
      <c r="E1" s="198" t="s">
        <v>152</v>
      </c>
    </row>
    <row r="2" spans="1:5" x14ac:dyDescent="0.25">
      <c r="A2" s="199" t="s">
        <v>381</v>
      </c>
      <c r="B2" s="199">
        <v>44749</v>
      </c>
      <c r="C2" s="198">
        <v>804832</v>
      </c>
      <c r="D2" s="198" t="s">
        <v>394</v>
      </c>
      <c r="E2" s="198" t="s">
        <v>239</v>
      </c>
    </row>
    <row r="3" spans="1:5" x14ac:dyDescent="0.25">
      <c r="A3" s="199" t="s">
        <v>381</v>
      </c>
      <c r="B3" s="199">
        <v>44805</v>
      </c>
      <c r="C3" s="198">
        <v>57488</v>
      </c>
      <c r="D3" s="198" t="s">
        <v>394</v>
      </c>
      <c r="E3" s="198" t="s">
        <v>239</v>
      </c>
    </row>
    <row r="4" spans="1:5" x14ac:dyDescent="0.25">
      <c r="A4" s="199" t="s">
        <v>381</v>
      </c>
      <c r="B4" s="199">
        <v>44866</v>
      </c>
      <c r="C4" s="198">
        <v>57488</v>
      </c>
      <c r="D4" s="198" t="s">
        <v>394</v>
      </c>
      <c r="E4" s="198" t="s">
        <v>239</v>
      </c>
    </row>
    <row r="5" spans="1:5" x14ac:dyDescent="0.25">
      <c r="A5" s="199" t="s">
        <v>802</v>
      </c>
      <c r="B5" s="199">
        <v>44562</v>
      </c>
      <c r="C5" s="198">
        <v>25000</v>
      </c>
      <c r="D5" s="198" t="s">
        <v>421</v>
      </c>
      <c r="E5" s="198" t="s">
        <v>239</v>
      </c>
    </row>
    <row r="6" spans="1:5" x14ac:dyDescent="0.25">
      <c r="A6" s="199" t="s">
        <v>802</v>
      </c>
      <c r="B6" s="199">
        <v>44593</v>
      </c>
      <c r="C6" s="198">
        <v>25000</v>
      </c>
      <c r="D6" s="198" t="s">
        <v>421</v>
      </c>
      <c r="E6" s="198" t="s">
        <v>239</v>
      </c>
    </row>
    <row r="7" spans="1:5" x14ac:dyDescent="0.25">
      <c r="A7" s="199" t="s">
        <v>802</v>
      </c>
      <c r="B7" s="199">
        <v>44621</v>
      </c>
      <c r="C7" s="198">
        <v>25000</v>
      </c>
      <c r="D7" s="198" t="s">
        <v>421</v>
      </c>
      <c r="E7" s="198" t="s">
        <v>239</v>
      </c>
    </row>
    <row r="8" spans="1:5" x14ac:dyDescent="0.25">
      <c r="A8" s="199" t="s">
        <v>802</v>
      </c>
      <c r="B8" s="199">
        <v>44652</v>
      </c>
      <c r="C8" s="198">
        <v>25000</v>
      </c>
      <c r="D8" s="198" t="s">
        <v>421</v>
      </c>
      <c r="E8" s="198" t="s">
        <v>239</v>
      </c>
    </row>
    <row r="9" spans="1:5" x14ac:dyDescent="0.25">
      <c r="A9" s="199" t="s">
        <v>802</v>
      </c>
      <c r="B9" s="199">
        <v>44682</v>
      </c>
      <c r="C9" s="198">
        <v>25000</v>
      </c>
      <c r="D9" s="198" t="s">
        <v>421</v>
      </c>
      <c r="E9" s="198" t="s">
        <v>239</v>
      </c>
    </row>
    <row r="10" spans="1:5" x14ac:dyDescent="0.25">
      <c r="A10" s="199" t="s">
        <v>802</v>
      </c>
      <c r="B10" s="199">
        <v>44713</v>
      </c>
      <c r="C10" s="198">
        <v>25000</v>
      </c>
      <c r="D10" s="198" t="s">
        <v>421</v>
      </c>
      <c r="E10" s="198" t="s">
        <v>239</v>
      </c>
    </row>
    <row r="11" spans="1:5" x14ac:dyDescent="0.25">
      <c r="A11" s="199" t="s">
        <v>802</v>
      </c>
      <c r="B11" s="199">
        <v>44743</v>
      </c>
      <c r="C11" s="198">
        <v>25000</v>
      </c>
      <c r="D11" s="198" t="s">
        <v>421</v>
      </c>
      <c r="E11" s="198" t="s">
        <v>239</v>
      </c>
    </row>
    <row r="12" spans="1:5" x14ac:dyDescent="0.25">
      <c r="A12" s="199" t="s">
        <v>802</v>
      </c>
      <c r="B12" s="199">
        <v>44774</v>
      </c>
      <c r="C12" s="198">
        <v>25000</v>
      </c>
      <c r="D12" s="198" t="s">
        <v>421</v>
      </c>
      <c r="E12" s="198" t="s">
        <v>239</v>
      </c>
    </row>
    <row r="13" spans="1:5" x14ac:dyDescent="0.25">
      <c r="A13" s="199" t="s">
        <v>802</v>
      </c>
      <c r="B13" s="199">
        <v>44805</v>
      </c>
      <c r="C13" s="198">
        <v>25000</v>
      </c>
      <c r="D13" s="198" t="s">
        <v>421</v>
      </c>
      <c r="E13" s="198" t="s">
        <v>239</v>
      </c>
    </row>
    <row r="14" spans="1:5" x14ac:dyDescent="0.25">
      <c r="A14" s="199" t="s">
        <v>802</v>
      </c>
      <c r="B14" s="199">
        <v>44835</v>
      </c>
      <c r="C14" s="198">
        <v>25000</v>
      </c>
      <c r="D14" s="198" t="s">
        <v>421</v>
      </c>
      <c r="E14" s="198" t="s">
        <v>239</v>
      </c>
    </row>
    <row r="15" spans="1:5" x14ac:dyDescent="0.25">
      <c r="A15" s="199" t="s">
        <v>802</v>
      </c>
      <c r="B15" s="199">
        <v>44866</v>
      </c>
      <c r="C15" s="198">
        <v>25000</v>
      </c>
      <c r="D15" s="198" t="s">
        <v>421</v>
      </c>
      <c r="E15" s="198" t="s">
        <v>239</v>
      </c>
    </row>
    <row r="16" spans="1:5" x14ac:dyDescent="0.25">
      <c r="A16" s="199" t="s">
        <v>802</v>
      </c>
      <c r="B16" s="199">
        <v>44896</v>
      </c>
      <c r="C16" s="198">
        <v>25000</v>
      </c>
      <c r="D16" s="198" t="s">
        <v>421</v>
      </c>
      <c r="E16" s="198" t="s">
        <v>239</v>
      </c>
    </row>
    <row r="17" spans="1:5" x14ac:dyDescent="0.25">
      <c r="A17" s="199" t="s">
        <v>803</v>
      </c>
      <c r="B17" s="199">
        <v>44562</v>
      </c>
      <c r="C17" s="198">
        <v>105000</v>
      </c>
      <c r="D17" s="198" t="s">
        <v>422</v>
      </c>
      <c r="E17" s="198" t="s">
        <v>239</v>
      </c>
    </row>
    <row r="18" spans="1:5" x14ac:dyDescent="0.25">
      <c r="A18" s="199" t="s">
        <v>803</v>
      </c>
      <c r="B18" s="199">
        <v>44593</v>
      </c>
      <c r="C18" s="198">
        <v>105000</v>
      </c>
      <c r="D18" s="198" t="s">
        <v>422</v>
      </c>
      <c r="E18" s="198" t="s">
        <v>239</v>
      </c>
    </row>
    <row r="19" spans="1:5" x14ac:dyDescent="0.25">
      <c r="A19" s="199" t="s">
        <v>803</v>
      </c>
      <c r="B19" s="199">
        <v>44621</v>
      </c>
      <c r="C19" s="198">
        <v>105000</v>
      </c>
      <c r="D19" s="198" t="s">
        <v>422</v>
      </c>
      <c r="E19" s="198" t="s">
        <v>239</v>
      </c>
    </row>
    <row r="20" spans="1:5" x14ac:dyDescent="0.25">
      <c r="A20" s="199" t="s">
        <v>803</v>
      </c>
      <c r="B20" s="199">
        <v>44652</v>
      </c>
      <c r="C20" s="198">
        <v>105000</v>
      </c>
      <c r="D20" s="198" t="s">
        <v>422</v>
      </c>
      <c r="E20" s="198" t="s">
        <v>239</v>
      </c>
    </row>
    <row r="21" spans="1:5" x14ac:dyDescent="0.25">
      <c r="A21" s="199" t="s">
        <v>803</v>
      </c>
      <c r="B21" s="199">
        <v>44682</v>
      </c>
      <c r="C21" s="198">
        <v>105000</v>
      </c>
      <c r="D21" s="198" t="s">
        <v>422</v>
      </c>
      <c r="E21" s="198" t="s">
        <v>239</v>
      </c>
    </row>
    <row r="22" spans="1:5" x14ac:dyDescent="0.25">
      <c r="A22" s="199" t="s">
        <v>803</v>
      </c>
      <c r="B22" s="199">
        <v>44713</v>
      </c>
      <c r="C22" s="198">
        <v>105000</v>
      </c>
      <c r="D22" s="198" t="s">
        <v>422</v>
      </c>
      <c r="E22" s="198" t="s">
        <v>239</v>
      </c>
    </row>
    <row r="23" spans="1:5" x14ac:dyDescent="0.25">
      <c r="A23" s="199" t="s">
        <v>803</v>
      </c>
      <c r="B23" s="199">
        <v>44743</v>
      </c>
      <c r="C23" s="198">
        <v>105000</v>
      </c>
      <c r="D23" s="198" t="s">
        <v>422</v>
      </c>
      <c r="E23" s="198" t="s">
        <v>239</v>
      </c>
    </row>
    <row r="24" spans="1:5" x14ac:dyDescent="0.25">
      <c r="A24" s="199" t="s">
        <v>803</v>
      </c>
      <c r="B24" s="199">
        <v>44774</v>
      </c>
      <c r="C24" s="198">
        <v>105000</v>
      </c>
      <c r="D24" s="198" t="s">
        <v>422</v>
      </c>
      <c r="E24" s="198" t="s">
        <v>239</v>
      </c>
    </row>
    <row r="25" spans="1:5" x14ac:dyDescent="0.25">
      <c r="A25" s="199" t="s">
        <v>803</v>
      </c>
      <c r="B25" s="199">
        <v>44805</v>
      </c>
      <c r="C25" s="198">
        <v>105000</v>
      </c>
      <c r="D25" s="198" t="s">
        <v>422</v>
      </c>
      <c r="E25" s="198" t="s">
        <v>239</v>
      </c>
    </row>
    <row r="26" spans="1:5" x14ac:dyDescent="0.25">
      <c r="A26" s="199" t="s">
        <v>803</v>
      </c>
      <c r="B26" s="199">
        <v>44835</v>
      </c>
      <c r="C26" s="198">
        <v>105000</v>
      </c>
      <c r="D26" s="198" t="s">
        <v>422</v>
      </c>
      <c r="E26" s="198" t="s">
        <v>239</v>
      </c>
    </row>
    <row r="27" spans="1:5" x14ac:dyDescent="0.25">
      <c r="A27" s="199" t="s">
        <v>803</v>
      </c>
      <c r="B27" s="199">
        <v>44866</v>
      </c>
      <c r="C27" s="198">
        <v>105000</v>
      </c>
      <c r="D27" s="198" t="s">
        <v>422</v>
      </c>
      <c r="E27" s="198" t="s">
        <v>239</v>
      </c>
    </row>
    <row r="28" spans="1:5" x14ac:dyDescent="0.25">
      <c r="A28" s="199" t="s">
        <v>803</v>
      </c>
      <c r="B28" s="199">
        <v>44896</v>
      </c>
      <c r="C28" s="198">
        <v>105000</v>
      </c>
      <c r="D28" s="198" t="s">
        <v>422</v>
      </c>
      <c r="E28" s="198" t="s">
        <v>239</v>
      </c>
    </row>
    <row r="29" spans="1:5" x14ac:dyDescent="0.25">
      <c r="A29" s="199" t="s">
        <v>332</v>
      </c>
      <c r="B29" s="199">
        <v>44621</v>
      </c>
      <c r="C29" s="198">
        <v>0</v>
      </c>
      <c r="D29" s="198" t="s">
        <v>424</v>
      </c>
      <c r="E29" s="198" t="s">
        <v>239</v>
      </c>
    </row>
    <row r="30" spans="1:5" x14ac:dyDescent="0.25">
      <c r="A30" s="199" t="s">
        <v>333</v>
      </c>
      <c r="B30" s="199">
        <v>44562</v>
      </c>
      <c r="C30" s="198">
        <v>319662</v>
      </c>
      <c r="D30" s="198" t="s">
        <v>445</v>
      </c>
      <c r="E30" s="198" t="s">
        <v>239</v>
      </c>
    </row>
    <row r="31" spans="1:5" x14ac:dyDescent="0.25">
      <c r="A31" s="199" t="s">
        <v>333</v>
      </c>
      <c r="B31" s="199">
        <v>44593</v>
      </c>
      <c r="C31" s="198">
        <v>319662</v>
      </c>
      <c r="D31" s="198" t="s">
        <v>445</v>
      </c>
      <c r="E31" s="198" t="s">
        <v>239</v>
      </c>
    </row>
    <row r="32" spans="1:5" x14ac:dyDescent="0.25">
      <c r="A32" s="199" t="s">
        <v>333</v>
      </c>
      <c r="B32" s="199">
        <v>44621</v>
      </c>
      <c r="C32" s="198">
        <v>319662</v>
      </c>
      <c r="D32" s="198" t="s">
        <v>445</v>
      </c>
      <c r="E32" s="198" t="s">
        <v>239</v>
      </c>
    </row>
    <row r="33" spans="1:5" x14ac:dyDescent="0.25">
      <c r="A33" s="199" t="s">
        <v>333</v>
      </c>
      <c r="B33" s="199">
        <v>44652</v>
      </c>
      <c r="C33" s="198">
        <v>319662</v>
      </c>
      <c r="D33" s="198" t="s">
        <v>445</v>
      </c>
      <c r="E33" s="198" t="s">
        <v>239</v>
      </c>
    </row>
    <row r="34" spans="1:5" x14ac:dyDescent="0.25">
      <c r="A34" s="199" t="s">
        <v>333</v>
      </c>
      <c r="B34" s="199">
        <v>44682</v>
      </c>
      <c r="C34" s="198">
        <v>319662</v>
      </c>
      <c r="D34" s="198" t="s">
        <v>445</v>
      </c>
      <c r="E34" s="198" t="s">
        <v>239</v>
      </c>
    </row>
    <row r="35" spans="1:5" x14ac:dyDescent="0.25">
      <c r="A35" s="199" t="s">
        <v>333</v>
      </c>
      <c r="B35" s="199">
        <v>44713</v>
      </c>
      <c r="C35" s="198">
        <v>319662</v>
      </c>
      <c r="D35" s="198" t="s">
        <v>445</v>
      </c>
      <c r="E35" s="198" t="s">
        <v>239</v>
      </c>
    </row>
    <row r="36" spans="1:5" x14ac:dyDescent="0.25">
      <c r="A36" s="199" t="s">
        <v>333</v>
      </c>
      <c r="B36" s="199">
        <v>44743</v>
      </c>
      <c r="C36" s="198">
        <v>0</v>
      </c>
      <c r="D36" s="198" t="s">
        <v>445</v>
      </c>
      <c r="E36" s="198" t="s">
        <v>239</v>
      </c>
    </row>
    <row r="37" spans="1:5" x14ac:dyDescent="0.25">
      <c r="A37" s="199" t="s">
        <v>333</v>
      </c>
      <c r="B37" s="199">
        <v>44774</v>
      </c>
      <c r="C37" s="198">
        <v>0</v>
      </c>
      <c r="D37" s="198" t="s">
        <v>445</v>
      </c>
      <c r="E37" s="198" t="s">
        <v>239</v>
      </c>
    </row>
    <row r="38" spans="1:5" x14ac:dyDescent="0.25">
      <c r="A38" s="199" t="s">
        <v>333</v>
      </c>
      <c r="B38" s="199">
        <v>44805</v>
      </c>
      <c r="C38" s="198">
        <v>0</v>
      </c>
      <c r="D38" s="198" t="s">
        <v>445</v>
      </c>
      <c r="E38" s="198" t="s">
        <v>239</v>
      </c>
    </row>
    <row r="39" spans="1:5" x14ac:dyDescent="0.25">
      <c r="A39" s="199" t="s">
        <v>333</v>
      </c>
      <c r="B39" s="199">
        <v>44835</v>
      </c>
      <c r="C39" s="198">
        <v>0</v>
      </c>
      <c r="D39" s="198" t="s">
        <v>445</v>
      </c>
      <c r="E39" s="198" t="s">
        <v>239</v>
      </c>
    </row>
    <row r="40" spans="1:5" x14ac:dyDescent="0.25">
      <c r="A40" s="199" t="s">
        <v>333</v>
      </c>
      <c r="B40" s="199">
        <v>44866</v>
      </c>
      <c r="C40" s="198">
        <v>0</v>
      </c>
      <c r="D40" s="198" t="s">
        <v>445</v>
      </c>
      <c r="E40" s="198" t="s">
        <v>239</v>
      </c>
    </row>
    <row r="41" spans="1:5" x14ac:dyDescent="0.25">
      <c r="A41" s="199" t="s">
        <v>333</v>
      </c>
      <c r="B41" s="199">
        <v>44896</v>
      </c>
      <c r="C41" s="198">
        <v>0</v>
      </c>
      <c r="D41" s="198" t="s">
        <v>445</v>
      </c>
      <c r="E41" s="198" t="s">
        <v>239</v>
      </c>
    </row>
    <row r="42" spans="1:5" x14ac:dyDescent="0.25">
      <c r="A42" s="199" t="s">
        <v>757</v>
      </c>
      <c r="B42" s="199">
        <v>44562</v>
      </c>
      <c r="C42" s="198">
        <v>0</v>
      </c>
      <c r="D42" s="198" t="s">
        <v>430</v>
      </c>
      <c r="E42" s="198" t="s">
        <v>239</v>
      </c>
    </row>
    <row r="43" spans="1:5" x14ac:dyDescent="0.25">
      <c r="A43" s="199" t="s">
        <v>757</v>
      </c>
      <c r="B43" s="199">
        <v>44593</v>
      </c>
      <c r="C43" s="198">
        <v>0</v>
      </c>
      <c r="D43" s="198" t="s">
        <v>430</v>
      </c>
      <c r="E43" s="198" t="s">
        <v>239</v>
      </c>
    </row>
    <row r="44" spans="1:5" x14ac:dyDescent="0.25">
      <c r="A44" s="199" t="s">
        <v>757</v>
      </c>
      <c r="B44" s="199">
        <v>44621</v>
      </c>
      <c r="C44" s="198">
        <v>0</v>
      </c>
      <c r="D44" s="198" t="s">
        <v>430</v>
      </c>
      <c r="E44" s="198" t="s">
        <v>239</v>
      </c>
    </row>
    <row r="45" spans="1:5" x14ac:dyDescent="0.25">
      <c r="A45" s="199" t="s">
        <v>757</v>
      </c>
      <c r="B45" s="199">
        <v>44652</v>
      </c>
      <c r="C45" s="198">
        <v>0</v>
      </c>
      <c r="D45" s="198" t="s">
        <v>430</v>
      </c>
      <c r="E45" s="198" t="s">
        <v>239</v>
      </c>
    </row>
    <row r="46" spans="1:5" x14ac:dyDescent="0.25">
      <c r="A46" s="199" t="s">
        <v>757</v>
      </c>
      <c r="B46" s="199">
        <v>44682</v>
      </c>
      <c r="C46" s="198">
        <v>0</v>
      </c>
      <c r="D46" s="198" t="s">
        <v>430</v>
      </c>
      <c r="E46" s="198" t="s">
        <v>239</v>
      </c>
    </row>
    <row r="47" spans="1:5" x14ac:dyDescent="0.25">
      <c r="A47" s="199" t="s">
        <v>757</v>
      </c>
      <c r="B47" s="199">
        <v>44713</v>
      </c>
      <c r="C47" s="198">
        <v>0</v>
      </c>
      <c r="D47" s="198" t="s">
        <v>430</v>
      </c>
      <c r="E47" s="198" t="s">
        <v>239</v>
      </c>
    </row>
    <row r="48" spans="1:5" x14ac:dyDescent="0.25">
      <c r="A48" s="199" t="s">
        <v>757</v>
      </c>
      <c r="B48" s="199">
        <v>44743</v>
      </c>
      <c r="C48" s="198">
        <v>0</v>
      </c>
      <c r="D48" s="198" t="s">
        <v>430</v>
      </c>
      <c r="E48" s="198" t="s">
        <v>239</v>
      </c>
    </row>
    <row r="49" spans="1:5" x14ac:dyDescent="0.25">
      <c r="A49" s="199" t="s">
        <v>757</v>
      </c>
      <c r="B49" s="199">
        <v>44774</v>
      </c>
      <c r="C49" s="198">
        <v>0</v>
      </c>
      <c r="D49" s="198" t="s">
        <v>430</v>
      </c>
      <c r="E49" s="198" t="s">
        <v>239</v>
      </c>
    </row>
    <row r="50" spans="1:5" x14ac:dyDescent="0.25">
      <c r="A50" s="199" t="s">
        <v>757</v>
      </c>
      <c r="B50" s="199">
        <v>44805</v>
      </c>
      <c r="C50" s="198"/>
      <c r="D50" s="198" t="s">
        <v>430</v>
      </c>
      <c r="E50" s="198" t="s">
        <v>239</v>
      </c>
    </row>
    <row r="51" spans="1:5" x14ac:dyDescent="0.25">
      <c r="A51" s="199" t="s">
        <v>757</v>
      </c>
      <c r="B51" s="199">
        <v>44835</v>
      </c>
      <c r="C51" s="198">
        <v>0</v>
      </c>
      <c r="D51" s="198" t="s">
        <v>430</v>
      </c>
      <c r="E51" s="198" t="s">
        <v>239</v>
      </c>
    </row>
    <row r="52" spans="1:5" x14ac:dyDescent="0.25">
      <c r="A52" s="199" t="s">
        <v>757</v>
      </c>
      <c r="B52" s="199">
        <v>44866</v>
      </c>
      <c r="C52" s="198">
        <v>0</v>
      </c>
      <c r="D52" s="198" t="s">
        <v>430</v>
      </c>
      <c r="E52" s="198" t="s">
        <v>239</v>
      </c>
    </row>
    <row r="53" spans="1:5" x14ac:dyDescent="0.25">
      <c r="A53" s="199" t="s">
        <v>757</v>
      </c>
      <c r="B53" s="199">
        <v>44896</v>
      </c>
      <c r="C53" s="198">
        <v>0</v>
      </c>
      <c r="D53" s="198" t="s">
        <v>430</v>
      </c>
      <c r="E53" s="198" t="s">
        <v>239</v>
      </c>
    </row>
    <row r="54" spans="1:5" x14ac:dyDescent="0.25">
      <c r="A54" s="199" t="s">
        <v>330</v>
      </c>
      <c r="B54" s="199">
        <v>44562</v>
      </c>
      <c r="C54" s="198">
        <v>52083</v>
      </c>
      <c r="D54" s="198" t="s">
        <v>447</v>
      </c>
      <c r="E54" s="198" t="s">
        <v>239</v>
      </c>
    </row>
    <row r="55" spans="1:5" x14ac:dyDescent="0.25">
      <c r="A55" s="199" t="s">
        <v>330</v>
      </c>
      <c r="B55" s="199">
        <v>44593</v>
      </c>
      <c r="C55" s="198">
        <v>52083</v>
      </c>
      <c r="D55" s="198" t="s">
        <v>447</v>
      </c>
      <c r="E55" s="198" t="s">
        <v>239</v>
      </c>
    </row>
    <row r="56" spans="1:5" x14ac:dyDescent="0.25">
      <c r="A56" s="199" t="s">
        <v>330</v>
      </c>
      <c r="B56" s="199">
        <v>44621</v>
      </c>
      <c r="C56" s="198">
        <v>52083</v>
      </c>
      <c r="D56" s="198" t="s">
        <v>447</v>
      </c>
      <c r="E56" s="198" t="s">
        <v>239</v>
      </c>
    </row>
    <row r="57" spans="1:5" x14ac:dyDescent="0.25">
      <c r="A57" s="199" t="s">
        <v>330</v>
      </c>
      <c r="B57" s="199">
        <v>44652</v>
      </c>
      <c r="C57" s="198">
        <v>52083</v>
      </c>
      <c r="D57" s="198" t="s">
        <v>447</v>
      </c>
      <c r="E57" s="198" t="s">
        <v>239</v>
      </c>
    </row>
    <row r="58" spans="1:5" x14ac:dyDescent="0.25">
      <c r="A58" s="199" t="s">
        <v>330</v>
      </c>
      <c r="B58" s="199">
        <v>44682</v>
      </c>
      <c r="C58" s="198">
        <v>52083</v>
      </c>
      <c r="D58" s="198" t="s">
        <v>447</v>
      </c>
      <c r="E58" s="198" t="s">
        <v>239</v>
      </c>
    </row>
    <row r="59" spans="1:5" x14ac:dyDescent="0.25">
      <c r="A59" s="199" t="s">
        <v>330</v>
      </c>
      <c r="B59" s="199">
        <v>44713</v>
      </c>
      <c r="C59" s="198">
        <v>52083</v>
      </c>
      <c r="D59" s="198" t="s">
        <v>447</v>
      </c>
      <c r="E59" s="198" t="s">
        <v>239</v>
      </c>
    </row>
    <row r="60" spans="1:5" x14ac:dyDescent="0.25">
      <c r="A60" s="199" t="s">
        <v>330</v>
      </c>
      <c r="B60" s="199">
        <v>44743</v>
      </c>
      <c r="C60" s="198">
        <v>52083</v>
      </c>
      <c r="D60" s="198" t="s">
        <v>447</v>
      </c>
      <c r="E60" s="198" t="s">
        <v>239</v>
      </c>
    </row>
    <row r="61" spans="1:5" x14ac:dyDescent="0.25">
      <c r="A61" s="199" t="s">
        <v>330</v>
      </c>
      <c r="B61" s="199">
        <v>44774</v>
      </c>
      <c r="C61" s="198">
        <v>52083</v>
      </c>
      <c r="D61" s="198" t="s">
        <v>447</v>
      </c>
      <c r="E61" s="198" t="s">
        <v>239</v>
      </c>
    </row>
    <row r="62" spans="1:5" x14ac:dyDescent="0.25">
      <c r="A62" s="199" t="s">
        <v>330</v>
      </c>
      <c r="B62" s="199">
        <v>44805</v>
      </c>
      <c r="C62" s="198">
        <v>52083</v>
      </c>
      <c r="D62" s="198" t="s">
        <v>447</v>
      </c>
      <c r="E62" s="198" t="s">
        <v>239</v>
      </c>
    </row>
    <row r="63" spans="1:5" x14ac:dyDescent="0.25">
      <c r="A63" s="199" t="s">
        <v>330</v>
      </c>
      <c r="B63" s="199">
        <v>44835</v>
      </c>
      <c r="C63" s="198">
        <v>52083</v>
      </c>
      <c r="D63" s="198" t="s">
        <v>447</v>
      </c>
      <c r="E63" s="198" t="s">
        <v>239</v>
      </c>
    </row>
    <row r="64" spans="1:5" x14ac:dyDescent="0.25">
      <c r="A64" s="199" t="s">
        <v>330</v>
      </c>
      <c r="B64" s="199">
        <v>44866</v>
      </c>
      <c r="C64" s="198">
        <v>52083</v>
      </c>
      <c r="D64" s="198" t="s">
        <v>447</v>
      </c>
      <c r="E64" s="198" t="s">
        <v>239</v>
      </c>
    </row>
    <row r="65" spans="1:5" x14ac:dyDescent="0.25">
      <c r="A65" s="199" t="s">
        <v>330</v>
      </c>
      <c r="B65" s="199">
        <v>44896</v>
      </c>
      <c r="C65" s="198">
        <v>52083</v>
      </c>
      <c r="D65" s="198" t="s">
        <v>447</v>
      </c>
      <c r="E65" s="198" t="s">
        <v>239</v>
      </c>
    </row>
    <row r="66" spans="1:5" x14ac:dyDescent="0.25">
      <c r="A66" s="199" t="s">
        <v>1169</v>
      </c>
      <c r="B66" s="199">
        <v>44713</v>
      </c>
      <c r="C66" s="198">
        <v>6147600</v>
      </c>
      <c r="D66" s="198" t="s">
        <v>845</v>
      </c>
      <c r="E66" s="198" t="s">
        <v>239</v>
      </c>
    </row>
    <row r="67" spans="1:5" x14ac:dyDescent="0.25">
      <c r="A67" s="199" t="s">
        <v>492</v>
      </c>
      <c r="B67" s="199">
        <v>44562</v>
      </c>
      <c r="C67" s="198">
        <v>491667</v>
      </c>
      <c r="D67" s="198" t="s">
        <v>446</v>
      </c>
      <c r="E67" s="198" t="s">
        <v>239</v>
      </c>
    </row>
    <row r="68" spans="1:5" x14ac:dyDescent="0.25">
      <c r="A68" s="199" t="s">
        <v>492</v>
      </c>
      <c r="B68" s="199">
        <v>44593</v>
      </c>
      <c r="C68" s="198">
        <v>491667</v>
      </c>
      <c r="D68" s="198" t="s">
        <v>446</v>
      </c>
      <c r="E68" s="198" t="s">
        <v>239</v>
      </c>
    </row>
    <row r="69" spans="1:5" x14ac:dyDescent="0.25">
      <c r="A69" s="199" t="s">
        <v>492</v>
      </c>
      <c r="B69" s="199">
        <v>44621</v>
      </c>
      <c r="C69" s="198">
        <v>491667</v>
      </c>
      <c r="D69" s="198" t="s">
        <v>446</v>
      </c>
      <c r="E69" s="198" t="s">
        <v>239</v>
      </c>
    </row>
    <row r="70" spans="1:5" x14ac:dyDescent="0.25">
      <c r="A70" s="199" t="s">
        <v>492</v>
      </c>
      <c r="B70" s="199">
        <v>44652</v>
      </c>
      <c r="C70" s="198">
        <v>491667</v>
      </c>
      <c r="D70" s="198" t="s">
        <v>446</v>
      </c>
      <c r="E70" s="198" t="s">
        <v>239</v>
      </c>
    </row>
    <row r="71" spans="1:5" x14ac:dyDescent="0.25">
      <c r="A71" s="199" t="s">
        <v>492</v>
      </c>
      <c r="B71" s="199">
        <v>44682</v>
      </c>
      <c r="C71" s="199">
        <v>491667</v>
      </c>
      <c r="D71" s="199" t="s">
        <v>446</v>
      </c>
      <c r="E71" s="199" t="s">
        <v>239</v>
      </c>
    </row>
    <row r="72" spans="1:5" x14ac:dyDescent="0.25">
      <c r="A72" s="199" t="s">
        <v>492</v>
      </c>
      <c r="B72" s="199">
        <v>44713</v>
      </c>
      <c r="C72" s="199">
        <v>491667</v>
      </c>
      <c r="D72" s="199" t="s">
        <v>446</v>
      </c>
      <c r="E72" s="199" t="s">
        <v>239</v>
      </c>
    </row>
    <row r="73" spans="1:5" x14ac:dyDescent="0.25">
      <c r="A73" s="199" t="s">
        <v>492</v>
      </c>
      <c r="B73" s="199">
        <v>44743</v>
      </c>
      <c r="C73" s="199">
        <v>491667</v>
      </c>
      <c r="D73" s="199" t="s">
        <v>446</v>
      </c>
      <c r="E73" s="199" t="s">
        <v>239</v>
      </c>
    </row>
    <row r="74" spans="1:5" x14ac:dyDescent="0.25">
      <c r="A74" s="199" t="s">
        <v>492</v>
      </c>
      <c r="B74" s="199">
        <v>44774</v>
      </c>
      <c r="C74" s="199">
        <v>491667</v>
      </c>
      <c r="D74" s="199" t="s">
        <v>446</v>
      </c>
      <c r="E74" s="199" t="s">
        <v>239</v>
      </c>
    </row>
    <row r="75" spans="1:5" x14ac:dyDescent="0.25">
      <c r="A75" s="199" t="s">
        <v>492</v>
      </c>
      <c r="B75" s="199">
        <v>44805</v>
      </c>
      <c r="C75" s="199">
        <v>491667</v>
      </c>
      <c r="D75" s="199" t="s">
        <v>446</v>
      </c>
      <c r="E75" s="199" t="s">
        <v>239</v>
      </c>
    </row>
    <row r="76" spans="1:5" x14ac:dyDescent="0.25">
      <c r="A76" s="199" t="s">
        <v>492</v>
      </c>
      <c r="B76" s="199">
        <v>44835</v>
      </c>
      <c r="C76" s="199">
        <v>491667</v>
      </c>
      <c r="D76" s="199" t="s">
        <v>446</v>
      </c>
      <c r="E76" s="199" t="s">
        <v>239</v>
      </c>
    </row>
    <row r="77" spans="1:5" x14ac:dyDescent="0.25">
      <c r="A77" s="199" t="s">
        <v>492</v>
      </c>
      <c r="B77" s="199">
        <v>44866</v>
      </c>
      <c r="C77" s="199">
        <v>491667</v>
      </c>
      <c r="D77" s="199" t="s">
        <v>446</v>
      </c>
      <c r="E77" s="199" t="s">
        <v>239</v>
      </c>
    </row>
    <row r="78" spans="1:5" x14ac:dyDescent="0.25">
      <c r="A78" s="199" t="s">
        <v>492</v>
      </c>
      <c r="B78" s="199">
        <v>44896</v>
      </c>
      <c r="C78" s="199">
        <v>491667</v>
      </c>
      <c r="D78" s="199" t="s">
        <v>446</v>
      </c>
      <c r="E78" s="199" t="s">
        <v>239</v>
      </c>
    </row>
    <row r="79" spans="1:5" x14ac:dyDescent="0.25">
      <c r="A79" s="199" t="s">
        <v>489</v>
      </c>
      <c r="B79" s="199">
        <v>44593</v>
      </c>
      <c r="C79" s="199">
        <v>220000</v>
      </c>
      <c r="D79" s="199" t="s">
        <v>442</v>
      </c>
      <c r="E79" s="199" t="s">
        <v>239</v>
      </c>
    </row>
    <row r="80" spans="1:5" x14ac:dyDescent="0.25">
      <c r="A80" s="199" t="s">
        <v>490</v>
      </c>
      <c r="B80" s="199">
        <v>44562</v>
      </c>
      <c r="C80" s="199">
        <v>11500</v>
      </c>
      <c r="D80" s="199" t="s">
        <v>443</v>
      </c>
      <c r="E80" s="199" t="s">
        <v>239</v>
      </c>
    </row>
    <row r="81" spans="1:5" x14ac:dyDescent="0.25">
      <c r="A81" s="199" t="s">
        <v>490</v>
      </c>
      <c r="B81" s="199">
        <v>44593</v>
      </c>
      <c r="C81" s="199">
        <v>11500</v>
      </c>
      <c r="D81" s="199" t="s">
        <v>443</v>
      </c>
      <c r="E81" s="199" t="s">
        <v>239</v>
      </c>
    </row>
    <row r="82" spans="1:5" x14ac:dyDescent="0.25">
      <c r="A82" s="199" t="s">
        <v>490</v>
      </c>
      <c r="B82" s="199">
        <v>44621</v>
      </c>
      <c r="C82" s="199">
        <v>11500</v>
      </c>
      <c r="D82" s="199" t="s">
        <v>443</v>
      </c>
      <c r="E82" s="199" t="s">
        <v>239</v>
      </c>
    </row>
    <row r="83" spans="1:5" x14ac:dyDescent="0.25">
      <c r="A83" s="199" t="s">
        <v>490</v>
      </c>
      <c r="B83" s="199">
        <v>44652</v>
      </c>
      <c r="C83" s="199">
        <v>11500</v>
      </c>
      <c r="D83" s="199" t="s">
        <v>443</v>
      </c>
      <c r="E83" s="199" t="s">
        <v>239</v>
      </c>
    </row>
    <row r="84" spans="1:5" x14ac:dyDescent="0.25">
      <c r="A84" s="199" t="s">
        <v>490</v>
      </c>
      <c r="B84" s="199">
        <v>44682</v>
      </c>
      <c r="C84" s="199">
        <v>11500</v>
      </c>
      <c r="D84" s="199" t="s">
        <v>443</v>
      </c>
      <c r="E84" s="199" t="s">
        <v>239</v>
      </c>
    </row>
    <row r="85" spans="1:5" x14ac:dyDescent="0.25">
      <c r="A85" s="199" t="s">
        <v>490</v>
      </c>
      <c r="B85" s="199">
        <v>44713</v>
      </c>
      <c r="C85" s="199">
        <v>11500</v>
      </c>
      <c r="D85" s="199" t="s">
        <v>443</v>
      </c>
      <c r="E85" s="199" t="s">
        <v>239</v>
      </c>
    </row>
    <row r="86" spans="1:5" x14ac:dyDescent="0.25">
      <c r="A86" s="199" t="s">
        <v>490</v>
      </c>
      <c r="B86" s="199">
        <v>44743</v>
      </c>
      <c r="C86" s="199">
        <v>11500</v>
      </c>
      <c r="D86" s="199" t="s">
        <v>443</v>
      </c>
      <c r="E86" s="199" t="s">
        <v>239</v>
      </c>
    </row>
    <row r="87" spans="1:5" x14ac:dyDescent="0.25">
      <c r="A87" s="199" t="s">
        <v>490</v>
      </c>
      <c r="B87" s="199">
        <v>44774</v>
      </c>
      <c r="C87" s="199">
        <v>11500</v>
      </c>
      <c r="D87" s="199" t="s">
        <v>443</v>
      </c>
      <c r="E87" s="199" t="s">
        <v>239</v>
      </c>
    </row>
    <row r="88" spans="1:5" x14ac:dyDescent="0.25">
      <c r="A88" s="199" t="s">
        <v>490</v>
      </c>
      <c r="B88" s="199">
        <v>44805</v>
      </c>
      <c r="C88" s="199">
        <v>11500</v>
      </c>
      <c r="D88" s="199" t="s">
        <v>443</v>
      </c>
      <c r="E88" s="199" t="s">
        <v>239</v>
      </c>
    </row>
    <row r="89" spans="1:5" x14ac:dyDescent="0.25">
      <c r="A89" s="199" t="s">
        <v>490</v>
      </c>
      <c r="B89" s="199">
        <v>44835</v>
      </c>
      <c r="C89" s="199">
        <v>11500</v>
      </c>
      <c r="D89" s="199" t="s">
        <v>443</v>
      </c>
      <c r="E89" s="199" t="s">
        <v>239</v>
      </c>
    </row>
    <row r="90" spans="1:5" x14ac:dyDescent="0.25">
      <c r="A90" s="199" t="s">
        <v>490</v>
      </c>
      <c r="B90" s="199">
        <v>44866</v>
      </c>
      <c r="C90" s="199">
        <v>11500</v>
      </c>
      <c r="D90" s="199" t="s">
        <v>443</v>
      </c>
      <c r="E90" s="199" t="s">
        <v>239</v>
      </c>
    </row>
    <row r="91" spans="1:5" x14ac:dyDescent="0.25">
      <c r="A91" s="199" t="s">
        <v>490</v>
      </c>
      <c r="B91" s="199">
        <v>44896</v>
      </c>
      <c r="C91" s="199">
        <v>11500</v>
      </c>
      <c r="D91" s="199" t="s">
        <v>443</v>
      </c>
      <c r="E91" s="199" t="s">
        <v>239</v>
      </c>
    </row>
    <row r="92" spans="1:5" x14ac:dyDescent="0.25">
      <c r="A92" s="199" t="s">
        <v>484</v>
      </c>
      <c r="B92" s="199">
        <v>44562</v>
      </c>
      <c r="C92" s="199">
        <v>495850</v>
      </c>
      <c r="D92" s="199" t="s">
        <v>410</v>
      </c>
      <c r="E92" s="199" t="s">
        <v>239</v>
      </c>
    </row>
    <row r="93" spans="1:5" x14ac:dyDescent="0.25">
      <c r="A93" s="199" t="s">
        <v>484</v>
      </c>
      <c r="B93" s="199">
        <v>44593</v>
      </c>
      <c r="C93" s="199">
        <v>495850</v>
      </c>
      <c r="D93" s="199" t="s">
        <v>410</v>
      </c>
      <c r="E93" s="199" t="s">
        <v>239</v>
      </c>
    </row>
    <row r="94" spans="1:5" x14ac:dyDescent="0.25">
      <c r="A94" s="199" t="s">
        <v>484</v>
      </c>
      <c r="B94" s="199">
        <v>44621</v>
      </c>
      <c r="C94" s="199">
        <v>495850</v>
      </c>
      <c r="D94" s="199" t="s">
        <v>410</v>
      </c>
      <c r="E94" s="199" t="s">
        <v>239</v>
      </c>
    </row>
    <row r="95" spans="1:5" x14ac:dyDescent="0.25">
      <c r="A95" s="199" t="s">
        <v>484</v>
      </c>
      <c r="B95" s="199">
        <v>44652</v>
      </c>
      <c r="C95" s="199">
        <v>495850</v>
      </c>
      <c r="D95" s="199" t="s">
        <v>410</v>
      </c>
      <c r="E95" s="199" t="s">
        <v>239</v>
      </c>
    </row>
    <row r="96" spans="1:5" x14ac:dyDescent="0.25">
      <c r="A96" s="199" t="s">
        <v>484</v>
      </c>
      <c r="B96" s="199">
        <v>44682</v>
      </c>
      <c r="C96" s="199">
        <v>495850</v>
      </c>
      <c r="D96" s="199" t="s">
        <v>410</v>
      </c>
      <c r="E96" s="199" t="s">
        <v>239</v>
      </c>
    </row>
    <row r="97" spans="1:5" x14ac:dyDescent="0.25">
      <c r="A97" s="199" t="s">
        <v>484</v>
      </c>
      <c r="B97" s="199">
        <v>44713</v>
      </c>
      <c r="C97" s="199">
        <v>495850</v>
      </c>
      <c r="D97" s="199" t="s">
        <v>410</v>
      </c>
      <c r="E97" s="199" t="s">
        <v>239</v>
      </c>
    </row>
    <row r="98" spans="1:5" x14ac:dyDescent="0.25">
      <c r="A98" s="199" t="s">
        <v>484</v>
      </c>
      <c r="B98" s="199">
        <v>44743</v>
      </c>
      <c r="C98" s="199">
        <v>495850</v>
      </c>
      <c r="D98" s="199" t="s">
        <v>410</v>
      </c>
      <c r="E98" s="199" t="s">
        <v>239</v>
      </c>
    </row>
    <row r="99" spans="1:5" x14ac:dyDescent="0.25">
      <c r="A99" s="199" t="s">
        <v>484</v>
      </c>
      <c r="B99" s="199">
        <v>44774</v>
      </c>
      <c r="C99" s="199">
        <v>495850</v>
      </c>
      <c r="D99" s="199" t="s">
        <v>410</v>
      </c>
      <c r="E99" s="199" t="s">
        <v>239</v>
      </c>
    </row>
    <row r="100" spans="1:5" x14ac:dyDescent="0.25">
      <c r="A100" s="199" t="s">
        <v>484</v>
      </c>
      <c r="B100" s="199">
        <v>44805</v>
      </c>
      <c r="C100" s="199">
        <v>495850</v>
      </c>
      <c r="D100" s="199" t="s">
        <v>410</v>
      </c>
      <c r="E100" s="199" t="s">
        <v>239</v>
      </c>
    </row>
    <row r="101" spans="1:5" x14ac:dyDescent="0.25">
      <c r="A101" s="199" t="s">
        <v>484</v>
      </c>
      <c r="B101" s="199">
        <v>44835</v>
      </c>
      <c r="C101" s="199">
        <v>495850</v>
      </c>
      <c r="D101" s="199" t="s">
        <v>410</v>
      </c>
      <c r="E101" s="199" t="s">
        <v>239</v>
      </c>
    </row>
    <row r="102" spans="1:5" x14ac:dyDescent="0.25">
      <c r="A102" s="199" t="s">
        <v>484</v>
      </c>
      <c r="B102" s="199">
        <v>44866</v>
      </c>
      <c r="C102" s="199">
        <v>495850</v>
      </c>
      <c r="D102" s="199" t="s">
        <v>410</v>
      </c>
      <c r="E102" s="199" t="s">
        <v>239</v>
      </c>
    </row>
    <row r="103" spans="1:5" x14ac:dyDescent="0.25">
      <c r="A103" s="199" t="s">
        <v>484</v>
      </c>
      <c r="B103" s="199">
        <v>44896</v>
      </c>
      <c r="C103" s="199">
        <v>495850</v>
      </c>
      <c r="D103" s="199" t="s">
        <v>410</v>
      </c>
      <c r="E103" s="199" t="s">
        <v>239</v>
      </c>
    </row>
    <row r="104" spans="1:5" x14ac:dyDescent="0.25">
      <c r="A104" s="199" t="s">
        <v>483</v>
      </c>
      <c r="B104" s="199">
        <v>44562</v>
      </c>
      <c r="C104" s="199">
        <v>487600</v>
      </c>
      <c r="D104" s="199" t="s">
        <v>409</v>
      </c>
      <c r="E104" s="199" t="s">
        <v>239</v>
      </c>
    </row>
    <row r="105" spans="1:5" x14ac:dyDescent="0.25">
      <c r="A105" s="199" t="s">
        <v>483</v>
      </c>
      <c r="B105" s="199">
        <v>44593</v>
      </c>
      <c r="C105" s="199">
        <v>487600</v>
      </c>
      <c r="D105" s="199" t="s">
        <v>409</v>
      </c>
      <c r="E105" s="199" t="s">
        <v>239</v>
      </c>
    </row>
    <row r="106" spans="1:5" x14ac:dyDescent="0.25">
      <c r="A106" s="199" t="s">
        <v>483</v>
      </c>
      <c r="B106" s="199">
        <v>44621</v>
      </c>
      <c r="C106" s="199">
        <v>487600</v>
      </c>
      <c r="D106" s="199" t="s">
        <v>409</v>
      </c>
      <c r="E106" s="199" t="s">
        <v>239</v>
      </c>
    </row>
    <row r="107" spans="1:5" x14ac:dyDescent="0.25">
      <c r="A107" s="199" t="s">
        <v>483</v>
      </c>
      <c r="B107" s="199">
        <v>44652</v>
      </c>
      <c r="C107" s="199">
        <v>487600</v>
      </c>
      <c r="D107" s="199" t="s">
        <v>409</v>
      </c>
      <c r="E107" s="199" t="s">
        <v>239</v>
      </c>
    </row>
    <row r="108" spans="1:5" x14ac:dyDescent="0.25">
      <c r="A108" s="199" t="s">
        <v>483</v>
      </c>
      <c r="B108" s="199">
        <v>44682</v>
      </c>
      <c r="C108" s="199">
        <v>487600</v>
      </c>
      <c r="D108" s="199" t="s">
        <v>409</v>
      </c>
      <c r="E108" s="199" t="s">
        <v>239</v>
      </c>
    </row>
    <row r="109" spans="1:5" x14ac:dyDescent="0.25">
      <c r="A109" s="199" t="s">
        <v>483</v>
      </c>
      <c r="B109" s="199">
        <v>44713</v>
      </c>
      <c r="C109" s="199">
        <v>487600</v>
      </c>
      <c r="D109" s="199" t="s">
        <v>409</v>
      </c>
      <c r="E109" s="199" t="s">
        <v>239</v>
      </c>
    </row>
    <row r="110" spans="1:5" x14ac:dyDescent="0.25">
      <c r="A110" s="199" t="s">
        <v>483</v>
      </c>
      <c r="B110" s="199">
        <v>44743</v>
      </c>
      <c r="C110" s="199">
        <v>487600</v>
      </c>
      <c r="D110" s="199" t="s">
        <v>409</v>
      </c>
      <c r="E110" s="199" t="s">
        <v>239</v>
      </c>
    </row>
    <row r="111" spans="1:5" x14ac:dyDescent="0.25">
      <c r="A111" s="199" t="s">
        <v>483</v>
      </c>
      <c r="B111" s="199">
        <v>44774</v>
      </c>
      <c r="C111" s="199">
        <v>487600</v>
      </c>
      <c r="D111" s="199" t="s">
        <v>409</v>
      </c>
      <c r="E111" s="199" t="s">
        <v>239</v>
      </c>
    </row>
    <row r="112" spans="1:5" x14ac:dyDescent="0.25">
      <c r="A112" s="199" t="s">
        <v>483</v>
      </c>
      <c r="B112" s="199">
        <v>44805</v>
      </c>
      <c r="C112" s="199">
        <v>487600</v>
      </c>
      <c r="D112" s="199" t="s">
        <v>409</v>
      </c>
      <c r="E112" s="199" t="s">
        <v>239</v>
      </c>
    </row>
    <row r="113" spans="1:5" x14ac:dyDescent="0.25">
      <c r="A113" s="199" t="s">
        <v>483</v>
      </c>
      <c r="B113" s="199">
        <v>44835</v>
      </c>
      <c r="C113" s="199">
        <v>487600</v>
      </c>
      <c r="D113" s="199" t="s">
        <v>409</v>
      </c>
      <c r="E113" s="199" t="s">
        <v>239</v>
      </c>
    </row>
    <row r="114" spans="1:5" x14ac:dyDescent="0.25">
      <c r="A114" s="199" t="s">
        <v>483</v>
      </c>
      <c r="B114" s="199">
        <v>44866</v>
      </c>
      <c r="C114" s="199">
        <v>487600</v>
      </c>
      <c r="D114" s="199" t="s">
        <v>409</v>
      </c>
      <c r="E114" s="199" t="s">
        <v>239</v>
      </c>
    </row>
    <row r="115" spans="1:5" x14ac:dyDescent="0.25">
      <c r="A115" s="199" t="s">
        <v>483</v>
      </c>
      <c r="B115" s="199">
        <v>44896</v>
      </c>
      <c r="C115" s="199">
        <v>487600</v>
      </c>
      <c r="D115" s="199" t="s">
        <v>409</v>
      </c>
      <c r="E115" s="199" t="s">
        <v>239</v>
      </c>
    </row>
    <row r="116" spans="1:5" x14ac:dyDescent="0.25">
      <c r="A116" s="199" t="s">
        <v>482</v>
      </c>
      <c r="B116" s="199">
        <v>44562</v>
      </c>
      <c r="C116" s="199">
        <v>125000</v>
      </c>
      <c r="D116" s="199" t="s">
        <v>408</v>
      </c>
      <c r="E116" s="199" t="s">
        <v>239</v>
      </c>
    </row>
    <row r="117" spans="1:5" x14ac:dyDescent="0.25">
      <c r="A117" s="199" t="s">
        <v>482</v>
      </c>
      <c r="B117" s="199">
        <v>44593</v>
      </c>
      <c r="C117" s="199">
        <v>125000</v>
      </c>
      <c r="D117" s="199" t="s">
        <v>408</v>
      </c>
      <c r="E117" s="199" t="s">
        <v>239</v>
      </c>
    </row>
    <row r="118" spans="1:5" x14ac:dyDescent="0.25">
      <c r="A118" s="199" t="s">
        <v>482</v>
      </c>
      <c r="B118" s="199">
        <v>44621</v>
      </c>
      <c r="C118" s="199">
        <v>125000</v>
      </c>
      <c r="D118" s="199" t="s">
        <v>408</v>
      </c>
      <c r="E118" s="199" t="s">
        <v>239</v>
      </c>
    </row>
    <row r="119" spans="1:5" x14ac:dyDescent="0.25">
      <c r="A119" s="199" t="s">
        <v>482</v>
      </c>
      <c r="B119" s="199">
        <v>44652</v>
      </c>
      <c r="C119" s="199">
        <v>125000</v>
      </c>
      <c r="D119" s="199" t="s">
        <v>408</v>
      </c>
      <c r="E119" s="199" t="s">
        <v>239</v>
      </c>
    </row>
    <row r="120" spans="1:5" x14ac:dyDescent="0.25">
      <c r="A120" s="199" t="s">
        <v>482</v>
      </c>
      <c r="B120" s="199">
        <v>44682</v>
      </c>
      <c r="C120" s="199">
        <v>125000</v>
      </c>
      <c r="D120" s="199" t="s">
        <v>408</v>
      </c>
      <c r="E120" s="199" t="s">
        <v>239</v>
      </c>
    </row>
    <row r="121" spans="1:5" x14ac:dyDescent="0.25">
      <c r="A121" s="199" t="s">
        <v>482</v>
      </c>
      <c r="B121" s="199">
        <v>44713</v>
      </c>
      <c r="C121" s="199">
        <v>125000</v>
      </c>
      <c r="D121" s="199" t="s">
        <v>408</v>
      </c>
      <c r="E121" s="199" t="s">
        <v>239</v>
      </c>
    </row>
    <row r="122" spans="1:5" x14ac:dyDescent="0.25">
      <c r="A122" s="199" t="s">
        <v>482</v>
      </c>
      <c r="B122" s="199">
        <v>44743</v>
      </c>
      <c r="C122" s="199">
        <v>125000</v>
      </c>
      <c r="D122" s="199" t="s">
        <v>408</v>
      </c>
      <c r="E122" s="199" t="s">
        <v>239</v>
      </c>
    </row>
    <row r="123" spans="1:5" x14ac:dyDescent="0.25">
      <c r="A123" s="199" t="s">
        <v>482</v>
      </c>
      <c r="B123" s="199">
        <v>44774</v>
      </c>
      <c r="C123" s="199">
        <v>125000</v>
      </c>
      <c r="D123" s="199" t="s">
        <v>408</v>
      </c>
      <c r="E123" s="199" t="s">
        <v>239</v>
      </c>
    </row>
    <row r="124" spans="1:5" x14ac:dyDescent="0.25">
      <c r="A124" s="199" t="s">
        <v>482</v>
      </c>
      <c r="B124" s="199">
        <v>44805</v>
      </c>
      <c r="C124" s="199">
        <v>125000</v>
      </c>
      <c r="D124" s="199" t="s">
        <v>408</v>
      </c>
      <c r="E124" s="199" t="s">
        <v>239</v>
      </c>
    </row>
    <row r="125" spans="1:5" x14ac:dyDescent="0.25">
      <c r="A125" s="199" t="s">
        <v>482</v>
      </c>
      <c r="B125" s="199">
        <v>44835</v>
      </c>
      <c r="C125" s="199">
        <v>125000</v>
      </c>
      <c r="D125" s="199" t="s">
        <v>408</v>
      </c>
      <c r="E125" s="199" t="s">
        <v>239</v>
      </c>
    </row>
    <row r="126" spans="1:5" x14ac:dyDescent="0.25">
      <c r="A126" s="199" t="s">
        <v>482</v>
      </c>
      <c r="B126" s="199">
        <v>44866</v>
      </c>
      <c r="C126" s="199">
        <v>125000</v>
      </c>
      <c r="D126" s="199" t="s">
        <v>408</v>
      </c>
      <c r="E126" s="199" t="s">
        <v>239</v>
      </c>
    </row>
    <row r="127" spans="1:5" x14ac:dyDescent="0.25">
      <c r="A127" s="199" t="s">
        <v>482</v>
      </c>
      <c r="B127" s="199">
        <v>44896</v>
      </c>
      <c r="C127" s="199">
        <v>125000</v>
      </c>
      <c r="D127" s="199" t="s">
        <v>408</v>
      </c>
      <c r="E127" s="199" t="s">
        <v>239</v>
      </c>
    </row>
    <row r="128" spans="1:5" x14ac:dyDescent="0.25">
      <c r="A128" s="199" t="s">
        <v>485</v>
      </c>
      <c r="B128" s="199">
        <v>44562</v>
      </c>
      <c r="C128" s="199">
        <v>135012</v>
      </c>
      <c r="D128" s="199" t="s">
        <v>411</v>
      </c>
      <c r="E128" s="199" t="s">
        <v>239</v>
      </c>
    </row>
    <row r="129" spans="1:5" x14ac:dyDescent="0.25">
      <c r="A129" s="199" t="s">
        <v>485</v>
      </c>
      <c r="B129" s="199">
        <v>44593</v>
      </c>
      <c r="C129" s="199">
        <v>135012</v>
      </c>
      <c r="D129" s="199" t="s">
        <v>411</v>
      </c>
      <c r="E129" s="199" t="s">
        <v>239</v>
      </c>
    </row>
    <row r="130" spans="1:5" x14ac:dyDescent="0.25">
      <c r="A130" s="199" t="s">
        <v>485</v>
      </c>
      <c r="B130" s="199">
        <v>44621</v>
      </c>
      <c r="C130" s="199">
        <v>135012</v>
      </c>
      <c r="D130" s="199" t="s">
        <v>411</v>
      </c>
      <c r="E130" s="199" t="s">
        <v>239</v>
      </c>
    </row>
    <row r="131" spans="1:5" x14ac:dyDescent="0.25">
      <c r="A131" s="199" t="s">
        <v>485</v>
      </c>
      <c r="B131" s="199">
        <v>44652</v>
      </c>
      <c r="C131" s="199">
        <v>135012</v>
      </c>
      <c r="D131" s="199" t="s">
        <v>411</v>
      </c>
      <c r="E131" s="199" t="s">
        <v>239</v>
      </c>
    </row>
    <row r="132" spans="1:5" x14ac:dyDescent="0.25">
      <c r="A132" s="199" t="s">
        <v>485</v>
      </c>
      <c r="B132" s="199">
        <v>44682</v>
      </c>
      <c r="C132" s="199">
        <v>135012</v>
      </c>
      <c r="D132" s="199" t="s">
        <v>411</v>
      </c>
      <c r="E132" s="199" t="s">
        <v>239</v>
      </c>
    </row>
    <row r="133" spans="1:5" x14ac:dyDescent="0.25">
      <c r="A133" s="199" t="s">
        <v>485</v>
      </c>
      <c r="B133" s="199">
        <v>44713</v>
      </c>
      <c r="C133" s="199">
        <v>135012</v>
      </c>
      <c r="D133" s="199" t="s">
        <v>411</v>
      </c>
      <c r="E133" s="199" t="s">
        <v>239</v>
      </c>
    </row>
    <row r="134" spans="1:5" x14ac:dyDescent="0.25">
      <c r="A134" s="199" t="s">
        <v>485</v>
      </c>
      <c r="B134" s="199">
        <v>44743</v>
      </c>
      <c r="C134" s="199">
        <v>135012</v>
      </c>
      <c r="D134" s="199" t="s">
        <v>411</v>
      </c>
      <c r="E134" s="199" t="s">
        <v>239</v>
      </c>
    </row>
    <row r="135" spans="1:5" x14ac:dyDescent="0.25">
      <c r="A135" s="199" t="s">
        <v>485</v>
      </c>
      <c r="B135" s="199">
        <v>44774</v>
      </c>
      <c r="C135" s="199">
        <v>135012</v>
      </c>
      <c r="D135" s="199" t="s">
        <v>411</v>
      </c>
      <c r="E135" s="199" t="s">
        <v>239</v>
      </c>
    </row>
    <row r="136" spans="1:5" x14ac:dyDescent="0.25">
      <c r="A136" s="199" t="s">
        <v>485</v>
      </c>
      <c r="B136" s="199">
        <v>44805</v>
      </c>
      <c r="C136" s="199">
        <v>135012</v>
      </c>
      <c r="D136" s="199" t="s">
        <v>411</v>
      </c>
      <c r="E136" s="199" t="s">
        <v>239</v>
      </c>
    </row>
    <row r="137" spans="1:5" x14ac:dyDescent="0.25">
      <c r="A137" s="199" t="s">
        <v>485</v>
      </c>
      <c r="B137" s="199">
        <v>44835</v>
      </c>
      <c r="C137" s="199">
        <v>135012</v>
      </c>
      <c r="D137" s="199" t="s">
        <v>411</v>
      </c>
      <c r="E137" s="199" t="s">
        <v>239</v>
      </c>
    </row>
    <row r="138" spans="1:5" x14ac:dyDescent="0.25">
      <c r="A138" s="199" t="s">
        <v>485</v>
      </c>
      <c r="B138" s="199">
        <v>44866</v>
      </c>
      <c r="C138" s="199">
        <v>135012</v>
      </c>
      <c r="D138" s="199" t="s">
        <v>411</v>
      </c>
      <c r="E138" s="199" t="s">
        <v>239</v>
      </c>
    </row>
    <row r="139" spans="1:5" x14ac:dyDescent="0.25">
      <c r="A139" s="199" t="s">
        <v>485</v>
      </c>
      <c r="B139" s="199">
        <v>44896</v>
      </c>
      <c r="C139" s="199">
        <v>135012</v>
      </c>
      <c r="D139" s="199" t="s">
        <v>411</v>
      </c>
      <c r="E139" s="199" t="s">
        <v>239</v>
      </c>
    </row>
    <row r="140" spans="1:5" x14ac:dyDescent="0.25">
      <c r="A140" s="199" t="s">
        <v>524</v>
      </c>
      <c r="B140" s="199">
        <v>44562</v>
      </c>
      <c r="C140" s="199">
        <v>35000</v>
      </c>
      <c r="D140" s="199" t="s">
        <v>413</v>
      </c>
      <c r="E140" s="199" t="s">
        <v>239</v>
      </c>
    </row>
    <row r="141" spans="1:5" x14ac:dyDescent="0.25">
      <c r="A141" s="199" t="s">
        <v>524</v>
      </c>
      <c r="B141" s="199">
        <v>44593</v>
      </c>
      <c r="C141" s="199">
        <v>35000</v>
      </c>
      <c r="D141" s="199" t="s">
        <v>413</v>
      </c>
      <c r="E141" s="199" t="s">
        <v>239</v>
      </c>
    </row>
    <row r="142" spans="1:5" x14ac:dyDescent="0.25">
      <c r="A142" s="199" t="s">
        <v>524</v>
      </c>
      <c r="B142" s="199">
        <v>44621</v>
      </c>
      <c r="C142" s="199">
        <v>35000</v>
      </c>
      <c r="D142" s="199" t="s">
        <v>413</v>
      </c>
      <c r="E142" s="199" t="s">
        <v>239</v>
      </c>
    </row>
    <row r="143" spans="1:5" x14ac:dyDescent="0.25">
      <c r="A143" s="199" t="s">
        <v>524</v>
      </c>
      <c r="B143" s="199">
        <v>44652</v>
      </c>
      <c r="C143" s="199">
        <v>35000</v>
      </c>
      <c r="D143" s="199" t="s">
        <v>413</v>
      </c>
      <c r="E143" s="199" t="s">
        <v>239</v>
      </c>
    </row>
    <row r="144" spans="1:5" x14ac:dyDescent="0.25">
      <c r="A144" s="199" t="s">
        <v>524</v>
      </c>
      <c r="B144" s="199">
        <v>44682</v>
      </c>
      <c r="C144" s="199">
        <v>35000</v>
      </c>
      <c r="D144" s="199" t="s">
        <v>413</v>
      </c>
      <c r="E144" s="199" t="s">
        <v>239</v>
      </c>
    </row>
    <row r="145" spans="1:5" x14ac:dyDescent="0.25">
      <c r="A145" s="199" t="s">
        <v>524</v>
      </c>
      <c r="B145" s="199">
        <v>44713</v>
      </c>
      <c r="C145" s="199">
        <v>35000</v>
      </c>
      <c r="D145" s="199" t="s">
        <v>413</v>
      </c>
      <c r="E145" s="199" t="s">
        <v>239</v>
      </c>
    </row>
    <row r="146" spans="1:5" x14ac:dyDescent="0.25">
      <c r="A146" s="199" t="s">
        <v>524</v>
      </c>
      <c r="B146" s="199">
        <v>44743</v>
      </c>
      <c r="C146" s="199">
        <v>35000</v>
      </c>
      <c r="D146" s="199" t="s">
        <v>413</v>
      </c>
      <c r="E146" s="199" t="s">
        <v>239</v>
      </c>
    </row>
    <row r="147" spans="1:5" x14ac:dyDescent="0.25">
      <c r="A147" s="199" t="s">
        <v>524</v>
      </c>
      <c r="B147" s="199">
        <v>44774</v>
      </c>
      <c r="C147" s="199">
        <v>35000</v>
      </c>
      <c r="D147" s="199" t="s">
        <v>413</v>
      </c>
      <c r="E147" s="199" t="s">
        <v>239</v>
      </c>
    </row>
    <row r="148" spans="1:5" x14ac:dyDescent="0.25">
      <c r="A148" s="199" t="s">
        <v>524</v>
      </c>
      <c r="B148" s="199">
        <v>44805</v>
      </c>
      <c r="C148" s="199">
        <v>35000</v>
      </c>
      <c r="D148" s="199" t="s">
        <v>413</v>
      </c>
      <c r="E148" s="199" t="s">
        <v>239</v>
      </c>
    </row>
    <row r="149" spans="1:5" x14ac:dyDescent="0.25">
      <c r="A149" s="199" t="s">
        <v>524</v>
      </c>
      <c r="B149" s="199">
        <v>44835</v>
      </c>
      <c r="C149" s="199">
        <v>35000</v>
      </c>
      <c r="D149" s="199" t="s">
        <v>413</v>
      </c>
      <c r="E149" s="199" t="s">
        <v>239</v>
      </c>
    </row>
    <row r="150" spans="1:5" x14ac:dyDescent="0.25">
      <c r="A150" s="199" t="s">
        <v>524</v>
      </c>
      <c r="B150" s="199">
        <v>44866</v>
      </c>
      <c r="C150" s="199">
        <v>35000</v>
      </c>
      <c r="D150" s="199" t="s">
        <v>413</v>
      </c>
      <c r="E150" s="199" t="s">
        <v>239</v>
      </c>
    </row>
    <row r="151" spans="1:5" x14ac:dyDescent="0.25">
      <c r="A151" s="199" t="s">
        <v>524</v>
      </c>
      <c r="B151" s="199">
        <v>44896</v>
      </c>
      <c r="C151" s="199">
        <v>35000</v>
      </c>
      <c r="D151" s="199" t="s">
        <v>413</v>
      </c>
      <c r="E151" s="199" t="s">
        <v>239</v>
      </c>
    </row>
    <row r="152" spans="1:5" x14ac:dyDescent="0.25">
      <c r="A152" s="199" t="s">
        <v>525</v>
      </c>
      <c r="B152" s="199">
        <v>44562</v>
      </c>
      <c r="C152" s="199">
        <v>6500</v>
      </c>
      <c r="D152" s="199" t="s">
        <v>414</v>
      </c>
      <c r="E152" s="199" t="s">
        <v>239</v>
      </c>
    </row>
    <row r="153" spans="1:5" x14ac:dyDescent="0.25">
      <c r="A153" s="199" t="s">
        <v>525</v>
      </c>
      <c r="B153" s="199">
        <v>44593</v>
      </c>
      <c r="C153" s="199">
        <v>6500</v>
      </c>
      <c r="D153" s="199" t="s">
        <v>414</v>
      </c>
      <c r="E153" s="199" t="s">
        <v>239</v>
      </c>
    </row>
    <row r="154" spans="1:5" x14ac:dyDescent="0.25">
      <c r="A154" s="199" t="s">
        <v>525</v>
      </c>
      <c r="B154" s="199">
        <v>44621</v>
      </c>
      <c r="C154" s="199">
        <v>6500</v>
      </c>
      <c r="D154" s="199" t="s">
        <v>414</v>
      </c>
      <c r="E154" s="199" t="s">
        <v>239</v>
      </c>
    </row>
    <row r="155" spans="1:5" x14ac:dyDescent="0.25">
      <c r="A155" s="199" t="s">
        <v>525</v>
      </c>
      <c r="B155" s="199">
        <v>44652</v>
      </c>
      <c r="C155" s="199">
        <v>6500</v>
      </c>
      <c r="D155" s="199" t="s">
        <v>414</v>
      </c>
      <c r="E155" s="199" t="s">
        <v>239</v>
      </c>
    </row>
    <row r="156" spans="1:5" x14ac:dyDescent="0.25">
      <c r="A156" s="199" t="s">
        <v>525</v>
      </c>
      <c r="B156" s="199">
        <v>44682</v>
      </c>
      <c r="C156" s="199">
        <v>6500</v>
      </c>
      <c r="D156" s="199" t="s">
        <v>414</v>
      </c>
      <c r="E156" s="199" t="s">
        <v>239</v>
      </c>
    </row>
    <row r="157" spans="1:5" x14ac:dyDescent="0.25">
      <c r="A157" s="199" t="s">
        <v>525</v>
      </c>
      <c r="B157" s="199">
        <v>44713</v>
      </c>
      <c r="C157" s="199">
        <v>6500</v>
      </c>
      <c r="D157" s="199" t="s">
        <v>414</v>
      </c>
      <c r="E157" s="199" t="s">
        <v>239</v>
      </c>
    </row>
    <row r="158" spans="1:5" x14ac:dyDescent="0.25">
      <c r="A158" s="199" t="s">
        <v>525</v>
      </c>
      <c r="B158" s="199">
        <v>44743</v>
      </c>
      <c r="C158" s="199">
        <v>6500</v>
      </c>
      <c r="D158" s="199" t="s">
        <v>414</v>
      </c>
      <c r="E158" s="199" t="s">
        <v>239</v>
      </c>
    </row>
    <row r="159" spans="1:5" x14ac:dyDescent="0.25">
      <c r="A159" s="199" t="s">
        <v>525</v>
      </c>
      <c r="B159" s="199">
        <v>44774</v>
      </c>
      <c r="C159" s="199">
        <v>6500</v>
      </c>
      <c r="D159" s="199" t="s">
        <v>414</v>
      </c>
      <c r="E159" s="199" t="s">
        <v>239</v>
      </c>
    </row>
    <row r="160" spans="1:5" x14ac:dyDescent="0.25">
      <c r="A160" s="199" t="s">
        <v>525</v>
      </c>
      <c r="B160" s="199">
        <v>44805</v>
      </c>
      <c r="C160" s="199">
        <v>6500</v>
      </c>
      <c r="D160" s="199" t="s">
        <v>414</v>
      </c>
      <c r="E160" s="199" t="s">
        <v>239</v>
      </c>
    </row>
    <row r="161" spans="1:5" x14ac:dyDescent="0.25">
      <c r="A161" s="199" t="s">
        <v>525</v>
      </c>
      <c r="B161" s="199">
        <v>44835</v>
      </c>
      <c r="C161" s="199">
        <v>6500</v>
      </c>
      <c r="D161" s="199" t="s">
        <v>414</v>
      </c>
      <c r="E161" s="199" t="s">
        <v>239</v>
      </c>
    </row>
    <row r="162" spans="1:5" x14ac:dyDescent="0.25">
      <c r="A162" s="199" t="s">
        <v>525</v>
      </c>
      <c r="B162" s="199">
        <v>44866</v>
      </c>
      <c r="C162" s="199">
        <v>6500</v>
      </c>
      <c r="D162" s="199" t="s">
        <v>414</v>
      </c>
      <c r="E162" s="199" t="s">
        <v>239</v>
      </c>
    </row>
    <row r="163" spans="1:5" x14ac:dyDescent="0.25">
      <c r="A163" s="199" t="s">
        <v>525</v>
      </c>
      <c r="B163" s="199">
        <v>44896</v>
      </c>
      <c r="C163" s="199">
        <v>6500</v>
      </c>
      <c r="D163" s="199" t="s">
        <v>414</v>
      </c>
      <c r="E163" s="199" t="s">
        <v>239</v>
      </c>
    </row>
    <row r="164" spans="1:5" x14ac:dyDescent="0.25">
      <c r="A164" s="199" t="s">
        <v>500</v>
      </c>
      <c r="B164" s="199">
        <v>44562</v>
      </c>
      <c r="C164" s="199">
        <v>325000</v>
      </c>
      <c r="D164" s="199" t="s">
        <v>404</v>
      </c>
      <c r="E164" s="199" t="s">
        <v>239</v>
      </c>
    </row>
    <row r="165" spans="1:5" x14ac:dyDescent="0.25">
      <c r="A165" s="199" t="s">
        <v>500</v>
      </c>
      <c r="B165" s="199">
        <v>44593</v>
      </c>
      <c r="C165" s="199">
        <v>325000</v>
      </c>
      <c r="D165" s="199" t="s">
        <v>404</v>
      </c>
      <c r="E165" s="199" t="s">
        <v>239</v>
      </c>
    </row>
    <row r="166" spans="1:5" x14ac:dyDescent="0.25">
      <c r="A166" s="199" t="s">
        <v>500</v>
      </c>
      <c r="B166" s="199">
        <v>44621</v>
      </c>
      <c r="C166" s="199">
        <v>325000</v>
      </c>
      <c r="D166" s="199" t="s">
        <v>404</v>
      </c>
      <c r="E166" s="199" t="s">
        <v>239</v>
      </c>
    </row>
    <row r="167" spans="1:5" x14ac:dyDescent="0.25">
      <c r="A167" s="199" t="s">
        <v>500</v>
      </c>
      <c r="B167" s="199">
        <v>44652</v>
      </c>
      <c r="C167" s="199">
        <v>325000</v>
      </c>
      <c r="D167" s="199" t="s">
        <v>404</v>
      </c>
      <c r="E167" s="199" t="s">
        <v>239</v>
      </c>
    </row>
    <row r="168" spans="1:5" x14ac:dyDescent="0.25">
      <c r="A168" s="199" t="s">
        <v>500</v>
      </c>
      <c r="B168" s="199">
        <v>44682</v>
      </c>
      <c r="C168" s="199">
        <v>325000</v>
      </c>
      <c r="D168" s="199" t="s">
        <v>404</v>
      </c>
      <c r="E168" s="199" t="s">
        <v>239</v>
      </c>
    </row>
    <row r="169" spans="1:5" x14ac:dyDescent="0.25">
      <c r="A169" s="199" t="s">
        <v>500</v>
      </c>
      <c r="B169" s="199">
        <v>44713</v>
      </c>
      <c r="C169" s="199">
        <v>325000</v>
      </c>
      <c r="D169" s="199" t="s">
        <v>404</v>
      </c>
      <c r="E169" s="199" t="s">
        <v>239</v>
      </c>
    </row>
    <row r="170" spans="1:5" x14ac:dyDescent="0.25">
      <c r="A170" s="199" t="s">
        <v>500</v>
      </c>
      <c r="B170" s="199">
        <v>44743</v>
      </c>
      <c r="C170" s="199">
        <v>325000</v>
      </c>
      <c r="D170" s="199" t="s">
        <v>404</v>
      </c>
      <c r="E170" s="199" t="s">
        <v>239</v>
      </c>
    </row>
    <row r="171" spans="1:5" x14ac:dyDescent="0.25">
      <c r="A171" s="199" t="s">
        <v>500</v>
      </c>
      <c r="B171" s="199">
        <v>44774</v>
      </c>
      <c r="C171" s="199">
        <v>325000</v>
      </c>
      <c r="D171" s="199" t="s">
        <v>404</v>
      </c>
      <c r="E171" s="199" t="s">
        <v>239</v>
      </c>
    </row>
    <row r="172" spans="1:5" x14ac:dyDescent="0.25">
      <c r="A172" s="199" t="s">
        <v>500</v>
      </c>
      <c r="B172" s="199">
        <v>44805</v>
      </c>
      <c r="C172" s="199">
        <v>325000</v>
      </c>
      <c r="D172" s="199" t="s">
        <v>404</v>
      </c>
      <c r="E172" s="199" t="s">
        <v>239</v>
      </c>
    </row>
    <row r="173" spans="1:5" x14ac:dyDescent="0.25">
      <c r="A173" s="199" t="s">
        <v>500</v>
      </c>
      <c r="B173" s="199">
        <v>44835</v>
      </c>
      <c r="C173" s="199">
        <v>325000</v>
      </c>
      <c r="D173" s="199" t="s">
        <v>404</v>
      </c>
      <c r="E173" s="199" t="s">
        <v>239</v>
      </c>
    </row>
    <row r="174" spans="1:5" x14ac:dyDescent="0.25">
      <c r="A174" s="199" t="s">
        <v>500</v>
      </c>
      <c r="B174" s="199">
        <v>44866</v>
      </c>
      <c r="C174" s="199">
        <v>325000</v>
      </c>
      <c r="D174" s="199" t="s">
        <v>404</v>
      </c>
      <c r="E174" s="199" t="s">
        <v>239</v>
      </c>
    </row>
    <row r="175" spans="1:5" x14ac:dyDescent="0.25">
      <c r="A175" s="199" t="s">
        <v>500</v>
      </c>
      <c r="B175" s="199">
        <v>44896</v>
      </c>
      <c r="C175" s="199">
        <v>325000</v>
      </c>
      <c r="D175" s="199" t="s">
        <v>404</v>
      </c>
      <c r="E175" s="199" t="s">
        <v>239</v>
      </c>
    </row>
    <row r="176" spans="1:5" x14ac:dyDescent="0.25">
      <c r="A176" s="199" t="s">
        <v>505</v>
      </c>
      <c r="B176" s="199">
        <v>44562</v>
      </c>
      <c r="C176" s="199">
        <v>51546</v>
      </c>
      <c r="D176" s="199" t="s">
        <v>433</v>
      </c>
      <c r="E176" s="199" t="s">
        <v>239</v>
      </c>
    </row>
    <row r="177" spans="1:5" x14ac:dyDescent="0.25">
      <c r="A177" s="199" t="s">
        <v>505</v>
      </c>
      <c r="B177" s="199">
        <v>44593</v>
      </c>
      <c r="C177" s="199">
        <v>51546</v>
      </c>
      <c r="D177" s="199" t="s">
        <v>433</v>
      </c>
      <c r="E177" s="199" t="s">
        <v>239</v>
      </c>
    </row>
    <row r="178" spans="1:5" x14ac:dyDescent="0.25">
      <c r="A178" s="199" t="s">
        <v>505</v>
      </c>
      <c r="B178" s="199">
        <v>44621</v>
      </c>
      <c r="C178" s="199">
        <v>51546</v>
      </c>
      <c r="D178" s="199" t="s">
        <v>433</v>
      </c>
      <c r="E178" s="199" t="s">
        <v>239</v>
      </c>
    </row>
    <row r="179" spans="1:5" x14ac:dyDescent="0.25">
      <c r="A179" s="199" t="s">
        <v>505</v>
      </c>
      <c r="B179" s="199">
        <v>44652</v>
      </c>
      <c r="C179" s="199">
        <v>151546</v>
      </c>
      <c r="D179" s="199" t="s">
        <v>433</v>
      </c>
      <c r="E179" s="199" t="s">
        <v>239</v>
      </c>
    </row>
    <row r="180" spans="1:5" x14ac:dyDescent="0.25">
      <c r="A180" s="199" t="s">
        <v>505</v>
      </c>
      <c r="B180" s="199">
        <v>44682</v>
      </c>
      <c r="C180" s="199">
        <v>51546</v>
      </c>
      <c r="D180" s="199" t="s">
        <v>433</v>
      </c>
      <c r="E180" s="199" t="s">
        <v>239</v>
      </c>
    </row>
    <row r="181" spans="1:5" x14ac:dyDescent="0.25">
      <c r="A181" s="199" t="s">
        <v>505</v>
      </c>
      <c r="B181" s="199">
        <v>44713</v>
      </c>
      <c r="C181" s="199">
        <v>51546</v>
      </c>
      <c r="D181" s="199" t="s">
        <v>433</v>
      </c>
      <c r="E181" s="199" t="s">
        <v>239</v>
      </c>
    </row>
    <row r="182" spans="1:5" x14ac:dyDescent="0.25">
      <c r="A182" s="199" t="s">
        <v>505</v>
      </c>
      <c r="B182" s="199">
        <v>44743</v>
      </c>
      <c r="C182" s="199">
        <v>51546</v>
      </c>
      <c r="D182" s="199" t="s">
        <v>433</v>
      </c>
      <c r="E182" s="199" t="s">
        <v>239</v>
      </c>
    </row>
    <row r="183" spans="1:5" x14ac:dyDescent="0.25">
      <c r="A183" s="199" t="s">
        <v>505</v>
      </c>
      <c r="B183" s="199">
        <v>44774</v>
      </c>
      <c r="C183" s="199">
        <v>51546</v>
      </c>
      <c r="D183" s="199" t="s">
        <v>433</v>
      </c>
      <c r="E183" s="199" t="s">
        <v>239</v>
      </c>
    </row>
    <row r="184" spans="1:5" x14ac:dyDescent="0.25">
      <c r="A184" s="199" t="s">
        <v>505</v>
      </c>
      <c r="B184" s="199">
        <v>44805</v>
      </c>
      <c r="C184" s="199">
        <v>51546</v>
      </c>
      <c r="D184" s="199" t="s">
        <v>433</v>
      </c>
      <c r="E184" s="199" t="s">
        <v>239</v>
      </c>
    </row>
    <row r="185" spans="1:5" x14ac:dyDescent="0.25">
      <c r="A185" s="199" t="s">
        <v>505</v>
      </c>
      <c r="B185" s="199">
        <v>44835</v>
      </c>
      <c r="C185" s="199">
        <v>51546</v>
      </c>
      <c r="D185" s="199" t="s">
        <v>433</v>
      </c>
      <c r="E185" s="199" t="s">
        <v>239</v>
      </c>
    </row>
    <row r="186" spans="1:5" x14ac:dyDescent="0.25">
      <c r="A186" s="199" t="s">
        <v>505</v>
      </c>
      <c r="B186" s="199">
        <v>44866</v>
      </c>
      <c r="C186" s="199">
        <v>51546</v>
      </c>
      <c r="D186" s="199" t="s">
        <v>433</v>
      </c>
      <c r="E186" s="199" t="s">
        <v>239</v>
      </c>
    </row>
    <row r="187" spans="1:5" x14ac:dyDescent="0.25">
      <c r="A187" s="199" t="s">
        <v>505</v>
      </c>
      <c r="B187" s="199">
        <v>44896</v>
      </c>
      <c r="C187" s="199">
        <v>51546</v>
      </c>
      <c r="D187" s="199" t="s">
        <v>433</v>
      </c>
      <c r="E187" s="199" t="s">
        <v>239</v>
      </c>
    </row>
    <row r="188" spans="1:5" x14ac:dyDescent="0.25">
      <c r="A188" s="199" t="s">
        <v>481</v>
      </c>
      <c r="B188" s="199">
        <v>44562</v>
      </c>
      <c r="C188" s="199"/>
      <c r="D188" s="199" t="s">
        <v>417</v>
      </c>
      <c r="E188" s="199" t="s">
        <v>239</v>
      </c>
    </row>
    <row r="189" spans="1:5" x14ac:dyDescent="0.25">
      <c r="A189" s="199" t="s">
        <v>481</v>
      </c>
      <c r="B189" s="199">
        <v>44593</v>
      </c>
      <c r="C189" s="199"/>
      <c r="D189" s="199" t="s">
        <v>417</v>
      </c>
      <c r="E189" s="199" t="s">
        <v>239</v>
      </c>
    </row>
    <row r="190" spans="1:5" x14ac:dyDescent="0.25">
      <c r="A190" s="199" t="s">
        <v>481</v>
      </c>
      <c r="B190" s="199">
        <v>44621</v>
      </c>
      <c r="C190" s="199">
        <v>489500</v>
      </c>
      <c r="D190" s="199" t="s">
        <v>417</v>
      </c>
      <c r="E190" s="199" t="s">
        <v>239</v>
      </c>
    </row>
    <row r="191" spans="1:5" x14ac:dyDescent="0.25">
      <c r="A191" s="199" t="s">
        <v>494</v>
      </c>
      <c r="B191" s="199">
        <v>44562</v>
      </c>
      <c r="C191" s="199">
        <v>7388</v>
      </c>
      <c r="D191" s="199" t="s">
        <v>451</v>
      </c>
      <c r="E191" s="199" t="s">
        <v>239</v>
      </c>
    </row>
    <row r="192" spans="1:5" x14ac:dyDescent="0.25">
      <c r="A192" s="199" t="s">
        <v>494</v>
      </c>
      <c r="B192" s="199">
        <v>44593</v>
      </c>
      <c r="C192" s="199">
        <v>7388</v>
      </c>
      <c r="D192" s="199" t="s">
        <v>451</v>
      </c>
      <c r="E192" s="199" t="s">
        <v>239</v>
      </c>
    </row>
    <row r="193" spans="1:5" x14ac:dyDescent="0.25">
      <c r="A193" s="199" t="s">
        <v>494</v>
      </c>
      <c r="B193" s="199">
        <v>44621</v>
      </c>
      <c r="C193" s="199">
        <v>7388</v>
      </c>
      <c r="D193" s="199" t="s">
        <v>451</v>
      </c>
      <c r="E193" s="199" t="s">
        <v>239</v>
      </c>
    </row>
    <row r="194" spans="1:5" x14ac:dyDescent="0.25">
      <c r="A194" s="199" t="s">
        <v>494</v>
      </c>
      <c r="B194" s="199">
        <v>44652</v>
      </c>
      <c r="C194" s="199">
        <v>7388</v>
      </c>
      <c r="D194" s="199" t="s">
        <v>451</v>
      </c>
      <c r="E194" s="199" t="s">
        <v>239</v>
      </c>
    </row>
    <row r="195" spans="1:5" x14ac:dyDescent="0.25">
      <c r="A195" s="199" t="s">
        <v>494</v>
      </c>
      <c r="B195" s="199">
        <v>44682</v>
      </c>
      <c r="C195" s="199">
        <v>7388</v>
      </c>
      <c r="D195" s="199" t="s">
        <v>451</v>
      </c>
      <c r="E195" s="199" t="s">
        <v>239</v>
      </c>
    </row>
    <row r="196" spans="1:5" x14ac:dyDescent="0.25">
      <c r="A196" s="199" t="s">
        <v>494</v>
      </c>
      <c r="B196" s="199">
        <v>44713</v>
      </c>
      <c r="C196" s="199">
        <v>7388</v>
      </c>
      <c r="D196" s="199" t="s">
        <v>451</v>
      </c>
      <c r="E196" s="199" t="s">
        <v>239</v>
      </c>
    </row>
    <row r="197" spans="1:5" x14ac:dyDescent="0.25">
      <c r="A197" s="199" t="s">
        <v>494</v>
      </c>
      <c r="B197" s="199">
        <v>44743</v>
      </c>
      <c r="C197" s="199">
        <v>7388</v>
      </c>
      <c r="D197" s="199" t="s">
        <v>451</v>
      </c>
      <c r="E197" s="199" t="s">
        <v>239</v>
      </c>
    </row>
    <row r="198" spans="1:5" x14ac:dyDescent="0.25">
      <c r="A198" s="199" t="s">
        <v>494</v>
      </c>
      <c r="B198" s="199">
        <v>44774</v>
      </c>
      <c r="C198" s="199">
        <v>7388</v>
      </c>
      <c r="D198" s="199" t="s">
        <v>451</v>
      </c>
      <c r="E198" s="199" t="s">
        <v>239</v>
      </c>
    </row>
    <row r="199" spans="1:5" x14ac:dyDescent="0.25">
      <c r="A199" s="199" t="s">
        <v>494</v>
      </c>
      <c r="B199" s="199">
        <v>44805</v>
      </c>
      <c r="C199" s="199">
        <v>7388</v>
      </c>
      <c r="D199" s="199" t="s">
        <v>451</v>
      </c>
      <c r="E199" s="199" t="s">
        <v>239</v>
      </c>
    </row>
    <row r="200" spans="1:5" x14ac:dyDescent="0.25">
      <c r="A200" s="199" t="s">
        <v>494</v>
      </c>
      <c r="B200" s="199">
        <v>44835</v>
      </c>
      <c r="C200" s="199">
        <v>7388</v>
      </c>
      <c r="D200" s="199" t="s">
        <v>451</v>
      </c>
      <c r="E200" s="199" t="s">
        <v>239</v>
      </c>
    </row>
    <row r="201" spans="1:5" x14ac:dyDescent="0.25">
      <c r="A201" s="199" t="s">
        <v>494</v>
      </c>
      <c r="B201" s="199">
        <v>44866</v>
      </c>
      <c r="C201" s="199">
        <v>7388</v>
      </c>
      <c r="D201" s="199" t="s">
        <v>451</v>
      </c>
      <c r="E201" s="199" t="s">
        <v>239</v>
      </c>
    </row>
    <row r="202" spans="1:5" x14ac:dyDescent="0.25">
      <c r="A202" s="199" t="s">
        <v>494</v>
      </c>
      <c r="B202" s="199">
        <v>44896</v>
      </c>
      <c r="C202" s="199">
        <v>7388</v>
      </c>
      <c r="D202" s="199" t="s">
        <v>451</v>
      </c>
      <c r="E202" s="199" t="s">
        <v>239</v>
      </c>
    </row>
    <row r="203" spans="1:5" x14ac:dyDescent="0.25">
      <c r="A203" s="199" t="s">
        <v>507</v>
      </c>
      <c r="B203" s="199">
        <v>44562</v>
      </c>
      <c r="C203" s="199">
        <v>34717</v>
      </c>
      <c r="D203" s="199" t="s">
        <v>448</v>
      </c>
      <c r="E203" s="199" t="s">
        <v>239</v>
      </c>
    </row>
    <row r="204" spans="1:5" x14ac:dyDescent="0.25">
      <c r="A204" s="199" t="s">
        <v>507</v>
      </c>
      <c r="B204" s="199">
        <v>44593</v>
      </c>
      <c r="C204" s="199">
        <v>34717</v>
      </c>
      <c r="D204" s="199" t="s">
        <v>448</v>
      </c>
      <c r="E204" s="199" t="s">
        <v>239</v>
      </c>
    </row>
    <row r="205" spans="1:5" x14ac:dyDescent="0.25">
      <c r="A205" s="199" t="s">
        <v>507</v>
      </c>
      <c r="B205" s="199">
        <v>44621</v>
      </c>
      <c r="C205" s="199">
        <v>34717</v>
      </c>
      <c r="D205" s="199" t="s">
        <v>448</v>
      </c>
      <c r="E205" s="199" t="s">
        <v>239</v>
      </c>
    </row>
    <row r="206" spans="1:5" x14ac:dyDescent="0.25">
      <c r="A206" s="199" t="s">
        <v>507</v>
      </c>
      <c r="B206" s="199">
        <v>44652</v>
      </c>
      <c r="C206" s="199">
        <v>34717</v>
      </c>
      <c r="D206" s="199" t="s">
        <v>448</v>
      </c>
      <c r="E206" s="199" t="s">
        <v>239</v>
      </c>
    </row>
    <row r="207" spans="1:5" x14ac:dyDescent="0.25">
      <c r="A207" s="199" t="s">
        <v>507</v>
      </c>
      <c r="B207" s="199">
        <v>44682</v>
      </c>
      <c r="C207" s="199">
        <v>34717</v>
      </c>
      <c r="D207" s="199" t="s">
        <v>448</v>
      </c>
      <c r="E207" s="199" t="s">
        <v>239</v>
      </c>
    </row>
    <row r="208" spans="1:5" x14ac:dyDescent="0.25">
      <c r="A208" s="199" t="s">
        <v>507</v>
      </c>
      <c r="B208" s="199">
        <v>44713</v>
      </c>
      <c r="C208" s="199">
        <v>34717</v>
      </c>
      <c r="D208" s="199" t="s">
        <v>448</v>
      </c>
      <c r="E208" s="199" t="s">
        <v>239</v>
      </c>
    </row>
    <row r="209" spans="1:5" x14ac:dyDescent="0.25">
      <c r="A209" s="199" t="s">
        <v>507</v>
      </c>
      <c r="B209" s="199">
        <v>44743</v>
      </c>
      <c r="C209" s="199">
        <v>34717</v>
      </c>
      <c r="D209" s="199" t="s">
        <v>448</v>
      </c>
      <c r="E209" s="199" t="s">
        <v>239</v>
      </c>
    </row>
    <row r="210" spans="1:5" x14ac:dyDescent="0.25">
      <c r="A210" s="199" t="s">
        <v>507</v>
      </c>
      <c r="B210" s="199">
        <v>44774</v>
      </c>
      <c r="C210" s="199">
        <v>34717</v>
      </c>
      <c r="D210" s="199" t="s">
        <v>448</v>
      </c>
      <c r="E210" s="199" t="s">
        <v>239</v>
      </c>
    </row>
    <row r="211" spans="1:5" x14ac:dyDescent="0.25">
      <c r="A211" s="199" t="s">
        <v>507</v>
      </c>
      <c r="B211" s="199">
        <v>44805</v>
      </c>
      <c r="C211" s="199">
        <v>34717</v>
      </c>
      <c r="D211" s="199" t="s">
        <v>448</v>
      </c>
      <c r="E211" s="199" t="s">
        <v>239</v>
      </c>
    </row>
    <row r="212" spans="1:5" x14ac:dyDescent="0.25">
      <c r="A212" s="199" t="s">
        <v>507</v>
      </c>
      <c r="B212" s="199">
        <v>44835</v>
      </c>
      <c r="C212" s="199">
        <v>34717</v>
      </c>
      <c r="D212" s="199" t="s">
        <v>448</v>
      </c>
      <c r="E212" s="199" t="s">
        <v>239</v>
      </c>
    </row>
    <row r="213" spans="1:5" x14ac:dyDescent="0.25">
      <c r="A213" s="199" t="s">
        <v>507</v>
      </c>
      <c r="B213" s="199">
        <v>44866</v>
      </c>
      <c r="C213" s="199">
        <v>34717</v>
      </c>
      <c r="D213" s="199" t="s">
        <v>448</v>
      </c>
      <c r="E213" s="199" t="s">
        <v>239</v>
      </c>
    </row>
    <row r="214" spans="1:5" x14ac:dyDescent="0.25">
      <c r="A214" s="199" t="s">
        <v>507</v>
      </c>
      <c r="B214" s="199">
        <v>44896</v>
      </c>
      <c r="C214" s="199">
        <v>34717</v>
      </c>
      <c r="D214" s="199" t="s">
        <v>448</v>
      </c>
      <c r="E214" s="199" t="s">
        <v>239</v>
      </c>
    </row>
    <row r="215" spans="1:5" x14ac:dyDescent="0.25">
      <c r="A215" s="199" t="s">
        <v>526</v>
      </c>
      <c r="B215" s="199">
        <v>44562</v>
      </c>
      <c r="C215" s="199">
        <v>700</v>
      </c>
      <c r="D215" s="199" t="s">
        <v>415</v>
      </c>
      <c r="E215" s="199" t="s">
        <v>239</v>
      </c>
    </row>
    <row r="216" spans="1:5" x14ac:dyDescent="0.25">
      <c r="A216" s="199" t="s">
        <v>526</v>
      </c>
      <c r="B216" s="199">
        <v>44593</v>
      </c>
      <c r="C216" s="199">
        <v>700</v>
      </c>
      <c r="D216" s="199" t="s">
        <v>415</v>
      </c>
      <c r="E216" s="199" t="s">
        <v>239</v>
      </c>
    </row>
    <row r="217" spans="1:5" x14ac:dyDescent="0.25">
      <c r="A217" s="199" t="s">
        <v>526</v>
      </c>
      <c r="B217" s="199">
        <v>44621</v>
      </c>
      <c r="C217" s="199">
        <v>700</v>
      </c>
      <c r="D217" s="199" t="s">
        <v>415</v>
      </c>
      <c r="E217" s="199" t="s">
        <v>239</v>
      </c>
    </row>
    <row r="218" spans="1:5" x14ac:dyDescent="0.25">
      <c r="A218" s="199" t="s">
        <v>526</v>
      </c>
      <c r="B218" s="199">
        <v>44652</v>
      </c>
      <c r="C218" s="199">
        <v>700</v>
      </c>
      <c r="D218" s="199" t="s">
        <v>415</v>
      </c>
      <c r="E218" s="199" t="s">
        <v>239</v>
      </c>
    </row>
    <row r="219" spans="1:5" x14ac:dyDescent="0.25">
      <c r="A219" s="199" t="s">
        <v>526</v>
      </c>
      <c r="B219" s="199">
        <v>44682</v>
      </c>
      <c r="C219" s="199">
        <v>700</v>
      </c>
      <c r="D219" s="199" t="s">
        <v>415</v>
      </c>
      <c r="E219" s="199" t="s">
        <v>239</v>
      </c>
    </row>
    <row r="220" spans="1:5" x14ac:dyDescent="0.25">
      <c r="A220" s="199" t="s">
        <v>526</v>
      </c>
      <c r="B220" s="199">
        <v>44713</v>
      </c>
      <c r="C220" s="199">
        <v>700</v>
      </c>
      <c r="D220" s="199" t="s">
        <v>415</v>
      </c>
      <c r="E220" s="199" t="s">
        <v>239</v>
      </c>
    </row>
    <row r="221" spans="1:5" x14ac:dyDescent="0.25">
      <c r="A221" s="199" t="s">
        <v>526</v>
      </c>
      <c r="B221" s="199">
        <v>44743</v>
      </c>
      <c r="C221" s="199">
        <v>700</v>
      </c>
      <c r="D221" s="199" t="s">
        <v>415</v>
      </c>
      <c r="E221" s="199" t="s">
        <v>239</v>
      </c>
    </row>
    <row r="222" spans="1:5" x14ac:dyDescent="0.25">
      <c r="A222" s="199" t="s">
        <v>526</v>
      </c>
      <c r="B222" s="199">
        <v>44774</v>
      </c>
      <c r="C222" s="199">
        <v>700</v>
      </c>
      <c r="D222" s="199" t="s">
        <v>415</v>
      </c>
      <c r="E222" s="199" t="s">
        <v>239</v>
      </c>
    </row>
    <row r="223" spans="1:5" x14ac:dyDescent="0.25">
      <c r="A223" s="199" t="s">
        <v>526</v>
      </c>
      <c r="B223" s="199">
        <v>44805</v>
      </c>
      <c r="C223" s="199">
        <v>700</v>
      </c>
      <c r="D223" s="199" t="s">
        <v>415</v>
      </c>
      <c r="E223" s="199" t="s">
        <v>239</v>
      </c>
    </row>
    <row r="224" spans="1:5" x14ac:dyDescent="0.25">
      <c r="A224" s="199" t="s">
        <v>526</v>
      </c>
      <c r="B224" s="199">
        <v>44835</v>
      </c>
      <c r="C224" s="199">
        <v>700</v>
      </c>
      <c r="D224" s="199" t="s">
        <v>415</v>
      </c>
      <c r="E224" s="199" t="s">
        <v>239</v>
      </c>
    </row>
    <row r="225" spans="1:5" x14ac:dyDescent="0.25">
      <c r="A225" s="199" t="s">
        <v>526</v>
      </c>
      <c r="B225" s="199">
        <v>44866</v>
      </c>
      <c r="C225" s="199">
        <v>700</v>
      </c>
      <c r="D225" s="199" t="s">
        <v>415</v>
      </c>
      <c r="E225" s="199" t="s">
        <v>239</v>
      </c>
    </row>
    <row r="226" spans="1:5" x14ac:dyDescent="0.25">
      <c r="A226" s="199" t="s">
        <v>526</v>
      </c>
      <c r="B226" s="199">
        <v>44896</v>
      </c>
      <c r="C226" s="199">
        <v>700</v>
      </c>
      <c r="D226" s="199" t="s">
        <v>415</v>
      </c>
      <c r="E226" s="199" t="s">
        <v>239</v>
      </c>
    </row>
    <row r="227" spans="1:5" x14ac:dyDescent="0.25">
      <c r="A227" s="199" t="s">
        <v>502</v>
      </c>
      <c r="B227" s="199">
        <v>44562</v>
      </c>
      <c r="C227" s="199">
        <v>185000</v>
      </c>
      <c r="D227" s="199" t="s">
        <v>406</v>
      </c>
      <c r="E227" s="199" t="s">
        <v>239</v>
      </c>
    </row>
    <row r="228" spans="1:5" x14ac:dyDescent="0.25">
      <c r="A228" s="199" t="s">
        <v>502</v>
      </c>
      <c r="B228" s="199">
        <v>44593</v>
      </c>
      <c r="C228" s="199">
        <v>185000</v>
      </c>
      <c r="D228" s="199" t="s">
        <v>406</v>
      </c>
      <c r="E228" s="199" t="s">
        <v>239</v>
      </c>
    </row>
    <row r="229" spans="1:5" x14ac:dyDescent="0.25">
      <c r="A229" s="199" t="s">
        <v>502</v>
      </c>
      <c r="B229" s="199">
        <v>44621</v>
      </c>
      <c r="C229" s="199">
        <v>185000</v>
      </c>
      <c r="D229" s="199" t="s">
        <v>406</v>
      </c>
      <c r="E229" s="199" t="s">
        <v>239</v>
      </c>
    </row>
    <row r="230" spans="1:5" x14ac:dyDescent="0.25">
      <c r="A230" s="199" t="s">
        <v>502</v>
      </c>
      <c r="B230" s="199">
        <v>44652</v>
      </c>
      <c r="C230" s="199">
        <v>185000</v>
      </c>
      <c r="D230" s="199" t="s">
        <v>406</v>
      </c>
      <c r="E230" s="199" t="s">
        <v>239</v>
      </c>
    </row>
    <row r="231" spans="1:5" x14ac:dyDescent="0.25">
      <c r="A231" s="199" t="s">
        <v>502</v>
      </c>
      <c r="B231" s="199">
        <v>44682</v>
      </c>
      <c r="C231" s="199">
        <v>185000</v>
      </c>
      <c r="D231" s="199" t="s">
        <v>406</v>
      </c>
      <c r="E231" s="199" t="s">
        <v>239</v>
      </c>
    </row>
    <row r="232" spans="1:5" x14ac:dyDescent="0.25">
      <c r="A232" s="199" t="s">
        <v>502</v>
      </c>
      <c r="B232" s="199">
        <v>44713</v>
      </c>
      <c r="C232" s="199">
        <v>185000</v>
      </c>
      <c r="D232" s="199" t="s">
        <v>406</v>
      </c>
      <c r="E232" s="199" t="s">
        <v>239</v>
      </c>
    </row>
    <row r="233" spans="1:5" x14ac:dyDescent="0.25">
      <c r="A233" s="199" t="s">
        <v>502</v>
      </c>
      <c r="B233" s="199">
        <v>44743</v>
      </c>
      <c r="C233" s="199">
        <v>185000</v>
      </c>
      <c r="D233" s="199" t="s">
        <v>406</v>
      </c>
      <c r="E233" s="199" t="s">
        <v>239</v>
      </c>
    </row>
    <row r="234" spans="1:5" x14ac:dyDescent="0.25">
      <c r="A234" s="199" t="s">
        <v>502</v>
      </c>
      <c r="B234" s="199">
        <v>44774</v>
      </c>
      <c r="C234" s="199">
        <v>185000</v>
      </c>
      <c r="D234" s="199" t="s">
        <v>406</v>
      </c>
      <c r="E234" s="199" t="s">
        <v>239</v>
      </c>
    </row>
    <row r="235" spans="1:5" x14ac:dyDescent="0.25">
      <c r="A235" s="199" t="s">
        <v>502</v>
      </c>
      <c r="B235" s="199">
        <v>44805</v>
      </c>
      <c r="C235" s="199">
        <v>185000</v>
      </c>
      <c r="D235" s="199" t="s">
        <v>406</v>
      </c>
      <c r="E235" s="199" t="s">
        <v>239</v>
      </c>
    </row>
    <row r="236" spans="1:5" x14ac:dyDescent="0.25">
      <c r="A236" s="199" t="s">
        <v>502</v>
      </c>
      <c r="B236" s="199">
        <v>44835</v>
      </c>
      <c r="C236" s="199">
        <v>185000</v>
      </c>
      <c r="D236" s="199" t="s">
        <v>406</v>
      </c>
      <c r="E236" s="199" t="s">
        <v>239</v>
      </c>
    </row>
    <row r="237" spans="1:5" x14ac:dyDescent="0.25">
      <c r="A237" s="199" t="s">
        <v>502</v>
      </c>
      <c r="B237" s="199">
        <v>44866</v>
      </c>
      <c r="C237" s="199">
        <v>185000</v>
      </c>
      <c r="D237" s="199" t="s">
        <v>406</v>
      </c>
      <c r="E237" s="199" t="s">
        <v>239</v>
      </c>
    </row>
    <row r="238" spans="1:5" x14ac:dyDescent="0.25">
      <c r="A238" s="199" t="s">
        <v>502</v>
      </c>
      <c r="B238" s="199">
        <v>44896</v>
      </c>
      <c r="C238" s="199">
        <v>185000</v>
      </c>
      <c r="D238" s="199" t="s">
        <v>406</v>
      </c>
      <c r="E238" s="199" t="s">
        <v>239</v>
      </c>
    </row>
    <row r="239" spans="1:5" x14ac:dyDescent="0.25">
      <c r="A239" s="199" t="s">
        <v>501</v>
      </c>
      <c r="B239" s="199">
        <v>44562</v>
      </c>
      <c r="C239" s="199">
        <v>131200</v>
      </c>
      <c r="D239" s="199" t="s">
        <v>405</v>
      </c>
      <c r="E239" s="199" t="s">
        <v>239</v>
      </c>
    </row>
    <row r="240" spans="1:5" x14ac:dyDescent="0.25">
      <c r="A240" s="199" t="s">
        <v>501</v>
      </c>
      <c r="B240" s="199">
        <v>44593</v>
      </c>
      <c r="C240" s="199">
        <v>131200</v>
      </c>
      <c r="D240" s="199" t="s">
        <v>405</v>
      </c>
      <c r="E240" s="199" t="s">
        <v>239</v>
      </c>
    </row>
    <row r="241" spans="1:5" x14ac:dyDescent="0.25">
      <c r="A241" s="199" t="s">
        <v>501</v>
      </c>
      <c r="B241" s="199">
        <v>44621</v>
      </c>
      <c r="C241" s="199">
        <v>131200</v>
      </c>
      <c r="D241" s="199" t="s">
        <v>405</v>
      </c>
      <c r="E241" s="199" t="s">
        <v>239</v>
      </c>
    </row>
    <row r="242" spans="1:5" x14ac:dyDescent="0.25">
      <c r="A242" s="199" t="s">
        <v>501</v>
      </c>
      <c r="B242" s="199">
        <v>44652</v>
      </c>
      <c r="C242" s="199">
        <v>131200</v>
      </c>
      <c r="D242" s="199" t="s">
        <v>405</v>
      </c>
      <c r="E242" s="199" t="s">
        <v>239</v>
      </c>
    </row>
    <row r="243" spans="1:5" x14ac:dyDescent="0.25">
      <c r="A243" s="199" t="s">
        <v>501</v>
      </c>
      <c r="B243" s="199">
        <v>44682</v>
      </c>
      <c r="C243" s="199">
        <v>131200</v>
      </c>
      <c r="D243" s="199" t="s">
        <v>405</v>
      </c>
      <c r="E243" s="199" t="s">
        <v>239</v>
      </c>
    </row>
    <row r="244" spans="1:5" x14ac:dyDescent="0.25">
      <c r="A244" s="199" t="s">
        <v>501</v>
      </c>
      <c r="B244" s="199">
        <v>44713</v>
      </c>
      <c r="C244" s="199">
        <v>131200</v>
      </c>
      <c r="D244" s="199" t="s">
        <v>405</v>
      </c>
      <c r="E244" s="199" t="s">
        <v>239</v>
      </c>
    </row>
    <row r="245" spans="1:5" x14ac:dyDescent="0.25">
      <c r="A245" s="199" t="s">
        <v>501</v>
      </c>
      <c r="B245" s="199">
        <v>44743</v>
      </c>
      <c r="C245" s="199">
        <v>131200</v>
      </c>
      <c r="D245" s="199" t="s">
        <v>405</v>
      </c>
      <c r="E245" s="199" t="s">
        <v>239</v>
      </c>
    </row>
    <row r="246" spans="1:5" x14ac:dyDescent="0.25">
      <c r="A246" s="199" t="s">
        <v>501</v>
      </c>
      <c r="B246" s="199">
        <v>44774</v>
      </c>
      <c r="C246" s="199">
        <v>131200</v>
      </c>
      <c r="D246" s="199" t="s">
        <v>405</v>
      </c>
      <c r="E246" s="199" t="s">
        <v>239</v>
      </c>
    </row>
    <row r="247" spans="1:5" x14ac:dyDescent="0.25">
      <c r="A247" s="199" t="s">
        <v>501</v>
      </c>
      <c r="B247" s="199">
        <v>44805</v>
      </c>
      <c r="C247" s="199">
        <v>131200</v>
      </c>
      <c r="D247" s="199" t="s">
        <v>405</v>
      </c>
      <c r="E247" s="199" t="s">
        <v>239</v>
      </c>
    </row>
    <row r="248" spans="1:5" x14ac:dyDescent="0.25">
      <c r="A248" s="199" t="s">
        <v>501</v>
      </c>
      <c r="B248" s="199">
        <v>44835</v>
      </c>
      <c r="C248" s="199">
        <v>131200</v>
      </c>
      <c r="D248" s="199" t="s">
        <v>405</v>
      </c>
      <c r="E248" s="199" t="s">
        <v>239</v>
      </c>
    </row>
    <row r="249" spans="1:5" x14ac:dyDescent="0.25">
      <c r="A249" s="199" t="s">
        <v>501</v>
      </c>
      <c r="B249" s="199">
        <v>44866</v>
      </c>
      <c r="C249" s="199">
        <v>131200</v>
      </c>
      <c r="D249" s="199" t="s">
        <v>405</v>
      </c>
      <c r="E249" s="199" t="s">
        <v>239</v>
      </c>
    </row>
    <row r="250" spans="1:5" x14ac:dyDescent="0.25">
      <c r="A250" s="199" t="s">
        <v>501</v>
      </c>
      <c r="B250" s="199">
        <v>44896</v>
      </c>
      <c r="C250" s="199">
        <v>131200</v>
      </c>
      <c r="D250" s="199" t="s">
        <v>405</v>
      </c>
      <c r="E250" s="199" t="s">
        <v>239</v>
      </c>
    </row>
    <row r="251" spans="1:5" x14ac:dyDescent="0.25">
      <c r="A251" s="199" t="s">
        <v>527</v>
      </c>
      <c r="B251" s="199">
        <v>44562</v>
      </c>
      <c r="C251" s="199">
        <v>3800</v>
      </c>
      <c r="D251" s="199" t="s">
        <v>416</v>
      </c>
      <c r="E251" s="199" t="s">
        <v>239</v>
      </c>
    </row>
    <row r="252" spans="1:5" x14ac:dyDescent="0.25">
      <c r="A252" s="199" t="s">
        <v>527</v>
      </c>
      <c r="B252" s="199">
        <v>44593</v>
      </c>
      <c r="C252" s="199">
        <v>103800</v>
      </c>
      <c r="D252" s="199" t="s">
        <v>416</v>
      </c>
      <c r="E252" s="199" t="s">
        <v>239</v>
      </c>
    </row>
    <row r="253" spans="1:5" x14ac:dyDescent="0.25">
      <c r="A253" s="199" t="s">
        <v>527</v>
      </c>
      <c r="B253" s="199">
        <v>44621</v>
      </c>
      <c r="C253" s="199">
        <v>3800</v>
      </c>
      <c r="D253" s="199" t="s">
        <v>416</v>
      </c>
      <c r="E253" s="199" t="s">
        <v>239</v>
      </c>
    </row>
    <row r="254" spans="1:5" x14ac:dyDescent="0.25">
      <c r="A254" s="199" t="s">
        <v>527</v>
      </c>
      <c r="B254" s="199">
        <v>44652</v>
      </c>
      <c r="C254" s="199">
        <v>3800</v>
      </c>
      <c r="D254" s="199" t="s">
        <v>416</v>
      </c>
      <c r="E254" s="199" t="s">
        <v>239</v>
      </c>
    </row>
    <row r="255" spans="1:5" x14ac:dyDescent="0.25">
      <c r="A255" s="199" t="s">
        <v>527</v>
      </c>
      <c r="B255" s="199">
        <v>44682</v>
      </c>
      <c r="C255" s="199">
        <v>3800</v>
      </c>
      <c r="D255" s="199" t="s">
        <v>416</v>
      </c>
      <c r="E255" s="199" t="s">
        <v>239</v>
      </c>
    </row>
    <row r="256" spans="1:5" x14ac:dyDescent="0.25">
      <c r="A256" s="199" t="s">
        <v>527</v>
      </c>
      <c r="B256" s="199">
        <v>44713</v>
      </c>
      <c r="C256" s="199">
        <v>3800</v>
      </c>
      <c r="D256" s="199" t="s">
        <v>416</v>
      </c>
      <c r="E256" s="199" t="s">
        <v>239</v>
      </c>
    </row>
    <row r="257" spans="1:5" x14ac:dyDescent="0.25">
      <c r="A257" s="199" t="s">
        <v>527</v>
      </c>
      <c r="B257" s="199">
        <v>44743</v>
      </c>
      <c r="C257" s="199">
        <v>3800</v>
      </c>
      <c r="D257" s="199" t="s">
        <v>416</v>
      </c>
      <c r="E257" s="199" t="s">
        <v>239</v>
      </c>
    </row>
    <row r="258" spans="1:5" x14ac:dyDescent="0.25">
      <c r="A258" s="199" t="s">
        <v>527</v>
      </c>
      <c r="B258" s="199">
        <v>44774</v>
      </c>
      <c r="C258" s="199">
        <v>3800</v>
      </c>
      <c r="D258" s="199" t="s">
        <v>416</v>
      </c>
      <c r="E258" s="199" t="s">
        <v>239</v>
      </c>
    </row>
    <row r="259" spans="1:5" x14ac:dyDescent="0.25">
      <c r="A259" s="199" t="s">
        <v>527</v>
      </c>
      <c r="B259" s="199">
        <v>44805</v>
      </c>
      <c r="C259" s="199">
        <v>3800</v>
      </c>
      <c r="D259" s="199" t="s">
        <v>416</v>
      </c>
      <c r="E259" s="199" t="s">
        <v>239</v>
      </c>
    </row>
    <row r="260" spans="1:5" x14ac:dyDescent="0.25">
      <c r="A260" s="199" t="s">
        <v>527</v>
      </c>
      <c r="B260" s="199">
        <v>44835</v>
      </c>
      <c r="C260" s="199">
        <v>3800</v>
      </c>
      <c r="D260" s="199" t="s">
        <v>416</v>
      </c>
      <c r="E260" s="199" t="s">
        <v>239</v>
      </c>
    </row>
    <row r="261" spans="1:5" x14ac:dyDescent="0.25">
      <c r="A261" s="199" t="s">
        <v>527</v>
      </c>
      <c r="B261" s="199">
        <v>44866</v>
      </c>
      <c r="C261" s="199">
        <v>3800</v>
      </c>
      <c r="D261" s="199" t="s">
        <v>416</v>
      </c>
      <c r="E261" s="199" t="s">
        <v>239</v>
      </c>
    </row>
    <row r="262" spans="1:5" x14ac:dyDescent="0.25">
      <c r="A262" s="199" t="s">
        <v>527</v>
      </c>
      <c r="B262" s="199">
        <v>44896</v>
      </c>
      <c r="C262" s="199">
        <v>3800</v>
      </c>
      <c r="D262" s="199" t="s">
        <v>416</v>
      </c>
      <c r="E262" s="199" t="s">
        <v>239</v>
      </c>
    </row>
    <row r="263" spans="1:5" x14ac:dyDescent="0.25">
      <c r="A263" s="199" t="s">
        <v>498</v>
      </c>
      <c r="B263" s="199">
        <v>44562</v>
      </c>
      <c r="C263" s="199">
        <v>150</v>
      </c>
      <c r="D263" s="199" t="s">
        <v>403</v>
      </c>
      <c r="E263" s="199" t="s">
        <v>239</v>
      </c>
    </row>
    <row r="264" spans="1:5" x14ac:dyDescent="0.25">
      <c r="A264" s="199" t="s">
        <v>498</v>
      </c>
      <c r="B264" s="199">
        <v>44593</v>
      </c>
      <c r="C264" s="199">
        <v>150</v>
      </c>
      <c r="D264" s="199" t="s">
        <v>403</v>
      </c>
      <c r="E264" s="199" t="s">
        <v>239</v>
      </c>
    </row>
    <row r="265" spans="1:5" x14ac:dyDescent="0.25">
      <c r="A265" s="199" t="s">
        <v>498</v>
      </c>
      <c r="B265" s="199">
        <v>44621</v>
      </c>
      <c r="C265" s="199">
        <v>150</v>
      </c>
      <c r="D265" s="199" t="s">
        <v>403</v>
      </c>
      <c r="E265" s="199" t="s">
        <v>239</v>
      </c>
    </row>
    <row r="266" spans="1:5" x14ac:dyDescent="0.25">
      <c r="A266" s="199" t="s">
        <v>498</v>
      </c>
      <c r="B266" s="199">
        <v>44652</v>
      </c>
      <c r="C266" s="199">
        <v>150</v>
      </c>
      <c r="D266" s="199" t="s">
        <v>403</v>
      </c>
      <c r="E266" s="199" t="s">
        <v>239</v>
      </c>
    </row>
    <row r="267" spans="1:5" x14ac:dyDescent="0.25">
      <c r="A267" s="199" t="s">
        <v>498</v>
      </c>
      <c r="B267" s="199">
        <v>44682</v>
      </c>
      <c r="C267" s="199">
        <v>150</v>
      </c>
      <c r="D267" s="199" t="s">
        <v>403</v>
      </c>
      <c r="E267" s="199" t="s">
        <v>239</v>
      </c>
    </row>
    <row r="268" spans="1:5" x14ac:dyDescent="0.25">
      <c r="A268" s="199" t="s">
        <v>498</v>
      </c>
      <c r="B268" s="199">
        <v>44713</v>
      </c>
      <c r="C268" s="199">
        <v>150</v>
      </c>
      <c r="D268" s="199" t="s">
        <v>403</v>
      </c>
      <c r="E268" s="199" t="s">
        <v>239</v>
      </c>
    </row>
    <row r="269" spans="1:5" x14ac:dyDescent="0.25">
      <c r="A269" s="199" t="s">
        <v>498</v>
      </c>
      <c r="B269" s="199">
        <v>44743</v>
      </c>
      <c r="C269" s="199">
        <v>150</v>
      </c>
      <c r="D269" s="199" t="s">
        <v>403</v>
      </c>
      <c r="E269" s="199" t="s">
        <v>239</v>
      </c>
    </row>
    <row r="270" spans="1:5" x14ac:dyDescent="0.25">
      <c r="A270" s="199" t="s">
        <v>498</v>
      </c>
      <c r="B270" s="199">
        <v>44774</v>
      </c>
      <c r="C270" s="199">
        <v>150</v>
      </c>
      <c r="D270" s="199" t="s">
        <v>403</v>
      </c>
      <c r="E270" s="199" t="s">
        <v>239</v>
      </c>
    </row>
    <row r="271" spans="1:5" x14ac:dyDescent="0.25">
      <c r="A271" s="199" t="s">
        <v>498</v>
      </c>
      <c r="B271" s="199">
        <v>44805</v>
      </c>
      <c r="C271" s="199">
        <v>150</v>
      </c>
      <c r="D271" s="199" t="s">
        <v>403</v>
      </c>
      <c r="E271" s="199" t="s">
        <v>239</v>
      </c>
    </row>
    <row r="272" spans="1:5" x14ac:dyDescent="0.25">
      <c r="A272" s="199" t="s">
        <v>498</v>
      </c>
      <c r="B272" s="199">
        <v>44835</v>
      </c>
      <c r="C272" s="199">
        <v>150</v>
      </c>
      <c r="D272" s="199" t="s">
        <v>403</v>
      </c>
      <c r="E272" s="199" t="s">
        <v>239</v>
      </c>
    </row>
    <row r="273" spans="1:5" x14ac:dyDescent="0.25">
      <c r="A273" s="199" t="s">
        <v>498</v>
      </c>
      <c r="B273" s="199">
        <v>44866</v>
      </c>
      <c r="C273" s="199">
        <v>150</v>
      </c>
      <c r="D273" s="199" t="s">
        <v>403</v>
      </c>
      <c r="E273" s="199" t="s">
        <v>239</v>
      </c>
    </row>
    <row r="274" spans="1:5" x14ac:dyDescent="0.25">
      <c r="A274" s="199" t="s">
        <v>498</v>
      </c>
      <c r="B274" s="199">
        <v>44896</v>
      </c>
      <c r="C274" s="199">
        <v>150</v>
      </c>
      <c r="D274" s="199" t="s">
        <v>403</v>
      </c>
      <c r="E274" s="199" t="s">
        <v>239</v>
      </c>
    </row>
    <row r="275" spans="1:5" x14ac:dyDescent="0.25">
      <c r="A275" s="199" t="s">
        <v>508</v>
      </c>
      <c r="B275" s="199">
        <v>44562</v>
      </c>
      <c r="C275" s="199">
        <v>2042</v>
      </c>
      <c r="D275" s="199" t="s">
        <v>450</v>
      </c>
      <c r="E275" s="199" t="s">
        <v>239</v>
      </c>
    </row>
    <row r="276" spans="1:5" x14ac:dyDescent="0.25">
      <c r="A276" s="199" t="s">
        <v>508</v>
      </c>
      <c r="B276" s="199">
        <v>44593</v>
      </c>
      <c r="C276" s="199">
        <v>2042</v>
      </c>
      <c r="D276" s="199" t="s">
        <v>450</v>
      </c>
      <c r="E276" s="199" t="s">
        <v>239</v>
      </c>
    </row>
    <row r="277" spans="1:5" x14ac:dyDescent="0.25">
      <c r="A277" s="199" t="s">
        <v>508</v>
      </c>
      <c r="B277" s="199">
        <v>44621</v>
      </c>
      <c r="C277" s="199">
        <v>2042</v>
      </c>
      <c r="D277" s="199" t="s">
        <v>450</v>
      </c>
      <c r="E277" s="199" t="s">
        <v>239</v>
      </c>
    </row>
    <row r="278" spans="1:5" x14ac:dyDescent="0.25">
      <c r="A278" s="199" t="s">
        <v>508</v>
      </c>
      <c r="B278" s="199">
        <v>44652</v>
      </c>
      <c r="C278" s="199">
        <v>2042</v>
      </c>
      <c r="D278" s="199" t="s">
        <v>450</v>
      </c>
      <c r="E278" s="199" t="s">
        <v>239</v>
      </c>
    </row>
    <row r="279" spans="1:5" x14ac:dyDescent="0.25">
      <c r="A279" s="199" t="s">
        <v>508</v>
      </c>
      <c r="B279" s="199">
        <v>44682</v>
      </c>
      <c r="C279" s="199">
        <v>2042</v>
      </c>
      <c r="D279" s="199" t="s">
        <v>450</v>
      </c>
      <c r="E279" s="199" t="s">
        <v>239</v>
      </c>
    </row>
    <row r="280" spans="1:5" x14ac:dyDescent="0.25">
      <c r="A280" s="199" t="s">
        <v>508</v>
      </c>
      <c r="B280" s="199">
        <v>44713</v>
      </c>
      <c r="C280" s="199">
        <v>2042</v>
      </c>
      <c r="D280" s="199" t="s">
        <v>450</v>
      </c>
      <c r="E280" s="199" t="s">
        <v>239</v>
      </c>
    </row>
    <row r="281" spans="1:5" x14ac:dyDescent="0.25">
      <c r="A281" s="199" t="s">
        <v>508</v>
      </c>
      <c r="B281" s="199">
        <v>44743</v>
      </c>
      <c r="C281" s="199">
        <v>2042</v>
      </c>
      <c r="D281" s="199" t="s">
        <v>450</v>
      </c>
      <c r="E281" s="199" t="s">
        <v>239</v>
      </c>
    </row>
    <row r="282" spans="1:5" x14ac:dyDescent="0.25">
      <c r="A282" s="199" t="s">
        <v>508</v>
      </c>
      <c r="B282" s="199">
        <v>44774</v>
      </c>
      <c r="C282" s="199">
        <v>2042</v>
      </c>
      <c r="D282" s="199" t="s">
        <v>450</v>
      </c>
      <c r="E282" s="199" t="s">
        <v>239</v>
      </c>
    </row>
    <row r="283" spans="1:5" x14ac:dyDescent="0.25">
      <c r="A283" s="199" t="s">
        <v>508</v>
      </c>
      <c r="B283" s="199">
        <v>44805</v>
      </c>
      <c r="C283" s="199">
        <v>2042</v>
      </c>
      <c r="D283" s="199" t="s">
        <v>450</v>
      </c>
      <c r="E283" s="199" t="s">
        <v>239</v>
      </c>
    </row>
    <row r="284" spans="1:5" x14ac:dyDescent="0.25">
      <c r="A284" s="199" t="s">
        <v>508</v>
      </c>
      <c r="B284" s="199">
        <v>44835</v>
      </c>
      <c r="C284" s="199">
        <v>2042</v>
      </c>
      <c r="D284" s="199" t="s">
        <v>450</v>
      </c>
      <c r="E284" s="199" t="s">
        <v>239</v>
      </c>
    </row>
    <row r="285" spans="1:5" x14ac:dyDescent="0.25">
      <c r="A285" s="199" t="s">
        <v>508</v>
      </c>
      <c r="B285" s="199">
        <v>44866</v>
      </c>
      <c r="C285" s="199">
        <v>2042</v>
      </c>
      <c r="D285" s="199" t="s">
        <v>450</v>
      </c>
      <c r="E285" s="199" t="s">
        <v>239</v>
      </c>
    </row>
    <row r="286" spans="1:5" x14ac:dyDescent="0.25">
      <c r="A286" s="199" t="s">
        <v>508</v>
      </c>
      <c r="B286" s="199">
        <v>44896</v>
      </c>
      <c r="C286" s="199">
        <v>2042</v>
      </c>
      <c r="D286" s="199" t="s">
        <v>450</v>
      </c>
      <c r="E286" s="199" t="s">
        <v>239</v>
      </c>
    </row>
    <row r="287" spans="1:5" x14ac:dyDescent="0.25">
      <c r="A287" s="199" t="s">
        <v>495</v>
      </c>
      <c r="B287" s="199">
        <v>44562</v>
      </c>
      <c r="C287" s="199">
        <v>33375</v>
      </c>
      <c r="D287" s="199" t="s">
        <v>452</v>
      </c>
      <c r="E287" s="199" t="s">
        <v>239</v>
      </c>
    </row>
    <row r="288" spans="1:5" x14ac:dyDescent="0.25">
      <c r="A288" s="199" t="s">
        <v>495</v>
      </c>
      <c r="B288" s="199">
        <v>44593</v>
      </c>
      <c r="C288" s="199">
        <v>33375</v>
      </c>
      <c r="D288" s="199" t="s">
        <v>452</v>
      </c>
      <c r="E288" s="199" t="s">
        <v>239</v>
      </c>
    </row>
    <row r="289" spans="1:5" x14ac:dyDescent="0.25">
      <c r="A289" s="199" t="s">
        <v>495</v>
      </c>
      <c r="B289" s="199">
        <v>44621</v>
      </c>
      <c r="C289" s="199">
        <v>33375</v>
      </c>
      <c r="D289" s="199" t="s">
        <v>452</v>
      </c>
      <c r="E289" s="199" t="s">
        <v>239</v>
      </c>
    </row>
    <row r="290" spans="1:5" x14ac:dyDescent="0.25">
      <c r="A290" s="199" t="s">
        <v>495</v>
      </c>
      <c r="B290" s="199">
        <v>44652</v>
      </c>
      <c r="C290" s="199">
        <v>33375</v>
      </c>
      <c r="D290" s="199" t="s">
        <v>452</v>
      </c>
      <c r="E290" s="199" t="s">
        <v>239</v>
      </c>
    </row>
    <row r="291" spans="1:5" x14ac:dyDescent="0.25">
      <c r="A291" s="199" t="s">
        <v>495</v>
      </c>
      <c r="B291" s="199">
        <v>44682</v>
      </c>
      <c r="C291" s="199">
        <v>33375</v>
      </c>
      <c r="D291" s="199" t="s">
        <v>452</v>
      </c>
      <c r="E291" s="199" t="s">
        <v>239</v>
      </c>
    </row>
    <row r="292" spans="1:5" x14ac:dyDescent="0.25">
      <c r="A292" s="199" t="s">
        <v>495</v>
      </c>
      <c r="B292" s="199">
        <v>44713</v>
      </c>
      <c r="C292" s="199">
        <v>33375</v>
      </c>
      <c r="D292" s="199" t="s">
        <v>452</v>
      </c>
      <c r="E292" s="199" t="s">
        <v>239</v>
      </c>
    </row>
    <row r="293" spans="1:5" x14ac:dyDescent="0.25">
      <c r="A293" s="199" t="s">
        <v>495</v>
      </c>
      <c r="B293" s="199">
        <v>44743</v>
      </c>
      <c r="C293" s="199">
        <v>33375</v>
      </c>
      <c r="D293" s="199" t="s">
        <v>452</v>
      </c>
      <c r="E293" s="199" t="s">
        <v>239</v>
      </c>
    </row>
    <row r="294" spans="1:5" x14ac:dyDescent="0.25">
      <c r="A294" s="199" t="s">
        <v>495</v>
      </c>
      <c r="B294" s="199">
        <v>44774</v>
      </c>
      <c r="C294" s="199">
        <v>33375</v>
      </c>
      <c r="D294" s="199" t="s">
        <v>452</v>
      </c>
      <c r="E294" s="199" t="s">
        <v>239</v>
      </c>
    </row>
    <row r="295" spans="1:5" x14ac:dyDescent="0.25">
      <c r="A295" s="199" t="s">
        <v>495</v>
      </c>
      <c r="B295" s="199">
        <v>44805</v>
      </c>
      <c r="C295" s="199">
        <v>33375</v>
      </c>
      <c r="D295" s="199" t="s">
        <v>452</v>
      </c>
      <c r="E295" s="199" t="s">
        <v>239</v>
      </c>
    </row>
    <row r="296" spans="1:5" x14ac:dyDescent="0.25">
      <c r="A296" s="199" t="s">
        <v>495</v>
      </c>
      <c r="B296" s="199">
        <v>44835</v>
      </c>
      <c r="C296" s="199">
        <v>33375</v>
      </c>
      <c r="D296" s="199" t="s">
        <v>452</v>
      </c>
      <c r="E296" s="199" t="s">
        <v>239</v>
      </c>
    </row>
    <row r="297" spans="1:5" x14ac:dyDescent="0.25">
      <c r="A297" s="199" t="s">
        <v>495</v>
      </c>
      <c r="B297" s="199">
        <v>44866</v>
      </c>
      <c r="C297" s="199">
        <v>33375</v>
      </c>
      <c r="D297" s="199" t="s">
        <v>452</v>
      </c>
      <c r="E297" s="199" t="s">
        <v>239</v>
      </c>
    </row>
    <row r="298" spans="1:5" x14ac:dyDescent="0.25">
      <c r="A298" s="199" t="s">
        <v>495</v>
      </c>
      <c r="B298" s="199">
        <v>44896</v>
      </c>
      <c r="C298" s="199">
        <v>33375</v>
      </c>
      <c r="D298" s="199" t="s">
        <v>452</v>
      </c>
      <c r="E298" s="199" t="s">
        <v>239</v>
      </c>
    </row>
    <row r="299" spans="1:5" x14ac:dyDescent="0.25">
      <c r="A299" s="199" t="s">
        <v>534</v>
      </c>
      <c r="B299" s="199">
        <v>44562</v>
      </c>
      <c r="C299" s="199"/>
      <c r="D299" s="199" t="s">
        <v>437</v>
      </c>
      <c r="E299" s="199" t="s">
        <v>239</v>
      </c>
    </row>
    <row r="300" spans="1:5" x14ac:dyDescent="0.25">
      <c r="A300" s="199" t="s">
        <v>534</v>
      </c>
      <c r="B300" s="199">
        <v>44593</v>
      </c>
      <c r="C300" s="199"/>
      <c r="D300" s="199" t="s">
        <v>437</v>
      </c>
      <c r="E300" s="199" t="s">
        <v>239</v>
      </c>
    </row>
    <row r="301" spans="1:5" x14ac:dyDescent="0.25">
      <c r="A301" s="199" t="s">
        <v>534</v>
      </c>
      <c r="B301" s="199">
        <v>44621</v>
      </c>
      <c r="C301" s="199"/>
      <c r="D301" s="199" t="s">
        <v>437</v>
      </c>
      <c r="E301" s="199" t="s">
        <v>239</v>
      </c>
    </row>
    <row r="302" spans="1:5" x14ac:dyDescent="0.25">
      <c r="A302" s="199" t="s">
        <v>534</v>
      </c>
      <c r="B302" s="199">
        <v>44652</v>
      </c>
      <c r="C302" s="199"/>
      <c r="D302" s="199" t="s">
        <v>437</v>
      </c>
      <c r="E302" s="199" t="s">
        <v>239</v>
      </c>
    </row>
    <row r="303" spans="1:5" x14ac:dyDescent="0.25">
      <c r="A303" s="199" t="s">
        <v>534</v>
      </c>
      <c r="B303" s="199">
        <v>44682</v>
      </c>
      <c r="C303" s="199">
        <v>30245</v>
      </c>
      <c r="D303" s="199" t="s">
        <v>437</v>
      </c>
      <c r="E303" s="199" t="s">
        <v>239</v>
      </c>
    </row>
    <row r="304" spans="1:5" x14ac:dyDescent="0.25">
      <c r="A304" s="199" t="s">
        <v>534</v>
      </c>
      <c r="B304" s="199">
        <v>44713</v>
      </c>
      <c r="C304" s="199"/>
      <c r="D304" s="199" t="s">
        <v>437</v>
      </c>
      <c r="E304" s="199" t="s">
        <v>239</v>
      </c>
    </row>
    <row r="305" spans="1:5" x14ac:dyDescent="0.25">
      <c r="A305" s="199" t="s">
        <v>534</v>
      </c>
      <c r="B305" s="199">
        <v>44743</v>
      </c>
      <c r="C305" s="199"/>
      <c r="D305" s="199" t="s">
        <v>437</v>
      </c>
      <c r="E305" s="199" t="s">
        <v>239</v>
      </c>
    </row>
    <row r="306" spans="1:5" x14ac:dyDescent="0.25">
      <c r="A306" s="199" t="s">
        <v>534</v>
      </c>
      <c r="B306" s="199">
        <v>44774</v>
      </c>
      <c r="C306" s="199"/>
      <c r="D306" s="199" t="s">
        <v>437</v>
      </c>
      <c r="E306" s="199" t="s">
        <v>239</v>
      </c>
    </row>
    <row r="307" spans="1:5" x14ac:dyDescent="0.25">
      <c r="A307" s="199" t="s">
        <v>534</v>
      </c>
      <c r="B307" s="199">
        <v>44805</v>
      </c>
      <c r="C307" s="199"/>
      <c r="D307" s="199" t="s">
        <v>437</v>
      </c>
      <c r="E307" s="199" t="s">
        <v>239</v>
      </c>
    </row>
    <row r="308" spans="1:5" x14ac:dyDescent="0.25">
      <c r="A308" s="199" t="s">
        <v>534</v>
      </c>
      <c r="B308" s="199">
        <v>44835</v>
      </c>
      <c r="C308" s="199"/>
      <c r="D308" s="199" t="s">
        <v>437</v>
      </c>
      <c r="E308" s="199" t="s">
        <v>239</v>
      </c>
    </row>
    <row r="309" spans="1:5" x14ac:dyDescent="0.25">
      <c r="A309" s="199" t="s">
        <v>534</v>
      </c>
      <c r="B309" s="199">
        <v>44866</v>
      </c>
      <c r="C309" s="199"/>
      <c r="D309" s="199" t="s">
        <v>437</v>
      </c>
      <c r="E309" s="199" t="s">
        <v>239</v>
      </c>
    </row>
    <row r="310" spans="1:5" x14ac:dyDescent="0.25">
      <c r="A310" s="199" t="s">
        <v>534</v>
      </c>
      <c r="B310" s="199">
        <v>44896</v>
      </c>
      <c r="C310" s="199"/>
      <c r="D310" s="199" t="s">
        <v>437</v>
      </c>
      <c r="E310" s="199" t="s">
        <v>239</v>
      </c>
    </row>
    <row r="311" spans="1:5" x14ac:dyDescent="0.25">
      <c r="A311" s="199" t="s">
        <v>532</v>
      </c>
      <c r="B311" s="199">
        <v>44562</v>
      </c>
      <c r="C311" s="199"/>
      <c r="D311" s="199" t="s">
        <v>435</v>
      </c>
      <c r="E311" s="199" t="s">
        <v>239</v>
      </c>
    </row>
    <row r="312" spans="1:5" x14ac:dyDescent="0.25">
      <c r="A312" s="199" t="s">
        <v>532</v>
      </c>
      <c r="B312" s="199">
        <v>44593</v>
      </c>
      <c r="C312" s="199"/>
      <c r="D312" s="199" t="s">
        <v>435</v>
      </c>
      <c r="E312" s="199" t="s">
        <v>239</v>
      </c>
    </row>
    <row r="313" spans="1:5" x14ac:dyDescent="0.25">
      <c r="A313" s="199" t="s">
        <v>532</v>
      </c>
      <c r="B313" s="199">
        <v>44621</v>
      </c>
      <c r="C313" s="199"/>
      <c r="D313" s="199" t="s">
        <v>435</v>
      </c>
      <c r="E313" s="199" t="s">
        <v>239</v>
      </c>
    </row>
    <row r="314" spans="1:5" x14ac:dyDescent="0.25">
      <c r="A314" s="199" t="s">
        <v>532</v>
      </c>
      <c r="B314" s="199">
        <v>44652</v>
      </c>
      <c r="C314" s="199"/>
      <c r="D314" s="199" t="s">
        <v>435</v>
      </c>
      <c r="E314" s="199" t="s">
        <v>239</v>
      </c>
    </row>
    <row r="315" spans="1:5" x14ac:dyDescent="0.25">
      <c r="A315" s="199" t="s">
        <v>532</v>
      </c>
      <c r="B315" s="199">
        <v>44682</v>
      </c>
      <c r="C315" s="199">
        <v>794065</v>
      </c>
      <c r="D315" s="199" t="s">
        <v>435</v>
      </c>
      <c r="E315" s="199" t="s">
        <v>239</v>
      </c>
    </row>
    <row r="316" spans="1:5" x14ac:dyDescent="0.25">
      <c r="A316" s="199" t="s">
        <v>532</v>
      </c>
      <c r="B316" s="199">
        <v>44713</v>
      </c>
      <c r="C316" s="199"/>
      <c r="D316" s="199" t="s">
        <v>435</v>
      </c>
      <c r="E316" s="199" t="s">
        <v>239</v>
      </c>
    </row>
    <row r="317" spans="1:5" x14ac:dyDescent="0.25">
      <c r="A317" s="199" t="s">
        <v>532</v>
      </c>
      <c r="B317" s="199">
        <v>44743</v>
      </c>
      <c r="C317" s="199"/>
      <c r="D317" s="199" t="s">
        <v>435</v>
      </c>
      <c r="E317" s="199" t="s">
        <v>239</v>
      </c>
    </row>
    <row r="318" spans="1:5" x14ac:dyDescent="0.25">
      <c r="A318" s="199" t="s">
        <v>532</v>
      </c>
      <c r="B318" s="199">
        <v>44774</v>
      </c>
      <c r="C318" s="199"/>
      <c r="D318" s="199" t="s">
        <v>435</v>
      </c>
      <c r="E318" s="199" t="s">
        <v>239</v>
      </c>
    </row>
    <row r="319" spans="1:5" x14ac:dyDescent="0.25">
      <c r="A319" s="199" t="s">
        <v>532</v>
      </c>
      <c r="B319" s="199">
        <v>44805</v>
      </c>
      <c r="C319" s="199"/>
      <c r="D319" s="199" t="s">
        <v>435</v>
      </c>
      <c r="E319" s="199" t="s">
        <v>239</v>
      </c>
    </row>
    <row r="320" spans="1:5" x14ac:dyDescent="0.25">
      <c r="A320" s="199" t="s">
        <v>532</v>
      </c>
      <c r="B320" s="199">
        <v>44835</v>
      </c>
      <c r="C320" s="199"/>
      <c r="D320" s="199" t="s">
        <v>435</v>
      </c>
      <c r="E320" s="199" t="s">
        <v>239</v>
      </c>
    </row>
    <row r="321" spans="1:5" x14ac:dyDescent="0.25">
      <c r="A321" s="199" t="s">
        <v>532</v>
      </c>
      <c r="B321" s="199">
        <v>44866</v>
      </c>
      <c r="C321" s="199"/>
      <c r="D321" s="199" t="s">
        <v>435</v>
      </c>
      <c r="E321" s="199" t="s">
        <v>239</v>
      </c>
    </row>
    <row r="322" spans="1:5" x14ac:dyDescent="0.25">
      <c r="A322" s="199" t="s">
        <v>532</v>
      </c>
      <c r="B322" s="199">
        <v>44896</v>
      </c>
      <c r="C322" s="199"/>
      <c r="D322" s="199" t="s">
        <v>435</v>
      </c>
      <c r="E322" s="199" t="s">
        <v>239</v>
      </c>
    </row>
    <row r="323" spans="1:5" x14ac:dyDescent="0.25">
      <c r="A323" s="199" t="s">
        <v>533</v>
      </c>
      <c r="B323" s="199">
        <v>44562</v>
      </c>
      <c r="C323" s="199"/>
      <c r="D323" s="199" t="s">
        <v>436</v>
      </c>
      <c r="E323" s="199" t="s">
        <v>239</v>
      </c>
    </row>
    <row r="324" spans="1:5" x14ac:dyDescent="0.25">
      <c r="A324" s="199" t="s">
        <v>533</v>
      </c>
      <c r="B324" s="199">
        <v>44593</v>
      </c>
      <c r="C324" s="199"/>
      <c r="D324" s="199" t="s">
        <v>436</v>
      </c>
      <c r="E324" s="199" t="s">
        <v>239</v>
      </c>
    </row>
    <row r="325" spans="1:5" x14ac:dyDescent="0.25">
      <c r="A325" s="199" t="s">
        <v>533</v>
      </c>
      <c r="B325" s="199">
        <v>44621</v>
      </c>
      <c r="C325" s="199"/>
      <c r="D325" s="199" t="s">
        <v>436</v>
      </c>
      <c r="E325" s="199" t="s">
        <v>239</v>
      </c>
    </row>
    <row r="326" spans="1:5" x14ac:dyDescent="0.25">
      <c r="A326" s="199" t="s">
        <v>533</v>
      </c>
      <c r="B326" s="199">
        <v>44652</v>
      </c>
      <c r="C326" s="199"/>
      <c r="D326" s="199" t="s">
        <v>436</v>
      </c>
      <c r="E326" s="199" t="s">
        <v>239</v>
      </c>
    </row>
    <row r="327" spans="1:5" x14ac:dyDescent="0.25">
      <c r="A327" s="199" t="s">
        <v>533</v>
      </c>
      <c r="B327" s="199">
        <v>44682</v>
      </c>
      <c r="C327" s="199">
        <v>188853</v>
      </c>
      <c r="D327" s="199" t="s">
        <v>436</v>
      </c>
      <c r="E327" s="199" t="s">
        <v>239</v>
      </c>
    </row>
    <row r="328" spans="1:5" x14ac:dyDescent="0.25">
      <c r="A328" s="199" t="s">
        <v>533</v>
      </c>
      <c r="B328" s="199">
        <v>44713</v>
      </c>
      <c r="C328" s="199"/>
      <c r="D328" s="199" t="s">
        <v>436</v>
      </c>
      <c r="E328" s="199" t="s">
        <v>239</v>
      </c>
    </row>
    <row r="329" spans="1:5" x14ac:dyDescent="0.25">
      <c r="A329" s="199" t="s">
        <v>533</v>
      </c>
      <c r="B329" s="199">
        <v>44743</v>
      </c>
      <c r="C329" s="199"/>
      <c r="D329" s="199" t="s">
        <v>436</v>
      </c>
      <c r="E329" s="199" t="s">
        <v>239</v>
      </c>
    </row>
    <row r="330" spans="1:5" x14ac:dyDescent="0.25">
      <c r="A330" s="199" t="s">
        <v>533</v>
      </c>
      <c r="B330" s="199">
        <v>44774</v>
      </c>
      <c r="C330" s="199"/>
      <c r="D330" s="199" t="s">
        <v>436</v>
      </c>
      <c r="E330" s="199" t="s">
        <v>239</v>
      </c>
    </row>
    <row r="331" spans="1:5" x14ac:dyDescent="0.25">
      <c r="A331" s="199" t="s">
        <v>533</v>
      </c>
      <c r="B331" s="199">
        <v>44805</v>
      </c>
      <c r="C331" s="199"/>
      <c r="D331" s="199" t="s">
        <v>436</v>
      </c>
      <c r="E331" s="199" t="s">
        <v>239</v>
      </c>
    </row>
    <row r="332" spans="1:5" x14ac:dyDescent="0.25">
      <c r="A332" s="199" t="s">
        <v>533</v>
      </c>
      <c r="B332" s="199">
        <v>44835</v>
      </c>
      <c r="C332" s="199"/>
      <c r="D332" s="199" t="s">
        <v>436</v>
      </c>
      <c r="E332" s="199" t="s">
        <v>239</v>
      </c>
    </row>
    <row r="333" spans="1:5" x14ac:dyDescent="0.25">
      <c r="A333" s="199" t="s">
        <v>533</v>
      </c>
      <c r="B333" s="199">
        <v>44866</v>
      </c>
      <c r="C333" s="199"/>
      <c r="D333" s="199" t="s">
        <v>436</v>
      </c>
      <c r="E333" s="199" t="s">
        <v>239</v>
      </c>
    </row>
    <row r="334" spans="1:5" x14ac:dyDescent="0.25">
      <c r="A334" s="199" t="s">
        <v>533</v>
      </c>
      <c r="B334" s="199">
        <v>44896</v>
      </c>
      <c r="C334" s="199"/>
      <c r="D334" s="199" t="s">
        <v>436</v>
      </c>
      <c r="E334" s="199" t="s">
        <v>239</v>
      </c>
    </row>
    <row r="335" spans="1:5" x14ac:dyDescent="0.25">
      <c r="A335" s="199" t="s">
        <v>531</v>
      </c>
      <c r="B335" s="199">
        <v>44562</v>
      </c>
      <c r="C335" s="199"/>
      <c r="D335" s="199" t="s">
        <v>434</v>
      </c>
      <c r="E335" s="199" t="s">
        <v>239</v>
      </c>
    </row>
    <row r="336" spans="1:5" x14ac:dyDescent="0.25">
      <c r="A336" s="199" t="s">
        <v>531</v>
      </c>
      <c r="B336" s="199">
        <v>44593</v>
      </c>
      <c r="C336" s="199"/>
      <c r="D336" s="199" t="s">
        <v>434</v>
      </c>
      <c r="E336" s="199" t="s">
        <v>239</v>
      </c>
    </row>
    <row r="337" spans="1:5" x14ac:dyDescent="0.25">
      <c r="A337" s="199" t="s">
        <v>531</v>
      </c>
      <c r="B337" s="199">
        <v>44621</v>
      </c>
      <c r="C337" s="199"/>
      <c r="D337" s="199" t="s">
        <v>434</v>
      </c>
      <c r="E337" s="199" t="s">
        <v>239</v>
      </c>
    </row>
    <row r="338" spans="1:5" x14ac:dyDescent="0.25">
      <c r="A338" s="199" t="s">
        <v>531</v>
      </c>
      <c r="B338" s="199">
        <v>44652</v>
      </c>
      <c r="C338" s="199"/>
      <c r="D338" s="199" t="s">
        <v>434</v>
      </c>
      <c r="E338" s="199" t="s">
        <v>239</v>
      </c>
    </row>
    <row r="339" spans="1:5" x14ac:dyDescent="0.25">
      <c r="A339" s="199" t="s">
        <v>531</v>
      </c>
      <c r="B339" s="199">
        <v>44682</v>
      </c>
      <c r="C339" s="199">
        <v>120080</v>
      </c>
      <c r="D339" s="199" t="s">
        <v>434</v>
      </c>
      <c r="E339" s="199" t="s">
        <v>239</v>
      </c>
    </row>
    <row r="340" spans="1:5" x14ac:dyDescent="0.25">
      <c r="A340" s="199" t="s">
        <v>531</v>
      </c>
      <c r="B340" s="199">
        <v>44713</v>
      </c>
      <c r="C340" s="199"/>
      <c r="D340" s="199" t="s">
        <v>434</v>
      </c>
      <c r="E340" s="199" t="s">
        <v>239</v>
      </c>
    </row>
    <row r="341" spans="1:5" x14ac:dyDescent="0.25">
      <c r="A341" s="199" t="s">
        <v>531</v>
      </c>
      <c r="B341" s="199">
        <v>44743</v>
      </c>
      <c r="C341" s="199"/>
      <c r="D341" s="199" t="s">
        <v>434</v>
      </c>
      <c r="E341" s="199" t="s">
        <v>239</v>
      </c>
    </row>
    <row r="342" spans="1:5" x14ac:dyDescent="0.25">
      <c r="A342" s="199" t="s">
        <v>531</v>
      </c>
      <c r="B342" s="199">
        <v>44774</v>
      </c>
      <c r="C342" s="199"/>
      <c r="D342" s="199" t="s">
        <v>434</v>
      </c>
      <c r="E342" s="199" t="s">
        <v>239</v>
      </c>
    </row>
    <row r="343" spans="1:5" x14ac:dyDescent="0.25">
      <c r="A343" s="199" t="s">
        <v>531</v>
      </c>
      <c r="B343" s="199">
        <v>44805</v>
      </c>
      <c r="C343" s="199"/>
      <c r="D343" s="199" t="s">
        <v>434</v>
      </c>
      <c r="E343" s="199" t="s">
        <v>239</v>
      </c>
    </row>
    <row r="344" spans="1:5" x14ac:dyDescent="0.25">
      <c r="A344" s="199" t="s">
        <v>531</v>
      </c>
      <c r="B344" s="199">
        <v>44835</v>
      </c>
      <c r="C344" s="199"/>
      <c r="D344" s="199" t="s">
        <v>434</v>
      </c>
      <c r="E344" s="199" t="s">
        <v>239</v>
      </c>
    </row>
    <row r="345" spans="1:5" x14ac:dyDescent="0.25">
      <c r="A345" s="199" t="s">
        <v>531</v>
      </c>
      <c r="B345" s="199">
        <v>44866</v>
      </c>
      <c r="C345" s="199"/>
      <c r="D345" s="199" t="s">
        <v>434</v>
      </c>
      <c r="E345" s="199" t="s">
        <v>239</v>
      </c>
    </row>
    <row r="346" spans="1:5" x14ac:dyDescent="0.25">
      <c r="A346" s="199" t="s">
        <v>531</v>
      </c>
      <c r="B346" s="199">
        <v>44896</v>
      </c>
      <c r="C346" s="199"/>
      <c r="D346" s="199" t="s">
        <v>434</v>
      </c>
      <c r="E346" s="199" t="s">
        <v>239</v>
      </c>
    </row>
    <row r="347" spans="1:5" x14ac:dyDescent="0.25">
      <c r="A347" s="199" t="s">
        <v>488</v>
      </c>
      <c r="B347" s="199">
        <v>44562</v>
      </c>
      <c r="C347" s="199">
        <v>33354</v>
      </c>
      <c r="D347" s="199" t="s">
        <v>441</v>
      </c>
      <c r="E347" s="199" t="s">
        <v>239</v>
      </c>
    </row>
    <row r="348" spans="1:5" x14ac:dyDescent="0.25">
      <c r="A348" s="199" t="s">
        <v>488</v>
      </c>
      <c r="B348" s="199">
        <v>44593</v>
      </c>
      <c r="C348" s="199">
        <v>33354</v>
      </c>
      <c r="D348" s="199" t="s">
        <v>441</v>
      </c>
      <c r="E348" s="199" t="s">
        <v>239</v>
      </c>
    </row>
    <row r="349" spans="1:5" x14ac:dyDescent="0.25">
      <c r="A349" s="199" t="s">
        <v>488</v>
      </c>
      <c r="B349" s="199">
        <v>44621</v>
      </c>
      <c r="C349" s="199">
        <v>33354</v>
      </c>
      <c r="D349" s="199" t="s">
        <v>441</v>
      </c>
      <c r="E349" s="199" t="s">
        <v>239</v>
      </c>
    </row>
    <row r="350" spans="1:5" x14ac:dyDescent="0.25">
      <c r="A350" s="199" t="s">
        <v>488</v>
      </c>
      <c r="B350" s="199">
        <v>44652</v>
      </c>
      <c r="C350" s="199">
        <v>33354</v>
      </c>
      <c r="D350" s="199" t="s">
        <v>441</v>
      </c>
      <c r="E350" s="199" t="s">
        <v>239</v>
      </c>
    </row>
    <row r="351" spans="1:5" x14ac:dyDescent="0.25">
      <c r="A351" s="199" t="s">
        <v>488</v>
      </c>
      <c r="B351" s="199">
        <v>44682</v>
      </c>
      <c r="C351" s="199">
        <v>33354</v>
      </c>
      <c r="D351" s="199" t="s">
        <v>441</v>
      </c>
      <c r="E351" s="199" t="s">
        <v>239</v>
      </c>
    </row>
    <row r="352" spans="1:5" x14ac:dyDescent="0.25">
      <c r="A352" s="199" t="s">
        <v>488</v>
      </c>
      <c r="B352" s="199">
        <v>44713</v>
      </c>
      <c r="C352" s="199">
        <v>33354</v>
      </c>
      <c r="D352" s="199" t="s">
        <v>441</v>
      </c>
      <c r="E352" s="199" t="s">
        <v>239</v>
      </c>
    </row>
    <row r="353" spans="1:5" x14ac:dyDescent="0.25">
      <c r="A353" s="199" t="s">
        <v>488</v>
      </c>
      <c r="B353" s="199">
        <v>44743</v>
      </c>
      <c r="C353" s="199">
        <v>33354</v>
      </c>
      <c r="D353" s="199" t="s">
        <v>441</v>
      </c>
      <c r="E353" s="199" t="s">
        <v>239</v>
      </c>
    </row>
    <row r="354" spans="1:5" x14ac:dyDescent="0.25">
      <c r="A354" s="199" t="s">
        <v>488</v>
      </c>
      <c r="B354" s="199">
        <v>44774</v>
      </c>
      <c r="C354" s="199">
        <v>33354</v>
      </c>
      <c r="D354" s="199" t="s">
        <v>441</v>
      </c>
      <c r="E354" s="199" t="s">
        <v>239</v>
      </c>
    </row>
    <row r="355" spans="1:5" x14ac:dyDescent="0.25">
      <c r="A355" s="199" t="s">
        <v>488</v>
      </c>
      <c r="B355" s="199">
        <v>44805</v>
      </c>
      <c r="C355" s="199">
        <v>33354</v>
      </c>
      <c r="D355" s="199" t="s">
        <v>441</v>
      </c>
      <c r="E355" s="199" t="s">
        <v>239</v>
      </c>
    </row>
    <row r="356" spans="1:5" x14ac:dyDescent="0.25">
      <c r="A356" s="199" t="s">
        <v>488</v>
      </c>
      <c r="B356" s="199">
        <v>44835</v>
      </c>
      <c r="C356" s="199">
        <v>33354</v>
      </c>
      <c r="D356" s="199" t="s">
        <v>441</v>
      </c>
      <c r="E356" s="199" t="s">
        <v>239</v>
      </c>
    </row>
    <row r="357" spans="1:5" x14ac:dyDescent="0.25">
      <c r="A357" s="199" t="s">
        <v>488</v>
      </c>
      <c r="B357" s="199">
        <v>44866</v>
      </c>
      <c r="C357" s="199">
        <v>33354</v>
      </c>
      <c r="D357" s="199" t="s">
        <v>441</v>
      </c>
      <c r="E357" s="199" t="s">
        <v>239</v>
      </c>
    </row>
    <row r="358" spans="1:5" x14ac:dyDescent="0.25">
      <c r="A358" s="199" t="s">
        <v>488</v>
      </c>
      <c r="B358" s="199">
        <v>44896</v>
      </c>
      <c r="C358" s="199">
        <v>33354</v>
      </c>
      <c r="D358" s="199" t="s">
        <v>441</v>
      </c>
      <c r="E358" s="199" t="s">
        <v>239</v>
      </c>
    </row>
    <row r="359" spans="1:5" x14ac:dyDescent="0.25">
      <c r="A359" s="199" t="s">
        <v>541</v>
      </c>
      <c r="B359" s="199">
        <v>44562</v>
      </c>
      <c r="C359" s="199">
        <v>278775</v>
      </c>
      <c r="D359" s="199" t="s">
        <v>388</v>
      </c>
      <c r="E359" s="199" t="s">
        <v>239</v>
      </c>
    </row>
    <row r="360" spans="1:5" x14ac:dyDescent="0.25">
      <c r="A360" s="199" t="s">
        <v>541</v>
      </c>
      <c r="B360" s="199">
        <v>44593</v>
      </c>
      <c r="C360" s="199">
        <v>278775</v>
      </c>
      <c r="D360" s="199" t="s">
        <v>388</v>
      </c>
      <c r="E360" s="199" t="s">
        <v>239</v>
      </c>
    </row>
    <row r="361" spans="1:5" x14ac:dyDescent="0.25">
      <c r="A361" s="199" t="s">
        <v>541</v>
      </c>
      <c r="B361" s="199">
        <v>44621</v>
      </c>
      <c r="C361" s="199">
        <v>278775</v>
      </c>
      <c r="D361" s="199" t="s">
        <v>388</v>
      </c>
      <c r="E361" s="199" t="s">
        <v>239</v>
      </c>
    </row>
    <row r="362" spans="1:5" x14ac:dyDescent="0.25">
      <c r="A362" s="199" t="s">
        <v>541</v>
      </c>
      <c r="B362" s="199">
        <v>44896</v>
      </c>
      <c r="C362" s="199">
        <v>278775</v>
      </c>
      <c r="D362" s="199" t="s">
        <v>388</v>
      </c>
      <c r="E362" s="199" t="s">
        <v>239</v>
      </c>
    </row>
    <row r="363" spans="1:5" x14ac:dyDescent="0.25">
      <c r="A363" s="199" t="s">
        <v>512</v>
      </c>
      <c r="B363" s="199">
        <v>44562</v>
      </c>
      <c r="C363" s="199">
        <v>68838</v>
      </c>
      <c r="D363" s="199" t="s">
        <v>386</v>
      </c>
      <c r="E363" s="199" t="s">
        <v>239</v>
      </c>
    </row>
    <row r="364" spans="1:5" x14ac:dyDescent="0.25">
      <c r="A364" s="199" t="s">
        <v>512</v>
      </c>
      <c r="B364" s="199">
        <v>44593</v>
      </c>
      <c r="C364" s="199">
        <v>68838</v>
      </c>
      <c r="D364" s="199" t="s">
        <v>386</v>
      </c>
      <c r="E364" s="199" t="s">
        <v>239</v>
      </c>
    </row>
    <row r="365" spans="1:5" x14ac:dyDescent="0.25">
      <c r="A365" s="199" t="s">
        <v>512</v>
      </c>
      <c r="B365" s="199">
        <v>44621</v>
      </c>
      <c r="C365" s="199">
        <v>68838</v>
      </c>
      <c r="D365" s="199" t="s">
        <v>386</v>
      </c>
      <c r="E365" s="199" t="s">
        <v>239</v>
      </c>
    </row>
    <row r="366" spans="1:5" x14ac:dyDescent="0.25">
      <c r="A366" s="199" t="s">
        <v>512</v>
      </c>
      <c r="B366" s="199">
        <v>44652</v>
      </c>
      <c r="C366" s="199">
        <v>68838</v>
      </c>
      <c r="D366" s="199" t="s">
        <v>386</v>
      </c>
      <c r="E366" s="199" t="s">
        <v>239</v>
      </c>
    </row>
    <row r="367" spans="1:5" x14ac:dyDescent="0.25">
      <c r="A367" s="199" t="s">
        <v>512</v>
      </c>
      <c r="B367" s="199">
        <v>44682</v>
      </c>
      <c r="C367" s="199">
        <v>68838</v>
      </c>
      <c r="D367" s="199" t="s">
        <v>386</v>
      </c>
      <c r="E367" s="199" t="s">
        <v>239</v>
      </c>
    </row>
    <row r="368" spans="1:5" x14ac:dyDescent="0.25">
      <c r="A368" s="199" t="s">
        <v>512</v>
      </c>
      <c r="B368" s="199">
        <v>44713</v>
      </c>
      <c r="C368" s="199">
        <v>68838</v>
      </c>
      <c r="D368" s="199" t="s">
        <v>386</v>
      </c>
      <c r="E368" s="199" t="s">
        <v>239</v>
      </c>
    </row>
    <row r="369" spans="1:5" x14ac:dyDescent="0.25">
      <c r="A369" s="199" t="s">
        <v>512</v>
      </c>
      <c r="B369" s="199">
        <v>44743</v>
      </c>
      <c r="C369" s="199">
        <v>68838</v>
      </c>
      <c r="D369" s="199" t="s">
        <v>386</v>
      </c>
      <c r="E369" s="199" t="s">
        <v>239</v>
      </c>
    </row>
    <row r="370" spans="1:5" x14ac:dyDescent="0.25">
      <c r="A370" s="199" t="s">
        <v>512</v>
      </c>
      <c r="B370" s="199">
        <v>44774</v>
      </c>
      <c r="C370" s="199">
        <v>68838</v>
      </c>
      <c r="D370" s="199" t="s">
        <v>386</v>
      </c>
      <c r="E370" s="199" t="s">
        <v>239</v>
      </c>
    </row>
    <row r="371" spans="1:5" x14ac:dyDescent="0.25">
      <c r="A371" s="199" t="s">
        <v>512</v>
      </c>
      <c r="B371" s="199">
        <v>44805</v>
      </c>
      <c r="C371" s="199">
        <v>68838</v>
      </c>
      <c r="D371" s="199" t="s">
        <v>386</v>
      </c>
      <c r="E371" s="199" t="s">
        <v>239</v>
      </c>
    </row>
    <row r="372" spans="1:5" x14ac:dyDescent="0.25">
      <c r="A372" s="199" t="s">
        <v>512</v>
      </c>
      <c r="B372" s="199">
        <v>44835</v>
      </c>
      <c r="C372" s="199">
        <v>68838</v>
      </c>
      <c r="D372" s="199" t="s">
        <v>386</v>
      </c>
      <c r="E372" s="199" t="s">
        <v>239</v>
      </c>
    </row>
    <row r="373" spans="1:5" x14ac:dyDescent="0.25">
      <c r="A373" s="199" t="s">
        <v>512</v>
      </c>
      <c r="B373" s="199">
        <v>44866</v>
      </c>
      <c r="C373" s="199">
        <v>68838</v>
      </c>
      <c r="D373" s="199" t="s">
        <v>386</v>
      </c>
      <c r="E373" s="199" t="s">
        <v>239</v>
      </c>
    </row>
    <row r="374" spans="1:5" x14ac:dyDescent="0.25">
      <c r="A374" s="199" t="s">
        <v>512</v>
      </c>
      <c r="B374" s="199">
        <v>44896</v>
      </c>
      <c r="C374" s="199">
        <v>68838</v>
      </c>
      <c r="D374" s="199" t="s">
        <v>386</v>
      </c>
      <c r="E374" s="199" t="s">
        <v>239</v>
      </c>
    </row>
    <row r="375" spans="1:5" x14ac:dyDescent="0.25">
      <c r="A375" s="199" t="s">
        <v>511</v>
      </c>
      <c r="B375" s="199">
        <v>44562</v>
      </c>
      <c r="C375" s="199">
        <v>187583</v>
      </c>
      <c r="D375" s="199" t="s">
        <v>385</v>
      </c>
      <c r="E375" s="199" t="s">
        <v>239</v>
      </c>
    </row>
    <row r="376" spans="1:5" x14ac:dyDescent="0.25">
      <c r="A376" s="199" t="s">
        <v>511</v>
      </c>
      <c r="B376" s="199">
        <v>44593</v>
      </c>
      <c r="C376" s="199">
        <v>187583</v>
      </c>
      <c r="D376" s="199" t="s">
        <v>385</v>
      </c>
      <c r="E376" s="199" t="s">
        <v>239</v>
      </c>
    </row>
    <row r="377" spans="1:5" x14ac:dyDescent="0.25">
      <c r="A377" s="199" t="s">
        <v>511</v>
      </c>
      <c r="B377" s="199">
        <v>44621</v>
      </c>
      <c r="C377" s="199">
        <v>187583</v>
      </c>
      <c r="D377" s="199" t="s">
        <v>385</v>
      </c>
      <c r="E377" s="199" t="s">
        <v>239</v>
      </c>
    </row>
    <row r="378" spans="1:5" x14ac:dyDescent="0.25">
      <c r="A378" s="199" t="s">
        <v>511</v>
      </c>
      <c r="B378" s="199">
        <v>44652</v>
      </c>
      <c r="C378" s="199">
        <v>187583</v>
      </c>
      <c r="D378" s="199" t="s">
        <v>385</v>
      </c>
      <c r="E378" s="199" t="s">
        <v>239</v>
      </c>
    </row>
    <row r="379" spans="1:5" x14ac:dyDescent="0.25">
      <c r="A379" s="199" t="s">
        <v>511</v>
      </c>
      <c r="B379" s="199">
        <v>44682</v>
      </c>
      <c r="C379" s="199">
        <v>187583</v>
      </c>
      <c r="D379" s="199" t="s">
        <v>385</v>
      </c>
      <c r="E379" s="199" t="s">
        <v>239</v>
      </c>
    </row>
    <row r="380" spans="1:5" x14ac:dyDescent="0.25">
      <c r="A380" s="199" t="s">
        <v>511</v>
      </c>
      <c r="B380" s="199">
        <v>44713</v>
      </c>
      <c r="C380" s="199">
        <v>187583</v>
      </c>
      <c r="D380" s="199" t="s">
        <v>385</v>
      </c>
      <c r="E380" s="199" t="s">
        <v>239</v>
      </c>
    </row>
    <row r="381" spans="1:5" x14ac:dyDescent="0.25">
      <c r="A381" s="199" t="s">
        <v>511</v>
      </c>
      <c r="B381" s="199">
        <v>44743</v>
      </c>
      <c r="C381" s="199">
        <v>187583</v>
      </c>
      <c r="D381" s="199" t="s">
        <v>385</v>
      </c>
      <c r="E381" s="199" t="s">
        <v>239</v>
      </c>
    </row>
    <row r="382" spans="1:5" x14ac:dyDescent="0.25">
      <c r="A382" s="199" t="s">
        <v>511</v>
      </c>
      <c r="B382" s="199">
        <v>44774</v>
      </c>
      <c r="C382" s="199">
        <v>187583</v>
      </c>
      <c r="D382" s="199" t="s">
        <v>385</v>
      </c>
      <c r="E382" s="199" t="s">
        <v>239</v>
      </c>
    </row>
    <row r="383" spans="1:5" x14ac:dyDescent="0.25">
      <c r="A383" s="199" t="s">
        <v>511</v>
      </c>
      <c r="B383" s="199">
        <v>44805</v>
      </c>
      <c r="C383" s="199">
        <v>187583</v>
      </c>
      <c r="D383" s="199" t="s">
        <v>385</v>
      </c>
      <c r="E383" s="199" t="s">
        <v>239</v>
      </c>
    </row>
    <row r="384" spans="1:5" x14ac:dyDescent="0.25">
      <c r="A384" s="199" t="s">
        <v>511</v>
      </c>
      <c r="B384" s="199">
        <v>44835</v>
      </c>
      <c r="C384" s="199">
        <v>187583</v>
      </c>
      <c r="D384" s="199" t="s">
        <v>385</v>
      </c>
      <c r="E384" s="199" t="s">
        <v>239</v>
      </c>
    </row>
    <row r="385" spans="1:5" x14ac:dyDescent="0.25">
      <c r="A385" s="199" t="s">
        <v>511</v>
      </c>
      <c r="B385" s="199">
        <v>44866</v>
      </c>
      <c r="C385" s="199">
        <v>187583</v>
      </c>
      <c r="D385" s="199" t="s">
        <v>385</v>
      </c>
      <c r="E385" s="199" t="s">
        <v>239</v>
      </c>
    </row>
    <row r="386" spans="1:5" x14ac:dyDescent="0.25">
      <c r="A386" s="199" t="s">
        <v>511</v>
      </c>
      <c r="B386" s="199">
        <v>44896</v>
      </c>
      <c r="C386" s="199">
        <v>187583</v>
      </c>
      <c r="D386" s="199" t="s">
        <v>385</v>
      </c>
      <c r="E386" s="199" t="s">
        <v>239</v>
      </c>
    </row>
    <row r="387" spans="1:5" x14ac:dyDescent="0.25">
      <c r="A387" s="199" t="s">
        <v>542</v>
      </c>
      <c r="B387" s="199">
        <v>44562</v>
      </c>
      <c r="C387" s="199">
        <v>4000</v>
      </c>
      <c r="D387" s="199" t="s">
        <v>458</v>
      </c>
      <c r="E387" s="199" t="s">
        <v>239</v>
      </c>
    </row>
    <row r="388" spans="1:5" x14ac:dyDescent="0.25">
      <c r="A388" s="199" t="s">
        <v>542</v>
      </c>
      <c r="B388" s="199">
        <v>44593</v>
      </c>
      <c r="C388" s="199">
        <v>4000</v>
      </c>
      <c r="D388" s="199" t="s">
        <v>458</v>
      </c>
      <c r="E388" s="199" t="s">
        <v>239</v>
      </c>
    </row>
    <row r="389" spans="1:5" x14ac:dyDescent="0.25">
      <c r="A389" s="199" t="s">
        <v>542</v>
      </c>
      <c r="B389" s="199">
        <v>44621</v>
      </c>
      <c r="C389" s="199">
        <v>4000</v>
      </c>
      <c r="D389" s="199" t="s">
        <v>458</v>
      </c>
      <c r="E389" s="199" t="s">
        <v>239</v>
      </c>
    </row>
    <row r="390" spans="1:5" x14ac:dyDescent="0.25">
      <c r="A390" s="199" t="s">
        <v>542</v>
      </c>
      <c r="B390" s="199">
        <v>44652</v>
      </c>
      <c r="C390" s="199">
        <v>4000</v>
      </c>
      <c r="D390" s="199" t="s">
        <v>458</v>
      </c>
      <c r="E390" s="199" t="s">
        <v>239</v>
      </c>
    </row>
    <row r="391" spans="1:5" x14ac:dyDescent="0.25">
      <c r="A391" s="199" t="s">
        <v>542</v>
      </c>
      <c r="B391" s="199">
        <v>44682</v>
      </c>
      <c r="C391" s="199">
        <v>4000</v>
      </c>
      <c r="D391" s="199" t="s">
        <v>458</v>
      </c>
      <c r="E391" s="199" t="s">
        <v>239</v>
      </c>
    </row>
    <row r="392" spans="1:5" x14ac:dyDescent="0.25">
      <c r="A392" s="199" t="s">
        <v>542</v>
      </c>
      <c r="B392" s="199">
        <v>44713</v>
      </c>
      <c r="C392" s="199">
        <v>4000</v>
      </c>
      <c r="D392" s="199" t="s">
        <v>458</v>
      </c>
      <c r="E392" s="199" t="s">
        <v>239</v>
      </c>
    </row>
    <row r="393" spans="1:5" x14ac:dyDescent="0.25">
      <c r="A393" s="199" t="s">
        <v>542</v>
      </c>
      <c r="B393" s="199">
        <v>44743</v>
      </c>
      <c r="C393" s="199">
        <v>4000</v>
      </c>
      <c r="D393" s="199" t="s">
        <v>458</v>
      </c>
      <c r="E393" s="199" t="s">
        <v>239</v>
      </c>
    </row>
    <row r="394" spans="1:5" x14ac:dyDescent="0.25">
      <c r="A394" s="199" t="s">
        <v>542</v>
      </c>
      <c r="B394" s="199">
        <v>44774</v>
      </c>
      <c r="C394" s="199">
        <v>4000</v>
      </c>
      <c r="D394" s="199" t="s">
        <v>458</v>
      </c>
      <c r="E394" s="199" t="s">
        <v>239</v>
      </c>
    </row>
    <row r="395" spans="1:5" x14ac:dyDescent="0.25">
      <c r="A395" s="199" t="s">
        <v>542</v>
      </c>
      <c r="B395" s="199">
        <v>44805</v>
      </c>
      <c r="C395" s="199">
        <v>4000</v>
      </c>
      <c r="D395" s="199" t="s">
        <v>458</v>
      </c>
      <c r="E395" s="199" t="s">
        <v>239</v>
      </c>
    </row>
    <row r="396" spans="1:5" x14ac:dyDescent="0.25">
      <c r="A396" s="199" t="s">
        <v>542</v>
      </c>
      <c r="B396" s="199">
        <v>44835</v>
      </c>
      <c r="C396" s="199">
        <v>4000</v>
      </c>
      <c r="D396" s="199" t="s">
        <v>458</v>
      </c>
      <c r="E396" s="199" t="s">
        <v>239</v>
      </c>
    </row>
    <row r="397" spans="1:5" x14ac:dyDescent="0.25">
      <c r="A397" s="199" t="s">
        <v>542</v>
      </c>
      <c r="B397" s="199">
        <v>44866</v>
      </c>
      <c r="C397" s="199">
        <v>4000</v>
      </c>
      <c r="D397" s="199" t="s">
        <v>458</v>
      </c>
      <c r="E397" s="199" t="s">
        <v>239</v>
      </c>
    </row>
    <row r="398" spans="1:5" x14ac:dyDescent="0.25">
      <c r="A398" s="199" t="s">
        <v>542</v>
      </c>
      <c r="B398" s="199">
        <v>44896</v>
      </c>
      <c r="C398" s="199">
        <v>4000</v>
      </c>
      <c r="D398" s="199" t="s">
        <v>458</v>
      </c>
      <c r="E398" s="199" t="s">
        <v>239</v>
      </c>
    </row>
    <row r="399" spans="1:5" x14ac:dyDescent="0.25">
      <c r="A399" s="199" t="s">
        <v>543</v>
      </c>
      <c r="B399" s="199">
        <v>44562</v>
      </c>
      <c r="C399" s="199">
        <v>4000</v>
      </c>
      <c r="D399" s="199" t="s">
        <v>459</v>
      </c>
      <c r="E399" s="199" t="s">
        <v>239</v>
      </c>
    </row>
    <row r="400" spans="1:5" x14ac:dyDescent="0.25">
      <c r="A400" s="199" t="s">
        <v>543</v>
      </c>
      <c r="B400" s="199">
        <v>44593</v>
      </c>
      <c r="C400" s="199">
        <v>4000</v>
      </c>
      <c r="D400" s="199" t="s">
        <v>459</v>
      </c>
      <c r="E400" s="199" t="s">
        <v>239</v>
      </c>
    </row>
    <row r="401" spans="1:5" x14ac:dyDescent="0.25">
      <c r="A401" s="199" t="s">
        <v>543</v>
      </c>
      <c r="B401" s="199">
        <v>44621</v>
      </c>
      <c r="C401" s="199">
        <v>4000</v>
      </c>
      <c r="D401" s="199" t="s">
        <v>459</v>
      </c>
      <c r="E401" s="199" t="s">
        <v>239</v>
      </c>
    </row>
    <row r="402" spans="1:5" x14ac:dyDescent="0.25">
      <c r="A402" s="199" t="s">
        <v>543</v>
      </c>
      <c r="B402" s="199">
        <v>44652</v>
      </c>
      <c r="C402" s="199">
        <v>4000</v>
      </c>
      <c r="D402" s="199" t="s">
        <v>459</v>
      </c>
      <c r="E402" s="199" t="s">
        <v>239</v>
      </c>
    </row>
    <row r="403" spans="1:5" x14ac:dyDescent="0.25">
      <c r="A403" s="199" t="s">
        <v>543</v>
      </c>
      <c r="B403" s="199">
        <v>44682</v>
      </c>
      <c r="C403" s="199">
        <v>4000</v>
      </c>
      <c r="D403" s="199" t="s">
        <v>459</v>
      </c>
      <c r="E403" s="199" t="s">
        <v>239</v>
      </c>
    </row>
    <row r="404" spans="1:5" x14ac:dyDescent="0.25">
      <c r="A404" s="199" t="s">
        <v>543</v>
      </c>
      <c r="B404" s="199">
        <v>44713</v>
      </c>
      <c r="C404" s="199">
        <v>4000</v>
      </c>
      <c r="D404" s="199" t="s">
        <v>459</v>
      </c>
      <c r="E404" s="199" t="s">
        <v>239</v>
      </c>
    </row>
    <row r="405" spans="1:5" x14ac:dyDescent="0.25">
      <c r="A405" s="199" t="s">
        <v>543</v>
      </c>
      <c r="B405" s="199">
        <v>44743</v>
      </c>
      <c r="C405" s="199">
        <v>4000</v>
      </c>
      <c r="D405" s="199" t="s">
        <v>459</v>
      </c>
      <c r="E405" s="199" t="s">
        <v>239</v>
      </c>
    </row>
    <row r="406" spans="1:5" x14ac:dyDescent="0.25">
      <c r="A406" s="199" t="s">
        <v>543</v>
      </c>
      <c r="B406" s="199">
        <v>44774</v>
      </c>
      <c r="C406" s="199">
        <v>4000</v>
      </c>
      <c r="D406" s="199" t="s">
        <v>459</v>
      </c>
      <c r="E406" s="199" t="s">
        <v>239</v>
      </c>
    </row>
    <row r="407" spans="1:5" x14ac:dyDescent="0.25">
      <c r="A407" s="199" t="s">
        <v>543</v>
      </c>
      <c r="B407" s="199">
        <v>44805</v>
      </c>
      <c r="C407" s="199">
        <v>4000</v>
      </c>
      <c r="D407" s="199" t="s">
        <v>459</v>
      </c>
      <c r="E407" s="199" t="s">
        <v>239</v>
      </c>
    </row>
    <row r="408" spans="1:5" x14ac:dyDescent="0.25">
      <c r="A408" s="199" t="s">
        <v>543</v>
      </c>
      <c r="B408" s="199">
        <v>44835</v>
      </c>
      <c r="C408" s="199">
        <v>4000</v>
      </c>
      <c r="D408" s="199" t="s">
        <v>459</v>
      </c>
      <c r="E408" s="199" t="s">
        <v>239</v>
      </c>
    </row>
    <row r="409" spans="1:5" x14ac:dyDescent="0.25">
      <c r="A409" s="199" t="s">
        <v>543</v>
      </c>
      <c r="B409" s="199">
        <v>44866</v>
      </c>
      <c r="C409" s="199">
        <v>4000</v>
      </c>
      <c r="D409" s="199" t="s">
        <v>459</v>
      </c>
      <c r="E409" s="199" t="s">
        <v>239</v>
      </c>
    </row>
    <row r="410" spans="1:5" x14ac:dyDescent="0.25">
      <c r="A410" s="199" t="s">
        <v>543</v>
      </c>
      <c r="B410" s="199">
        <v>44896</v>
      </c>
      <c r="C410" s="199">
        <v>4000</v>
      </c>
      <c r="D410" s="199" t="s">
        <v>459</v>
      </c>
      <c r="E410" s="199" t="s">
        <v>239</v>
      </c>
    </row>
    <row r="411" spans="1:5" x14ac:dyDescent="0.25">
      <c r="A411" s="199" t="s">
        <v>544</v>
      </c>
      <c r="B411" s="199">
        <v>44562</v>
      </c>
      <c r="C411" s="199">
        <v>4000</v>
      </c>
      <c r="D411" s="199" t="s">
        <v>460</v>
      </c>
      <c r="E411" s="199" t="s">
        <v>239</v>
      </c>
    </row>
    <row r="412" spans="1:5" x14ac:dyDescent="0.25">
      <c r="A412" s="199" t="s">
        <v>544</v>
      </c>
      <c r="B412" s="199">
        <v>44593</v>
      </c>
      <c r="C412" s="199">
        <v>4000</v>
      </c>
      <c r="D412" s="199" t="s">
        <v>460</v>
      </c>
      <c r="E412" s="199" t="s">
        <v>239</v>
      </c>
    </row>
    <row r="413" spans="1:5" x14ac:dyDescent="0.25">
      <c r="A413" s="199" t="s">
        <v>544</v>
      </c>
      <c r="B413" s="199">
        <v>44621</v>
      </c>
      <c r="C413" s="199">
        <v>4000</v>
      </c>
      <c r="D413" s="199" t="s">
        <v>460</v>
      </c>
      <c r="E413" s="199" t="s">
        <v>239</v>
      </c>
    </row>
    <row r="414" spans="1:5" x14ac:dyDescent="0.25">
      <c r="A414" s="199" t="s">
        <v>544</v>
      </c>
      <c r="B414" s="199">
        <v>44652</v>
      </c>
      <c r="C414" s="199">
        <v>4000</v>
      </c>
      <c r="D414" s="199" t="s">
        <v>460</v>
      </c>
      <c r="E414" s="199" t="s">
        <v>239</v>
      </c>
    </row>
    <row r="415" spans="1:5" x14ac:dyDescent="0.25">
      <c r="A415" s="199" t="s">
        <v>544</v>
      </c>
      <c r="B415" s="199">
        <v>44682</v>
      </c>
      <c r="C415" s="199">
        <v>4000</v>
      </c>
      <c r="D415" s="199" t="s">
        <v>460</v>
      </c>
      <c r="E415" s="199" t="s">
        <v>239</v>
      </c>
    </row>
    <row r="416" spans="1:5" x14ac:dyDescent="0.25">
      <c r="A416" s="199" t="s">
        <v>544</v>
      </c>
      <c r="B416" s="199">
        <v>44713</v>
      </c>
      <c r="C416" s="199">
        <v>4000</v>
      </c>
      <c r="D416" s="199" t="s">
        <v>460</v>
      </c>
      <c r="E416" s="199" t="s">
        <v>239</v>
      </c>
    </row>
    <row r="417" spans="1:5" x14ac:dyDescent="0.25">
      <c r="A417" s="199" t="s">
        <v>544</v>
      </c>
      <c r="B417" s="199">
        <v>44743</v>
      </c>
      <c r="C417" s="199">
        <v>4000</v>
      </c>
      <c r="D417" s="199" t="s">
        <v>460</v>
      </c>
      <c r="E417" s="199" t="s">
        <v>239</v>
      </c>
    </row>
    <row r="418" spans="1:5" x14ac:dyDescent="0.25">
      <c r="A418" s="199" t="s">
        <v>544</v>
      </c>
      <c r="B418" s="199">
        <v>44774</v>
      </c>
      <c r="C418" s="199">
        <v>4000</v>
      </c>
      <c r="D418" s="199" t="s">
        <v>460</v>
      </c>
      <c r="E418" s="199" t="s">
        <v>239</v>
      </c>
    </row>
    <row r="419" spans="1:5" x14ac:dyDescent="0.25">
      <c r="A419" s="199" t="s">
        <v>544</v>
      </c>
      <c r="B419" s="199">
        <v>44805</v>
      </c>
      <c r="C419" s="199">
        <v>4000</v>
      </c>
      <c r="D419" s="199" t="s">
        <v>460</v>
      </c>
      <c r="E419" s="199" t="s">
        <v>239</v>
      </c>
    </row>
    <row r="420" spans="1:5" x14ac:dyDescent="0.25">
      <c r="A420" s="199" t="s">
        <v>544</v>
      </c>
      <c r="B420" s="199">
        <v>44835</v>
      </c>
      <c r="C420" s="199">
        <v>4000</v>
      </c>
      <c r="D420" s="199" t="s">
        <v>460</v>
      </c>
      <c r="E420" s="199" t="s">
        <v>239</v>
      </c>
    </row>
    <row r="421" spans="1:5" x14ac:dyDescent="0.25">
      <c r="A421" s="199" t="s">
        <v>544</v>
      </c>
      <c r="B421" s="199">
        <v>44866</v>
      </c>
      <c r="C421" s="199">
        <v>4000</v>
      </c>
      <c r="D421" s="199" t="s">
        <v>460</v>
      </c>
      <c r="E421" s="199" t="s">
        <v>239</v>
      </c>
    </row>
    <row r="422" spans="1:5" x14ac:dyDescent="0.25">
      <c r="A422" s="199" t="s">
        <v>544</v>
      </c>
      <c r="B422" s="199">
        <v>44896</v>
      </c>
      <c r="C422" s="199">
        <v>4000</v>
      </c>
      <c r="D422" s="199" t="s">
        <v>460</v>
      </c>
      <c r="E422" s="199" t="s">
        <v>239</v>
      </c>
    </row>
    <row r="423" spans="1:5" x14ac:dyDescent="0.25">
      <c r="A423" s="199" t="s">
        <v>545</v>
      </c>
      <c r="B423" s="199">
        <v>44562</v>
      </c>
      <c r="C423" s="199">
        <v>4000</v>
      </c>
      <c r="D423" s="199" t="s">
        <v>461</v>
      </c>
      <c r="E423" s="199" t="s">
        <v>239</v>
      </c>
    </row>
    <row r="424" spans="1:5" x14ac:dyDescent="0.25">
      <c r="A424" s="199" t="s">
        <v>545</v>
      </c>
      <c r="B424" s="199">
        <v>44593</v>
      </c>
      <c r="C424" s="199">
        <v>4000</v>
      </c>
      <c r="D424" s="199" t="s">
        <v>461</v>
      </c>
      <c r="E424" s="199" t="s">
        <v>239</v>
      </c>
    </row>
    <row r="425" spans="1:5" x14ac:dyDescent="0.25">
      <c r="A425" s="199" t="s">
        <v>545</v>
      </c>
      <c r="B425" s="199">
        <v>44621</v>
      </c>
      <c r="C425" s="199">
        <v>4000</v>
      </c>
      <c r="D425" s="199" t="s">
        <v>461</v>
      </c>
      <c r="E425" s="199" t="s">
        <v>239</v>
      </c>
    </row>
    <row r="426" spans="1:5" x14ac:dyDescent="0.25">
      <c r="A426" s="199" t="s">
        <v>545</v>
      </c>
      <c r="B426" s="199">
        <v>44652</v>
      </c>
      <c r="C426" s="199">
        <v>4000</v>
      </c>
      <c r="D426" s="199" t="s">
        <v>461</v>
      </c>
      <c r="E426" s="199" t="s">
        <v>239</v>
      </c>
    </row>
    <row r="427" spans="1:5" x14ac:dyDescent="0.25">
      <c r="A427" s="199" t="s">
        <v>545</v>
      </c>
      <c r="B427" s="199">
        <v>44682</v>
      </c>
      <c r="C427" s="199">
        <v>4000</v>
      </c>
      <c r="D427" s="199" t="s">
        <v>461</v>
      </c>
      <c r="E427" s="199" t="s">
        <v>239</v>
      </c>
    </row>
    <row r="428" spans="1:5" x14ac:dyDescent="0.25">
      <c r="A428" s="199" t="s">
        <v>545</v>
      </c>
      <c r="B428" s="199">
        <v>44713</v>
      </c>
      <c r="C428" s="199">
        <v>4000</v>
      </c>
      <c r="D428" s="199" t="s">
        <v>461</v>
      </c>
      <c r="E428" s="199" t="s">
        <v>239</v>
      </c>
    </row>
    <row r="429" spans="1:5" x14ac:dyDescent="0.25">
      <c r="A429" s="199" t="s">
        <v>545</v>
      </c>
      <c r="B429" s="199">
        <v>44743</v>
      </c>
      <c r="C429" s="199">
        <v>4000</v>
      </c>
      <c r="D429" s="199" t="s">
        <v>461</v>
      </c>
      <c r="E429" s="199" t="s">
        <v>239</v>
      </c>
    </row>
    <row r="430" spans="1:5" x14ac:dyDescent="0.25">
      <c r="A430" s="199" t="s">
        <v>545</v>
      </c>
      <c r="B430" s="199">
        <v>44774</v>
      </c>
      <c r="C430" s="199">
        <v>4000</v>
      </c>
      <c r="D430" s="199" t="s">
        <v>461</v>
      </c>
      <c r="E430" s="199" t="s">
        <v>239</v>
      </c>
    </row>
    <row r="431" spans="1:5" x14ac:dyDescent="0.25">
      <c r="A431" s="199" t="s">
        <v>545</v>
      </c>
      <c r="B431" s="199">
        <v>44805</v>
      </c>
      <c r="C431" s="199">
        <v>4000</v>
      </c>
      <c r="D431" s="199" t="s">
        <v>461</v>
      </c>
      <c r="E431" s="199" t="s">
        <v>239</v>
      </c>
    </row>
    <row r="432" spans="1:5" x14ac:dyDescent="0.25">
      <c r="A432" s="199" t="s">
        <v>545</v>
      </c>
      <c r="B432" s="199">
        <v>44835</v>
      </c>
      <c r="C432" s="199">
        <v>4000</v>
      </c>
      <c r="D432" s="199" t="s">
        <v>461</v>
      </c>
      <c r="E432" s="199" t="s">
        <v>239</v>
      </c>
    </row>
    <row r="433" spans="1:5" x14ac:dyDescent="0.25">
      <c r="A433" s="199" t="s">
        <v>545</v>
      </c>
      <c r="B433" s="199">
        <v>44866</v>
      </c>
      <c r="C433" s="199">
        <v>4000</v>
      </c>
      <c r="D433" s="199" t="s">
        <v>461</v>
      </c>
      <c r="E433" s="199" t="s">
        <v>239</v>
      </c>
    </row>
    <row r="434" spans="1:5" x14ac:dyDescent="0.25">
      <c r="A434" s="199" t="s">
        <v>545</v>
      </c>
      <c r="B434" s="199">
        <v>44896</v>
      </c>
      <c r="C434" s="199">
        <v>4000</v>
      </c>
      <c r="D434" s="199" t="s">
        <v>461</v>
      </c>
      <c r="E434" s="199" t="s">
        <v>239</v>
      </c>
    </row>
    <row r="435" spans="1:5" x14ac:dyDescent="0.25">
      <c r="A435" s="199" t="s">
        <v>546</v>
      </c>
      <c r="B435" s="199">
        <v>44562</v>
      </c>
      <c r="C435" s="199">
        <v>4000</v>
      </c>
      <c r="D435" s="199" t="s">
        <v>462</v>
      </c>
      <c r="E435" s="199" t="s">
        <v>239</v>
      </c>
    </row>
    <row r="436" spans="1:5" x14ac:dyDescent="0.25">
      <c r="A436" s="199" t="s">
        <v>546</v>
      </c>
      <c r="B436" s="199">
        <v>44593</v>
      </c>
      <c r="C436" s="199">
        <v>4000</v>
      </c>
      <c r="D436" s="199" t="s">
        <v>462</v>
      </c>
      <c r="E436" s="199" t="s">
        <v>239</v>
      </c>
    </row>
    <row r="437" spans="1:5" x14ac:dyDescent="0.25">
      <c r="A437" s="199" t="s">
        <v>546</v>
      </c>
      <c r="B437" s="199">
        <v>44621</v>
      </c>
      <c r="C437" s="199">
        <v>4000</v>
      </c>
      <c r="D437" s="199" t="s">
        <v>462</v>
      </c>
      <c r="E437" s="199" t="s">
        <v>239</v>
      </c>
    </row>
    <row r="438" spans="1:5" x14ac:dyDescent="0.25">
      <c r="A438" s="199" t="s">
        <v>546</v>
      </c>
      <c r="B438" s="199">
        <v>44652</v>
      </c>
      <c r="C438" s="199">
        <v>4000</v>
      </c>
      <c r="D438" s="199" t="s">
        <v>462</v>
      </c>
      <c r="E438" s="199" t="s">
        <v>239</v>
      </c>
    </row>
    <row r="439" spans="1:5" x14ac:dyDescent="0.25">
      <c r="A439" s="199" t="s">
        <v>546</v>
      </c>
      <c r="B439" s="199">
        <v>44682</v>
      </c>
      <c r="C439" s="199">
        <v>4000</v>
      </c>
      <c r="D439" s="199" t="s">
        <v>462</v>
      </c>
      <c r="E439" s="199" t="s">
        <v>239</v>
      </c>
    </row>
    <row r="440" spans="1:5" x14ac:dyDescent="0.25">
      <c r="A440" s="199" t="s">
        <v>546</v>
      </c>
      <c r="B440" s="199">
        <v>44713</v>
      </c>
      <c r="C440" s="199">
        <v>4000</v>
      </c>
      <c r="D440" s="199" t="s">
        <v>462</v>
      </c>
      <c r="E440" s="199" t="s">
        <v>239</v>
      </c>
    </row>
    <row r="441" spans="1:5" x14ac:dyDescent="0.25">
      <c r="A441" s="199" t="s">
        <v>546</v>
      </c>
      <c r="B441" s="199">
        <v>44743</v>
      </c>
      <c r="C441" s="199">
        <v>4000</v>
      </c>
      <c r="D441" s="199" t="s">
        <v>462</v>
      </c>
      <c r="E441" s="199" t="s">
        <v>239</v>
      </c>
    </row>
    <row r="442" spans="1:5" x14ac:dyDescent="0.25">
      <c r="A442" s="199" t="s">
        <v>546</v>
      </c>
      <c r="B442" s="199">
        <v>44774</v>
      </c>
      <c r="C442" s="199">
        <v>4000</v>
      </c>
      <c r="D442" s="199" t="s">
        <v>462</v>
      </c>
      <c r="E442" s="199" t="s">
        <v>239</v>
      </c>
    </row>
    <row r="443" spans="1:5" x14ac:dyDescent="0.25">
      <c r="A443" s="199" t="s">
        <v>546</v>
      </c>
      <c r="B443" s="199">
        <v>44805</v>
      </c>
      <c r="C443" s="199">
        <v>4000</v>
      </c>
      <c r="D443" s="199" t="s">
        <v>462</v>
      </c>
      <c r="E443" s="199" t="s">
        <v>239</v>
      </c>
    </row>
    <row r="444" spans="1:5" x14ac:dyDescent="0.25">
      <c r="A444" s="199" t="s">
        <v>546</v>
      </c>
      <c r="B444" s="199">
        <v>44835</v>
      </c>
      <c r="C444" s="199">
        <v>4000</v>
      </c>
      <c r="D444" s="199" t="s">
        <v>462</v>
      </c>
      <c r="E444" s="199" t="s">
        <v>239</v>
      </c>
    </row>
    <row r="445" spans="1:5" x14ac:dyDescent="0.25">
      <c r="A445" s="199" t="s">
        <v>546</v>
      </c>
      <c r="B445" s="199">
        <v>44866</v>
      </c>
      <c r="C445" s="199">
        <v>4000</v>
      </c>
      <c r="D445" s="199" t="s">
        <v>462</v>
      </c>
      <c r="E445" s="199" t="s">
        <v>239</v>
      </c>
    </row>
    <row r="446" spans="1:5" x14ac:dyDescent="0.25">
      <c r="A446" s="199" t="s">
        <v>546</v>
      </c>
      <c r="B446" s="199">
        <v>44896</v>
      </c>
      <c r="C446" s="199">
        <v>4000</v>
      </c>
      <c r="D446" s="199" t="s">
        <v>462</v>
      </c>
      <c r="E446" s="199" t="s">
        <v>239</v>
      </c>
    </row>
    <row r="447" spans="1:5" x14ac:dyDescent="0.25">
      <c r="A447" s="199" t="s">
        <v>547</v>
      </c>
      <c r="B447" s="199">
        <v>44562</v>
      </c>
      <c r="C447" s="199">
        <v>4000</v>
      </c>
      <c r="D447" s="199" t="s">
        <v>463</v>
      </c>
      <c r="E447" s="199" t="s">
        <v>239</v>
      </c>
    </row>
    <row r="448" spans="1:5" x14ac:dyDescent="0.25">
      <c r="A448" s="199" t="s">
        <v>547</v>
      </c>
      <c r="B448" s="199">
        <v>44593</v>
      </c>
      <c r="C448" s="199">
        <v>4000</v>
      </c>
      <c r="D448" s="199" t="s">
        <v>463</v>
      </c>
      <c r="E448" s="199" t="s">
        <v>239</v>
      </c>
    </row>
    <row r="449" spans="1:5" x14ac:dyDescent="0.25">
      <c r="A449" s="199" t="s">
        <v>547</v>
      </c>
      <c r="B449" s="199">
        <v>44621</v>
      </c>
      <c r="C449" s="199">
        <v>4000</v>
      </c>
      <c r="D449" s="199" t="s">
        <v>463</v>
      </c>
      <c r="E449" s="199" t="s">
        <v>239</v>
      </c>
    </row>
    <row r="450" spans="1:5" x14ac:dyDescent="0.25">
      <c r="A450" s="199" t="s">
        <v>547</v>
      </c>
      <c r="B450" s="199">
        <v>44652</v>
      </c>
      <c r="C450" s="199">
        <v>4000</v>
      </c>
      <c r="D450" s="199" t="s">
        <v>463</v>
      </c>
      <c r="E450" s="199" t="s">
        <v>239</v>
      </c>
    </row>
    <row r="451" spans="1:5" x14ac:dyDescent="0.25">
      <c r="A451" s="199" t="s">
        <v>547</v>
      </c>
      <c r="B451" s="199">
        <v>44682</v>
      </c>
      <c r="C451" s="199">
        <v>4000</v>
      </c>
      <c r="D451" s="199" t="s">
        <v>463</v>
      </c>
      <c r="E451" s="199" t="s">
        <v>239</v>
      </c>
    </row>
    <row r="452" spans="1:5" x14ac:dyDescent="0.25">
      <c r="A452" s="199" t="s">
        <v>547</v>
      </c>
      <c r="B452" s="199">
        <v>44713</v>
      </c>
      <c r="C452" s="199">
        <v>4000</v>
      </c>
      <c r="D452" s="199" t="s">
        <v>463</v>
      </c>
      <c r="E452" s="199" t="s">
        <v>239</v>
      </c>
    </row>
    <row r="453" spans="1:5" x14ac:dyDescent="0.25">
      <c r="A453" s="199" t="s">
        <v>547</v>
      </c>
      <c r="B453" s="199">
        <v>44743</v>
      </c>
      <c r="C453" s="199">
        <v>4000</v>
      </c>
      <c r="D453" s="199" t="s">
        <v>463</v>
      </c>
      <c r="E453" s="199" t="s">
        <v>239</v>
      </c>
    </row>
    <row r="454" spans="1:5" x14ac:dyDescent="0.25">
      <c r="A454" s="199" t="s">
        <v>547</v>
      </c>
      <c r="B454" s="199">
        <v>44774</v>
      </c>
      <c r="C454" s="199">
        <v>4000</v>
      </c>
      <c r="D454" s="199" t="s">
        <v>463</v>
      </c>
      <c r="E454" s="199" t="s">
        <v>239</v>
      </c>
    </row>
    <row r="455" spans="1:5" x14ac:dyDescent="0.25">
      <c r="A455" s="199" t="s">
        <v>547</v>
      </c>
      <c r="B455" s="199">
        <v>44805</v>
      </c>
      <c r="C455" s="199">
        <v>4000</v>
      </c>
      <c r="D455" s="199" t="s">
        <v>463</v>
      </c>
      <c r="E455" s="199" t="s">
        <v>239</v>
      </c>
    </row>
    <row r="456" spans="1:5" x14ac:dyDescent="0.25">
      <c r="A456" s="199" t="s">
        <v>547</v>
      </c>
      <c r="B456" s="199">
        <v>44835</v>
      </c>
      <c r="C456" s="199">
        <v>4000</v>
      </c>
      <c r="D456" s="199" t="s">
        <v>463</v>
      </c>
      <c r="E456" s="199" t="s">
        <v>239</v>
      </c>
    </row>
    <row r="457" spans="1:5" x14ac:dyDescent="0.25">
      <c r="A457" s="199" t="s">
        <v>547</v>
      </c>
      <c r="B457" s="199">
        <v>44866</v>
      </c>
      <c r="C457" s="199">
        <v>4000</v>
      </c>
      <c r="D457" s="199" t="s">
        <v>463</v>
      </c>
      <c r="E457" s="199" t="s">
        <v>239</v>
      </c>
    </row>
    <row r="458" spans="1:5" x14ac:dyDescent="0.25">
      <c r="A458" s="199" t="s">
        <v>547</v>
      </c>
      <c r="B458" s="199">
        <v>44896</v>
      </c>
      <c r="C458" s="199">
        <v>4000</v>
      </c>
      <c r="D458" s="199" t="s">
        <v>463</v>
      </c>
      <c r="E458" s="199" t="s">
        <v>239</v>
      </c>
    </row>
    <row r="459" spans="1:5" x14ac:dyDescent="0.25">
      <c r="A459" s="199" t="s">
        <v>548</v>
      </c>
      <c r="B459" s="199">
        <v>44562</v>
      </c>
      <c r="C459" s="199">
        <v>4000</v>
      </c>
      <c r="D459" s="199" t="s">
        <v>464</v>
      </c>
      <c r="E459" s="199" t="s">
        <v>239</v>
      </c>
    </row>
    <row r="460" spans="1:5" x14ac:dyDescent="0.25">
      <c r="A460" s="199" t="s">
        <v>548</v>
      </c>
      <c r="B460" s="199">
        <v>44593</v>
      </c>
      <c r="C460" s="199">
        <v>4000</v>
      </c>
      <c r="D460" s="199" t="s">
        <v>464</v>
      </c>
      <c r="E460" s="199" t="s">
        <v>239</v>
      </c>
    </row>
    <row r="461" spans="1:5" x14ac:dyDescent="0.25">
      <c r="A461" s="199" t="s">
        <v>548</v>
      </c>
      <c r="B461" s="199">
        <v>44621</v>
      </c>
      <c r="C461" s="199">
        <v>4000</v>
      </c>
      <c r="D461" s="199" t="s">
        <v>464</v>
      </c>
      <c r="E461" s="199" t="s">
        <v>239</v>
      </c>
    </row>
    <row r="462" spans="1:5" x14ac:dyDescent="0.25">
      <c r="A462" s="199" t="s">
        <v>548</v>
      </c>
      <c r="B462" s="199">
        <v>44652</v>
      </c>
      <c r="C462" s="199">
        <v>4000</v>
      </c>
      <c r="D462" s="199" t="s">
        <v>464</v>
      </c>
      <c r="E462" s="199" t="s">
        <v>239</v>
      </c>
    </row>
    <row r="463" spans="1:5" x14ac:dyDescent="0.25">
      <c r="A463" s="199" t="s">
        <v>548</v>
      </c>
      <c r="B463" s="199">
        <v>44682</v>
      </c>
      <c r="C463" s="199">
        <v>4000</v>
      </c>
      <c r="D463" s="199" t="s">
        <v>464</v>
      </c>
      <c r="E463" s="199" t="s">
        <v>239</v>
      </c>
    </row>
    <row r="464" spans="1:5" x14ac:dyDescent="0.25">
      <c r="A464" s="199" t="s">
        <v>548</v>
      </c>
      <c r="B464" s="199">
        <v>44713</v>
      </c>
      <c r="C464" s="199">
        <v>4000</v>
      </c>
      <c r="D464" s="199" t="s">
        <v>464</v>
      </c>
      <c r="E464" s="199" t="s">
        <v>239</v>
      </c>
    </row>
    <row r="465" spans="1:5" x14ac:dyDescent="0.25">
      <c r="A465" s="199" t="s">
        <v>548</v>
      </c>
      <c r="B465" s="199">
        <v>44743</v>
      </c>
      <c r="C465" s="199">
        <v>4000</v>
      </c>
      <c r="D465" s="199" t="s">
        <v>464</v>
      </c>
      <c r="E465" s="199" t="s">
        <v>239</v>
      </c>
    </row>
    <row r="466" spans="1:5" x14ac:dyDescent="0.25">
      <c r="A466" s="199" t="s">
        <v>548</v>
      </c>
      <c r="B466" s="199">
        <v>44774</v>
      </c>
      <c r="C466" s="199">
        <v>4000</v>
      </c>
      <c r="D466" s="199" t="s">
        <v>464</v>
      </c>
      <c r="E466" s="199" t="s">
        <v>239</v>
      </c>
    </row>
    <row r="467" spans="1:5" x14ac:dyDescent="0.25">
      <c r="A467" s="199" t="s">
        <v>548</v>
      </c>
      <c r="B467" s="199">
        <v>44805</v>
      </c>
      <c r="C467" s="199">
        <v>4000</v>
      </c>
      <c r="D467" s="199" t="s">
        <v>464</v>
      </c>
      <c r="E467" s="199" t="s">
        <v>239</v>
      </c>
    </row>
    <row r="468" spans="1:5" x14ac:dyDescent="0.25">
      <c r="A468" s="199" t="s">
        <v>548</v>
      </c>
      <c r="B468" s="199">
        <v>44835</v>
      </c>
      <c r="C468" s="199">
        <v>4000</v>
      </c>
      <c r="D468" s="199" t="s">
        <v>464</v>
      </c>
      <c r="E468" s="199" t="s">
        <v>239</v>
      </c>
    </row>
    <row r="469" spans="1:5" x14ac:dyDescent="0.25">
      <c r="A469" s="199" t="s">
        <v>548</v>
      </c>
      <c r="B469" s="199">
        <v>44866</v>
      </c>
      <c r="C469" s="199">
        <v>4000</v>
      </c>
      <c r="D469" s="199" t="s">
        <v>464</v>
      </c>
      <c r="E469" s="199" t="s">
        <v>239</v>
      </c>
    </row>
    <row r="470" spans="1:5" x14ac:dyDescent="0.25">
      <c r="A470" s="199" t="s">
        <v>548</v>
      </c>
      <c r="B470" s="199">
        <v>44896</v>
      </c>
      <c r="C470" s="199">
        <v>4000</v>
      </c>
      <c r="D470" s="199" t="s">
        <v>464</v>
      </c>
      <c r="E470" s="199" t="s">
        <v>239</v>
      </c>
    </row>
    <row r="471" spans="1:5" x14ac:dyDescent="0.25">
      <c r="A471" s="199" t="s">
        <v>549</v>
      </c>
      <c r="B471" s="199">
        <v>44562</v>
      </c>
      <c r="C471" s="199">
        <v>4000</v>
      </c>
      <c r="D471" s="199" t="s">
        <v>465</v>
      </c>
      <c r="E471" s="199" t="s">
        <v>239</v>
      </c>
    </row>
    <row r="472" spans="1:5" x14ac:dyDescent="0.25">
      <c r="A472" s="199" t="s">
        <v>549</v>
      </c>
      <c r="B472" s="199">
        <v>44593</v>
      </c>
      <c r="C472" s="199">
        <v>4000</v>
      </c>
      <c r="D472" s="199" t="s">
        <v>465</v>
      </c>
      <c r="E472" s="199" t="s">
        <v>239</v>
      </c>
    </row>
    <row r="473" spans="1:5" x14ac:dyDescent="0.25">
      <c r="A473" s="199" t="s">
        <v>549</v>
      </c>
      <c r="B473" s="199">
        <v>44621</v>
      </c>
      <c r="C473" s="199">
        <v>4000</v>
      </c>
      <c r="D473" s="199" t="s">
        <v>465</v>
      </c>
      <c r="E473" s="199" t="s">
        <v>239</v>
      </c>
    </row>
    <row r="474" spans="1:5" x14ac:dyDescent="0.25">
      <c r="A474" s="199" t="s">
        <v>549</v>
      </c>
      <c r="B474" s="199">
        <v>44652</v>
      </c>
      <c r="C474" s="199">
        <v>4000</v>
      </c>
      <c r="D474" s="199" t="s">
        <v>465</v>
      </c>
      <c r="E474" s="199" t="s">
        <v>239</v>
      </c>
    </row>
    <row r="475" spans="1:5" x14ac:dyDescent="0.25">
      <c r="A475" s="199" t="s">
        <v>549</v>
      </c>
      <c r="B475" s="199">
        <v>44682</v>
      </c>
      <c r="C475" s="199">
        <v>4000</v>
      </c>
      <c r="D475" s="199" t="s">
        <v>465</v>
      </c>
      <c r="E475" s="199" t="s">
        <v>239</v>
      </c>
    </row>
    <row r="476" spans="1:5" x14ac:dyDescent="0.25">
      <c r="A476" s="199" t="s">
        <v>549</v>
      </c>
      <c r="B476" s="199">
        <v>44713</v>
      </c>
      <c r="C476" s="199">
        <v>4000</v>
      </c>
      <c r="D476" s="199" t="s">
        <v>465</v>
      </c>
      <c r="E476" s="199" t="s">
        <v>239</v>
      </c>
    </row>
    <row r="477" spans="1:5" x14ac:dyDescent="0.25">
      <c r="A477" s="199" t="s">
        <v>549</v>
      </c>
      <c r="B477" s="199">
        <v>44743</v>
      </c>
      <c r="C477" s="199">
        <v>4000</v>
      </c>
      <c r="D477" s="199" t="s">
        <v>465</v>
      </c>
      <c r="E477" s="199" t="s">
        <v>239</v>
      </c>
    </row>
    <row r="478" spans="1:5" x14ac:dyDescent="0.25">
      <c r="A478" s="199" t="s">
        <v>549</v>
      </c>
      <c r="B478" s="199">
        <v>44774</v>
      </c>
      <c r="C478" s="199">
        <v>4000</v>
      </c>
      <c r="D478" s="199" t="s">
        <v>465</v>
      </c>
      <c r="E478" s="199" t="s">
        <v>239</v>
      </c>
    </row>
    <row r="479" spans="1:5" x14ac:dyDescent="0.25">
      <c r="A479" s="199" t="s">
        <v>549</v>
      </c>
      <c r="B479" s="199">
        <v>44805</v>
      </c>
      <c r="C479" s="199">
        <v>4000</v>
      </c>
      <c r="D479" s="199" t="s">
        <v>465</v>
      </c>
      <c r="E479" s="199" t="s">
        <v>239</v>
      </c>
    </row>
    <row r="480" spans="1:5" x14ac:dyDescent="0.25">
      <c r="A480" s="199" t="s">
        <v>549</v>
      </c>
      <c r="B480" s="199">
        <v>44835</v>
      </c>
      <c r="C480" s="199">
        <v>4000</v>
      </c>
      <c r="D480" s="199" t="s">
        <v>465</v>
      </c>
      <c r="E480" s="199" t="s">
        <v>239</v>
      </c>
    </row>
    <row r="481" spans="1:5" x14ac:dyDescent="0.25">
      <c r="A481" s="199" t="s">
        <v>549</v>
      </c>
      <c r="B481" s="199">
        <v>44866</v>
      </c>
      <c r="C481" s="199">
        <v>4000</v>
      </c>
      <c r="D481" s="199" t="s">
        <v>465</v>
      </c>
      <c r="E481" s="199" t="s">
        <v>239</v>
      </c>
    </row>
    <row r="482" spans="1:5" x14ac:dyDescent="0.25">
      <c r="A482" s="199" t="s">
        <v>549</v>
      </c>
      <c r="B482" s="199">
        <v>44896</v>
      </c>
      <c r="C482" s="199">
        <v>4000</v>
      </c>
      <c r="D482" s="199" t="s">
        <v>465</v>
      </c>
      <c r="E482" s="199" t="s">
        <v>239</v>
      </c>
    </row>
    <row r="483" spans="1:5" x14ac:dyDescent="0.25">
      <c r="A483" s="199" t="s">
        <v>550</v>
      </c>
      <c r="B483" s="199">
        <v>44562</v>
      </c>
      <c r="C483" s="199">
        <v>4000</v>
      </c>
      <c r="D483" s="199" t="s">
        <v>466</v>
      </c>
      <c r="E483" s="199" t="s">
        <v>239</v>
      </c>
    </row>
    <row r="484" spans="1:5" x14ac:dyDescent="0.25">
      <c r="A484" s="199" t="s">
        <v>550</v>
      </c>
      <c r="B484" s="199">
        <v>44593</v>
      </c>
      <c r="C484" s="199">
        <v>4000</v>
      </c>
      <c r="D484" s="199" t="s">
        <v>466</v>
      </c>
      <c r="E484" s="199" t="s">
        <v>239</v>
      </c>
    </row>
    <row r="485" spans="1:5" x14ac:dyDescent="0.25">
      <c r="A485" s="199" t="s">
        <v>550</v>
      </c>
      <c r="B485" s="199">
        <v>44621</v>
      </c>
      <c r="C485" s="199">
        <v>4000</v>
      </c>
      <c r="D485" s="199" t="s">
        <v>466</v>
      </c>
      <c r="E485" s="199" t="s">
        <v>239</v>
      </c>
    </row>
    <row r="486" spans="1:5" x14ac:dyDescent="0.25">
      <c r="A486" s="199" t="s">
        <v>550</v>
      </c>
      <c r="B486" s="199">
        <v>44652</v>
      </c>
      <c r="C486" s="199">
        <v>4000</v>
      </c>
      <c r="D486" s="199" t="s">
        <v>466</v>
      </c>
      <c r="E486" s="199" t="s">
        <v>239</v>
      </c>
    </row>
    <row r="487" spans="1:5" x14ac:dyDescent="0.25">
      <c r="A487" s="199" t="s">
        <v>550</v>
      </c>
      <c r="B487" s="199">
        <v>44682</v>
      </c>
      <c r="C487" s="199">
        <v>4000</v>
      </c>
      <c r="D487" s="199" t="s">
        <v>466</v>
      </c>
      <c r="E487" s="199" t="s">
        <v>239</v>
      </c>
    </row>
    <row r="488" spans="1:5" x14ac:dyDescent="0.25">
      <c r="A488" s="199" t="s">
        <v>550</v>
      </c>
      <c r="B488" s="199">
        <v>44713</v>
      </c>
      <c r="C488" s="199">
        <v>4000</v>
      </c>
      <c r="D488" s="199" t="s">
        <v>466</v>
      </c>
      <c r="E488" s="199" t="s">
        <v>239</v>
      </c>
    </row>
    <row r="489" spans="1:5" x14ac:dyDescent="0.25">
      <c r="A489" s="199" t="s">
        <v>550</v>
      </c>
      <c r="B489" s="199">
        <v>44743</v>
      </c>
      <c r="C489" s="199">
        <v>4000</v>
      </c>
      <c r="D489" s="199" t="s">
        <v>466</v>
      </c>
      <c r="E489" s="199" t="s">
        <v>239</v>
      </c>
    </row>
    <row r="490" spans="1:5" x14ac:dyDescent="0.25">
      <c r="A490" s="199" t="s">
        <v>550</v>
      </c>
      <c r="B490" s="199">
        <v>44774</v>
      </c>
      <c r="C490" s="199">
        <v>4000</v>
      </c>
      <c r="D490" s="199" t="s">
        <v>466</v>
      </c>
      <c r="E490" s="199" t="s">
        <v>239</v>
      </c>
    </row>
    <row r="491" spans="1:5" x14ac:dyDescent="0.25">
      <c r="A491" s="199" t="s">
        <v>550</v>
      </c>
      <c r="B491" s="199">
        <v>44805</v>
      </c>
      <c r="C491" s="199">
        <v>4000</v>
      </c>
      <c r="D491" s="199" t="s">
        <v>466</v>
      </c>
      <c r="E491" s="199" t="s">
        <v>239</v>
      </c>
    </row>
    <row r="492" spans="1:5" x14ac:dyDescent="0.25">
      <c r="A492" s="199" t="s">
        <v>550</v>
      </c>
      <c r="B492" s="199">
        <v>44835</v>
      </c>
      <c r="C492" s="199">
        <v>4000</v>
      </c>
      <c r="D492" s="199" t="s">
        <v>466</v>
      </c>
      <c r="E492" s="199" t="s">
        <v>239</v>
      </c>
    </row>
    <row r="493" spans="1:5" x14ac:dyDescent="0.25">
      <c r="A493" s="199" t="s">
        <v>550</v>
      </c>
      <c r="B493" s="199">
        <v>44866</v>
      </c>
      <c r="C493" s="199">
        <v>4000</v>
      </c>
      <c r="D493" s="199" t="s">
        <v>466</v>
      </c>
      <c r="E493" s="199" t="s">
        <v>239</v>
      </c>
    </row>
    <row r="494" spans="1:5" x14ac:dyDescent="0.25">
      <c r="A494" s="199" t="s">
        <v>550</v>
      </c>
      <c r="B494" s="199">
        <v>44896</v>
      </c>
      <c r="C494" s="199">
        <v>4000</v>
      </c>
      <c r="D494" s="199" t="s">
        <v>466</v>
      </c>
      <c r="E494" s="199" t="s">
        <v>239</v>
      </c>
    </row>
    <row r="495" spans="1:5" x14ac:dyDescent="0.25">
      <c r="A495" s="199" t="s">
        <v>551</v>
      </c>
      <c r="B495" s="199">
        <v>44562</v>
      </c>
      <c r="C495" s="199">
        <v>4000</v>
      </c>
      <c r="D495" s="199" t="s">
        <v>467</v>
      </c>
      <c r="E495" s="199" t="s">
        <v>239</v>
      </c>
    </row>
    <row r="496" spans="1:5" x14ac:dyDescent="0.25">
      <c r="A496" s="199" t="s">
        <v>551</v>
      </c>
      <c r="B496" s="199">
        <v>44593</v>
      </c>
      <c r="C496" s="199">
        <v>4000</v>
      </c>
      <c r="D496" s="199" t="s">
        <v>467</v>
      </c>
      <c r="E496" s="199" t="s">
        <v>239</v>
      </c>
    </row>
    <row r="497" spans="1:5" x14ac:dyDescent="0.25">
      <c r="A497" s="199" t="s">
        <v>551</v>
      </c>
      <c r="B497" s="199">
        <v>44621</v>
      </c>
      <c r="C497" s="199">
        <v>4000</v>
      </c>
      <c r="D497" s="199" t="s">
        <v>467</v>
      </c>
      <c r="E497" s="199" t="s">
        <v>239</v>
      </c>
    </row>
    <row r="498" spans="1:5" x14ac:dyDescent="0.25">
      <c r="A498" s="199" t="s">
        <v>551</v>
      </c>
      <c r="B498" s="199">
        <v>44652</v>
      </c>
      <c r="C498" s="199">
        <v>4000</v>
      </c>
      <c r="D498" s="199" t="s">
        <v>467</v>
      </c>
      <c r="E498" s="199" t="s">
        <v>239</v>
      </c>
    </row>
    <row r="499" spans="1:5" x14ac:dyDescent="0.25">
      <c r="A499" s="199" t="s">
        <v>551</v>
      </c>
      <c r="B499" s="199">
        <v>44682</v>
      </c>
      <c r="C499" s="199">
        <v>4000</v>
      </c>
      <c r="D499" s="199" t="s">
        <v>467</v>
      </c>
      <c r="E499" s="199" t="s">
        <v>239</v>
      </c>
    </row>
    <row r="500" spans="1:5" x14ac:dyDescent="0.25">
      <c r="A500" s="199" t="s">
        <v>551</v>
      </c>
      <c r="B500" s="199">
        <v>44713</v>
      </c>
      <c r="C500" s="199">
        <v>4000</v>
      </c>
      <c r="D500" s="199" t="s">
        <v>467</v>
      </c>
      <c r="E500" s="199" t="s">
        <v>239</v>
      </c>
    </row>
    <row r="501" spans="1:5" x14ac:dyDescent="0.25">
      <c r="A501" s="199" t="s">
        <v>551</v>
      </c>
      <c r="B501" s="199">
        <v>44743</v>
      </c>
      <c r="C501" s="199">
        <v>4000</v>
      </c>
      <c r="D501" s="199" t="s">
        <v>467</v>
      </c>
      <c r="E501" s="199" t="s">
        <v>239</v>
      </c>
    </row>
    <row r="502" spans="1:5" x14ac:dyDescent="0.25">
      <c r="A502" s="199" t="s">
        <v>551</v>
      </c>
      <c r="B502" s="199">
        <v>44774</v>
      </c>
      <c r="C502" s="199">
        <v>4000</v>
      </c>
      <c r="D502" s="199" t="s">
        <v>467</v>
      </c>
      <c r="E502" s="199" t="s">
        <v>239</v>
      </c>
    </row>
    <row r="503" spans="1:5" x14ac:dyDescent="0.25">
      <c r="A503" s="199" t="s">
        <v>551</v>
      </c>
      <c r="B503" s="199">
        <v>44805</v>
      </c>
      <c r="C503" s="199">
        <v>4000</v>
      </c>
      <c r="D503" s="199" t="s">
        <v>467</v>
      </c>
      <c r="E503" s="199" t="s">
        <v>239</v>
      </c>
    </row>
    <row r="504" spans="1:5" x14ac:dyDescent="0.25">
      <c r="A504" s="199" t="s">
        <v>551</v>
      </c>
      <c r="B504" s="199">
        <v>44835</v>
      </c>
      <c r="C504" s="199">
        <v>4000</v>
      </c>
      <c r="D504" s="199" t="s">
        <v>467</v>
      </c>
      <c r="E504" s="199" t="s">
        <v>239</v>
      </c>
    </row>
    <row r="505" spans="1:5" x14ac:dyDescent="0.25">
      <c r="A505" s="199" t="s">
        <v>551</v>
      </c>
      <c r="B505" s="199">
        <v>44866</v>
      </c>
      <c r="C505" s="199">
        <v>4000</v>
      </c>
      <c r="D505" s="199" t="s">
        <v>467</v>
      </c>
      <c r="E505" s="199" t="s">
        <v>239</v>
      </c>
    </row>
    <row r="506" spans="1:5" x14ac:dyDescent="0.25">
      <c r="A506" s="199" t="s">
        <v>551</v>
      </c>
      <c r="B506" s="199">
        <v>44896</v>
      </c>
      <c r="C506" s="199">
        <v>4000</v>
      </c>
      <c r="D506" s="199" t="s">
        <v>467</v>
      </c>
      <c r="E506" s="199" t="s">
        <v>239</v>
      </c>
    </row>
    <row r="507" spans="1:5" x14ac:dyDescent="0.25">
      <c r="A507" s="199" t="s">
        <v>552</v>
      </c>
      <c r="B507" s="199">
        <v>44562</v>
      </c>
      <c r="C507" s="199">
        <v>4000</v>
      </c>
      <c r="D507" s="199" t="s">
        <v>468</v>
      </c>
      <c r="E507" s="199" t="s">
        <v>239</v>
      </c>
    </row>
    <row r="508" spans="1:5" x14ac:dyDescent="0.25">
      <c r="A508" s="199" t="s">
        <v>552</v>
      </c>
      <c r="B508" s="199">
        <v>44593</v>
      </c>
      <c r="C508" s="199">
        <v>4000</v>
      </c>
      <c r="D508" s="199" t="s">
        <v>468</v>
      </c>
      <c r="E508" s="199" t="s">
        <v>239</v>
      </c>
    </row>
    <row r="509" spans="1:5" x14ac:dyDescent="0.25">
      <c r="A509" s="199" t="s">
        <v>552</v>
      </c>
      <c r="B509" s="199">
        <v>44621</v>
      </c>
      <c r="C509" s="199">
        <v>4000</v>
      </c>
      <c r="D509" s="199" t="s">
        <v>468</v>
      </c>
      <c r="E509" s="199" t="s">
        <v>239</v>
      </c>
    </row>
    <row r="510" spans="1:5" x14ac:dyDescent="0.25">
      <c r="A510" s="199" t="s">
        <v>552</v>
      </c>
      <c r="B510" s="199">
        <v>44652</v>
      </c>
      <c r="C510" s="199">
        <v>4000</v>
      </c>
      <c r="D510" s="199" t="s">
        <v>468</v>
      </c>
      <c r="E510" s="199" t="s">
        <v>239</v>
      </c>
    </row>
    <row r="511" spans="1:5" x14ac:dyDescent="0.25">
      <c r="A511" s="199" t="s">
        <v>552</v>
      </c>
      <c r="B511" s="199">
        <v>44682</v>
      </c>
      <c r="C511" s="199">
        <v>4000</v>
      </c>
      <c r="D511" s="199" t="s">
        <v>468</v>
      </c>
      <c r="E511" s="199" t="s">
        <v>239</v>
      </c>
    </row>
    <row r="512" spans="1:5" x14ac:dyDescent="0.25">
      <c r="A512" s="199" t="s">
        <v>552</v>
      </c>
      <c r="B512" s="199">
        <v>44713</v>
      </c>
      <c r="C512" s="199">
        <v>4000</v>
      </c>
      <c r="D512" s="199" t="s">
        <v>468</v>
      </c>
      <c r="E512" s="199" t="s">
        <v>239</v>
      </c>
    </row>
    <row r="513" spans="1:5" x14ac:dyDescent="0.25">
      <c r="A513" s="199" t="s">
        <v>552</v>
      </c>
      <c r="B513" s="199">
        <v>44743</v>
      </c>
      <c r="C513" s="199">
        <v>4000</v>
      </c>
      <c r="D513" s="199" t="s">
        <v>468</v>
      </c>
      <c r="E513" s="199" t="s">
        <v>239</v>
      </c>
    </row>
    <row r="514" spans="1:5" x14ac:dyDescent="0.25">
      <c r="A514" s="199" t="s">
        <v>552</v>
      </c>
      <c r="B514" s="199">
        <v>44774</v>
      </c>
      <c r="C514" s="199">
        <v>4000</v>
      </c>
      <c r="D514" s="199" t="s">
        <v>468</v>
      </c>
      <c r="E514" s="199" t="s">
        <v>239</v>
      </c>
    </row>
    <row r="515" spans="1:5" x14ac:dyDescent="0.25">
      <c r="A515" s="199" t="s">
        <v>552</v>
      </c>
      <c r="B515" s="199">
        <v>44805</v>
      </c>
      <c r="C515" s="199">
        <v>4000</v>
      </c>
      <c r="D515" s="199" t="s">
        <v>468</v>
      </c>
      <c r="E515" s="199" t="s">
        <v>239</v>
      </c>
    </row>
    <row r="516" spans="1:5" x14ac:dyDescent="0.25">
      <c r="A516" s="199" t="s">
        <v>552</v>
      </c>
      <c r="B516" s="199">
        <v>44835</v>
      </c>
      <c r="C516" s="199">
        <v>4000</v>
      </c>
      <c r="D516" s="199" t="s">
        <v>468</v>
      </c>
      <c r="E516" s="199" t="s">
        <v>239</v>
      </c>
    </row>
    <row r="517" spans="1:5" x14ac:dyDescent="0.25">
      <c r="A517" s="199" t="s">
        <v>552</v>
      </c>
      <c r="B517" s="199">
        <v>44866</v>
      </c>
      <c r="C517" s="199">
        <v>4000</v>
      </c>
      <c r="D517" s="199" t="s">
        <v>468</v>
      </c>
      <c r="E517" s="199" t="s">
        <v>239</v>
      </c>
    </row>
    <row r="518" spans="1:5" x14ac:dyDescent="0.25">
      <c r="A518" s="199" t="s">
        <v>552</v>
      </c>
      <c r="B518" s="199">
        <v>44896</v>
      </c>
      <c r="C518" s="199">
        <v>4000</v>
      </c>
      <c r="D518" s="199" t="s">
        <v>468</v>
      </c>
      <c r="E518" s="199" t="s">
        <v>239</v>
      </c>
    </row>
    <row r="519" spans="1:5" x14ac:dyDescent="0.25">
      <c r="A519" s="199" t="s">
        <v>553</v>
      </c>
      <c r="B519" s="199">
        <v>44562</v>
      </c>
      <c r="C519" s="199">
        <v>4000</v>
      </c>
      <c r="D519" s="199" t="s">
        <v>469</v>
      </c>
      <c r="E519" s="199" t="s">
        <v>239</v>
      </c>
    </row>
    <row r="520" spans="1:5" x14ac:dyDescent="0.25">
      <c r="A520" s="199" t="s">
        <v>553</v>
      </c>
      <c r="B520" s="199">
        <v>44593</v>
      </c>
      <c r="C520" s="199">
        <v>4000</v>
      </c>
      <c r="D520" s="199" t="s">
        <v>469</v>
      </c>
      <c r="E520" s="199" t="s">
        <v>239</v>
      </c>
    </row>
    <row r="521" spans="1:5" x14ac:dyDescent="0.25">
      <c r="A521" s="199" t="s">
        <v>553</v>
      </c>
      <c r="B521" s="199">
        <v>44621</v>
      </c>
      <c r="C521" s="199">
        <v>4000</v>
      </c>
      <c r="D521" s="199" t="s">
        <v>469</v>
      </c>
      <c r="E521" s="199" t="s">
        <v>239</v>
      </c>
    </row>
    <row r="522" spans="1:5" x14ac:dyDescent="0.25">
      <c r="A522" s="199" t="s">
        <v>553</v>
      </c>
      <c r="B522" s="199">
        <v>44652</v>
      </c>
      <c r="C522" s="199">
        <v>4000</v>
      </c>
      <c r="D522" s="199" t="s">
        <v>469</v>
      </c>
      <c r="E522" s="199" t="s">
        <v>239</v>
      </c>
    </row>
    <row r="523" spans="1:5" x14ac:dyDescent="0.25">
      <c r="A523" s="199" t="s">
        <v>553</v>
      </c>
      <c r="B523" s="199">
        <v>44682</v>
      </c>
      <c r="C523" s="199">
        <v>4000</v>
      </c>
      <c r="D523" s="199" t="s">
        <v>469</v>
      </c>
      <c r="E523" s="199" t="s">
        <v>239</v>
      </c>
    </row>
    <row r="524" spans="1:5" x14ac:dyDescent="0.25">
      <c r="A524" s="199" t="s">
        <v>553</v>
      </c>
      <c r="B524" s="199">
        <v>44713</v>
      </c>
      <c r="C524" s="199">
        <v>4000</v>
      </c>
      <c r="D524" s="199" t="s">
        <v>469</v>
      </c>
      <c r="E524" s="199" t="s">
        <v>239</v>
      </c>
    </row>
    <row r="525" spans="1:5" x14ac:dyDescent="0.25">
      <c r="A525" s="199" t="s">
        <v>553</v>
      </c>
      <c r="B525" s="199">
        <v>44743</v>
      </c>
      <c r="C525" s="199">
        <v>4000</v>
      </c>
      <c r="D525" s="199" t="s">
        <v>469</v>
      </c>
      <c r="E525" s="199" t="s">
        <v>239</v>
      </c>
    </row>
    <row r="526" spans="1:5" x14ac:dyDescent="0.25">
      <c r="A526" s="199" t="s">
        <v>553</v>
      </c>
      <c r="B526" s="199">
        <v>44774</v>
      </c>
      <c r="C526" s="199">
        <v>4000</v>
      </c>
      <c r="D526" s="199" t="s">
        <v>469</v>
      </c>
      <c r="E526" s="199" t="s">
        <v>239</v>
      </c>
    </row>
    <row r="527" spans="1:5" x14ac:dyDescent="0.25">
      <c r="A527" s="199" t="s">
        <v>553</v>
      </c>
      <c r="B527" s="199">
        <v>44805</v>
      </c>
      <c r="C527" s="199">
        <v>4000</v>
      </c>
      <c r="D527" s="199" t="s">
        <v>469</v>
      </c>
      <c r="E527" s="199" t="s">
        <v>239</v>
      </c>
    </row>
    <row r="528" spans="1:5" x14ac:dyDescent="0.25">
      <c r="A528" s="199" t="s">
        <v>553</v>
      </c>
      <c r="B528" s="199">
        <v>44835</v>
      </c>
      <c r="C528" s="199">
        <v>4000</v>
      </c>
      <c r="D528" s="199" t="s">
        <v>469</v>
      </c>
      <c r="E528" s="199" t="s">
        <v>239</v>
      </c>
    </row>
    <row r="529" spans="1:5" x14ac:dyDescent="0.25">
      <c r="A529" s="199" t="s">
        <v>553</v>
      </c>
      <c r="B529" s="199">
        <v>44866</v>
      </c>
      <c r="C529" s="199">
        <v>4000</v>
      </c>
      <c r="D529" s="199" t="s">
        <v>469</v>
      </c>
      <c r="E529" s="199" t="s">
        <v>239</v>
      </c>
    </row>
    <row r="530" spans="1:5" x14ac:dyDescent="0.25">
      <c r="A530" s="199" t="s">
        <v>553</v>
      </c>
      <c r="B530" s="199">
        <v>44896</v>
      </c>
      <c r="C530" s="199">
        <v>4000</v>
      </c>
      <c r="D530" s="199" t="s">
        <v>469</v>
      </c>
      <c r="E530" s="199" t="s">
        <v>239</v>
      </c>
    </row>
    <row r="531" spans="1:5" x14ac:dyDescent="0.25">
      <c r="A531" s="199" t="s">
        <v>554</v>
      </c>
      <c r="B531" s="199">
        <v>44562</v>
      </c>
      <c r="C531" s="199">
        <v>4000</v>
      </c>
      <c r="D531" s="199" t="s">
        <v>470</v>
      </c>
      <c r="E531" s="199" t="s">
        <v>239</v>
      </c>
    </row>
    <row r="532" spans="1:5" x14ac:dyDescent="0.25">
      <c r="A532" s="199" t="s">
        <v>554</v>
      </c>
      <c r="B532" s="199">
        <v>44593</v>
      </c>
      <c r="C532" s="199">
        <v>4000</v>
      </c>
      <c r="D532" s="199" t="s">
        <v>470</v>
      </c>
      <c r="E532" s="199" t="s">
        <v>239</v>
      </c>
    </row>
    <row r="533" spans="1:5" x14ac:dyDescent="0.25">
      <c r="A533" s="199" t="s">
        <v>554</v>
      </c>
      <c r="B533" s="199">
        <v>44621</v>
      </c>
      <c r="C533" s="199">
        <v>4000</v>
      </c>
      <c r="D533" s="199" t="s">
        <v>470</v>
      </c>
      <c r="E533" s="199" t="s">
        <v>239</v>
      </c>
    </row>
    <row r="534" spans="1:5" x14ac:dyDescent="0.25">
      <c r="A534" s="199" t="s">
        <v>554</v>
      </c>
      <c r="B534" s="199">
        <v>44652</v>
      </c>
      <c r="C534" s="199">
        <v>4000</v>
      </c>
      <c r="D534" s="199" t="s">
        <v>470</v>
      </c>
      <c r="E534" s="199" t="s">
        <v>239</v>
      </c>
    </row>
    <row r="535" spans="1:5" x14ac:dyDescent="0.25">
      <c r="A535" s="199" t="s">
        <v>554</v>
      </c>
      <c r="B535" s="199">
        <v>44682</v>
      </c>
      <c r="C535" s="199">
        <v>4000</v>
      </c>
      <c r="D535" s="199" t="s">
        <v>470</v>
      </c>
      <c r="E535" s="199" t="s">
        <v>239</v>
      </c>
    </row>
    <row r="536" spans="1:5" x14ac:dyDescent="0.25">
      <c r="A536" s="199" t="s">
        <v>554</v>
      </c>
      <c r="B536" s="199">
        <v>44713</v>
      </c>
      <c r="C536" s="199">
        <v>4000</v>
      </c>
      <c r="D536" s="199" t="s">
        <v>470</v>
      </c>
      <c r="E536" s="199" t="s">
        <v>239</v>
      </c>
    </row>
    <row r="537" spans="1:5" x14ac:dyDescent="0.25">
      <c r="A537" s="199" t="s">
        <v>554</v>
      </c>
      <c r="B537" s="199">
        <v>44743</v>
      </c>
      <c r="C537" s="199">
        <v>4000</v>
      </c>
      <c r="D537" s="199" t="s">
        <v>470</v>
      </c>
      <c r="E537" s="199" t="s">
        <v>239</v>
      </c>
    </row>
    <row r="538" spans="1:5" x14ac:dyDescent="0.25">
      <c r="A538" s="199" t="s">
        <v>554</v>
      </c>
      <c r="B538" s="199">
        <v>44774</v>
      </c>
      <c r="C538" s="199">
        <v>4000</v>
      </c>
      <c r="D538" s="199" t="s">
        <v>470</v>
      </c>
      <c r="E538" s="199" t="s">
        <v>239</v>
      </c>
    </row>
    <row r="539" spans="1:5" x14ac:dyDescent="0.25">
      <c r="A539" s="199" t="s">
        <v>554</v>
      </c>
      <c r="B539" s="199">
        <v>44805</v>
      </c>
      <c r="C539" s="199">
        <v>4000</v>
      </c>
      <c r="D539" s="199" t="s">
        <v>470</v>
      </c>
      <c r="E539" s="199" t="s">
        <v>239</v>
      </c>
    </row>
    <row r="540" spans="1:5" x14ac:dyDescent="0.25">
      <c r="A540" s="199" t="s">
        <v>554</v>
      </c>
      <c r="B540" s="199">
        <v>44835</v>
      </c>
      <c r="C540" s="199">
        <v>4000</v>
      </c>
      <c r="D540" s="199" t="s">
        <v>470</v>
      </c>
      <c r="E540" s="199" t="s">
        <v>239</v>
      </c>
    </row>
    <row r="541" spans="1:5" x14ac:dyDescent="0.25">
      <c r="A541" s="199" t="s">
        <v>554</v>
      </c>
      <c r="B541" s="199">
        <v>44866</v>
      </c>
      <c r="C541" s="199">
        <v>4000</v>
      </c>
      <c r="D541" s="199" t="s">
        <v>470</v>
      </c>
      <c r="E541" s="199" t="s">
        <v>239</v>
      </c>
    </row>
    <row r="542" spans="1:5" x14ac:dyDescent="0.25">
      <c r="A542" s="199" t="s">
        <v>554</v>
      </c>
      <c r="B542" s="199">
        <v>44896</v>
      </c>
      <c r="C542" s="199">
        <v>4000</v>
      </c>
      <c r="D542" s="199" t="s">
        <v>470</v>
      </c>
      <c r="E542" s="199" t="s">
        <v>239</v>
      </c>
    </row>
    <row r="543" spans="1:5" x14ac:dyDescent="0.25">
      <c r="A543" s="199" t="s">
        <v>555</v>
      </c>
      <c r="B543" s="199">
        <v>44562</v>
      </c>
      <c r="C543" s="199">
        <v>4000</v>
      </c>
      <c r="D543" s="199" t="s">
        <v>471</v>
      </c>
      <c r="E543" s="199" t="s">
        <v>239</v>
      </c>
    </row>
    <row r="544" spans="1:5" x14ac:dyDescent="0.25">
      <c r="A544" s="199" t="s">
        <v>555</v>
      </c>
      <c r="B544" s="199">
        <v>44593</v>
      </c>
      <c r="C544" s="199">
        <v>4000</v>
      </c>
      <c r="D544" s="199" t="s">
        <v>471</v>
      </c>
      <c r="E544" s="199" t="s">
        <v>239</v>
      </c>
    </row>
    <row r="545" spans="1:5" x14ac:dyDescent="0.25">
      <c r="A545" s="199" t="s">
        <v>555</v>
      </c>
      <c r="B545" s="199">
        <v>44621</v>
      </c>
      <c r="C545" s="199">
        <v>4000</v>
      </c>
      <c r="D545" s="199" t="s">
        <v>471</v>
      </c>
      <c r="E545" s="199" t="s">
        <v>239</v>
      </c>
    </row>
    <row r="546" spans="1:5" x14ac:dyDescent="0.25">
      <c r="A546" s="199" t="s">
        <v>555</v>
      </c>
      <c r="B546" s="199">
        <v>44652</v>
      </c>
      <c r="C546" s="199">
        <v>4000</v>
      </c>
      <c r="D546" s="199" t="s">
        <v>471</v>
      </c>
      <c r="E546" s="199" t="s">
        <v>239</v>
      </c>
    </row>
    <row r="547" spans="1:5" x14ac:dyDescent="0.25">
      <c r="A547" s="199" t="s">
        <v>555</v>
      </c>
      <c r="B547" s="199">
        <v>44682</v>
      </c>
      <c r="C547" s="199">
        <v>4000</v>
      </c>
      <c r="D547" s="199" t="s">
        <v>471</v>
      </c>
      <c r="E547" s="199" t="s">
        <v>239</v>
      </c>
    </row>
    <row r="548" spans="1:5" x14ac:dyDescent="0.25">
      <c r="A548" s="199" t="s">
        <v>555</v>
      </c>
      <c r="B548" s="199">
        <v>44713</v>
      </c>
      <c r="C548" s="199">
        <v>4000</v>
      </c>
      <c r="D548" s="199" t="s">
        <v>471</v>
      </c>
      <c r="E548" s="199" t="s">
        <v>239</v>
      </c>
    </row>
    <row r="549" spans="1:5" x14ac:dyDescent="0.25">
      <c r="A549" s="199" t="s">
        <v>555</v>
      </c>
      <c r="B549" s="199">
        <v>44743</v>
      </c>
      <c r="C549" s="199">
        <v>4000</v>
      </c>
      <c r="D549" s="199" t="s">
        <v>471</v>
      </c>
      <c r="E549" s="199" t="s">
        <v>239</v>
      </c>
    </row>
    <row r="550" spans="1:5" x14ac:dyDescent="0.25">
      <c r="A550" s="199" t="s">
        <v>555</v>
      </c>
      <c r="B550" s="199">
        <v>44774</v>
      </c>
      <c r="C550" s="199">
        <v>4000</v>
      </c>
      <c r="D550" s="199" t="s">
        <v>471</v>
      </c>
      <c r="E550" s="199" t="s">
        <v>239</v>
      </c>
    </row>
    <row r="551" spans="1:5" x14ac:dyDescent="0.25">
      <c r="A551" s="199" t="s">
        <v>555</v>
      </c>
      <c r="B551" s="199">
        <v>44805</v>
      </c>
      <c r="C551" s="199">
        <v>4000</v>
      </c>
      <c r="D551" s="199" t="s">
        <v>471</v>
      </c>
      <c r="E551" s="199" t="s">
        <v>239</v>
      </c>
    </row>
    <row r="552" spans="1:5" x14ac:dyDescent="0.25">
      <c r="A552" s="199" t="s">
        <v>555</v>
      </c>
      <c r="B552" s="199">
        <v>44835</v>
      </c>
      <c r="C552" s="199">
        <v>4000</v>
      </c>
      <c r="D552" s="199" t="s">
        <v>471</v>
      </c>
      <c r="E552" s="199" t="s">
        <v>239</v>
      </c>
    </row>
    <row r="553" spans="1:5" x14ac:dyDescent="0.25">
      <c r="A553" s="199" t="s">
        <v>555</v>
      </c>
      <c r="B553" s="199">
        <v>44866</v>
      </c>
      <c r="C553" s="199">
        <v>4000</v>
      </c>
      <c r="D553" s="199" t="s">
        <v>471</v>
      </c>
      <c r="E553" s="199" t="s">
        <v>239</v>
      </c>
    </row>
    <row r="554" spans="1:5" x14ac:dyDescent="0.25">
      <c r="A554" s="199" t="s">
        <v>555</v>
      </c>
      <c r="B554" s="199">
        <v>44896</v>
      </c>
      <c r="C554" s="199">
        <v>4000</v>
      </c>
      <c r="D554" s="199" t="s">
        <v>471</v>
      </c>
      <c r="E554" s="199" t="s">
        <v>239</v>
      </c>
    </row>
    <row r="555" spans="1:5" x14ac:dyDescent="0.25">
      <c r="A555" s="199" t="s">
        <v>556</v>
      </c>
      <c r="B555" s="199">
        <v>44562</v>
      </c>
      <c r="C555" s="199">
        <v>4000</v>
      </c>
      <c r="D555" s="199" t="s">
        <v>472</v>
      </c>
      <c r="E555" s="199" t="s">
        <v>239</v>
      </c>
    </row>
    <row r="556" spans="1:5" x14ac:dyDescent="0.25">
      <c r="A556" s="199" t="s">
        <v>556</v>
      </c>
      <c r="B556" s="199">
        <v>44593</v>
      </c>
      <c r="C556" s="199">
        <v>4000</v>
      </c>
      <c r="D556" s="199" t="s">
        <v>472</v>
      </c>
      <c r="E556" s="199" t="s">
        <v>239</v>
      </c>
    </row>
    <row r="557" spans="1:5" x14ac:dyDescent="0.25">
      <c r="A557" s="199" t="s">
        <v>556</v>
      </c>
      <c r="B557" s="199">
        <v>44621</v>
      </c>
      <c r="C557" s="199">
        <v>4000</v>
      </c>
      <c r="D557" s="199" t="s">
        <v>472</v>
      </c>
      <c r="E557" s="199" t="s">
        <v>239</v>
      </c>
    </row>
    <row r="558" spans="1:5" x14ac:dyDescent="0.25">
      <c r="A558" s="199" t="s">
        <v>556</v>
      </c>
      <c r="B558" s="199">
        <v>44652</v>
      </c>
      <c r="C558" s="199">
        <v>4000</v>
      </c>
      <c r="D558" s="199" t="s">
        <v>472</v>
      </c>
      <c r="E558" s="199" t="s">
        <v>239</v>
      </c>
    </row>
    <row r="559" spans="1:5" x14ac:dyDescent="0.25">
      <c r="A559" s="199" t="s">
        <v>556</v>
      </c>
      <c r="B559" s="199">
        <v>44682</v>
      </c>
      <c r="C559" s="199">
        <v>4000</v>
      </c>
      <c r="D559" s="199" t="s">
        <v>472</v>
      </c>
      <c r="E559" s="199" t="s">
        <v>239</v>
      </c>
    </row>
    <row r="560" spans="1:5" x14ac:dyDescent="0.25">
      <c r="A560" s="199" t="s">
        <v>556</v>
      </c>
      <c r="B560" s="199">
        <v>44713</v>
      </c>
      <c r="C560" s="199">
        <v>4000</v>
      </c>
      <c r="D560" s="199" t="s">
        <v>472</v>
      </c>
      <c r="E560" s="199" t="s">
        <v>239</v>
      </c>
    </row>
    <row r="561" spans="1:5" x14ac:dyDescent="0.25">
      <c r="A561" s="199" t="s">
        <v>556</v>
      </c>
      <c r="B561" s="199">
        <v>44743</v>
      </c>
      <c r="C561" s="199">
        <v>4000</v>
      </c>
      <c r="D561" s="199" t="s">
        <v>472</v>
      </c>
      <c r="E561" s="199" t="s">
        <v>239</v>
      </c>
    </row>
    <row r="562" spans="1:5" x14ac:dyDescent="0.25">
      <c r="A562" s="199" t="s">
        <v>556</v>
      </c>
      <c r="B562" s="199">
        <v>44774</v>
      </c>
      <c r="C562" s="199">
        <v>4000</v>
      </c>
      <c r="D562" s="199" t="s">
        <v>472</v>
      </c>
      <c r="E562" s="199" t="s">
        <v>239</v>
      </c>
    </row>
    <row r="563" spans="1:5" x14ac:dyDescent="0.25">
      <c r="A563" s="199" t="s">
        <v>556</v>
      </c>
      <c r="B563" s="199">
        <v>44805</v>
      </c>
      <c r="C563" s="199">
        <v>4000</v>
      </c>
      <c r="D563" s="199" t="s">
        <v>472</v>
      </c>
      <c r="E563" s="199" t="s">
        <v>239</v>
      </c>
    </row>
    <row r="564" spans="1:5" x14ac:dyDescent="0.25">
      <c r="A564" s="199" t="s">
        <v>556</v>
      </c>
      <c r="B564" s="199">
        <v>44835</v>
      </c>
      <c r="C564" s="199">
        <v>4000</v>
      </c>
      <c r="D564" s="199" t="s">
        <v>472</v>
      </c>
      <c r="E564" s="199" t="s">
        <v>239</v>
      </c>
    </row>
    <row r="565" spans="1:5" x14ac:dyDescent="0.25">
      <c r="A565" s="199" t="s">
        <v>556</v>
      </c>
      <c r="B565" s="199">
        <v>44866</v>
      </c>
      <c r="C565" s="199">
        <v>4000</v>
      </c>
      <c r="D565" s="199" t="s">
        <v>472</v>
      </c>
      <c r="E565" s="199" t="s">
        <v>239</v>
      </c>
    </row>
    <row r="566" spans="1:5" x14ac:dyDescent="0.25">
      <c r="A566" s="199" t="s">
        <v>556</v>
      </c>
      <c r="B566" s="199">
        <v>44896</v>
      </c>
      <c r="C566" s="199">
        <v>4000</v>
      </c>
      <c r="D566" s="199" t="s">
        <v>472</v>
      </c>
      <c r="E566" s="199" t="s">
        <v>239</v>
      </c>
    </row>
    <row r="567" spans="1:5" x14ac:dyDescent="0.25">
      <c r="A567" s="199" t="s">
        <v>539</v>
      </c>
      <c r="B567" s="199">
        <v>44562</v>
      </c>
      <c r="C567" s="199">
        <v>3438</v>
      </c>
      <c r="D567" s="199" t="s">
        <v>389</v>
      </c>
      <c r="E567" s="199" t="s">
        <v>239</v>
      </c>
    </row>
    <row r="568" spans="1:5" x14ac:dyDescent="0.25">
      <c r="A568" s="199" t="s">
        <v>539</v>
      </c>
      <c r="B568" s="199">
        <v>44593</v>
      </c>
      <c r="C568" s="199">
        <v>3438</v>
      </c>
      <c r="D568" s="199" t="s">
        <v>389</v>
      </c>
      <c r="E568" s="199" t="s">
        <v>239</v>
      </c>
    </row>
    <row r="569" spans="1:5" x14ac:dyDescent="0.25">
      <c r="A569" s="199" t="s">
        <v>539</v>
      </c>
      <c r="B569" s="199">
        <v>44621</v>
      </c>
      <c r="C569" s="199">
        <v>3438</v>
      </c>
      <c r="D569" s="199" t="s">
        <v>389</v>
      </c>
      <c r="E569" s="199" t="s">
        <v>239</v>
      </c>
    </row>
    <row r="570" spans="1:5" x14ac:dyDescent="0.25">
      <c r="A570" s="199" t="s">
        <v>539</v>
      </c>
      <c r="B570" s="199">
        <v>44652</v>
      </c>
      <c r="C570" s="199">
        <v>3438</v>
      </c>
      <c r="D570" s="199" t="s">
        <v>389</v>
      </c>
      <c r="E570" s="199" t="s">
        <v>239</v>
      </c>
    </row>
    <row r="571" spans="1:5" x14ac:dyDescent="0.25">
      <c r="A571" s="199" t="s">
        <v>539</v>
      </c>
      <c r="B571" s="199">
        <v>44682</v>
      </c>
      <c r="C571" s="199">
        <v>3438</v>
      </c>
      <c r="D571" s="199" t="s">
        <v>389</v>
      </c>
      <c r="E571" s="199" t="s">
        <v>239</v>
      </c>
    </row>
    <row r="572" spans="1:5" x14ac:dyDescent="0.25">
      <c r="A572" s="199" t="s">
        <v>539</v>
      </c>
      <c r="B572" s="199">
        <v>44713</v>
      </c>
      <c r="C572" s="199">
        <v>3438</v>
      </c>
      <c r="D572" s="199" t="s">
        <v>389</v>
      </c>
      <c r="E572" s="199" t="s">
        <v>239</v>
      </c>
    </row>
    <row r="573" spans="1:5" x14ac:dyDescent="0.25">
      <c r="A573" s="199" t="s">
        <v>539</v>
      </c>
      <c r="B573" s="199">
        <v>44743</v>
      </c>
      <c r="C573" s="199">
        <v>3438</v>
      </c>
      <c r="D573" s="199" t="s">
        <v>389</v>
      </c>
      <c r="E573" s="199" t="s">
        <v>239</v>
      </c>
    </row>
    <row r="574" spans="1:5" x14ac:dyDescent="0.25">
      <c r="A574" s="199" t="s">
        <v>539</v>
      </c>
      <c r="B574" s="199">
        <v>44774</v>
      </c>
      <c r="C574" s="199">
        <v>3438</v>
      </c>
      <c r="D574" s="199" t="s">
        <v>389</v>
      </c>
      <c r="E574" s="199" t="s">
        <v>239</v>
      </c>
    </row>
    <row r="575" spans="1:5" x14ac:dyDescent="0.25">
      <c r="A575" s="199" t="s">
        <v>539</v>
      </c>
      <c r="B575" s="199">
        <v>44805</v>
      </c>
      <c r="C575" s="199">
        <v>3438</v>
      </c>
      <c r="D575" s="199" t="s">
        <v>389</v>
      </c>
      <c r="E575" s="199" t="s">
        <v>239</v>
      </c>
    </row>
    <row r="576" spans="1:5" x14ac:dyDescent="0.25">
      <c r="A576" s="199" t="s">
        <v>539</v>
      </c>
      <c r="B576" s="199">
        <v>44835</v>
      </c>
      <c r="C576" s="199">
        <v>3438</v>
      </c>
      <c r="D576" s="199" t="s">
        <v>389</v>
      </c>
      <c r="E576" s="199" t="s">
        <v>239</v>
      </c>
    </row>
    <row r="577" spans="1:5" x14ac:dyDescent="0.25">
      <c r="A577" s="199" t="s">
        <v>539</v>
      </c>
      <c r="B577" s="199">
        <v>44866</v>
      </c>
      <c r="C577" s="199">
        <v>3438</v>
      </c>
      <c r="D577" s="199" t="s">
        <v>389</v>
      </c>
      <c r="E577" s="199" t="s">
        <v>239</v>
      </c>
    </row>
    <row r="578" spans="1:5" x14ac:dyDescent="0.25">
      <c r="A578" s="199" t="s">
        <v>539</v>
      </c>
      <c r="B578" s="199">
        <v>44896</v>
      </c>
      <c r="C578" s="199">
        <v>3438</v>
      </c>
      <c r="D578" s="199" t="s">
        <v>389</v>
      </c>
      <c r="E578" s="199" t="s">
        <v>239</v>
      </c>
    </row>
    <row r="579" spans="1:5" x14ac:dyDescent="0.25">
      <c r="A579" s="199" t="s">
        <v>540</v>
      </c>
      <c r="B579" s="199">
        <v>44562</v>
      </c>
      <c r="C579" s="199">
        <v>666667</v>
      </c>
      <c r="D579" s="199" t="s">
        <v>387</v>
      </c>
      <c r="E579" s="199" t="s">
        <v>239</v>
      </c>
    </row>
    <row r="580" spans="1:5" x14ac:dyDescent="0.25">
      <c r="A580" s="199" t="s">
        <v>540</v>
      </c>
      <c r="B580" s="199">
        <v>44593</v>
      </c>
      <c r="C580" s="199">
        <v>666667</v>
      </c>
      <c r="D580" s="199" t="s">
        <v>387</v>
      </c>
      <c r="E580" s="199" t="s">
        <v>239</v>
      </c>
    </row>
    <row r="581" spans="1:5" x14ac:dyDescent="0.25">
      <c r="A581" s="199" t="s">
        <v>540</v>
      </c>
      <c r="B581" s="199">
        <v>44621</v>
      </c>
      <c r="C581" s="199">
        <v>666667</v>
      </c>
      <c r="D581" s="199" t="s">
        <v>387</v>
      </c>
      <c r="E581" s="199" t="s">
        <v>239</v>
      </c>
    </row>
    <row r="582" spans="1:5" x14ac:dyDescent="0.25">
      <c r="A582" s="199" t="s">
        <v>540</v>
      </c>
      <c r="B582" s="199">
        <v>44652</v>
      </c>
      <c r="C582" s="199">
        <v>666667</v>
      </c>
      <c r="D582" s="199" t="s">
        <v>387</v>
      </c>
      <c r="E582" s="199" t="s">
        <v>239</v>
      </c>
    </row>
    <row r="583" spans="1:5" x14ac:dyDescent="0.25">
      <c r="A583" s="199" t="s">
        <v>540</v>
      </c>
      <c r="B583" s="199">
        <v>44682</v>
      </c>
      <c r="C583" s="199">
        <v>666667</v>
      </c>
      <c r="D583" s="199" t="s">
        <v>387</v>
      </c>
      <c r="E583" s="199" t="s">
        <v>239</v>
      </c>
    </row>
    <row r="584" spans="1:5" x14ac:dyDescent="0.25">
      <c r="A584" s="199" t="s">
        <v>540</v>
      </c>
      <c r="B584" s="199">
        <v>44713</v>
      </c>
      <c r="C584" s="199">
        <v>666667</v>
      </c>
      <c r="D584" s="199" t="s">
        <v>387</v>
      </c>
      <c r="E584" s="199" t="s">
        <v>239</v>
      </c>
    </row>
    <row r="585" spans="1:5" x14ac:dyDescent="0.25">
      <c r="A585" s="199" t="s">
        <v>540</v>
      </c>
      <c r="B585" s="199">
        <v>44743</v>
      </c>
      <c r="C585" s="199">
        <v>666667</v>
      </c>
      <c r="D585" s="199" t="s">
        <v>387</v>
      </c>
      <c r="E585" s="199" t="s">
        <v>239</v>
      </c>
    </row>
    <row r="586" spans="1:5" x14ac:dyDescent="0.25">
      <c r="A586" s="199" t="s">
        <v>540</v>
      </c>
      <c r="B586" s="199">
        <v>44774</v>
      </c>
      <c r="C586" s="199">
        <v>666667</v>
      </c>
      <c r="D586" s="199" t="s">
        <v>387</v>
      </c>
      <c r="E586" s="199" t="s">
        <v>239</v>
      </c>
    </row>
    <row r="587" spans="1:5" x14ac:dyDescent="0.25">
      <c r="A587" s="199" t="s">
        <v>540</v>
      </c>
      <c r="B587" s="199">
        <v>44805</v>
      </c>
      <c r="C587" s="199">
        <v>666667</v>
      </c>
      <c r="D587" s="199" t="s">
        <v>387</v>
      </c>
      <c r="E587" s="199" t="s">
        <v>239</v>
      </c>
    </row>
    <row r="588" spans="1:5" x14ac:dyDescent="0.25">
      <c r="A588" s="199" t="s">
        <v>540</v>
      </c>
      <c r="B588" s="199">
        <v>44835</v>
      </c>
      <c r="C588" s="199">
        <v>666667</v>
      </c>
      <c r="D588" s="199" t="s">
        <v>387</v>
      </c>
      <c r="E588" s="199" t="s">
        <v>239</v>
      </c>
    </row>
    <row r="589" spans="1:5" x14ac:dyDescent="0.25">
      <c r="A589" s="199" t="s">
        <v>540</v>
      </c>
      <c r="B589" s="199">
        <v>44866</v>
      </c>
      <c r="C589" s="199">
        <v>666667</v>
      </c>
      <c r="D589" s="199" t="s">
        <v>387</v>
      </c>
      <c r="E589" s="199" t="s">
        <v>239</v>
      </c>
    </row>
    <row r="590" spans="1:5" x14ac:dyDescent="0.25">
      <c r="A590" s="199" t="s">
        <v>540</v>
      </c>
      <c r="B590" s="199">
        <v>44896</v>
      </c>
      <c r="C590" s="199">
        <v>666667</v>
      </c>
      <c r="D590" s="199" t="s">
        <v>387</v>
      </c>
      <c r="E590" s="199" t="s">
        <v>239</v>
      </c>
    </row>
    <row r="591" spans="1:5" x14ac:dyDescent="0.25">
      <c r="A591" s="199" t="s">
        <v>503</v>
      </c>
      <c r="B591" s="199">
        <v>44562</v>
      </c>
      <c r="C591" s="199">
        <v>79500</v>
      </c>
      <c r="D591" s="199" t="s">
        <v>407</v>
      </c>
      <c r="E591" s="199" t="s">
        <v>239</v>
      </c>
    </row>
    <row r="592" spans="1:5" x14ac:dyDescent="0.25">
      <c r="A592" s="199" t="s">
        <v>503</v>
      </c>
      <c r="B592" s="199">
        <v>44593</v>
      </c>
      <c r="C592" s="199">
        <v>79500</v>
      </c>
      <c r="D592" s="199" t="s">
        <v>407</v>
      </c>
      <c r="E592" s="199" t="s">
        <v>239</v>
      </c>
    </row>
    <row r="593" spans="1:5" x14ac:dyDescent="0.25">
      <c r="A593" s="199" t="s">
        <v>503</v>
      </c>
      <c r="B593" s="199">
        <v>44621</v>
      </c>
      <c r="C593" s="199">
        <v>79500</v>
      </c>
      <c r="D593" s="199" t="s">
        <v>407</v>
      </c>
      <c r="E593" s="199" t="s">
        <v>239</v>
      </c>
    </row>
    <row r="594" spans="1:5" x14ac:dyDescent="0.25">
      <c r="A594" s="199" t="s">
        <v>503</v>
      </c>
      <c r="B594" s="199">
        <v>44652</v>
      </c>
      <c r="C594" s="199">
        <v>79500</v>
      </c>
      <c r="D594" s="199" t="s">
        <v>407</v>
      </c>
      <c r="E594" s="199" t="s">
        <v>239</v>
      </c>
    </row>
    <row r="595" spans="1:5" x14ac:dyDescent="0.25">
      <c r="A595" s="199" t="s">
        <v>503</v>
      </c>
      <c r="B595" s="199">
        <v>44682</v>
      </c>
      <c r="C595" s="199">
        <v>79500</v>
      </c>
      <c r="D595" s="199" t="s">
        <v>407</v>
      </c>
      <c r="E595" s="199" t="s">
        <v>239</v>
      </c>
    </row>
    <row r="596" spans="1:5" x14ac:dyDescent="0.25">
      <c r="A596" s="199" t="s">
        <v>503</v>
      </c>
      <c r="B596" s="199">
        <v>44713</v>
      </c>
      <c r="C596" s="199">
        <v>79500</v>
      </c>
      <c r="D596" s="199" t="s">
        <v>407</v>
      </c>
      <c r="E596" s="199" t="s">
        <v>239</v>
      </c>
    </row>
    <row r="597" spans="1:5" x14ac:dyDescent="0.25">
      <c r="A597" s="199" t="s">
        <v>503</v>
      </c>
      <c r="B597" s="199">
        <v>44743</v>
      </c>
      <c r="C597" s="199">
        <v>79500</v>
      </c>
      <c r="D597" s="199" t="s">
        <v>407</v>
      </c>
      <c r="E597" s="199" t="s">
        <v>239</v>
      </c>
    </row>
    <row r="598" spans="1:5" x14ac:dyDescent="0.25">
      <c r="A598" s="199" t="s">
        <v>503</v>
      </c>
      <c r="B598" s="199">
        <v>44774</v>
      </c>
      <c r="C598" s="199">
        <v>79500</v>
      </c>
      <c r="D598" s="199" t="s">
        <v>407</v>
      </c>
      <c r="E598" s="199" t="s">
        <v>239</v>
      </c>
    </row>
    <row r="599" spans="1:5" x14ac:dyDescent="0.25">
      <c r="A599" s="199" t="s">
        <v>503</v>
      </c>
      <c r="B599" s="199">
        <v>44805</v>
      </c>
      <c r="C599" s="199">
        <v>79500</v>
      </c>
      <c r="D599" s="199" t="s">
        <v>407</v>
      </c>
      <c r="E599" s="199" t="s">
        <v>239</v>
      </c>
    </row>
    <row r="600" spans="1:5" x14ac:dyDescent="0.25">
      <c r="A600" s="199" t="s">
        <v>503</v>
      </c>
      <c r="B600" s="199">
        <v>44835</v>
      </c>
      <c r="C600" s="199">
        <v>79500</v>
      </c>
      <c r="D600" s="199" t="s">
        <v>407</v>
      </c>
      <c r="E600" s="199" t="s">
        <v>239</v>
      </c>
    </row>
    <row r="601" spans="1:5" x14ac:dyDescent="0.25">
      <c r="A601" s="199" t="s">
        <v>503</v>
      </c>
      <c r="B601" s="199">
        <v>44866</v>
      </c>
      <c r="C601" s="199">
        <v>79500</v>
      </c>
      <c r="D601" s="199" t="s">
        <v>407</v>
      </c>
      <c r="E601" s="199" t="s">
        <v>239</v>
      </c>
    </row>
    <row r="602" spans="1:5" x14ac:dyDescent="0.25">
      <c r="A602" s="199" t="s">
        <v>503</v>
      </c>
      <c r="B602" s="199">
        <v>44896</v>
      </c>
      <c r="C602" s="199">
        <v>79500</v>
      </c>
      <c r="D602" s="199" t="s">
        <v>407</v>
      </c>
      <c r="E602" s="199" t="s">
        <v>239</v>
      </c>
    </row>
    <row r="603" spans="1:5" x14ac:dyDescent="0.25">
      <c r="A603" s="199" t="s">
        <v>519</v>
      </c>
      <c r="B603" s="199">
        <v>44562</v>
      </c>
      <c r="C603" s="199">
        <v>61667</v>
      </c>
      <c r="D603" s="199" t="s">
        <v>427</v>
      </c>
      <c r="E603" s="199" t="s">
        <v>239</v>
      </c>
    </row>
    <row r="604" spans="1:5" x14ac:dyDescent="0.25">
      <c r="A604" s="199" t="s">
        <v>519</v>
      </c>
      <c r="B604" s="199">
        <v>44593</v>
      </c>
      <c r="C604" s="199">
        <v>61667</v>
      </c>
      <c r="D604" s="199" t="s">
        <v>427</v>
      </c>
      <c r="E604" s="199" t="s">
        <v>239</v>
      </c>
    </row>
    <row r="605" spans="1:5" x14ac:dyDescent="0.25">
      <c r="A605" s="199" t="s">
        <v>519</v>
      </c>
      <c r="B605" s="199">
        <v>44621</v>
      </c>
      <c r="C605" s="199">
        <v>61667</v>
      </c>
      <c r="D605" s="199" t="s">
        <v>427</v>
      </c>
      <c r="E605" s="199" t="s">
        <v>239</v>
      </c>
    </row>
    <row r="606" spans="1:5" x14ac:dyDescent="0.25">
      <c r="A606" s="199" t="s">
        <v>519</v>
      </c>
      <c r="B606" s="199">
        <v>44652</v>
      </c>
      <c r="C606" s="199">
        <v>61667</v>
      </c>
      <c r="D606" s="199" t="s">
        <v>427</v>
      </c>
      <c r="E606" s="199" t="s">
        <v>239</v>
      </c>
    </row>
    <row r="607" spans="1:5" x14ac:dyDescent="0.25">
      <c r="A607" s="199" t="s">
        <v>519</v>
      </c>
      <c r="B607" s="199">
        <v>44682</v>
      </c>
      <c r="C607" s="199">
        <v>61667</v>
      </c>
      <c r="D607" s="199" t="s">
        <v>427</v>
      </c>
      <c r="E607" s="199" t="s">
        <v>239</v>
      </c>
    </row>
    <row r="608" spans="1:5" x14ac:dyDescent="0.25">
      <c r="A608" s="199" t="s">
        <v>519</v>
      </c>
      <c r="B608" s="199">
        <v>44713</v>
      </c>
      <c r="C608" s="199">
        <v>61667</v>
      </c>
      <c r="D608" s="199" t="s">
        <v>427</v>
      </c>
      <c r="E608" s="199" t="s">
        <v>239</v>
      </c>
    </row>
    <row r="609" spans="1:5" x14ac:dyDescent="0.25">
      <c r="A609" s="199" t="s">
        <v>519</v>
      </c>
      <c r="B609" s="199">
        <v>44743</v>
      </c>
      <c r="C609" s="199">
        <v>61667</v>
      </c>
      <c r="D609" s="199" t="s">
        <v>427</v>
      </c>
      <c r="E609" s="199" t="s">
        <v>239</v>
      </c>
    </row>
    <row r="610" spans="1:5" x14ac:dyDescent="0.25">
      <c r="A610" s="199" t="s">
        <v>519</v>
      </c>
      <c r="B610" s="199">
        <v>44774</v>
      </c>
      <c r="C610" s="199">
        <v>61667</v>
      </c>
      <c r="D610" s="199" t="s">
        <v>427</v>
      </c>
      <c r="E610" s="199" t="s">
        <v>239</v>
      </c>
    </row>
    <row r="611" spans="1:5" x14ac:dyDescent="0.25">
      <c r="A611" s="199" t="s">
        <v>519</v>
      </c>
      <c r="B611" s="199">
        <v>44805</v>
      </c>
      <c r="C611" s="199">
        <v>61667</v>
      </c>
      <c r="D611" s="199" t="s">
        <v>427</v>
      </c>
      <c r="E611" s="199" t="s">
        <v>239</v>
      </c>
    </row>
    <row r="612" spans="1:5" x14ac:dyDescent="0.25">
      <c r="A612" s="199" t="s">
        <v>519</v>
      </c>
      <c r="B612" s="199">
        <v>44835</v>
      </c>
      <c r="C612" s="199">
        <v>61667</v>
      </c>
      <c r="D612" s="199" t="s">
        <v>427</v>
      </c>
      <c r="E612" s="199" t="s">
        <v>239</v>
      </c>
    </row>
    <row r="613" spans="1:5" x14ac:dyDescent="0.25">
      <c r="A613" s="199" t="s">
        <v>519</v>
      </c>
      <c r="B613" s="199">
        <v>44866</v>
      </c>
      <c r="C613" s="199">
        <v>61667</v>
      </c>
      <c r="D613" s="199" t="s">
        <v>427</v>
      </c>
      <c r="E613" s="199" t="s">
        <v>239</v>
      </c>
    </row>
    <row r="614" spans="1:5" x14ac:dyDescent="0.25">
      <c r="A614" s="199" t="s">
        <v>519</v>
      </c>
      <c r="B614" s="199">
        <v>44896</v>
      </c>
      <c r="C614" s="199">
        <v>61667</v>
      </c>
      <c r="D614" s="199" t="s">
        <v>427</v>
      </c>
      <c r="E614" s="199" t="s">
        <v>239</v>
      </c>
    </row>
    <row r="615" spans="1:5" x14ac:dyDescent="0.25">
      <c r="A615" s="199" t="s">
        <v>518</v>
      </c>
      <c r="B615" s="199">
        <v>44562</v>
      </c>
      <c r="C615" s="199">
        <v>2500</v>
      </c>
      <c r="D615" s="199" t="s">
        <v>426</v>
      </c>
      <c r="E615" s="199" t="s">
        <v>239</v>
      </c>
    </row>
    <row r="616" spans="1:5" x14ac:dyDescent="0.25">
      <c r="A616" s="199" t="s">
        <v>518</v>
      </c>
      <c r="B616" s="199">
        <v>44593</v>
      </c>
      <c r="C616" s="199">
        <v>2500</v>
      </c>
      <c r="D616" s="199" t="s">
        <v>426</v>
      </c>
      <c r="E616" s="199" t="s">
        <v>239</v>
      </c>
    </row>
    <row r="617" spans="1:5" x14ac:dyDescent="0.25">
      <c r="A617" s="199" t="s">
        <v>518</v>
      </c>
      <c r="B617" s="199">
        <v>44621</v>
      </c>
      <c r="C617" s="199">
        <v>2500</v>
      </c>
      <c r="D617" s="199" t="s">
        <v>426</v>
      </c>
      <c r="E617" s="199" t="s">
        <v>239</v>
      </c>
    </row>
    <row r="618" spans="1:5" x14ac:dyDescent="0.25">
      <c r="A618" s="199" t="s">
        <v>518</v>
      </c>
      <c r="B618" s="199">
        <v>44652</v>
      </c>
      <c r="C618" s="199">
        <v>2500</v>
      </c>
      <c r="D618" s="199" t="s">
        <v>426</v>
      </c>
      <c r="E618" s="199" t="s">
        <v>239</v>
      </c>
    </row>
    <row r="619" spans="1:5" x14ac:dyDescent="0.25">
      <c r="A619" s="199" t="s">
        <v>518</v>
      </c>
      <c r="B619" s="199">
        <v>44682</v>
      </c>
      <c r="C619" s="199">
        <v>2500</v>
      </c>
      <c r="D619" s="199" t="s">
        <v>426</v>
      </c>
      <c r="E619" s="199" t="s">
        <v>239</v>
      </c>
    </row>
    <row r="620" spans="1:5" x14ac:dyDescent="0.25">
      <c r="A620" s="199" t="s">
        <v>518</v>
      </c>
      <c r="B620" s="199">
        <v>44713</v>
      </c>
      <c r="C620" s="199">
        <v>2500</v>
      </c>
      <c r="D620" s="199" t="s">
        <v>426</v>
      </c>
      <c r="E620" s="199" t="s">
        <v>239</v>
      </c>
    </row>
    <row r="621" spans="1:5" x14ac:dyDescent="0.25">
      <c r="A621" s="199" t="s">
        <v>518</v>
      </c>
      <c r="B621" s="199">
        <v>44743</v>
      </c>
      <c r="C621" s="199">
        <v>2500</v>
      </c>
      <c r="D621" s="199" t="s">
        <v>426</v>
      </c>
      <c r="E621" s="199" t="s">
        <v>239</v>
      </c>
    </row>
    <row r="622" spans="1:5" x14ac:dyDescent="0.25">
      <c r="A622" s="199" t="s">
        <v>518</v>
      </c>
      <c r="B622" s="199">
        <v>44774</v>
      </c>
      <c r="C622" s="199">
        <v>2500</v>
      </c>
      <c r="D622" s="199" t="s">
        <v>426</v>
      </c>
      <c r="E622" s="199" t="s">
        <v>239</v>
      </c>
    </row>
    <row r="623" spans="1:5" x14ac:dyDescent="0.25">
      <c r="A623" s="199" t="s">
        <v>518</v>
      </c>
      <c r="B623" s="199">
        <v>44805</v>
      </c>
      <c r="C623" s="199">
        <v>2500</v>
      </c>
      <c r="D623" s="199" t="s">
        <v>426</v>
      </c>
      <c r="E623" s="199" t="s">
        <v>239</v>
      </c>
    </row>
    <row r="624" spans="1:5" x14ac:dyDescent="0.25">
      <c r="A624" s="199" t="s">
        <v>518</v>
      </c>
      <c r="B624" s="199">
        <v>44835</v>
      </c>
      <c r="C624" s="199">
        <v>2500</v>
      </c>
      <c r="D624" s="199" t="s">
        <v>426</v>
      </c>
      <c r="E624" s="199" t="s">
        <v>239</v>
      </c>
    </row>
    <row r="625" spans="1:5" x14ac:dyDescent="0.25">
      <c r="A625" s="199" t="s">
        <v>518</v>
      </c>
      <c r="B625" s="199">
        <v>44866</v>
      </c>
      <c r="C625" s="199">
        <v>2500</v>
      </c>
      <c r="D625" s="199" t="s">
        <v>426</v>
      </c>
      <c r="E625" s="199" t="s">
        <v>239</v>
      </c>
    </row>
    <row r="626" spans="1:5" x14ac:dyDescent="0.25">
      <c r="A626" s="199" t="s">
        <v>518</v>
      </c>
      <c r="B626" s="199">
        <v>44896</v>
      </c>
      <c r="C626" s="199">
        <v>2500</v>
      </c>
      <c r="D626" s="199" t="s">
        <v>426</v>
      </c>
      <c r="E626" s="199" t="s">
        <v>239</v>
      </c>
    </row>
    <row r="627" spans="1:5" x14ac:dyDescent="0.25">
      <c r="A627" s="199" t="s">
        <v>537</v>
      </c>
      <c r="B627" s="199">
        <v>44562</v>
      </c>
      <c r="C627" s="199">
        <v>75108</v>
      </c>
      <c r="D627" s="199" t="s">
        <v>390</v>
      </c>
      <c r="E627" s="199" t="s">
        <v>239</v>
      </c>
    </row>
    <row r="628" spans="1:5" x14ac:dyDescent="0.25">
      <c r="A628" s="199" t="s">
        <v>537</v>
      </c>
      <c r="B628" s="199">
        <v>44593</v>
      </c>
      <c r="C628" s="199">
        <v>75108</v>
      </c>
      <c r="D628" s="199" t="s">
        <v>390</v>
      </c>
      <c r="E628" s="199" t="s">
        <v>239</v>
      </c>
    </row>
    <row r="629" spans="1:5" x14ac:dyDescent="0.25">
      <c r="A629" s="199" t="s">
        <v>537</v>
      </c>
      <c r="B629" s="199">
        <v>44621</v>
      </c>
      <c r="C629" s="199">
        <v>75108</v>
      </c>
      <c r="D629" s="199" t="s">
        <v>390</v>
      </c>
      <c r="E629" s="199" t="s">
        <v>239</v>
      </c>
    </row>
    <row r="630" spans="1:5" x14ac:dyDescent="0.25">
      <c r="A630" s="199" t="s">
        <v>537</v>
      </c>
      <c r="B630" s="199">
        <v>44652</v>
      </c>
      <c r="C630" s="199">
        <v>75108</v>
      </c>
      <c r="D630" s="199" t="s">
        <v>390</v>
      </c>
      <c r="E630" s="199" t="s">
        <v>239</v>
      </c>
    </row>
    <row r="631" spans="1:5" x14ac:dyDescent="0.25">
      <c r="A631" s="199" t="s">
        <v>537</v>
      </c>
      <c r="B631" s="199">
        <v>44682</v>
      </c>
      <c r="C631" s="199">
        <v>75108</v>
      </c>
      <c r="D631" s="199" t="s">
        <v>390</v>
      </c>
      <c r="E631" s="199" t="s">
        <v>239</v>
      </c>
    </row>
    <row r="632" spans="1:5" x14ac:dyDescent="0.25">
      <c r="A632" s="199" t="s">
        <v>537</v>
      </c>
      <c r="B632" s="199">
        <v>44713</v>
      </c>
      <c r="C632" s="199">
        <v>75108</v>
      </c>
      <c r="D632" s="199" t="s">
        <v>390</v>
      </c>
      <c r="E632" s="199" t="s">
        <v>239</v>
      </c>
    </row>
    <row r="633" spans="1:5" x14ac:dyDescent="0.25">
      <c r="A633" s="199" t="s">
        <v>537</v>
      </c>
      <c r="B633" s="199">
        <v>44743</v>
      </c>
      <c r="C633" s="199">
        <v>75108</v>
      </c>
      <c r="D633" s="199" t="s">
        <v>390</v>
      </c>
      <c r="E633" s="199" t="s">
        <v>239</v>
      </c>
    </row>
    <row r="634" spans="1:5" x14ac:dyDescent="0.25">
      <c r="A634" s="199" t="s">
        <v>537</v>
      </c>
      <c r="B634" s="199">
        <v>44774</v>
      </c>
      <c r="C634" s="199">
        <v>75108</v>
      </c>
      <c r="D634" s="199" t="s">
        <v>390</v>
      </c>
      <c r="E634" s="199" t="s">
        <v>239</v>
      </c>
    </row>
    <row r="635" spans="1:5" x14ac:dyDescent="0.25">
      <c r="A635" s="199" t="s">
        <v>537</v>
      </c>
      <c r="B635" s="199">
        <v>44805</v>
      </c>
      <c r="C635" s="199">
        <v>75108</v>
      </c>
      <c r="D635" s="199" t="s">
        <v>390</v>
      </c>
      <c r="E635" s="199" t="s">
        <v>239</v>
      </c>
    </row>
    <row r="636" spans="1:5" x14ac:dyDescent="0.25">
      <c r="A636" s="199" t="s">
        <v>537</v>
      </c>
      <c r="B636" s="199">
        <v>44835</v>
      </c>
      <c r="C636" s="199">
        <v>75108</v>
      </c>
      <c r="D636" s="199" t="s">
        <v>390</v>
      </c>
      <c r="E636" s="199" t="s">
        <v>239</v>
      </c>
    </row>
    <row r="637" spans="1:5" x14ac:dyDescent="0.25">
      <c r="A637" s="199" t="s">
        <v>537</v>
      </c>
      <c r="B637" s="199">
        <v>44866</v>
      </c>
      <c r="C637" s="199">
        <v>75108</v>
      </c>
      <c r="D637" s="199" t="s">
        <v>390</v>
      </c>
      <c r="E637" s="199" t="s">
        <v>239</v>
      </c>
    </row>
    <row r="638" spans="1:5" x14ac:dyDescent="0.25">
      <c r="A638" s="199" t="s">
        <v>537</v>
      </c>
      <c r="B638" s="199">
        <v>44896</v>
      </c>
      <c r="C638" s="199">
        <v>75108</v>
      </c>
      <c r="D638" s="199" t="s">
        <v>390</v>
      </c>
      <c r="E638" s="199" t="s">
        <v>239</v>
      </c>
    </row>
    <row r="639" spans="1:5" x14ac:dyDescent="0.25">
      <c r="A639" s="199" t="s">
        <v>538</v>
      </c>
      <c r="B639" s="199">
        <v>44621</v>
      </c>
      <c r="C639" s="199">
        <v>0</v>
      </c>
      <c r="D639" s="199" t="s">
        <v>391</v>
      </c>
      <c r="E639" s="199" t="s">
        <v>239</v>
      </c>
    </row>
    <row r="640" spans="1:5" x14ac:dyDescent="0.25">
      <c r="A640" s="199" t="s">
        <v>528</v>
      </c>
      <c r="B640" s="199">
        <v>44593</v>
      </c>
      <c r="C640" s="199">
        <v>48000</v>
      </c>
      <c r="D640" s="199" t="s">
        <v>418</v>
      </c>
      <c r="E640" s="199" t="s">
        <v>239</v>
      </c>
    </row>
    <row r="641" spans="1:5" x14ac:dyDescent="0.25">
      <c r="A641" s="199" t="s">
        <v>504</v>
      </c>
      <c r="B641" s="199">
        <v>44562</v>
      </c>
      <c r="C641" s="199">
        <v>1542</v>
      </c>
      <c r="D641" s="199" t="s">
        <v>420</v>
      </c>
      <c r="E641" s="199" t="s">
        <v>239</v>
      </c>
    </row>
    <row r="642" spans="1:5" x14ac:dyDescent="0.25">
      <c r="A642" s="199" t="s">
        <v>504</v>
      </c>
      <c r="B642" s="199">
        <v>44593</v>
      </c>
      <c r="C642" s="199">
        <v>1542</v>
      </c>
      <c r="D642" s="199" t="s">
        <v>420</v>
      </c>
      <c r="E642" s="199" t="s">
        <v>239</v>
      </c>
    </row>
    <row r="643" spans="1:5" x14ac:dyDescent="0.25">
      <c r="A643" s="199" t="s">
        <v>504</v>
      </c>
      <c r="B643" s="199">
        <v>44621</v>
      </c>
      <c r="C643" s="199">
        <v>1542</v>
      </c>
      <c r="D643" s="199" t="s">
        <v>420</v>
      </c>
      <c r="E643" s="199" t="s">
        <v>239</v>
      </c>
    </row>
    <row r="644" spans="1:5" x14ac:dyDescent="0.25">
      <c r="A644" s="199" t="s">
        <v>504</v>
      </c>
      <c r="B644" s="199">
        <v>44652</v>
      </c>
      <c r="C644" s="199">
        <v>1542</v>
      </c>
      <c r="D644" s="199" t="s">
        <v>420</v>
      </c>
      <c r="E644" s="199" t="s">
        <v>239</v>
      </c>
    </row>
    <row r="645" spans="1:5" x14ac:dyDescent="0.25">
      <c r="A645" s="199" t="s">
        <v>504</v>
      </c>
      <c r="B645" s="199">
        <v>44682</v>
      </c>
      <c r="C645" s="199">
        <v>1542</v>
      </c>
      <c r="D645" s="199" t="s">
        <v>420</v>
      </c>
      <c r="E645" s="199" t="s">
        <v>239</v>
      </c>
    </row>
    <row r="646" spans="1:5" x14ac:dyDescent="0.25">
      <c r="A646" s="199" t="s">
        <v>504</v>
      </c>
      <c r="B646" s="199">
        <v>44713</v>
      </c>
      <c r="C646" s="199">
        <v>1542</v>
      </c>
      <c r="D646" s="199" t="s">
        <v>420</v>
      </c>
      <c r="E646" s="199" t="s">
        <v>239</v>
      </c>
    </row>
    <row r="647" spans="1:5" x14ac:dyDescent="0.25">
      <c r="A647" s="199" t="s">
        <v>504</v>
      </c>
      <c r="B647" s="199">
        <v>44743</v>
      </c>
      <c r="C647" s="199">
        <v>1542</v>
      </c>
      <c r="D647" s="199" t="s">
        <v>420</v>
      </c>
      <c r="E647" s="199" t="s">
        <v>239</v>
      </c>
    </row>
    <row r="648" spans="1:5" x14ac:dyDescent="0.25">
      <c r="A648" s="199" t="s">
        <v>504</v>
      </c>
      <c r="B648" s="199">
        <v>44774</v>
      </c>
      <c r="C648" s="199">
        <v>1542</v>
      </c>
      <c r="D648" s="199" t="s">
        <v>420</v>
      </c>
      <c r="E648" s="199" t="s">
        <v>239</v>
      </c>
    </row>
    <row r="649" spans="1:5" x14ac:dyDescent="0.25">
      <c r="A649" s="199" t="s">
        <v>504</v>
      </c>
      <c r="B649" s="199">
        <v>44805</v>
      </c>
      <c r="C649" s="199">
        <v>1542</v>
      </c>
      <c r="D649" s="199" t="s">
        <v>420</v>
      </c>
      <c r="E649" s="199" t="s">
        <v>239</v>
      </c>
    </row>
    <row r="650" spans="1:5" x14ac:dyDescent="0.25">
      <c r="A650" s="199" t="s">
        <v>504</v>
      </c>
      <c r="B650" s="199">
        <v>44835</v>
      </c>
      <c r="C650" s="199">
        <v>1542</v>
      </c>
      <c r="D650" s="199" t="s">
        <v>420</v>
      </c>
      <c r="E650" s="199" t="s">
        <v>239</v>
      </c>
    </row>
    <row r="651" spans="1:5" x14ac:dyDescent="0.25">
      <c r="A651" s="199" t="s">
        <v>504</v>
      </c>
      <c r="B651" s="199">
        <v>44866</v>
      </c>
      <c r="C651" s="199">
        <v>1542</v>
      </c>
      <c r="D651" s="199" t="s">
        <v>420</v>
      </c>
      <c r="E651" s="199" t="s">
        <v>239</v>
      </c>
    </row>
    <row r="652" spans="1:5" x14ac:dyDescent="0.25">
      <c r="A652" s="199" t="s">
        <v>504</v>
      </c>
      <c r="B652" s="199">
        <v>44896</v>
      </c>
      <c r="C652" s="199">
        <v>1542</v>
      </c>
      <c r="D652" s="199" t="s">
        <v>420</v>
      </c>
      <c r="E652" s="199" t="s">
        <v>239</v>
      </c>
    </row>
    <row r="653" spans="1:5" x14ac:dyDescent="0.25">
      <c r="A653" s="199" t="s">
        <v>529</v>
      </c>
      <c r="B653" s="199">
        <v>44562</v>
      </c>
      <c r="C653" s="199">
        <v>37500</v>
      </c>
      <c r="D653" s="199" t="s">
        <v>419</v>
      </c>
      <c r="E653" s="199" t="s">
        <v>239</v>
      </c>
    </row>
    <row r="654" spans="1:5" x14ac:dyDescent="0.25">
      <c r="A654" s="199" t="s">
        <v>529</v>
      </c>
      <c r="B654" s="199">
        <v>44593</v>
      </c>
      <c r="C654" s="199">
        <v>37500</v>
      </c>
      <c r="D654" s="199" t="s">
        <v>419</v>
      </c>
      <c r="E654" s="199" t="s">
        <v>239</v>
      </c>
    </row>
    <row r="655" spans="1:5" x14ac:dyDescent="0.25">
      <c r="A655" s="199" t="s">
        <v>529</v>
      </c>
      <c r="B655" s="199">
        <v>44621</v>
      </c>
      <c r="C655" s="199">
        <v>37500</v>
      </c>
      <c r="D655" s="199" t="s">
        <v>419</v>
      </c>
      <c r="E655" s="199" t="s">
        <v>239</v>
      </c>
    </row>
    <row r="656" spans="1:5" x14ac:dyDescent="0.25">
      <c r="A656" s="199" t="s">
        <v>529</v>
      </c>
      <c r="B656" s="199">
        <v>44652</v>
      </c>
      <c r="C656" s="199">
        <v>37500</v>
      </c>
      <c r="D656" s="199" t="s">
        <v>419</v>
      </c>
      <c r="E656" s="199" t="s">
        <v>239</v>
      </c>
    </row>
    <row r="657" spans="1:5" x14ac:dyDescent="0.25">
      <c r="A657" s="199" t="s">
        <v>529</v>
      </c>
      <c r="B657" s="199">
        <v>44682</v>
      </c>
      <c r="C657" s="199">
        <v>37500</v>
      </c>
      <c r="D657" s="199" t="s">
        <v>419</v>
      </c>
      <c r="E657" s="199" t="s">
        <v>239</v>
      </c>
    </row>
    <row r="658" spans="1:5" x14ac:dyDescent="0.25">
      <c r="A658" s="199" t="s">
        <v>529</v>
      </c>
      <c r="B658" s="199">
        <v>44713</v>
      </c>
      <c r="C658" s="199">
        <v>37500</v>
      </c>
      <c r="D658" s="199" t="s">
        <v>419</v>
      </c>
      <c r="E658" s="199" t="s">
        <v>239</v>
      </c>
    </row>
    <row r="659" spans="1:5" x14ac:dyDescent="0.25">
      <c r="A659" s="199" t="s">
        <v>529</v>
      </c>
      <c r="B659" s="199">
        <v>44743</v>
      </c>
      <c r="C659" s="199">
        <v>37500</v>
      </c>
      <c r="D659" s="199" t="s">
        <v>419</v>
      </c>
      <c r="E659" s="199" t="s">
        <v>239</v>
      </c>
    </row>
    <row r="660" spans="1:5" x14ac:dyDescent="0.25">
      <c r="A660" s="199" t="s">
        <v>529</v>
      </c>
      <c r="B660" s="199">
        <v>44774</v>
      </c>
      <c r="C660" s="199">
        <v>37500</v>
      </c>
      <c r="D660" s="199" t="s">
        <v>419</v>
      </c>
      <c r="E660" s="199" t="s">
        <v>239</v>
      </c>
    </row>
    <row r="661" spans="1:5" x14ac:dyDescent="0.25">
      <c r="A661" s="199" t="s">
        <v>529</v>
      </c>
      <c r="B661" s="199">
        <v>44805</v>
      </c>
      <c r="C661" s="199">
        <v>37500</v>
      </c>
      <c r="D661" s="199" t="s">
        <v>419</v>
      </c>
      <c r="E661" s="199" t="s">
        <v>239</v>
      </c>
    </row>
    <row r="662" spans="1:5" x14ac:dyDescent="0.25">
      <c r="A662" s="199" t="s">
        <v>529</v>
      </c>
      <c r="B662" s="199">
        <v>44835</v>
      </c>
      <c r="C662" s="199">
        <v>37500</v>
      </c>
      <c r="D662" s="199" t="s">
        <v>419</v>
      </c>
      <c r="E662" s="199" t="s">
        <v>239</v>
      </c>
    </row>
    <row r="663" spans="1:5" x14ac:dyDescent="0.25">
      <c r="A663" s="199" t="s">
        <v>529</v>
      </c>
      <c r="B663" s="199">
        <v>44866</v>
      </c>
      <c r="C663" s="199">
        <v>37500</v>
      </c>
      <c r="D663" s="199" t="s">
        <v>419</v>
      </c>
      <c r="E663" s="199" t="s">
        <v>239</v>
      </c>
    </row>
    <row r="664" spans="1:5" x14ac:dyDescent="0.25">
      <c r="A664" s="199" t="s">
        <v>529</v>
      </c>
      <c r="B664" s="199">
        <v>44896</v>
      </c>
      <c r="C664" s="199">
        <v>37500</v>
      </c>
      <c r="D664" s="199" t="s">
        <v>419</v>
      </c>
      <c r="E664" s="199" t="s">
        <v>239</v>
      </c>
    </row>
    <row r="665" spans="1:5" x14ac:dyDescent="0.25">
      <c r="A665" s="199" t="s">
        <v>530</v>
      </c>
      <c r="B665" s="199">
        <v>44562</v>
      </c>
      <c r="C665" s="199">
        <v>18000</v>
      </c>
      <c r="D665" s="199" t="s">
        <v>412</v>
      </c>
      <c r="E665" s="199" t="s">
        <v>239</v>
      </c>
    </row>
    <row r="666" spans="1:5" x14ac:dyDescent="0.25">
      <c r="A666" s="199" t="s">
        <v>530</v>
      </c>
      <c r="B666" s="199">
        <v>44593</v>
      </c>
      <c r="C666" s="199">
        <v>18000</v>
      </c>
      <c r="D666" s="199" t="s">
        <v>412</v>
      </c>
      <c r="E666" s="199" t="s">
        <v>239</v>
      </c>
    </row>
    <row r="667" spans="1:5" x14ac:dyDescent="0.25">
      <c r="A667" s="199" t="s">
        <v>530</v>
      </c>
      <c r="B667" s="199">
        <v>44621</v>
      </c>
      <c r="C667" s="199">
        <v>18000</v>
      </c>
      <c r="D667" s="199" t="s">
        <v>412</v>
      </c>
      <c r="E667" s="199" t="s">
        <v>239</v>
      </c>
    </row>
    <row r="668" spans="1:5" x14ac:dyDescent="0.25">
      <c r="A668" s="199" t="s">
        <v>530</v>
      </c>
      <c r="B668" s="199">
        <v>44652</v>
      </c>
      <c r="C668" s="199">
        <v>18000</v>
      </c>
      <c r="D668" s="199" t="s">
        <v>412</v>
      </c>
      <c r="E668" s="199" t="s">
        <v>239</v>
      </c>
    </row>
    <row r="669" spans="1:5" x14ac:dyDescent="0.25">
      <c r="A669" s="199" t="s">
        <v>530</v>
      </c>
      <c r="B669" s="199">
        <v>44682</v>
      </c>
      <c r="C669" s="199">
        <v>48000</v>
      </c>
      <c r="D669" s="199" t="s">
        <v>412</v>
      </c>
      <c r="E669" s="199" t="s">
        <v>239</v>
      </c>
    </row>
    <row r="670" spans="1:5" x14ac:dyDescent="0.25">
      <c r="A670" s="199" t="s">
        <v>520</v>
      </c>
      <c r="B670" s="199">
        <v>44562</v>
      </c>
      <c r="C670" s="199"/>
      <c r="D670" s="199" t="s">
        <v>428</v>
      </c>
      <c r="E670" s="199" t="s">
        <v>239</v>
      </c>
    </row>
    <row r="671" spans="1:5" x14ac:dyDescent="0.25">
      <c r="A671" s="199" t="s">
        <v>520</v>
      </c>
      <c r="B671" s="199">
        <v>44593</v>
      </c>
      <c r="C671" s="199"/>
      <c r="D671" s="199" t="s">
        <v>428</v>
      </c>
      <c r="E671" s="199" t="s">
        <v>239</v>
      </c>
    </row>
    <row r="672" spans="1:5" x14ac:dyDescent="0.25">
      <c r="A672" s="199" t="s">
        <v>520</v>
      </c>
      <c r="B672" s="199">
        <v>44621</v>
      </c>
      <c r="C672" s="199"/>
      <c r="D672" s="199" t="s">
        <v>428</v>
      </c>
      <c r="E672" s="199" t="s">
        <v>239</v>
      </c>
    </row>
    <row r="673" spans="1:5" x14ac:dyDescent="0.25">
      <c r="A673" s="199" t="s">
        <v>520</v>
      </c>
      <c r="B673" s="199">
        <v>44652</v>
      </c>
      <c r="C673" s="199"/>
      <c r="D673" s="199" t="s">
        <v>428</v>
      </c>
      <c r="E673" s="199" t="s">
        <v>239</v>
      </c>
    </row>
    <row r="674" spans="1:5" x14ac:dyDescent="0.25">
      <c r="A674" s="199" t="s">
        <v>520</v>
      </c>
      <c r="B674" s="199">
        <v>44682</v>
      </c>
      <c r="C674" s="199"/>
      <c r="D674" s="199" t="s">
        <v>428</v>
      </c>
      <c r="E674" s="199" t="s">
        <v>239</v>
      </c>
    </row>
    <row r="675" spans="1:5" x14ac:dyDescent="0.25">
      <c r="A675" s="199" t="s">
        <v>520</v>
      </c>
      <c r="B675" s="199">
        <v>44713</v>
      </c>
      <c r="C675" s="199"/>
      <c r="D675" s="199" t="s">
        <v>428</v>
      </c>
      <c r="E675" s="199" t="s">
        <v>239</v>
      </c>
    </row>
    <row r="676" spans="1:5" x14ac:dyDescent="0.25">
      <c r="A676" s="199" t="s">
        <v>520</v>
      </c>
      <c r="B676" s="199">
        <v>44743</v>
      </c>
      <c r="C676" s="199"/>
      <c r="D676" s="199" t="s">
        <v>428</v>
      </c>
      <c r="E676" s="199" t="s">
        <v>239</v>
      </c>
    </row>
    <row r="677" spans="1:5" x14ac:dyDescent="0.25">
      <c r="A677" s="199" t="s">
        <v>520</v>
      </c>
      <c r="B677" s="199">
        <v>44774</v>
      </c>
      <c r="C677" s="199"/>
      <c r="D677" s="199" t="s">
        <v>428</v>
      </c>
      <c r="E677" s="199" t="s">
        <v>239</v>
      </c>
    </row>
    <row r="678" spans="1:5" x14ac:dyDescent="0.25">
      <c r="A678" s="199" t="s">
        <v>520</v>
      </c>
      <c r="B678" s="199">
        <v>44805</v>
      </c>
      <c r="C678" s="199"/>
      <c r="D678" s="199" t="s">
        <v>428</v>
      </c>
      <c r="E678" s="199" t="s">
        <v>239</v>
      </c>
    </row>
    <row r="679" spans="1:5" x14ac:dyDescent="0.25">
      <c r="A679" s="199" t="s">
        <v>520</v>
      </c>
      <c r="B679" s="199">
        <v>44835</v>
      </c>
      <c r="C679" s="199"/>
      <c r="D679" s="199" t="s">
        <v>428</v>
      </c>
      <c r="E679" s="199" t="s">
        <v>239</v>
      </c>
    </row>
    <row r="680" spans="1:5" x14ac:dyDescent="0.25">
      <c r="A680" s="199" t="s">
        <v>520</v>
      </c>
      <c r="B680" s="199">
        <v>44866</v>
      </c>
      <c r="C680" s="199"/>
      <c r="D680" s="199" t="s">
        <v>428</v>
      </c>
      <c r="E680" s="199" t="s">
        <v>239</v>
      </c>
    </row>
    <row r="681" spans="1:5" x14ac:dyDescent="0.25">
      <c r="A681" s="199" t="s">
        <v>520</v>
      </c>
      <c r="B681" s="199">
        <v>44896</v>
      </c>
      <c r="C681" s="199">
        <v>55000</v>
      </c>
      <c r="D681" s="199" t="s">
        <v>428</v>
      </c>
      <c r="E681" s="199" t="s">
        <v>239</v>
      </c>
    </row>
    <row r="682" spans="1:5" x14ac:dyDescent="0.25">
      <c r="A682" s="199" t="s">
        <v>521</v>
      </c>
      <c r="B682" s="199">
        <v>44562</v>
      </c>
      <c r="C682" s="199">
        <v>58333</v>
      </c>
      <c r="D682" s="199" t="s">
        <v>429</v>
      </c>
      <c r="E682" s="199" t="s">
        <v>239</v>
      </c>
    </row>
    <row r="683" spans="1:5" x14ac:dyDescent="0.25">
      <c r="A683" s="199" t="s">
        <v>521</v>
      </c>
      <c r="B683" s="199">
        <v>44593</v>
      </c>
      <c r="C683" s="199">
        <v>58333</v>
      </c>
      <c r="D683" s="199" t="s">
        <v>429</v>
      </c>
      <c r="E683" s="199" t="s">
        <v>239</v>
      </c>
    </row>
    <row r="684" spans="1:5" x14ac:dyDescent="0.25">
      <c r="A684" s="199" t="s">
        <v>521</v>
      </c>
      <c r="B684" s="199">
        <v>44621</v>
      </c>
      <c r="C684" s="199">
        <v>58333</v>
      </c>
      <c r="D684" s="199" t="s">
        <v>429</v>
      </c>
      <c r="E684" s="199" t="s">
        <v>239</v>
      </c>
    </row>
    <row r="685" spans="1:5" x14ac:dyDescent="0.25">
      <c r="A685" s="199" t="s">
        <v>521</v>
      </c>
      <c r="B685" s="199">
        <v>44652</v>
      </c>
      <c r="C685" s="199">
        <v>58333</v>
      </c>
      <c r="D685" s="199" t="s">
        <v>429</v>
      </c>
      <c r="E685" s="199" t="s">
        <v>239</v>
      </c>
    </row>
    <row r="686" spans="1:5" x14ac:dyDescent="0.25">
      <c r="A686" s="199" t="s">
        <v>521</v>
      </c>
      <c r="B686" s="199">
        <v>44682</v>
      </c>
      <c r="C686" s="199">
        <v>58333</v>
      </c>
      <c r="D686" s="199" t="s">
        <v>429</v>
      </c>
      <c r="E686" s="199" t="s">
        <v>239</v>
      </c>
    </row>
    <row r="687" spans="1:5" x14ac:dyDescent="0.25">
      <c r="A687" s="199" t="s">
        <v>521</v>
      </c>
      <c r="B687" s="199">
        <v>44713</v>
      </c>
      <c r="C687" s="199">
        <v>58333</v>
      </c>
      <c r="D687" s="199" t="s">
        <v>429</v>
      </c>
      <c r="E687" s="199" t="s">
        <v>239</v>
      </c>
    </row>
    <row r="688" spans="1:5" x14ac:dyDescent="0.25">
      <c r="A688" s="199" t="s">
        <v>521</v>
      </c>
      <c r="B688" s="199">
        <v>44743</v>
      </c>
      <c r="C688" s="199">
        <v>58333</v>
      </c>
      <c r="D688" s="199" t="s">
        <v>429</v>
      </c>
      <c r="E688" s="199" t="s">
        <v>239</v>
      </c>
    </row>
    <row r="689" spans="1:5" x14ac:dyDescent="0.25">
      <c r="A689" s="199" t="s">
        <v>521</v>
      </c>
      <c r="B689" s="199">
        <v>44774</v>
      </c>
      <c r="C689" s="199">
        <v>58333</v>
      </c>
      <c r="D689" s="199" t="s">
        <v>429</v>
      </c>
      <c r="E689" s="199" t="s">
        <v>239</v>
      </c>
    </row>
    <row r="690" spans="1:5" x14ac:dyDescent="0.25">
      <c r="A690" s="199" t="s">
        <v>521</v>
      </c>
      <c r="B690" s="199">
        <v>44805</v>
      </c>
      <c r="C690" s="199">
        <v>58333</v>
      </c>
      <c r="D690" s="199" t="s">
        <v>429</v>
      </c>
      <c r="E690" s="199" t="s">
        <v>239</v>
      </c>
    </row>
    <row r="691" spans="1:5" x14ac:dyDescent="0.25">
      <c r="A691" s="199" t="s">
        <v>521</v>
      </c>
      <c r="B691" s="199">
        <v>44835</v>
      </c>
      <c r="C691" s="199">
        <v>58333</v>
      </c>
      <c r="D691" s="199" t="s">
        <v>429</v>
      </c>
      <c r="E691" s="199" t="s">
        <v>239</v>
      </c>
    </row>
    <row r="692" spans="1:5" x14ac:dyDescent="0.25">
      <c r="A692" s="199" t="s">
        <v>521</v>
      </c>
      <c r="B692" s="199">
        <v>44866</v>
      </c>
      <c r="C692" s="199">
        <v>58333</v>
      </c>
      <c r="D692" s="199" t="s">
        <v>429</v>
      </c>
      <c r="E692" s="199" t="s">
        <v>239</v>
      </c>
    </row>
    <row r="693" spans="1:5" x14ac:dyDescent="0.25">
      <c r="A693" s="199" t="s">
        <v>521</v>
      </c>
      <c r="B693" s="199">
        <v>44896</v>
      </c>
      <c r="C693" s="199">
        <v>58333</v>
      </c>
      <c r="D693" s="199" t="s">
        <v>429</v>
      </c>
      <c r="E693" s="199" t="s">
        <v>239</v>
      </c>
    </row>
    <row r="694" spans="1:5" x14ac:dyDescent="0.25">
      <c r="A694" s="199" t="s">
        <v>493</v>
      </c>
      <c r="B694" s="199">
        <v>44621</v>
      </c>
      <c r="C694" s="199"/>
      <c r="D694" s="199" t="s">
        <v>449</v>
      </c>
      <c r="E694" s="199" t="s">
        <v>239</v>
      </c>
    </row>
    <row r="695" spans="1:5" x14ac:dyDescent="0.25">
      <c r="A695" s="199" t="s">
        <v>493</v>
      </c>
      <c r="B695" s="199">
        <v>44713</v>
      </c>
      <c r="C695" s="199"/>
      <c r="D695" s="199" t="s">
        <v>449</v>
      </c>
      <c r="E695" s="199" t="s">
        <v>239</v>
      </c>
    </row>
    <row r="696" spans="1:5" x14ac:dyDescent="0.25">
      <c r="A696" s="199" t="s">
        <v>493</v>
      </c>
      <c r="B696" s="199">
        <v>44805</v>
      </c>
      <c r="C696" s="199">
        <v>250000</v>
      </c>
      <c r="D696" s="199" t="s">
        <v>449</v>
      </c>
      <c r="E696" s="199" t="s">
        <v>239</v>
      </c>
    </row>
    <row r="697" spans="1:5" x14ac:dyDescent="0.25">
      <c r="A697" s="199" t="s">
        <v>493</v>
      </c>
      <c r="B697" s="199">
        <v>44896</v>
      </c>
      <c r="C697" s="199"/>
      <c r="D697" s="199" t="s">
        <v>449</v>
      </c>
      <c r="E697" s="199" t="s">
        <v>239</v>
      </c>
    </row>
    <row r="698" spans="1:5" x14ac:dyDescent="0.25">
      <c r="A698" s="199" t="s">
        <v>487</v>
      </c>
      <c r="B698" s="199">
        <v>44562</v>
      </c>
      <c r="C698" s="199">
        <v>553073</v>
      </c>
      <c r="D698" s="199" t="s">
        <v>423</v>
      </c>
      <c r="E698" s="199" t="s">
        <v>239</v>
      </c>
    </row>
    <row r="699" spans="1:5" x14ac:dyDescent="0.25">
      <c r="A699" s="199" t="s">
        <v>487</v>
      </c>
      <c r="B699" s="199">
        <v>44593</v>
      </c>
      <c r="C699" s="199">
        <v>553073</v>
      </c>
      <c r="D699" s="199" t="s">
        <v>423</v>
      </c>
      <c r="E699" s="199" t="s">
        <v>239</v>
      </c>
    </row>
    <row r="700" spans="1:5" x14ac:dyDescent="0.25">
      <c r="A700" s="199" t="s">
        <v>487</v>
      </c>
      <c r="B700" s="199">
        <v>44621</v>
      </c>
      <c r="C700" s="199">
        <v>553073</v>
      </c>
      <c r="D700" s="199" t="s">
        <v>423</v>
      </c>
      <c r="E700" s="199" t="s">
        <v>239</v>
      </c>
    </row>
    <row r="701" spans="1:5" x14ac:dyDescent="0.25">
      <c r="A701" s="199" t="s">
        <v>487</v>
      </c>
      <c r="B701" s="199">
        <v>44652</v>
      </c>
      <c r="C701" s="199">
        <v>553073</v>
      </c>
      <c r="D701" s="199" t="s">
        <v>423</v>
      </c>
      <c r="E701" s="199" t="s">
        <v>239</v>
      </c>
    </row>
    <row r="702" spans="1:5" x14ac:dyDescent="0.25">
      <c r="A702" s="199" t="s">
        <v>487</v>
      </c>
      <c r="B702" s="199">
        <v>44682</v>
      </c>
      <c r="C702" s="199">
        <v>553073</v>
      </c>
      <c r="D702" s="199" t="s">
        <v>423</v>
      </c>
      <c r="E702" s="199" t="s">
        <v>239</v>
      </c>
    </row>
    <row r="703" spans="1:5" x14ac:dyDescent="0.25">
      <c r="A703" s="199" t="s">
        <v>487</v>
      </c>
      <c r="B703" s="199">
        <v>44713</v>
      </c>
      <c r="C703" s="199">
        <v>553073</v>
      </c>
      <c r="D703" s="199" t="s">
        <v>423</v>
      </c>
      <c r="E703" s="199" t="s">
        <v>239</v>
      </c>
    </row>
    <row r="704" spans="1:5" x14ac:dyDescent="0.25">
      <c r="A704" s="199" t="s">
        <v>487</v>
      </c>
      <c r="B704" s="199">
        <v>44743</v>
      </c>
      <c r="C704" s="199">
        <v>553073</v>
      </c>
      <c r="D704" s="199" t="s">
        <v>423</v>
      </c>
      <c r="E704" s="199" t="s">
        <v>239</v>
      </c>
    </row>
    <row r="705" spans="1:5" x14ac:dyDescent="0.25">
      <c r="A705" s="199" t="s">
        <v>487</v>
      </c>
      <c r="B705" s="199">
        <v>44774</v>
      </c>
      <c r="C705" s="199">
        <v>553073</v>
      </c>
      <c r="D705" s="199" t="s">
        <v>423</v>
      </c>
      <c r="E705" s="199" t="s">
        <v>239</v>
      </c>
    </row>
    <row r="706" spans="1:5" x14ac:dyDescent="0.25">
      <c r="A706" s="199" t="s">
        <v>487</v>
      </c>
      <c r="B706" s="199">
        <v>44805</v>
      </c>
      <c r="C706" s="199">
        <v>553073</v>
      </c>
      <c r="D706" s="199" t="s">
        <v>423</v>
      </c>
      <c r="E706" s="199" t="s">
        <v>239</v>
      </c>
    </row>
    <row r="707" spans="1:5" x14ac:dyDescent="0.25">
      <c r="A707" s="199" t="s">
        <v>487</v>
      </c>
      <c r="B707" s="199">
        <v>44835</v>
      </c>
      <c r="C707" s="199">
        <v>553073</v>
      </c>
      <c r="D707" s="199" t="s">
        <v>423</v>
      </c>
      <c r="E707" s="199" t="s">
        <v>239</v>
      </c>
    </row>
    <row r="708" spans="1:5" x14ac:dyDescent="0.25">
      <c r="A708" s="199" t="s">
        <v>487</v>
      </c>
      <c r="B708" s="199">
        <v>44866</v>
      </c>
      <c r="C708" s="199">
        <v>553073</v>
      </c>
      <c r="D708" s="199" t="s">
        <v>423</v>
      </c>
      <c r="E708" s="199" t="s">
        <v>239</v>
      </c>
    </row>
    <row r="709" spans="1:5" x14ac:dyDescent="0.25">
      <c r="A709" s="199" t="s">
        <v>487</v>
      </c>
      <c r="B709" s="199">
        <v>44896</v>
      </c>
      <c r="C709" s="199">
        <v>553073</v>
      </c>
      <c r="D709" s="199" t="s">
        <v>423</v>
      </c>
      <c r="E709" s="199" t="s">
        <v>239</v>
      </c>
    </row>
    <row r="710" spans="1:5" x14ac:dyDescent="0.25">
      <c r="A710" s="199" t="s">
        <v>491</v>
      </c>
      <c r="B710" s="199">
        <v>44562</v>
      </c>
      <c r="C710" s="199">
        <v>74425</v>
      </c>
      <c r="D710" s="199" t="s">
        <v>444</v>
      </c>
      <c r="E710" s="199" t="s">
        <v>239</v>
      </c>
    </row>
    <row r="711" spans="1:5" x14ac:dyDescent="0.25">
      <c r="A711" s="199" t="s">
        <v>491</v>
      </c>
      <c r="B711" s="199">
        <v>44593</v>
      </c>
      <c r="C711" s="199">
        <v>74425</v>
      </c>
      <c r="D711" s="199" t="s">
        <v>444</v>
      </c>
      <c r="E711" s="199" t="s">
        <v>239</v>
      </c>
    </row>
    <row r="712" spans="1:5" x14ac:dyDescent="0.25">
      <c r="A712" s="199" t="s">
        <v>491</v>
      </c>
      <c r="B712" s="199">
        <v>44621</v>
      </c>
      <c r="C712" s="199">
        <v>74425</v>
      </c>
      <c r="D712" s="199" t="s">
        <v>444</v>
      </c>
      <c r="E712" s="199" t="s">
        <v>239</v>
      </c>
    </row>
    <row r="713" spans="1:5" x14ac:dyDescent="0.25">
      <c r="A713" s="199" t="s">
        <v>491</v>
      </c>
      <c r="B713" s="199">
        <v>44652</v>
      </c>
      <c r="C713" s="199">
        <v>74425</v>
      </c>
      <c r="D713" s="199" t="s">
        <v>444</v>
      </c>
      <c r="E713" s="199" t="s">
        <v>239</v>
      </c>
    </row>
    <row r="714" spans="1:5" x14ac:dyDescent="0.25">
      <c r="A714" s="199" t="s">
        <v>491</v>
      </c>
      <c r="B714" s="199">
        <v>44682</v>
      </c>
      <c r="C714" s="199">
        <v>74425</v>
      </c>
      <c r="D714" s="199" t="s">
        <v>444</v>
      </c>
      <c r="E714" s="199" t="s">
        <v>239</v>
      </c>
    </row>
    <row r="715" spans="1:5" x14ac:dyDescent="0.25">
      <c r="A715" s="199" t="s">
        <v>491</v>
      </c>
      <c r="B715" s="199">
        <v>44713</v>
      </c>
      <c r="C715" s="199">
        <v>74425</v>
      </c>
      <c r="D715" s="199" t="s">
        <v>444</v>
      </c>
      <c r="E715" s="199" t="s">
        <v>239</v>
      </c>
    </row>
    <row r="716" spans="1:5" x14ac:dyDescent="0.25">
      <c r="A716" s="199" t="s">
        <v>491</v>
      </c>
      <c r="B716" s="199">
        <v>44743</v>
      </c>
      <c r="C716" s="199">
        <v>74425</v>
      </c>
      <c r="D716" s="199" t="s">
        <v>444</v>
      </c>
      <c r="E716" s="199" t="s">
        <v>239</v>
      </c>
    </row>
    <row r="717" spans="1:5" x14ac:dyDescent="0.25">
      <c r="A717" s="199" t="s">
        <v>491</v>
      </c>
      <c r="B717" s="199">
        <v>44774</v>
      </c>
      <c r="C717" s="199">
        <v>74425</v>
      </c>
      <c r="D717" s="199" t="s">
        <v>444</v>
      </c>
      <c r="E717" s="199" t="s">
        <v>239</v>
      </c>
    </row>
    <row r="718" spans="1:5" x14ac:dyDescent="0.25">
      <c r="A718" s="199" t="s">
        <v>491</v>
      </c>
      <c r="B718" s="199">
        <v>44805</v>
      </c>
      <c r="C718" s="199">
        <v>74425</v>
      </c>
      <c r="D718" s="199" t="s">
        <v>444</v>
      </c>
      <c r="E718" s="199" t="s">
        <v>239</v>
      </c>
    </row>
    <row r="719" spans="1:5" x14ac:dyDescent="0.25">
      <c r="A719" s="199" t="s">
        <v>491</v>
      </c>
      <c r="B719" s="199">
        <v>44835</v>
      </c>
      <c r="C719" s="199">
        <v>74425</v>
      </c>
      <c r="D719" s="199" t="s">
        <v>444</v>
      </c>
      <c r="E719" s="199" t="s">
        <v>239</v>
      </c>
    </row>
    <row r="720" spans="1:5" x14ac:dyDescent="0.25">
      <c r="A720" s="199" t="s">
        <v>491</v>
      </c>
      <c r="B720" s="199">
        <v>44866</v>
      </c>
      <c r="C720" s="199">
        <v>74425</v>
      </c>
      <c r="D720" s="199" t="s">
        <v>444</v>
      </c>
      <c r="E720" s="199" t="s">
        <v>239</v>
      </c>
    </row>
    <row r="721" spans="1:5" x14ac:dyDescent="0.25">
      <c r="A721" s="199" t="s">
        <v>491</v>
      </c>
      <c r="B721" s="199">
        <v>44896</v>
      </c>
      <c r="C721" s="199">
        <v>74425</v>
      </c>
      <c r="D721" s="199" t="s">
        <v>444</v>
      </c>
      <c r="E721" s="199" t="s">
        <v>239</v>
      </c>
    </row>
    <row r="722" spans="1:5" x14ac:dyDescent="0.25">
      <c r="A722" s="199" t="s">
        <v>496</v>
      </c>
      <c r="B722" s="199">
        <v>44562</v>
      </c>
      <c r="C722" s="199">
        <v>11462</v>
      </c>
      <c r="D722" s="199" t="s">
        <v>453</v>
      </c>
      <c r="E722" s="199" t="s">
        <v>239</v>
      </c>
    </row>
    <row r="723" spans="1:5" x14ac:dyDescent="0.25">
      <c r="A723" s="199" t="s">
        <v>496</v>
      </c>
      <c r="B723" s="199">
        <v>44593</v>
      </c>
      <c r="C723" s="199">
        <v>11462</v>
      </c>
      <c r="D723" s="199" t="s">
        <v>453</v>
      </c>
      <c r="E723" s="199" t="s">
        <v>239</v>
      </c>
    </row>
    <row r="724" spans="1:5" x14ac:dyDescent="0.25">
      <c r="A724" s="199" t="s">
        <v>496</v>
      </c>
      <c r="B724" s="199">
        <v>44621</v>
      </c>
      <c r="C724" s="199">
        <v>11462</v>
      </c>
      <c r="D724" s="199" t="s">
        <v>453</v>
      </c>
      <c r="E724" s="199" t="s">
        <v>239</v>
      </c>
    </row>
    <row r="725" spans="1:5" x14ac:dyDescent="0.25">
      <c r="A725" s="199" t="s">
        <v>496</v>
      </c>
      <c r="B725" s="199">
        <v>44652</v>
      </c>
      <c r="C725" s="199">
        <v>11462</v>
      </c>
      <c r="D725" s="199" t="s">
        <v>453</v>
      </c>
      <c r="E725" s="199" t="s">
        <v>239</v>
      </c>
    </row>
    <row r="726" spans="1:5" x14ac:dyDescent="0.25">
      <c r="A726" s="199" t="s">
        <v>496</v>
      </c>
      <c r="B726" s="199">
        <v>44682</v>
      </c>
      <c r="C726" s="199">
        <v>11462</v>
      </c>
      <c r="D726" s="199" t="s">
        <v>453</v>
      </c>
      <c r="E726" s="199" t="s">
        <v>239</v>
      </c>
    </row>
    <row r="727" spans="1:5" x14ac:dyDescent="0.25">
      <c r="A727" s="199" t="s">
        <v>496</v>
      </c>
      <c r="B727" s="199">
        <v>44713</v>
      </c>
      <c r="C727" s="199">
        <v>11462</v>
      </c>
      <c r="D727" s="199" t="s">
        <v>453</v>
      </c>
      <c r="E727" s="199" t="s">
        <v>239</v>
      </c>
    </row>
    <row r="728" spans="1:5" x14ac:dyDescent="0.25">
      <c r="A728" s="199" t="s">
        <v>496</v>
      </c>
      <c r="B728" s="199">
        <v>44743</v>
      </c>
      <c r="C728" s="199">
        <v>11462</v>
      </c>
      <c r="D728" s="199" t="s">
        <v>453</v>
      </c>
      <c r="E728" s="199" t="s">
        <v>239</v>
      </c>
    </row>
    <row r="729" spans="1:5" x14ac:dyDescent="0.25">
      <c r="A729" s="199" t="s">
        <v>496</v>
      </c>
      <c r="B729" s="199">
        <v>44774</v>
      </c>
      <c r="C729" s="199">
        <v>11462</v>
      </c>
      <c r="D729" s="199" t="s">
        <v>453</v>
      </c>
      <c r="E729" s="199" t="s">
        <v>239</v>
      </c>
    </row>
    <row r="730" spans="1:5" x14ac:dyDescent="0.25">
      <c r="A730" s="199" t="s">
        <v>496</v>
      </c>
      <c r="B730" s="199">
        <v>44805</v>
      </c>
      <c r="C730" s="199">
        <v>11462</v>
      </c>
      <c r="D730" s="199" t="s">
        <v>453</v>
      </c>
      <c r="E730" s="199" t="s">
        <v>239</v>
      </c>
    </row>
    <row r="731" spans="1:5" x14ac:dyDescent="0.25">
      <c r="A731" s="199" t="s">
        <v>496</v>
      </c>
      <c r="B731" s="199">
        <v>44835</v>
      </c>
      <c r="C731" s="199">
        <v>11462</v>
      </c>
      <c r="D731" s="199" t="s">
        <v>453</v>
      </c>
      <c r="E731" s="199" t="s">
        <v>239</v>
      </c>
    </row>
    <row r="732" spans="1:5" x14ac:dyDescent="0.25">
      <c r="A732" s="199" t="s">
        <v>496</v>
      </c>
      <c r="B732" s="199">
        <v>44866</v>
      </c>
      <c r="C732" s="199">
        <v>11462</v>
      </c>
      <c r="D732" s="199" t="s">
        <v>453</v>
      </c>
      <c r="E732" s="199" t="s">
        <v>239</v>
      </c>
    </row>
    <row r="733" spans="1:5" x14ac:dyDescent="0.25">
      <c r="A733" s="199" t="s">
        <v>496</v>
      </c>
      <c r="B733" s="199">
        <v>44896</v>
      </c>
      <c r="C733" s="199">
        <v>11462</v>
      </c>
      <c r="D733" s="199" t="s">
        <v>453</v>
      </c>
      <c r="E733" s="199" t="s">
        <v>239</v>
      </c>
    </row>
    <row r="734" spans="1:5" x14ac:dyDescent="0.25">
      <c r="A734" s="199" t="s">
        <v>506</v>
      </c>
      <c r="B734" s="199">
        <v>44562</v>
      </c>
      <c r="C734" s="199"/>
      <c r="D734" s="199" t="s">
        <v>438</v>
      </c>
      <c r="E734" s="199" t="s">
        <v>239</v>
      </c>
    </row>
    <row r="735" spans="1:5" x14ac:dyDescent="0.25">
      <c r="A735" s="199" t="s">
        <v>506</v>
      </c>
      <c r="B735" s="199">
        <v>44593</v>
      </c>
      <c r="C735" s="199"/>
      <c r="D735" s="199" t="s">
        <v>438</v>
      </c>
      <c r="E735" s="199" t="s">
        <v>239</v>
      </c>
    </row>
    <row r="736" spans="1:5" x14ac:dyDescent="0.25">
      <c r="A736" s="199" t="s">
        <v>506</v>
      </c>
      <c r="B736" s="199">
        <v>44621</v>
      </c>
      <c r="C736" s="199"/>
      <c r="D736" s="199" t="s">
        <v>438</v>
      </c>
      <c r="E736" s="199" t="s">
        <v>239</v>
      </c>
    </row>
    <row r="737" spans="1:5" x14ac:dyDescent="0.25">
      <c r="A737" s="199" t="s">
        <v>506</v>
      </c>
      <c r="B737" s="199">
        <v>44652</v>
      </c>
      <c r="C737" s="199"/>
      <c r="D737" s="199" t="s">
        <v>438</v>
      </c>
      <c r="E737" s="199" t="s">
        <v>239</v>
      </c>
    </row>
    <row r="738" spans="1:5" x14ac:dyDescent="0.25">
      <c r="A738" s="199" t="s">
        <v>506</v>
      </c>
      <c r="B738" s="199">
        <v>44682</v>
      </c>
      <c r="C738" s="199">
        <v>18000</v>
      </c>
      <c r="D738" s="199" t="s">
        <v>438</v>
      </c>
      <c r="E738" s="199" t="s">
        <v>239</v>
      </c>
    </row>
    <row r="739" spans="1:5" x14ac:dyDescent="0.25">
      <c r="A739" s="199" t="s">
        <v>506</v>
      </c>
      <c r="B739" s="199">
        <v>44713</v>
      </c>
      <c r="C739" s="199"/>
      <c r="D739" s="199" t="s">
        <v>438</v>
      </c>
      <c r="E739" s="199" t="s">
        <v>239</v>
      </c>
    </row>
    <row r="740" spans="1:5" x14ac:dyDescent="0.25">
      <c r="A740" s="199" t="s">
        <v>506</v>
      </c>
      <c r="B740" s="199">
        <v>44743</v>
      </c>
      <c r="C740" s="199"/>
      <c r="D740" s="199" t="s">
        <v>438</v>
      </c>
      <c r="E740" s="199" t="s">
        <v>239</v>
      </c>
    </row>
    <row r="741" spans="1:5" x14ac:dyDescent="0.25">
      <c r="A741" s="199" t="s">
        <v>506</v>
      </c>
      <c r="B741" s="199">
        <v>44774</v>
      </c>
      <c r="C741" s="199"/>
      <c r="D741" s="199" t="s">
        <v>438</v>
      </c>
      <c r="E741" s="199" t="s">
        <v>239</v>
      </c>
    </row>
    <row r="742" spans="1:5" x14ac:dyDescent="0.25">
      <c r="A742" s="199" t="s">
        <v>506</v>
      </c>
      <c r="B742" s="199">
        <v>44805</v>
      </c>
      <c r="C742" s="199"/>
      <c r="D742" s="199" t="s">
        <v>438</v>
      </c>
      <c r="E742" s="199" t="s">
        <v>239</v>
      </c>
    </row>
    <row r="743" spans="1:5" x14ac:dyDescent="0.25">
      <c r="A743" s="199" t="s">
        <v>506</v>
      </c>
      <c r="B743" s="199">
        <v>44835</v>
      </c>
      <c r="C743" s="199"/>
      <c r="D743" s="199" t="s">
        <v>438</v>
      </c>
      <c r="E743" s="199" t="s">
        <v>239</v>
      </c>
    </row>
    <row r="744" spans="1:5" x14ac:dyDescent="0.25">
      <c r="A744" s="199" t="s">
        <v>506</v>
      </c>
      <c r="B744" s="199">
        <v>44866</v>
      </c>
      <c r="C744" s="199"/>
      <c r="D744" s="199" t="s">
        <v>438</v>
      </c>
      <c r="E744" s="199" t="s">
        <v>239</v>
      </c>
    </row>
    <row r="745" spans="1:5" x14ac:dyDescent="0.25">
      <c r="A745" s="199" t="s">
        <v>506</v>
      </c>
      <c r="B745" s="199">
        <v>44896</v>
      </c>
      <c r="C745" s="199"/>
      <c r="D745" s="199" t="s">
        <v>438</v>
      </c>
      <c r="E745" s="199" t="s">
        <v>239</v>
      </c>
    </row>
    <row r="746" spans="1:5" x14ac:dyDescent="0.25">
      <c r="A746" s="199" t="s">
        <v>509</v>
      </c>
      <c r="B746" s="199">
        <v>44562</v>
      </c>
      <c r="C746" s="199">
        <v>2083</v>
      </c>
      <c r="D746" s="199" t="s">
        <v>454</v>
      </c>
      <c r="E746" s="199" t="s">
        <v>239</v>
      </c>
    </row>
    <row r="747" spans="1:5" x14ac:dyDescent="0.25">
      <c r="A747" s="199" t="s">
        <v>509</v>
      </c>
      <c r="B747" s="199">
        <v>44593</v>
      </c>
      <c r="C747" s="199">
        <v>2083</v>
      </c>
      <c r="D747" s="199" t="s">
        <v>454</v>
      </c>
      <c r="E747" s="199" t="s">
        <v>239</v>
      </c>
    </row>
    <row r="748" spans="1:5" x14ac:dyDescent="0.25">
      <c r="A748" s="199" t="s">
        <v>509</v>
      </c>
      <c r="B748" s="199">
        <v>44621</v>
      </c>
      <c r="C748" s="199">
        <v>2083</v>
      </c>
      <c r="D748" s="199" t="s">
        <v>454</v>
      </c>
      <c r="E748" s="199" t="s">
        <v>239</v>
      </c>
    </row>
    <row r="749" spans="1:5" x14ac:dyDescent="0.25">
      <c r="A749" s="199" t="s">
        <v>509</v>
      </c>
      <c r="B749" s="199">
        <v>44652</v>
      </c>
      <c r="C749" s="199">
        <v>2083</v>
      </c>
      <c r="D749" s="199" t="s">
        <v>454</v>
      </c>
      <c r="E749" s="199" t="s">
        <v>239</v>
      </c>
    </row>
    <row r="750" spans="1:5" x14ac:dyDescent="0.25">
      <c r="A750" s="199" t="s">
        <v>509</v>
      </c>
      <c r="B750" s="199">
        <v>44682</v>
      </c>
      <c r="C750" s="199">
        <v>2083</v>
      </c>
      <c r="D750" s="199" t="s">
        <v>454</v>
      </c>
      <c r="E750" s="199" t="s">
        <v>239</v>
      </c>
    </row>
    <row r="751" spans="1:5" x14ac:dyDescent="0.25">
      <c r="A751" s="199" t="s">
        <v>509</v>
      </c>
      <c r="B751" s="199">
        <v>44713</v>
      </c>
      <c r="C751" s="199">
        <v>2083</v>
      </c>
      <c r="D751" s="199" t="s">
        <v>454</v>
      </c>
      <c r="E751" s="199" t="s">
        <v>239</v>
      </c>
    </row>
    <row r="752" spans="1:5" x14ac:dyDescent="0.25">
      <c r="A752" s="199" t="s">
        <v>509</v>
      </c>
      <c r="B752" s="199">
        <v>44743</v>
      </c>
      <c r="C752" s="199">
        <v>2083</v>
      </c>
      <c r="D752" s="199" t="s">
        <v>454</v>
      </c>
      <c r="E752" s="199" t="s">
        <v>239</v>
      </c>
    </row>
    <row r="753" spans="1:5" x14ac:dyDescent="0.25">
      <c r="A753" s="199" t="s">
        <v>509</v>
      </c>
      <c r="B753" s="199">
        <v>44774</v>
      </c>
      <c r="C753" s="199">
        <v>2083</v>
      </c>
      <c r="D753" s="199" t="s">
        <v>454</v>
      </c>
      <c r="E753" s="199" t="s">
        <v>239</v>
      </c>
    </row>
    <row r="754" spans="1:5" x14ac:dyDescent="0.25">
      <c r="A754" s="199" t="s">
        <v>509</v>
      </c>
      <c r="B754" s="199">
        <v>44805</v>
      </c>
      <c r="C754" s="199">
        <v>2083</v>
      </c>
      <c r="D754" s="199" t="s">
        <v>454</v>
      </c>
      <c r="E754" s="199" t="s">
        <v>239</v>
      </c>
    </row>
    <row r="755" spans="1:5" x14ac:dyDescent="0.25">
      <c r="A755" s="199" t="s">
        <v>509</v>
      </c>
      <c r="B755" s="199">
        <v>44835</v>
      </c>
      <c r="C755" s="199">
        <v>2083</v>
      </c>
      <c r="D755" s="199" t="s">
        <v>454</v>
      </c>
      <c r="E755" s="199" t="s">
        <v>239</v>
      </c>
    </row>
    <row r="756" spans="1:5" x14ac:dyDescent="0.25">
      <c r="A756" s="199" t="s">
        <v>509</v>
      </c>
      <c r="B756" s="199">
        <v>44866</v>
      </c>
      <c r="C756" s="199">
        <v>2083</v>
      </c>
      <c r="D756" s="199" t="s">
        <v>454</v>
      </c>
      <c r="E756" s="199" t="s">
        <v>239</v>
      </c>
    </row>
    <row r="757" spans="1:5" x14ac:dyDescent="0.25">
      <c r="A757" s="199" t="s">
        <v>509</v>
      </c>
      <c r="B757" s="199">
        <v>44896</v>
      </c>
      <c r="C757" s="199">
        <v>2083</v>
      </c>
      <c r="D757" s="199" t="s">
        <v>454</v>
      </c>
      <c r="E757" s="199" t="s">
        <v>239</v>
      </c>
    </row>
    <row r="758" spans="1:5" x14ac:dyDescent="0.25">
      <c r="A758" s="199" t="s">
        <v>510</v>
      </c>
      <c r="B758" s="199">
        <v>44562</v>
      </c>
      <c r="C758" s="199">
        <v>25000</v>
      </c>
      <c r="D758" s="199" t="s">
        <v>455</v>
      </c>
      <c r="E758" s="199" t="s">
        <v>239</v>
      </c>
    </row>
    <row r="759" spans="1:5" x14ac:dyDescent="0.25">
      <c r="A759" s="199" t="s">
        <v>510</v>
      </c>
      <c r="B759" s="199">
        <v>44593</v>
      </c>
      <c r="C759" s="199">
        <v>25000</v>
      </c>
      <c r="D759" s="199" t="s">
        <v>455</v>
      </c>
      <c r="E759" s="199" t="s">
        <v>239</v>
      </c>
    </row>
    <row r="760" spans="1:5" x14ac:dyDescent="0.25">
      <c r="A760" s="199" t="s">
        <v>510</v>
      </c>
      <c r="B760" s="199">
        <v>44621</v>
      </c>
      <c r="C760" s="199">
        <v>25000</v>
      </c>
      <c r="D760" s="199" t="s">
        <v>455</v>
      </c>
      <c r="E760" s="199" t="s">
        <v>239</v>
      </c>
    </row>
    <row r="761" spans="1:5" x14ac:dyDescent="0.25">
      <c r="A761" s="199" t="s">
        <v>510</v>
      </c>
      <c r="B761" s="199">
        <v>44652</v>
      </c>
      <c r="C761" s="199">
        <v>25000</v>
      </c>
      <c r="D761" s="199" t="s">
        <v>455</v>
      </c>
      <c r="E761" s="199" t="s">
        <v>239</v>
      </c>
    </row>
    <row r="762" spans="1:5" x14ac:dyDescent="0.25">
      <c r="A762" s="199" t="s">
        <v>510</v>
      </c>
      <c r="B762" s="199">
        <v>44682</v>
      </c>
      <c r="C762" s="199">
        <v>25000</v>
      </c>
      <c r="D762" s="199" t="s">
        <v>455</v>
      </c>
      <c r="E762" s="199" t="s">
        <v>239</v>
      </c>
    </row>
    <row r="763" spans="1:5" x14ac:dyDescent="0.25">
      <c r="A763" s="199" t="s">
        <v>510</v>
      </c>
      <c r="B763" s="199">
        <v>44713</v>
      </c>
      <c r="C763" s="199">
        <v>25000</v>
      </c>
      <c r="D763" s="199" t="s">
        <v>455</v>
      </c>
      <c r="E763" s="199" t="s">
        <v>239</v>
      </c>
    </row>
    <row r="764" spans="1:5" x14ac:dyDescent="0.25">
      <c r="A764" s="199" t="s">
        <v>510</v>
      </c>
      <c r="B764" s="199">
        <v>44743</v>
      </c>
      <c r="C764" s="199">
        <v>25000</v>
      </c>
      <c r="D764" s="199" t="s">
        <v>455</v>
      </c>
      <c r="E764" s="199" t="s">
        <v>239</v>
      </c>
    </row>
    <row r="765" spans="1:5" x14ac:dyDescent="0.25">
      <c r="A765" s="199" t="s">
        <v>510</v>
      </c>
      <c r="B765" s="199">
        <v>44774</v>
      </c>
      <c r="C765" s="199">
        <v>25000</v>
      </c>
      <c r="D765" s="199" t="s">
        <v>455</v>
      </c>
      <c r="E765" s="199" t="s">
        <v>239</v>
      </c>
    </row>
    <row r="766" spans="1:5" x14ac:dyDescent="0.25">
      <c r="A766" s="199" t="s">
        <v>510</v>
      </c>
      <c r="B766" s="199">
        <v>44805</v>
      </c>
      <c r="C766" s="199">
        <v>25000</v>
      </c>
      <c r="D766" s="199" t="s">
        <v>455</v>
      </c>
      <c r="E766" s="199" t="s">
        <v>239</v>
      </c>
    </row>
    <row r="767" spans="1:5" x14ac:dyDescent="0.25">
      <c r="A767" s="199" t="s">
        <v>510</v>
      </c>
      <c r="B767" s="199">
        <v>44835</v>
      </c>
      <c r="C767" s="199">
        <v>25000</v>
      </c>
      <c r="D767" s="199" t="s">
        <v>455</v>
      </c>
      <c r="E767" s="199" t="s">
        <v>239</v>
      </c>
    </row>
    <row r="768" spans="1:5" x14ac:dyDescent="0.25">
      <c r="A768" s="199" t="s">
        <v>510</v>
      </c>
      <c r="B768" s="199">
        <v>44866</v>
      </c>
      <c r="C768" s="199">
        <v>25000</v>
      </c>
      <c r="D768" s="199" t="s">
        <v>455</v>
      </c>
      <c r="E768" s="199" t="s">
        <v>239</v>
      </c>
    </row>
    <row r="769" spans="1:5" x14ac:dyDescent="0.25">
      <c r="A769" s="199" t="s">
        <v>510</v>
      </c>
      <c r="B769" s="199">
        <v>44896</v>
      </c>
      <c r="C769" s="199">
        <v>25000</v>
      </c>
      <c r="D769" s="199" t="s">
        <v>455</v>
      </c>
      <c r="E769" s="199" t="s">
        <v>239</v>
      </c>
    </row>
    <row r="770" spans="1:5" x14ac:dyDescent="0.25">
      <c r="A770" s="199" t="s">
        <v>516</v>
      </c>
      <c r="B770" s="199">
        <v>44562</v>
      </c>
      <c r="C770" s="199">
        <v>21188</v>
      </c>
      <c r="D770" s="199" t="s">
        <v>439</v>
      </c>
      <c r="E770" s="199" t="s">
        <v>239</v>
      </c>
    </row>
    <row r="771" spans="1:5" x14ac:dyDescent="0.25">
      <c r="A771" s="199" t="s">
        <v>516</v>
      </c>
      <c r="B771" s="199">
        <v>44593</v>
      </c>
      <c r="C771" s="199">
        <v>21188</v>
      </c>
      <c r="D771" s="199" t="s">
        <v>439</v>
      </c>
      <c r="E771" s="199" t="s">
        <v>239</v>
      </c>
    </row>
    <row r="772" spans="1:5" x14ac:dyDescent="0.25">
      <c r="A772" s="199" t="s">
        <v>516</v>
      </c>
      <c r="B772" s="199">
        <v>44621</v>
      </c>
      <c r="C772" s="199">
        <v>21188</v>
      </c>
      <c r="D772" s="199" t="s">
        <v>439</v>
      </c>
      <c r="E772" s="199" t="s">
        <v>239</v>
      </c>
    </row>
    <row r="773" spans="1:5" x14ac:dyDescent="0.25">
      <c r="A773" s="199" t="s">
        <v>516</v>
      </c>
      <c r="B773" s="199">
        <v>44652</v>
      </c>
      <c r="C773" s="199">
        <v>21188</v>
      </c>
      <c r="D773" s="199" t="s">
        <v>439</v>
      </c>
      <c r="E773" s="199" t="s">
        <v>239</v>
      </c>
    </row>
    <row r="774" spans="1:5" x14ac:dyDescent="0.25">
      <c r="A774" s="199" t="s">
        <v>516</v>
      </c>
      <c r="B774" s="199">
        <v>44682</v>
      </c>
      <c r="C774" s="199">
        <v>21188</v>
      </c>
      <c r="D774" s="199" t="s">
        <v>439</v>
      </c>
      <c r="E774" s="199" t="s">
        <v>239</v>
      </c>
    </row>
    <row r="775" spans="1:5" x14ac:dyDescent="0.25">
      <c r="A775" s="199" t="s">
        <v>516</v>
      </c>
      <c r="B775" s="199">
        <v>44713</v>
      </c>
      <c r="C775" s="199">
        <v>21188</v>
      </c>
      <c r="D775" s="199" t="s">
        <v>439</v>
      </c>
      <c r="E775" s="199" t="s">
        <v>239</v>
      </c>
    </row>
    <row r="776" spans="1:5" x14ac:dyDescent="0.25">
      <c r="A776" s="199" t="s">
        <v>516</v>
      </c>
      <c r="B776" s="199">
        <v>44743</v>
      </c>
      <c r="C776" s="199">
        <v>21188</v>
      </c>
      <c r="D776" s="199" t="s">
        <v>439</v>
      </c>
      <c r="E776" s="199" t="s">
        <v>239</v>
      </c>
    </row>
    <row r="777" spans="1:5" x14ac:dyDescent="0.25">
      <c r="A777" s="199" t="s">
        <v>516</v>
      </c>
      <c r="B777" s="199">
        <v>44774</v>
      </c>
      <c r="C777" s="199">
        <v>21188</v>
      </c>
      <c r="D777" s="199" t="s">
        <v>439</v>
      </c>
      <c r="E777" s="199" t="s">
        <v>239</v>
      </c>
    </row>
    <row r="778" spans="1:5" x14ac:dyDescent="0.25">
      <c r="A778" s="199" t="s">
        <v>516</v>
      </c>
      <c r="B778" s="199">
        <v>44805</v>
      </c>
      <c r="C778" s="199">
        <v>21188</v>
      </c>
      <c r="D778" s="199" t="s">
        <v>439</v>
      </c>
      <c r="E778" s="199" t="s">
        <v>239</v>
      </c>
    </row>
    <row r="779" spans="1:5" x14ac:dyDescent="0.25">
      <c r="A779" s="199" t="s">
        <v>516</v>
      </c>
      <c r="B779" s="199">
        <v>44835</v>
      </c>
      <c r="C779" s="199">
        <v>21188</v>
      </c>
      <c r="D779" s="199" t="s">
        <v>439</v>
      </c>
      <c r="E779" s="199" t="s">
        <v>239</v>
      </c>
    </row>
    <row r="780" spans="1:5" x14ac:dyDescent="0.25">
      <c r="A780" s="199" t="s">
        <v>516</v>
      </c>
      <c r="B780" s="199">
        <v>44866</v>
      </c>
      <c r="C780" s="199">
        <v>21188</v>
      </c>
      <c r="D780" s="199" t="s">
        <v>439</v>
      </c>
      <c r="E780" s="199" t="s">
        <v>239</v>
      </c>
    </row>
    <row r="781" spans="1:5" x14ac:dyDescent="0.25">
      <c r="A781" s="199" t="s">
        <v>516</v>
      </c>
      <c r="B781" s="199">
        <v>44896</v>
      </c>
      <c r="C781" s="199">
        <v>21188</v>
      </c>
      <c r="D781" s="199" t="s">
        <v>439</v>
      </c>
      <c r="E781" s="199" t="s">
        <v>239</v>
      </c>
    </row>
    <row r="782" spans="1:5" x14ac:dyDescent="0.25">
      <c r="A782" s="199" t="s">
        <v>588</v>
      </c>
      <c r="B782" s="199">
        <v>44562</v>
      </c>
      <c r="C782" s="199">
        <v>1528</v>
      </c>
      <c r="D782" s="199" t="s">
        <v>401</v>
      </c>
      <c r="E782" s="199" t="s">
        <v>239</v>
      </c>
    </row>
    <row r="783" spans="1:5" x14ac:dyDescent="0.25">
      <c r="A783" s="199" t="s">
        <v>588</v>
      </c>
      <c r="B783" s="199">
        <v>44593</v>
      </c>
      <c r="C783" s="199">
        <v>1528</v>
      </c>
      <c r="D783" s="199" t="s">
        <v>401</v>
      </c>
      <c r="E783" s="199" t="s">
        <v>239</v>
      </c>
    </row>
    <row r="784" spans="1:5" x14ac:dyDescent="0.25">
      <c r="A784" s="199" t="s">
        <v>588</v>
      </c>
      <c r="B784" s="199">
        <v>44621</v>
      </c>
      <c r="C784" s="199">
        <v>1528</v>
      </c>
      <c r="D784" s="199" t="s">
        <v>401</v>
      </c>
      <c r="E784" s="199" t="s">
        <v>239</v>
      </c>
    </row>
    <row r="785" spans="1:5" x14ac:dyDescent="0.25">
      <c r="A785" s="199" t="s">
        <v>588</v>
      </c>
      <c r="B785" s="199">
        <v>44652</v>
      </c>
      <c r="C785" s="199">
        <v>1528</v>
      </c>
      <c r="D785" s="199" t="s">
        <v>401</v>
      </c>
      <c r="E785" s="199" t="s">
        <v>239</v>
      </c>
    </row>
    <row r="786" spans="1:5" x14ac:dyDescent="0.25">
      <c r="A786" s="199" t="s">
        <v>588</v>
      </c>
      <c r="B786" s="199">
        <v>44682</v>
      </c>
      <c r="C786" s="199">
        <v>1528</v>
      </c>
      <c r="D786" s="199" t="s">
        <v>401</v>
      </c>
      <c r="E786" s="199" t="s">
        <v>239</v>
      </c>
    </row>
    <row r="787" spans="1:5" x14ac:dyDescent="0.25">
      <c r="A787" s="199" t="s">
        <v>588</v>
      </c>
      <c r="B787" s="199">
        <v>44713</v>
      </c>
      <c r="C787" s="199">
        <v>1528</v>
      </c>
      <c r="D787" s="199" t="s">
        <v>401</v>
      </c>
      <c r="E787" s="199" t="s">
        <v>239</v>
      </c>
    </row>
    <row r="788" spans="1:5" x14ac:dyDescent="0.25">
      <c r="A788" s="199" t="s">
        <v>588</v>
      </c>
      <c r="B788" s="199">
        <v>44743</v>
      </c>
      <c r="C788" s="199">
        <v>1528</v>
      </c>
      <c r="D788" s="199" t="s">
        <v>401</v>
      </c>
      <c r="E788" s="199" t="s">
        <v>239</v>
      </c>
    </row>
    <row r="789" spans="1:5" x14ac:dyDescent="0.25">
      <c r="A789" s="199" t="s">
        <v>588</v>
      </c>
      <c r="B789" s="199">
        <v>44774</v>
      </c>
      <c r="C789" s="199">
        <v>1528</v>
      </c>
      <c r="D789" s="199" t="s">
        <v>401</v>
      </c>
      <c r="E789" s="199" t="s">
        <v>239</v>
      </c>
    </row>
    <row r="790" spans="1:5" x14ac:dyDescent="0.25">
      <c r="A790" s="199" t="s">
        <v>588</v>
      </c>
      <c r="B790" s="199">
        <v>44805</v>
      </c>
      <c r="C790" s="199">
        <v>1528</v>
      </c>
      <c r="D790" s="199" t="s">
        <v>401</v>
      </c>
      <c r="E790" s="199" t="s">
        <v>239</v>
      </c>
    </row>
    <row r="791" spans="1:5" x14ac:dyDescent="0.25">
      <c r="A791" s="199" t="s">
        <v>588</v>
      </c>
      <c r="B791" s="199">
        <v>44835</v>
      </c>
      <c r="C791" s="199">
        <v>1528</v>
      </c>
      <c r="D791" s="199" t="s">
        <v>401</v>
      </c>
      <c r="E791" s="199" t="s">
        <v>239</v>
      </c>
    </row>
    <row r="792" spans="1:5" x14ac:dyDescent="0.25">
      <c r="A792" s="199" t="s">
        <v>588</v>
      </c>
      <c r="B792" s="199">
        <v>44866</v>
      </c>
      <c r="C792" s="199">
        <v>1528</v>
      </c>
      <c r="D792" s="199" t="s">
        <v>401</v>
      </c>
      <c r="E792" s="199" t="s">
        <v>239</v>
      </c>
    </row>
    <row r="793" spans="1:5" x14ac:dyDescent="0.25">
      <c r="A793" s="199" t="s">
        <v>588</v>
      </c>
      <c r="B793" s="199">
        <v>44896</v>
      </c>
      <c r="C793" s="199">
        <v>1528</v>
      </c>
      <c r="D793" s="199" t="s">
        <v>401</v>
      </c>
      <c r="E793" s="199" t="s">
        <v>239</v>
      </c>
    </row>
    <row r="794" spans="1:5" x14ac:dyDescent="0.25">
      <c r="A794" s="199" t="s">
        <v>589</v>
      </c>
      <c r="B794" s="199">
        <v>44562</v>
      </c>
      <c r="C794" s="199">
        <v>173856</v>
      </c>
      <c r="D794" s="199" t="s">
        <v>398</v>
      </c>
      <c r="E794" s="199" t="s">
        <v>239</v>
      </c>
    </row>
    <row r="795" spans="1:5" x14ac:dyDescent="0.25">
      <c r="A795" s="199" t="s">
        <v>589</v>
      </c>
      <c r="B795" s="199">
        <v>44593</v>
      </c>
      <c r="C795" s="199">
        <v>173856</v>
      </c>
      <c r="D795" s="199" t="s">
        <v>398</v>
      </c>
      <c r="E795" s="199" t="s">
        <v>239</v>
      </c>
    </row>
    <row r="796" spans="1:5" x14ac:dyDescent="0.25">
      <c r="A796" s="199" t="s">
        <v>589</v>
      </c>
      <c r="B796" s="199">
        <v>44621</v>
      </c>
      <c r="C796" s="199">
        <v>173856</v>
      </c>
      <c r="D796" s="199" t="s">
        <v>398</v>
      </c>
      <c r="E796" s="199" t="s">
        <v>239</v>
      </c>
    </row>
    <row r="797" spans="1:5" x14ac:dyDescent="0.25">
      <c r="A797" s="199" t="s">
        <v>589</v>
      </c>
      <c r="B797" s="199">
        <v>44652</v>
      </c>
      <c r="C797" s="199">
        <v>173856</v>
      </c>
      <c r="D797" s="199" t="s">
        <v>398</v>
      </c>
      <c r="E797" s="199" t="s">
        <v>239</v>
      </c>
    </row>
    <row r="798" spans="1:5" x14ac:dyDescent="0.25">
      <c r="A798" s="199" t="s">
        <v>589</v>
      </c>
      <c r="B798" s="199">
        <v>44682</v>
      </c>
      <c r="C798" s="199">
        <v>173856</v>
      </c>
      <c r="D798" s="199" t="s">
        <v>398</v>
      </c>
      <c r="E798" s="199" t="s">
        <v>239</v>
      </c>
    </row>
    <row r="799" spans="1:5" x14ac:dyDescent="0.25">
      <c r="A799" s="199" t="s">
        <v>589</v>
      </c>
      <c r="B799" s="199">
        <v>44713</v>
      </c>
      <c r="C799" s="199">
        <v>173856</v>
      </c>
      <c r="D799" s="199" t="s">
        <v>398</v>
      </c>
      <c r="E799" s="199" t="s">
        <v>239</v>
      </c>
    </row>
    <row r="800" spans="1:5" x14ac:dyDescent="0.25">
      <c r="A800" s="199" t="s">
        <v>589</v>
      </c>
      <c r="B800" s="199">
        <v>44743</v>
      </c>
      <c r="C800" s="199">
        <v>173856</v>
      </c>
      <c r="D800" s="199" t="s">
        <v>398</v>
      </c>
      <c r="E800" s="199" t="s">
        <v>239</v>
      </c>
    </row>
    <row r="801" spans="1:5" x14ac:dyDescent="0.25">
      <c r="A801" s="199" t="s">
        <v>589</v>
      </c>
      <c r="B801" s="199">
        <v>44774</v>
      </c>
      <c r="C801" s="199">
        <v>173856</v>
      </c>
      <c r="D801" s="199" t="s">
        <v>398</v>
      </c>
      <c r="E801" s="199" t="s">
        <v>239</v>
      </c>
    </row>
    <row r="802" spans="1:5" x14ac:dyDescent="0.25">
      <c r="A802" s="199" t="s">
        <v>589</v>
      </c>
      <c r="B802" s="199">
        <v>44805</v>
      </c>
      <c r="C802" s="199">
        <v>173856</v>
      </c>
      <c r="D802" s="199" t="s">
        <v>398</v>
      </c>
      <c r="E802" s="199" t="s">
        <v>239</v>
      </c>
    </row>
    <row r="803" spans="1:5" x14ac:dyDescent="0.25">
      <c r="A803" s="199" t="s">
        <v>589</v>
      </c>
      <c r="B803" s="199">
        <v>44835</v>
      </c>
      <c r="C803" s="199">
        <v>173856</v>
      </c>
      <c r="D803" s="199" t="s">
        <v>398</v>
      </c>
      <c r="E803" s="199" t="s">
        <v>239</v>
      </c>
    </row>
    <row r="804" spans="1:5" x14ac:dyDescent="0.25">
      <c r="A804" s="199" t="s">
        <v>589</v>
      </c>
      <c r="B804" s="199">
        <v>44866</v>
      </c>
      <c r="C804" s="199">
        <v>173856</v>
      </c>
      <c r="D804" s="199" t="s">
        <v>398</v>
      </c>
      <c r="E804" s="199" t="s">
        <v>239</v>
      </c>
    </row>
    <row r="805" spans="1:5" x14ac:dyDescent="0.25">
      <c r="A805" s="199" t="s">
        <v>589</v>
      </c>
      <c r="B805" s="199">
        <v>44896</v>
      </c>
      <c r="C805" s="199">
        <v>173856</v>
      </c>
      <c r="D805" s="199" t="s">
        <v>398</v>
      </c>
      <c r="E805" s="199" t="s">
        <v>239</v>
      </c>
    </row>
    <row r="806" spans="1:5" x14ac:dyDescent="0.25">
      <c r="A806" s="199" t="s">
        <v>590</v>
      </c>
      <c r="B806" s="199">
        <v>44562</v>
      </c>
      <c r="C806" s="199">
        <v>144062</v>
      </c>
      <c r="D806" s="199" t="s">
        <v>399</v>
      </c>
      <c r="E806" s="199" t="s">
        <v>239</v>
      </c>
    </row>
    <row r="807" spans="1:5" x14ac:dyDescent="0.25">
      <c r="A807" s="199" t="s">
        <v>590</v>
      </c>
      <c r="B807" s="199">
        <v>44593</v>
      </c>
      <c r="C807" s="199">
        <v>144062</v>
      </c>
      <c r="D807" s="199" t="s">
        <v>399</v>
      </c>
      <c r="E807" s="199" t="s">
        <v>239</v>
      </c>
    </row>
    <row r="808" spans="1:5" x14ac:dyDescent="0.25">
      <c r="A808" s="199" t="s">
        <v>590</v>
      </c>
      <c r="B808" s="199">
        <v>44621</v>
      </c>
      <c r="C808" s="199">
        <v>144062</v>
      </c>
      <c r="D808" s="199" t="s">
        <v>399</v>
      </c>
      <c r="E808" s="199" t="s">
        <v>239</v>
      </c>
    </row>
    <row r="809" spans="1:5" x14ac:dyDescent="0.25">
      <c r="A809" s="199" t="s">
        <v>590</v>
      </c>
      <c r="B809" s="199">
        <v>44652</v>
      </c>
      <c r="C809" s="199">
        <v>144062</v>
      </c>
      <c r="D809" s="199" t="s">
        <v>399</v>
      </c>
      <c r="E809" s="199" t="s">
        <v>239</v>
      </c>
    </row>
    <row r="810" spans="1:5" x14ac:dyDescent="0.25">
      <c r="A810" s="199" t="s">
        <v>590</v>
      </c>
      <c r="B810" s="199">
        <v>44682</v>
      </c>
      <c r="C810" s="199">
        <v>144062</v>
      </c>
      <c r="D810" s="199" t="s">
        <v>399</v>
      </c>
      <c r="E810" s="199" t="s">
        <v>239</v>
      </c>
    </row>
    <row r="811" spans="1:5" x14ac:dyDescent="0.25">
      <c r="A811" s="199" t="s">
        <v>590</v>
      </c>
      <c r="B811" s="199">
        <v>44713</v>
      </c>
      <c r="C811" s="199">
        <v>144062</v>
      </c>
      <c r="D811" s="199" t="s">
        <v>399</v>
      </c>
      <c r="E811" s="199" t="s">
        <v>239</v>
      </c>
    </row>
    <row r="812" spans="1:5" x14ac:dyDescent="0.25">
      <c r="A812" s="199" t="s">
        <v>590</v>
      </c>
      <c r="B812" s="199">
        <v>44743</v>
      </c>
      <c r="C812" s="199">
        <v>144062</v>
      </c>
      <c r="D812" s="199" t="s">
        <v>399</v>
      </c>
      <c r="E812" s="199" t="s">
        <v>239</v>
      </c>
    </row>
    <row r="813" spans="1:5" x14ac:dyDescent="0.25">
      <c r="A813" s="199" t="s">
        <v>590</v>
      </c>
      <c r="B813" s="199">
        <v>44774</v>
      </c>
      <c r="C813" s="199">
        <v>144062</v>
      </c>
      <c r="D813" s="199" t="s">
        <v>399</v>
      </c>
      <c r="E813" s="199" t="s">
        <v>239</v>
      </c>
    </row>
    <row r="814" spans="1:5" x14ac:dyDescent="0.25">
      <c r="A814" s="199" t="s">
        <v>590</v>
      </c>
      <c r="B814" s="199">
        <v>44805</v>
      </c>
      <c r="C814" s="199">
        <v>144062</v>
      </c>
      <c r="D814" s="199" t="s">
        <v>399</v>
      </c>
      <c r="E814" s="199" t="s">
        <v>239</v>
      </c>
    </row>
    <row r="815" spans="1:5" x14ac:dyDescent="0.25">
      <c r="A815" s="199" t="s">
        <v>590</v>
      </c>
      <c r="B815" s="199">
        <v>44835</v>
      </c>
      <c r="C815" s="199">
        <v>144062</v>
      </c>
      <c r="D815" s="199" t="s">
        <v>399</v>
      </c>
      <c r="E815" s="199" t="s">
        <v>239</v>
      </c>
    </row>
    <row r="816" spans="1:5" x14ac:dyDescent="0.25">
      <c r="A816" s="199" t="s">
        <v>590</v>
      </c>
      <c r="B816" s="199">
        <v>44866</v>
      </c>
      <c r="C816" s="199">
        <v>144062</v>
      </c>
      <c r="D816" s="199" t="s">
        <v>399</v>
      </c>
      <c r="E816" s="199" t="s">
        <v>239</v>
      </c>
    </row>
    <row r="817" spans="1:5" x14ac:dyDescent="0.25">
      <c r="A817" s="199" t="s">
        <v>590</v>
      </c>
      <c r="B817" s="199">
        <v>44896</v>
      </c>
      <c r="C817" s="199">
        <v>144062</v>
      </c>
      <c r="D817" s="199" t="s">
        <v>399</v>
      </c>
      <c r="E817" s="199" t="s">
        <v>239</v>
      </c>
    </row>
    <row r="818" spans="1:5" x14ac:dyDescent="0.25">
      <c r="A818" s="199" t="s">
        <v>515</v>
      </c>
      <c r="B818" s="199">
        <v>44562</v>
      </c>
      <c r="C818" s="199">
        <v>30403</v>
      </c>
      <c r="D818" s="199" t="s">
        <v>397</v>
      </c>
      <c r="E818" s="199" t="s">
        <v>239</v>
      </c>
    </row>
    <row r="819" spans="1:5" x14ac:dyDescent="0.25">
      <c r="A819" s="199" t="s">
        <v>515</v>
      </c>
      <c r="B819" s="199">
        <v>44593</v>
      </c>
      <c r="C819" s="199">
        <v>30403</v>
      </c>
      <c r="D819" s="199" t="s">
        <v>397</v>
      </c>
      <c r="E819" s="199" t="s">
        <v>239</v>
      </c>
    </row>
    <row r="820" spans="1:5" x14ac:dyDescent="0.25">
      <c r="A820" s="199" t="s">
        <v>515</v>
      </c>
      <c r="B820" s="199">
        <v>44621</v>
      </c>
      <c r="C820" s="199">
        <v>30403</v>
      </c>
      <c r="D820" s="199" t="s">
        <v>397</v>
      </c>
      <c r="E820" s="199" t="s">
        <v>239</v>
      </c>
    </row>
    <row r="821" spans="1:5" x14ac:dyDescent="0.25">
      <c r="A821" s="199" t="s">
        <v>515</v>
      </c>
      <c r="B821" s="199">
        <v>44652</v>
      </c>
      <c r="C821" s="199">
        <v>30403</v>
      </c>
      <c r="D821" s="199" t="s">
        <v>397</v>
      </c>
      <c r="E821" s="199" t="s">
        <v>239</v>
      </c>
    </row>
    <row r="822" spans="1:5" x14ac:dyDescent="0.25">
      <c r="A822" s="199" t="s">
        <v>515</v>
      </c>
      <c r="B822" s="199">
        <v>44682</v>
      </c>
      <c r="C822" s="199">
        <v>30403</v>
      </c>
      <c r="D822" s="199" t="s">
        <v>397</v>
      </c>
      <c r="E822" s="199" t="s">
        <v>239</v>
      </c>
    </row>
    <row r="823" spans="1:5" x14ac:dyDescent="0.25">
      <c r="A823" s="199" t="s">
        <v>515</v>
      </c>
      <c r="B823" s="199">
        <v>44713</v>
      </c>
      <c r="C823" s="199">
        <v>30403</v>
      </c>
      <c r="D823" s="199" t="s">
        <v>397</v>
      </c>
      <c r="E823" s="199" t="s">
        <v>239</v>
      </c>
    </row>
    <row r="824" spans="1:5" x14ac:dyDescent="0.25">
      <c r="A824" s="199" t="s">
        <v>515</v>
      </c>
      <c r="B824" s="199">
        <v>44743</v>
      </c>
      <c r="C824" s="199">
        <v>30403</v>
      </c>
      <c r="D824" s="199" t="s">
        <v>397</v>
      </c>
      <c r="E824" s="199" t="s">
        <v>239</v>
      </c>
    </row>
    <row r="825" spans="1:5" x14ac:dyDescent="0.25">
      <c r="A825" s="199" t="s">
        <v>515</v>
      </c>
      <c r="B825" s="199">
        <v>44774</v>
      </c>
      <c r="C825" s="199">
        <v>30403</v>
      </c>
      <c r="D825" s="199" t="s">
        <v>397</v>
      </c>
      <c r="E825" s="199" t="s">
        <v>239</v>
      </c>
    </row>
    <row r="826" spans="1:5" x14ac:dyDescent="0.25">
      <c r="A826" s="199" t="s">
        <v>515</v>
      </c>
      <c r="B826" s="199">
        <v>44805</v>
      </c>
      <c r="C826" s="199">
        <v>30403</v>
      </c>
      <c r="D826" s="199" t="s">
        <v>397</v>
      </c>
      <c r="E826" s="199" t="s">
        <v>239</v>
      </c>
    </row>
    <row r="827" spans="1:5" x14ac:dyDescent="0.25">
      <c r="A827" s="199" t="s">
        <v>515</v>
      </c>
      <c r="B827" s="199">
        <v>44835</v>
      </c>
      <c r="C827" s="199">
        <v>30403</v>
      </c>
      <c r="D827" s="199" t="s">
        <v>397</v>
      </c>
      <c r="E827" s="199" t="s">
        <v>239</v>
      </c>
    </row>
    <row r="828" spans="1:5" x14ac:dyDescent="0.25">
      <c r="A828" s="199" t="s">
        <v>515</v>
      </c>
      <c r="B828" s="199">
        <v>44866</v>
      </c>
      <c r="C828" s="199">
        <v>30403</v>
      </c>
      <c r="D828" s="199" t="s">
        <v>397</v>
      </c>
      <c r="E828" s="199" t="s">
        <v>239</v>
      </c>
    </row>
    <row r="829" spans="1:5" x14ac:dyDescent="0.25">
      <c r="A829" s="199" t="s">
        <v>515</v>
      </c>
      <c r="B829" s="199">
        <v>44896</v>
      </c>
      <c r="C829" s="199">
        <v>30403</v>
      </c>
      <c r="D829" s="199" t="s">
        <v>397</v>
      </c>
      <c r="E829" s="199" t="s">
        <v>239</v>
      </c>
    </row>
    <row r="830" spans="1:5" x14ac:dyDescent="0.25">
      <c r="A830" s="199" t="s">
        <v>514</v>
      </c>
      <c r="B830" s="199">
        <v>44562</v>
      </c>
      <c r="C830" s="199">
        <v>1316658</v>
      </c>
      <c r="D830" s="199" t="s">
        <v>237</v>
      </c>
      <c r="E830" s="199" t="s">
        <v>239</v>
      </c>
    </row>
    <row r="831" spans="1:5" x14ac:dyDescent="0.25">
      <c r="A831" s="199" t="s">
        <v>514</v>
      </c>
      <c r="B831" s="199">
        <v>44593</v>
      </c>
      <c r="C831" s="199">
        <v>1316658</v>
      </c>
      <c r="D831" s="199" t="s">
        <v>237</v>
      </c>
      <c r="E831" s="199" t="s">
        <v>239</v>
      </c>
    </row>
    <row r="832" spans="1:5" x14ac:dyDescent="0.25">
      <c r="A832" s="199" t="s">
        <v>514</v>
      </c>
      <c r="B832" s="199">
        <v>44621</v>
      </c>
      <c r="C832" s="199">
        <v>1316658</v>
      </c>
      <c r="D832" s="199" t="s">
        <v>237</v>
      </c>
      <c r="E832" s="199" t="s">
        <v>239</v>
      </c>
    </row>
    <row r="833" spans="1:5" x14ac:dyDescent="0.25">
      <c r="A833" s="199" t="s">
        <v>514</v>
      </c>
      <c r="B833" s="199">
        <v>44652</v>
      </c>
      <c r="C833" s="199">
        <v>1316658</v>
      </c>
      <c r="D833" s="199" t="s">
        <v>237</v>
      </c>
      <c r="E833" s="199" t="s">
        <v>239</v>
      </c>
    </row>
    <row r="834" spans="1:5" x14ac:dyDescent="0.25">
      <c r="A834" s="199" t="s">
        <v>514</v>
      </c>
      <c r="B834" s="199">
        <v>44682</v>
      </c>
      <c r="C834" s="199">
        <v>1316658</v>
      </c>
      <c r="D834" s="199" t="s">
        <v>237</v>
      </c>
      <c r="E834" s="199" t="s">
        <v>239</v>
      </c>
    </row>
    <row r="835" spans="1:5" x14ac:dyDescent="0.25">
      <c r="A835" s="199" t="s">
        <v>514</v>
      </c>
      <c r="B835" s="199">
        <v>44713</v>
      </c>
      <c r="C835" s="199">
        <v>1316658</v>
      </c>
      <c r="D835" s="199" t="s">
        <v>237</v>
      </c>
      <c r="E835" s="199" t="s">
        <v>239</v>
      </c>
    </row>
    <row r="836" spans="1:5" x14ac:dyDescent="0.25">
      <c r="A836" s="199" t="s">
        <v>514</v>
      </c>
      <c r="B836" s="199">
        <v>44743</v>
      </c>
      <c r="C836" s="199">
        <v>1316658</v>
      </c>
      <c r="D836" s="199" t="s">
        <v>237</v>
      </c>
      <c r="E836" s="199" t="s">
        <v>239</v>
      </c>
    </row>
    <row r="837" spans="1:5" x14ac:dyDescent="0.25">
      <c r="A837" s="199" t="s">
        <v>514</v>
      </c>
      <c r="B837" s="199">
        <v>44774</v>
      </c>
      <c r="C837" s="199">
        <v>1316658</v>
      </c>
      <c r="D837" s="199" t="s">
        <v>237</v>
      </c>
      <c r="E837" s="199" t="s">
        <v>239</v>
      </c>
    </row>
    <row r="838" spans="1:5" x14ac:dyDescent="0.25">
      <c r="A838" s="199" t="s">
        <v>514</v>
      </c>
      <c r="B838" s="199">
        <v>44805</v>
      </c>
      <c r="C838" s="199">
        <v>1316658</v>
      </c>
      <c r="D838" s="199" t="s">
        <v>237</v>
      </c>
      <c r="E838" s="199" t="s">
        <v>239</v>
      </c>
    </row>
    <row r="839" spans="1:5" x14ac:dyDescent="0.25">
      <c r="A839" s="199" t="s">
        <v>514</v>
      </c>
      <c r="B839" s="199">
        <v>44835</v>
      </c>
      <c r="C839" s="199">
        <v>1316658</v>
      </c>
      <c r="D839" s="199" t="s">
        <v>237</v>
      </c>
      <c r="E839" s="199" t="s">
        <v>239</v>
      </c>
    </row>
    <row r="840" spans="1:5" x14ac:dyDescent="0.25">
      <c r="A840" s="199" t="s">
        <v>514</v>
      </c>
      <c r="B840" s="199">
        <v>44866</v>
      </c>
      <c r="C840" s="199">
        <v>1316658</v>
      </c>
      <c r="D840" s="199" t="s">
        <v>237</v>
      </c>
      <c r="E840" s="199" t="s">
        <v>239</v>
      </c>
    </row>
    <row r="841" spans="1:5" x14ac:dyDescent="0.25">
      <c r="A841" s="199" t="s">
        <v>514</v>
      </c>
      <c r="B841" s="199">
        <v>44896</v>
      </c>
      <c r="C841" s="199">
        <v>1316658</v>
      </c>
      <c r="D841" s="199" t="s">
        <v>237</v>
      </c>
      <c r="E841" s="199" t="s">
        <v>239</v>
      </c>
    </row>
    <row r="842" spans="1:5" x14ac:dyDescent="0.25">
      <c r="A842" s="199" t="s">
        <v>591</v>
      </c>
      <c r="B842" s="199">
        <v>44562</v>
      </c>
      <c r="C842" s="199">
        <v>17160</v>
      </c>
      <c r="D842" s="199" t="s">
        <v>400</v>
      </c>
      <c r="E842" s="199" t="s">
        <v>239</v>
      </c>
    </row>
    <row r="843" spans="1:5" x14ac:dyDescent="0.25">
      <c r="A843" s="199" t="s">
        <v>591</v>
      </c>
      <c r="B843" s="199">
        <v>44593</v>
      </c>
      <c r="C843" s="199">
        <v>17160</v>
      </c>
      <c r="D843" s="199" t="s">
        <v>400</v>
      </c>
      <c r="E843" s="199" t="s">
        <v>239</v>
      </c>
    </row>
    <row r="844" spans="1:5" x14ac:dyDescent="0.25">
      <c r="A844" s="199" t="s">
        <v>591</v>
      </c>
      <c r="B844" s="199">
        <v>44621</v>
      </c>
      <c r="C844" s="199">
        <v>17160</v>
      </c>
      <c r="D844" s="199" t="s">
        <v>400</v>
      </c>
      <c r="E844" s="199" t="s">
        <v>239</v>
      </c>
    </row>
    <row r="845" spans="1:5" x14ac:dyDescent="0.25">
      <c r="A845" s="199" t="s">
        <v>591</v>
      </c>
      <c r="B845" s="199">
        <v>44652</v>
      </c>
      <c r="C845" s="199">
        <v>17160</v>
      </c>
      <c r="D845" s="199" t="s">
        <v>400</v>
      </c>
      <c r="E845" s="199" t="s">
        <v>239</v>
      </c>
    </row>
    <row r="846" spans="1:5" x14ac:dyDescent="0.25">
      <c r="A846" s="199" t="s">
        <v>591</v>
      </c>
      <c r="B846" s="199">
        <v>44682</v>
      </c>
      <c r="C846" s="199">
        <v>17160</v>
      </c>
      <c r="D846" s="199" t="s">
        <v>400</v>
      </c>
      <c r="E846" s="199" t="s">
        <v>239</v>
      </c>
    </row>
    <row r="847" spans="1:5" x14ac:dyDescent="0.25">
      <c r="A847" s="199" t="s">
        <v>591</v>
      </c>
      <c r="B847" s="199">
        <v>44713</v>
      </c>
      <c r="C847" s="199">
        <v>17160</v>
      </c>
      <c r="D847" s="199" t="s">
        <v>400</v>
      </c>
      <c r="E847" s="199" t="s">
        <v>239</v>
      </c>
    </row>
    <row r="848" spans="1:5" x14ac:dyDescent="0.25">
      <c r="A848" s="199" t="s">
        <v>591</v>
      </c>
      <c r="B848" s="199">
        <v>44743</v>
      </c>
      <c r="C848" s="199">
        <v>17160</v>
      </c>
      <c r="D848" s="199" t="s">
        <v>400</v>
      </c>
      <c r="E848" s="199" t="s">
        <v>239</v>
      </c>
    </row>
    <row r="849" spans="1:5" x14ac:dyDescent="0.25">
      <c r="A849" s="199" t="s">
        <v>591</v>
      </c>
      <c r="B849" s="199">
        <v>44774</v>
      </c>
      <c r="C849" s="199">
        <v>17160</v>
      </c>
      <c r="D849" s="199" t="s">
        <v>400</v>
      </c>
      <c r="E849" s="199" t="s">
        <v>239</v>
      </c>
    </row>
    <row r="850" spans="1:5" x14ac:dyDescent="0.25">
      <c r="A850" s="199" t="s">
        <v>591</v>
      </c>
      <c r="B850" s="199">
        <v>44805</v>
      </c>
      <c r="C850" s="199">
        <v>17160</v>
      </c>
      <c r="D850" s="199" t="s">
        <v>400</v>
      </c>
      <c r="E850" s="199" t="s">
        <v>239</v>
      </c>
    </row>
    <row r="851" spans="1:5" x14ac:dyDescent="0.25">
      <c r="A851" s="199" t="s">
        <v>591</v>
      </c>
      <c r="B851" s="199">
        <v>44835</v>
      </c>
      <c r="C851" s="199">
        <v>17160</v>
      </c>
      <c r="D851" s="199" t="s">
        <v>400</v>
      </c>
      <c r="E851" s="199" t="s">
        <v>239</v>
      </c>
    </row>
    <row r="852" spans="1:5" x14ac:dyDescent="0.25">
      <c r="A852" s="199" t="s">
        <v>591</v>
      </c>
      <c r="B852" s="199">
        <v>44866</v>
      </c>
      <c r="C852" s="199">
        <v>17160</v>
      </c>
      <c r="D852" s="199" t="s">
        <v>400</v>
      </c>
      <c r="E852" s="199" t="s">
        <v>239</v>
      </c>
    </row>
    <row r="853" spans="1:5" x14ac:dyDescent="0.25">
      <c r="A853" s="199" t="s">
        <v>591</v>
      </c>
      <c r="B853" s="199">
        <v>44896</v>
      </c>
      <c r="C853" s="199">
        <v>17160</v>
      </c>
      <c r="D853" s="199" t="s">
        <v>400</v>
      </c>
      <c r="E853" s="199" t="s">
        <v>239</v>
      </c>
    </row>
    <row r="854" spans="1:5" x14ac:dyDescent="0.25">
      <c r="A854" s="199" t="s">
        <v>592</v>
      </c>
      <c r="B854" s="199">
        <v>44562</v>
      </c>
      <c r="C854" s="199">
        <v>1767854</v>
      </c>
      <c r="D854" s="199" t="s">
        <v>298</v>
      </c>
      <c r="E854" s="199" t="s">
        <v>239</v>
      </c>
    </row>
    <row r="855" spans="1:5" x14ac:dyDescent="0.25">
      <c r="A855" s="199" t="s">
        <v>592</v>
      </c>
      <c r="B855" s="199">
        <v>44593</v>
      </c>
      <c r="C855" s="199">
        <v>1767854</v>
      </c>
      <c r="D855" s="199" t="s">
        <v>298</v>
      </c>
      <c r="E855" s="199" t="s">
        <v>239</v>
      </c>
    </row>
    <row r="856" spans="1:5" x14ac:dyDescent="0.25">
      <c r="A856" s="199" t="s">
        <v>592</v>
      </c>
      <c r="B856" s="199">
        <v>44621</v>
      </c>
      <c r="C856" s="199">
        <v>1767854</v>
      </c>
      <c r="D856" s="199" t="s">
        <v>298</v>
      </c>
      <c r="E856" s="199" t="s">
        <v>239</v>
      </c>
    </row>
    <row r="857" spans="1:5" x14ac:dyDescent="0.25">
      <c r="A857" s="199" t="s">
        <v>592</v>
      </c>
      <c r="B857" s="199">
        <v>44652</v>
      </c>
      <c r="C857" s="199">
        <v>1700252</v>
      </c>
      <c r="D857" s="199" t="s">
        <v>298</v>
      </c>
      <c r="E857" s="199" t="s">
        <v>239</v>
      </c>
    </row>
    <row r="858" spans="1:5" x14ac:dyDescent="0.25">
      <c r="A858" s="199" t="s">
        <v>592</v>
      </c>
      <c r="B858" s="199">
        <v>44682</v>
      </c>
      <c r="C858" s="199">
        <v>1700252</v>
      </c>
      <c r="D858" s="199" t="s">
        <v>298</v>
      </c>
      <c r="E858" s="199" t="s">
        <v>239</v>
      </c>
    </row>
    <row r="859" spans="1:5" x14ac:dyDescent="0.25">
      <c r="A859" s="199" t="s">
        <v>592</v>
      </c>
      <c r="B859" s="199">
        <v>44713</v>
      </c>
      <c r="C859" s="199">
        <v>1700252</v>
      </c>
      <c r="D859" s="199" t="s">
        <v>298</v>
      </c>
      <c r="E859" s="199" t="s">
        <v>239</v>
      </c>
    </row>
    <row r="860" spans="1:5" x14ac:dyDescent="0.25">
      <c r="A860" s="199" t="s">
        <v>592</v>
      </c>
      <c r="B860" s="199">
        <v>44743</v>
      </c>
      <c r="C860" s="199">
        <v>1700252</v>
      </c>
      <c r="D860" s="199" t="s">
        <v>298</v>
      </c>
      <c r="E860" s="199" t="s">
        <v>239</v>
      </c>
    </row>
    <row r="861" spans="1:5" x14ac:dyDescent="0.25">
      <c r="A861" s="199" t="s">
        <v>592</v>
      </c>
      <c r="B861" s="199">
        <v>44774</v>
      </c>
      <c r="C861" s="199">
        <v>1700252</v>
      </c>
      <c r="D861" s="199" t="s">
        <v>298</v>
      </c>
      <c r="E861" s="199" t="s">
        <v>239</v>
      </c>
    </row>
    <row r="862" spans="1:5" x14ac:dyDescent="0.25">
      <c r="A862" s="199" t="s">
        <v>592</v>
      </c>
      <c r="B862" s="199">
        <v>44805</v>
      </c>
      <c r="C862" s="199">
        <v>1700252</v>
      </c>
      <c r="D862" s="199" t="s">
        <v>298</v>
      </c>
      <c r="E862" s="199" t="s">
        <v>239</v>
      </c>
    </row>
    <row r="863" spans="1:5" x14ac:dyDescent="0.25">
      <c r="A863" s="199" t="s">
        <v>592</v>
      </c>
      <c r="B863" s="199">
        <v>44835</v>
      </c>
      <c r="C863" s="199">
        <v>1700252</v>
      </c>
      <c r="D863" s="199" t="s">
        <v>298</v>
      </c>
      <c r="E863" s="199" t="s">
        <v>239</v>
      </c>
    </row>
    <row r="864" spans="1:5" x14ac:dyDescent="0.25">
      <c r="A864" s="199" t="s">
        <v>592</v>
      </c>
      <c r="B864" s="199">
        <v>44866</v>
      </c>
      <c r="C864" s="199">
        <v>1700252</v>
      </c>
      <c r="D864" s="199" t="s">
        <v>298</v>
      </c>
      <c r="E864" s="199" t="s">
        <v>239</v>
      </c>
    </row>
    <row r="865" spans="1:5" x14ac:dyDescent="0.25">
      <c r="A865" s="199" t="s">
        <v>592</v>
      </c>
      <c r="B865" s="199">
        <v>44896</v>
      </c>
      <c r="C865" s="199">
        <v>1700252</v>
      </c>
      <c r="D865" s="199" t="s">
        <v>298</v>
      </c>
      <c r="E865" s="199" t="s">
        <v>239</v>
      </c>
    </row>
    <row r="866" spans="1:5" x14ac:dyDescent="0.25">
      <c r="A866" s="199" t="s">
        <v>523</v>
      </c>
      <c r="B866" s="199">
        <v>44562</v>
      </c>
      <c r="C866" s="199">
        <v>0</v>
      </c>
      <c r="D866" s="199" t="s">
        <v>474</v>
      </c>
      <c r="E866" s="199" t="s">
        <v>239</v>
      </c>
    </row>
    <row r="867" spans="1:5" x14ac:dyDescent="0.25">
      <c r="A867" s="199" t="s">
        <v>523</v>
      </c>
      <c r="B867" s="199">
        <v>44593</v>
      </c>
      <c r="C867" s="199">
        <v>0</v>
      </c>
      <c r="D867" s="199" t="s">
        <v>474</v>
      </c>
      <c r="E867" s="199" t="s">
        <v>239</v>
      </c>
    </row>
    <row r="868" spans="1:5" x14ac:dyDescent="0.25">
      <c r="A868" s="199" t="s">
        <v>523</v>
      </c>
      <c r="B868" s="199">
        <v>44621</v>
      </c>
      <c r="C868" s="199">
        <v>0</v>
      </c>
      <c r="D868" s="199" t="s">
        <v>474</v>
      </c>
      <c r="E868" s="199" t="s">
        <v>239</v>
      </c>
    </row>
    <row r="869" spans="1:5" x14ac:dyDescent="0.25">
      <c r="A869" s="199" t="s">
        <v>523</v>
      </c>
      <c r="B869" s="199">
        <v>44652</v>
      </c>
      <c r="C869" s="199">
        <v>0</v>
      </c>
      <c r="D869" s="199" t="s">
        <v>474</v>
      </c>
      <c r="E869" s="199" t="s">
        <v>239</v>
      </c>
    </row>
    <row r="870" spans="1:5" x14ac:dyDescent="0.25">
      <c r="A870" s="199" t="s">
        <v>523</v>
      </c>
      <c r="B870" s="199">
        <v>44682</v>
      </c>
      <c r="C870" s="199">
        <v>0</v>
      </c>
      <c r="D870" s="199" t="s">
        <v>474</v>
      </c>
      <c r="E870" s="199" t="s">
        <v>239</v>
      </c>
    </row>
    <row r="871" spans="1:5" x14ac:dyDescent="0.25">
      <c r="A871" s="199" t="s">
        <v>523</v>
      </c>
      <c r="B871" s="199">
        <v>44713</v>
      </c>
      <c r="C871" s="199">
        <v>0</v>
      </c>
      <c r="D871" s="199" t="s">
        <v>474</v>
      </c>
      <c r="E871" s="199" t="s">
        <v>239</v>
      </c>
    </row>
    <row r="872" spans="1:5" x14ac:dyDescent="0.25">
      <c r="A872" s="199" t="s">
        <v>523</v>
      </c>
      <c r="B872" s="199">
        <v>44743</v>
      </c>
      <c r="C872" s="199">
        <v>0</v>
      </c>
      <c r="D872" s="199" t="s">
        <v>474</v>
      </c>
      <c r="E872" s="199" t="s">
        <v>239</v>
      </c>
    </row>
    <row r="873" spans="1:5" x14ac:dyDescent="0.25">
      <c r="A873" s="199" t="s">
        <v>523</v>
      </c>
      <c r="B873" s="199">
        <v>44774</v>
      </c>
      <c r="C873" s="199">
        <v>0</v>
      </c>
      <c r="D873" s="199" t="s">
        <v>474</v>
      </c>
      <c r="E873" s="199" t="s">
        <v>239</v>
      </c>
    </row>
    <row r="874" spans="1:5" x14ac:dyDescent="0.25">
      <c r="A874" s="199" t="s">
        <v>523</v>
      </c>
      <c r="B874" s="199">
        <v>44805</v>
      </c>
      <c r="C874" s="199">
        <v>0</v>
      </c>
      <c r="D874" s="199" t="s">
        <v>474</v>
      </c>
      <c r="E874" s="199" t="s">
        <v>239</v>
      </c>
    </row>
    <row r="875" spans="1:5" x14ac:dyDescent="0.25">
      <c r="A875" s="199" t="s">
        <v>523</v>
      </c>
      <c r="B875" s="199">
        <v>44835</v>
      </c>
      <c r="C875" s="199">
        <v>0</v>
      </c>
      <c r="D875" s="199" t="s">
        <v>474</v>
      </c>
      <c r="E875" s="199" t="s">
        <v>239</v>
      </c>
    </row>
    <row r="876" spans="1:5" x14ac:dyDescent="0.25">
      <c r="A876" s="199" t="s">
        <v>523</v>
      </c>
      <c r="B876" s="199">
        <v>44866</v>
      </c>
      <c r="C876" s="199">
        <v>0</v>
      </c>
      <c r="D876" s="199" t="s">
        <v>474</v>
      </c>
      <c r="E876" s="199" t="s">
        <v>239</v>
      </c>
    </row>
    <row r="877" spans="1:5" x14ac:dyDescent="0.25">
      <c r="A877" s="199" t="s">
        <v>523</v>
      </c>
      <c r="B877" s="199">
        <v>44896</v>
      </c>
      <c r="C877" s="199">
        <v>0</v>
      </c>
      <c r="D877" s="199" t="s">
        <v>474</v>
      </c>
      <c r="E877" s="199" t="s">
        <v>239</v>
      </c>
    </row>
    <row r="878" spans="1:5" x14ac:dyDescent="0.25">
      <c r="A878" s="199" t="s">
        <v>593</v>
      </c>
      <c r="B878" s="199">
        <v>44562</v>
      </c>
      <c r="C878" s="199">
        <v>205394</v>
      </c>
      <c r="D878" s="199" t="s">
        <v>328</v>
      </c>
      <c r="E878" s="199" t="s">
        <v>239</v>
      </c>
    </row>
    <row r="879" spans="1:5" x14ac:dyDescent="0.25">
      <c r="A879" s="199" t="s">
        <v>593</v>
      </c>
      <c r="B879" s="199">
        <v>44593</v>
      </c>
      <c r="C879" s="199">
        <v>205394</v>
      </c>
      <c r="D879" s="199" t="s">
        <v>328</v>
      </c>
      <c r="E879" s="199" t="s">
        <v>239</v>
      </c>
    </row>
    <row r="880" spans="1:5" x14ac:dyDescent="0.25">
      <c r="A880" s="199" t="s">
        <v>593</v>
      </c>
      <c r="B880" s="199">
        <v>44621</v>
      </c>
      <c r="C880" s="199">
        <v>205394</v>
      </c>
      <c r="D880" s="199" t="s">
        <v>328</v>
      </c>
      <c r="E880" s="199" t="s">
        <v>239</v>
      </c>
    </row>
    <row r="881" spans="1:5" x14ac:dyDescent="0.25">
      <c r="A881" s="199" t="s">
        <v>593</v>
      </c>
      <c r="B881" s="199">
        <v>44652</v>
      </c>
      <c r="C881" s="199">
        <v>205394</v>
      </c>
      <c r="D881" s="199" t="s">
        <v>328</v>
      </c>
      <c r="E881" s="199" t="s">
        <v>239</v>
      </c>
    </row>
    <row r="882" spans="1:5" x14ac:dyDescent="0.25">
      <c r="A882" s="199" t="s">
        <v>593</v>
      </c>
      <c r="B882" s="199">
        <v>44682</v>
      </c>
      <c r="C882" s="199">
        <v>205394</v>
      </c>
      <c r="D882" s="199" t="s">
        <v>328</v>
      </c>
      <c r="E882" s="199" t="s">
        <v>239</v>
      </c>
    </row>
    <row r="883" spans="1:5" x14ac:dyDescent="0.25">
      <c r="A883" s="199" t="s">
        <v>593</v>
      </c>
      <c r="B883" s="199">
        <v>44713</v>
      </c>
      <c r="C883" s="199">
        <v>205394</v>
      </c>
      <c r="D883" s="199" t="s">
        <v>328</v>
      </c>
      <c r="E883" s="199" t="s">
        <v>239</v>
      </c>
    </row>
    <row r="884" spans="1:5" x14ac:dyDescent="0.25">
      <c r="A884" s="199" t="s">
        <v>593</v>
      </c>
      <c r="B884" s="199">
        <v>44743</v>
      </c>
      <c r="C884" s="199">
        <v>205394</v>
      </c>
      <c r="D884" s="199" t="s">
        <v>328</v>
      </c>
      <c r="E884" s="199" t="s">
        <v>239</v>
      </c>
    </row>
    <row r="885" spans="1:5" x14ac:dyDescent="0.25">
      <c r="A885" s="199" t="s">
        <v>593</v>
      </c>
      <c r="B885" s="199">
        <v>44774</v>
      </c>
      <c r="C885" s="199">
        <v>205394</v>
      </c>
      <c r="D885" s="199" t="s">
        <v>328</v>
      </c>
      <c r="E885" s="199" t="s">
        <v>239</v>
      </c>
    </row>
    <row r="886" spans="1:5" x14ac:dyDescent="0.25">
      <c r="A886" s="199" t="s">
        <v>593</v>
      </c>
      <c r="B886" s="199">
        <v>44805</v>
      </c>
      <c r="C886" s="199">
        <v>205394</v>
      </c>
      <c r="D886" s="199" t="s">
        <v>328</v>
      </c>
      <c r="E886" s="199" t="s">
        <v>239</v>
      </c>
    </row>
    <row r="887" spans="1:5" x14ac:dyDescent="0.25">
      <c r="A887" s="199" t="s">
        <v>593</v>
      </c>
      <c r="B887" s="199">
        <v>44835</v>
      </c>
      <c r="C887" s="199">
        <v>205394</v>
      </c>
      <c r="D887" s="199" t="s">
        <v>328</v>
      </c>
      <c r="E887" s="199" t="s">
        <v>239</v>
      </c>
    </row>
    <row r="888" spans="1:5" x14ac:dyDescent="0.25">
      <c r="A888" s="199" t="s">
        <v>593</v>
      </c>
      <c r="B888" s="199">
        <v>44866</v>
      </c>
      <c r="C888" s="199">
        <v>205394</v>
      </c>
      <c r="D888" s="199" t="s">
        <v>328</v>
      </c>
      <c r="E888" s="199" t="s">
        <v>239</v>
      </c>
    </row>
    <row r="889" spans="1:5" x14ac:dyDescent="0.25">
      <c r="A889" s="199" t="s">
        <v>593</v>
      </c>
      <c r="B889" s="199">
        <v>44896</v>
      </c>
      <c r="C889" s="199">
        <v>205394</v>
      </c>
      <c r="D889" s="199" t="s">
        <v>328</v>
      </c>
      <c r="E889" s="199" t="s">
        <v>239</v>
      </c>
    </row>
    <row r="890" spans="1:5" x14ac:dyDescent="0.25">
      <c r="A890" s="199" t="s">
        <v>517</v>
      </c>
      <c r="B890" s="199">
        <v>44562</v>
      </c>
      <c r="C890" s="199">
        <v>28320</v>
      </c>
      <c r="D890" s="199" t="s">
        <v>440</v>
      </c>
      <c r="E890" s="199" t="s">
        <v>239</v>
      </c>
    </row>
    <row r="891" spans="1:5" x14ac:dyDescent="0.25">
      <c r="A891" s="199" t="s">
        <v>517</v>
      </c>
      <c r="B891" s="199">
        <v>44593</v>
      </c>
      <c r="C891" s="199"/>
      <c r="D891" s="199" t="s">
        <v>440</v>
      </c>
      <c r="E891" s="199" t="s">
        <v>239</v>
      </c>
    </row>
    <row r="892" spans="1:5" x14ac:dyDescent="0.25">
      <c r="A892" s="199" t="s">
        <v>517</v>
      </c>
      <c r="B892" s="199">
        <v>44621</v>
      </c>
      <c r="C892" s="199"/>
      <c r="D892" s="199" t="s">
        <v>440</v>
      </c>
      <c r="E892" s="199" t="s">
        <v>239</v>
      </c>
    </row>
    <row r="893" spans="1:5" x14ac:dyDescent="0.25">
      <c r="A893" s="199" t="s">
        <v>530</v>
      </c>
      <c r="B893" s="199">
        <v>44713</v>
      </c>
      <c r="C893" s="199">
        <v>18000</v>
      </c>
      <c r="D893" s="199" t="s">
        <v>412</v>
      </c>
      <c r="E893" s="199" t="s">
        <v>239</v>
      </c>
    </row>
    <row r="894" spans="1:5" x14ac:dyDescent="0.25">
      <c r="A894" s="199" t="s">
        <v>530</v>
      </c>
      <c r="B894" s="199">
        <v>44743</v>
      </c>
      <c r="C894" s="199">
        <v>18000</v>
      </c>
      <c r="D894" s="199" t="s">
        <v>412</v>
      </c>
      <c r="E894" s="199" t="s">
        <v>239</v>
      </c>
    </row>
    <row r="895" spans="1:5" x14ac:dyDescent="0.25">
      <c r="A895" s="199" t="s">
        <v>530</v>
      </c>
      <c r="B895" s="199">
        <v>44774</v>
      </c>
      <c r="C895" s="199">
        <v>18000</v>
      </c>
      <c r="D895" s="199" t="s">
        <v>412</v>
      </c>
      <c r="E895" s="199" t="s">
        <v>239</v>
      </c>
    </row>
    <row r="896" spans="1:5" x14ac:dyDescent="0.25">
      <c r="A896" s="199" t="s">
        <v>530</v>
      </c>
      <c r="B896" s="199">
        <v>44805</v>
      </c>
      <c r="C896" s="199">
        <v>18000</v>
      </c>
      <c r="D896" s="199" t="s">
        <v>412</v>
      </c>
      <c r="E896" s="199" t="s">
        <v>239</v>
      </c>
    </row>
    <row r="897" spans="1:5" x14ac:dyDescent="0.25">
      <c r="A897" s="199" t="s">
        <v>530</v>
      </c>
      <c r="B897" s="199">
        <v>44835</v>
      </c>
      <c r="C897" s="199">
        <v>18000</v>
      </c>
      <c r="D897" s="199" t="s">
        <v>412</v>
      </c>
      <c r="E897" s="199" t="s">
        <v>239</v>
      </c>
    </row>
    <row r="898" spans="1:5" x14ac:dyDescent="0.25">
      <c r="A898" s="199" t="s">
        <v>530</v>
      </c>
      <c r="B898" s="199">
        <v>44866</v>
      </c>
      <c r="C898" s="199">
        <v>18000</v>
      </c>
      <c r="D898" s="199" t="s">
        <v>412</v>
      </c>
      <c r="E898" s="199" t="s">
        <v>239</v>
      </c>
    </row>
    <row r="899" spans="1:5" x14ac:dyDescent="0.25">
      <c r="A899" s="199" t="s">
        <v>530</v>
      </c>
      <c r="B899" s="199">
        <v>44896</v>
      </c>
      <c r="C899" s="199">
        <v>18000</v>
      </c>
      <c r="D899" s="199" t="s">
        <v>412</v>
      </c>
      <c r="E899" s="199" t="s">
        <v>239</v>
      </c>
    </row>
    <row r="900" spans="1:5" x14ac:dyDescent="0.25">
      <c r="A900" s="199" t="s">
        <v>481</v>
      </c>
      <c r="B900" s="199">
        <v>44652</v>
      </c>
      <c r="C900" s="199"/>
      <c r="D900" s="199" t="s">
        <v>417</v>
      </c>
      <c r="E900" s="199" t="s">
        <v>239</v>
      </c>
    </row>
    <row r="901" spans="1:5" x14ac:dyDescent="0.25">
      <c r="A901" s="199" t="s">
        <v>481</v>
      </c>
      <c r="B901" s="199">
        <v>44682</v>
      </c>
      <c r="C901" s="199">
        <v>88500</v>
      </c>
      <c r="D901" s="199" t="s">
        <v>417</v>
      </c>
      <c r="E901" s="199" t="s">
        <v>239</v>
      </c>
    </row>
    <row r="902" spans="1:5" x14ac:dyDescent="0.25">
      <c r="A902" s="199" t="s">
        <v>481</v>
      </c>
      <c r="B902" s="199">
        <v>44713</v>
      </c>
      <c r="C902" s="199"/>
      <c r="D902" s="199" t="s">
        <v>417</v>
      </c>
      <c r="E902" s="199" t="s">
        <v>239</v>
      </c>
    </row>
    <row r="903" spans="1:5" x14ac:dyDescent="0.25">
      <c r="A903" s="199" t="s">
        <v>481</v>
      </c>
      <c r="B903" s="199">
        <v>44743</v>
      </c>
      <c r="C903" s="199"/>
      <c r="D903" s="199" t="s">
        <v>417</v>
      </c>
      <c r="E903" s="199" t="s">
        <v>239</v>
      </c>
    </row>
    <row r="904" spans="1:5" x14ac:dyDescent="0.25">
      <c r="A904" s="199" t="s">
        <v>481</v>
      </c>
      <c r="B904" s="199">
        <v>44774</v>
      </c>
      <c r="C904" s="199"/>
      <c r="D904" s="199" t="s">
        <v>417</v>
      </c>
      <c r="E904" s="199" t="s">
        <v>239</v>
      </c>
    </row>
    <row r="905" spans="1:5" x14ac:dyDescent="0.25">
      <c r="A905" s="199" t="s">
        <v>481</v>
      </c>
      <c r="B905" s="199">
        <v>44805</v>
      </c>
      <c r="C905" s="199"/>
      <c r="D905" s="199" t="s">
        <v>417</v>
      </c>
      <c r="E905" s="199" t="s">
        <v>239</v>
      </c>
    </row>
    <row r="906" spans="1:5" x14ac:dyDescent="0.25">
      <c r="A906" s="199" t="s">
        <v>481</v>
      </c>
      <c r="B906" s="199">
        <v>44835</v>
      </c>
      <c r="C906" s="199"/>
      <c r="D906" s="199" t="s">
        <v>417</v>
      </c>
      <c r="E906" s="199" t="s">
        <v>239</v>
      </c>
    </row>
    <row r="907" spans="1:5" x14ac:dyDescent="0.25">
      <c r="A907" s="199" t="s">
        <v>481</v>
      </c>
      <c r="B907" s="199">
        <v>44866</v>
      </c>
      <c r="C907" s="199"/>
      <c r="D907" s="199" t="s">
        <v>417</v>
      </c>
      <c r="E907" s="199" t="s">
        <v>239</v>
      </c>
    </row>
    <row r="908" spans="1:5" x14ac:dyDescent="0.25">
      <c r="A908" s="199" t="s">
        <v>481</v>
      </c>
      <c r="B908" s="199">
        <v>44896</v>
      </c>
      <c r="C908" s="199">
        <v>0</v>
      </c>
      <c r="D908" s="199" t="s">
        <v>417</v>
      </c>
      <c r="E908" s="199" t="s">
        <v>239</v>
      </c>
    </row>
    <row r="909" spans="1:5" x14ac:dyDescent="0.25">
      <c r="A909" s="199" t="s">
        <v>517</v>
      </c>
      <c r="B909" s="199">
        <v>44652</v>
      </c>
      <c r="C909" s="199"/>
      <c r="D909" s="199" t="s">
        <v>440</v>
      </c>
      <c r="E909" s="199" t="s">
        <v>239</v>
      </c>
    </row>
    <row r="910" spans="1:5" x14ac:dyDescent="0.25">
      <c r="A910" s="199" t="s">
        <v>517</v>
      </c>
      <c r="B910" s="199">
        <v>44682</v>
      </c>
      <c r="C910" s="199">
        <v>118000</v>
      </c>
      <c r="D910" s="199" t="s">
        <v>440</v>
      </c>
      <c r="E910" s="199" t="s">
        <v>239</v>
      </c>
    </row>
    <row r="911" spans="1:5" x14ac:dyDescent="0.25">
      <c r="A911" s="199" t="s">
        <v>517</v>
      </c>
      <c r="B911" s="199">
        <v>44713</v>
      </c>
      <c r="C911" s="199"/>
      <c r="D911" s="199" t="s">
        <v>440</v>
      </c>
      <c r="E911" s="199" t="s">
        <v>239</v>
      </c>
    </row>
    <row r="912" spans="1:5" x14ac:dyDescent="0.25">
      <c r="A912" s="199" t="s">
        <v>517</v>
      </c>
      <c r="B912" s="199">
        <v>44743</v>
      </c>
      <c r="C912" s="199"/>
      <c r="D912" s="199" t="s">
        <v>440</v>
      </c>
      <c r="E912" s="199" t="s">
        <v>239</v>
      </c>
    </row>
    <row r="913" spans="1:5" x14ac:dyDescent="0.25">
      <c r="A913" s="199" t="s">
        <v>517</v>
      </c>
      <c r="B913" s="199">
        <v>44774</v>
      </c>
      <c r="C913" s="199"/>
      <c r="D913" s="199" t="s">
        <v>440</v>
      </c>
      <c r="E913" s="199" t="s">
        <v>239</v>
      </c>
    </row>
    <row r="914" spans="1:5" x14ac:dyDescent="0.25">
      <c r="A914" s="199" t="s">
        <v>517</v>
      </c>
      <c r="B914" s="199">
        <v>44805</v>
      </c>
      <c r="C914" s="199"/>
      <c r="D914" s="199" t="s">
        <v>440</v>
      </c>
      <c r="E914" s="199" t="s">
        <v>239</v>
      </c>
    </row>
    <row r="915" spans="1:5" x14ac:dyDescent="0.25">
      <c r="A915" s="199" t="s">
        <v>517</v>
      </c>
      <c r="B915" s="199">
        <v>44835</v>
      </c>
      <c r="C915" s="199"/>
      <c r="D915" s="199" t="s">
        <v>440</v>
      </c>
      <c r="E915" s="199" t="s">
        <v>239</v>
      </c>
    </row>
    <row r="916" spans="1:5" x14ac:dyDescent="0.25">
      <c r="A916" s="199" t="s">
        <v>517</v>
      </c>
      <c r="B916" s="199">
        <v>44866</v>
      </c>
      <c r="C916" s="199">
        <v>1026600</v>
      </c>
      <c r="D916" s="199" t="s">
        <v>440</v>
      </c>
      <c r="E916" s="199" t="s">
        <v>239</v>
      </c>
    </row>
    <row r="917" spans="1:5" x14ac:dyDescent="0.25">
      <c r="A917" s="199" t="s">
        <v>517</v>
      </c>
      <c r="B917" s="199">
        <v>44896</v>
      </c>
      <c r="C917" s="199"/>
      <c r="D917" s="199" t="s">
        <v>440</v>
      </c>
      <c r="E917" s="199" t="s">
        <v>239</v>
      </c>
    </row>
    <row r="918" spans="1:5" x14ac:dyDescent="0.25">
      <c r="A918" s="199" t="s">
        <v>497</v>
      </c>
      <c r="B918" s="199">
        <v>44562</v>
      </c>
      <c r="C918" s="199">
        <v>5000</v>
      </c>
      <c r="D918" s="199" t="s">
        <v>477</v>
      </c>
      <c r="E918" s="199" t="s">
        <v>239</v>
      </c>
    </row>
    <row r="919" spans="1:5" x14ac:dyDescent="0.25">
      <c r="A919" s="199" t="s">
        <v>497</v>
      </c>
      <c r="B919" s="199">
        <v>44593</v>
      </c>
      <c r="C919" s="199">
        <v>5000</v>
      </c>
      <c r="D919" s="199" t="s">
        <v>477</v>
      </c>
      <c r="E919" s="199" t="s">
        <v>239</v>
      </c>
    </row>
    <row r="920" spans="1:5" x14ac:dyDescent="0.25">
      <c r="A920" s="199" t="s">
        <v>497</v>
      </c>
      <c r="B920" s="199">
        <v>44621</v>
      </c>
      <c r="C920" s="199">
        <v>5000</v>
      </c>
      <c r="D920" s="199" t="s">
        <v>477</v>
      </c>
      <c r="E920" s="199" t="s">
        <v>239</v>
      </c>
    </row>
    <row r="921" spans="1:5" x14ac:dyDescent="0.25">
      <c r="A921" s="199" t="s">
        <v>497</v>
      </c>
      <c r="B921" s="199">
        <v>44652</v>
      </c>
      <c r="C921" s="199">
        <v>5000</v>
      </c>
      <c r="D921" s="199" t="s">
        <v>477</v>
      </c>
      <c r="E921" s="199" t="s">
        <v>239</v>
      </c>
    </row>
    <row r="922" spans="1:5" x14ac:dyDescent="0.25">
      <c r="A922" s="199" t="s">
        <v>497</v>
      </c>
      <c r="B922" s="199">
        <v>44682</v>
      </c>
      <c r="C922" s="199">
        <v>5000</v>
      </c>
      <c r="D922" s="199" t="s">
        <v>477</v>
      </c>
      <c r="E922" s="199" t="s">
        <v>239</v>
      </c>
    </row>
    <row r="923" spans="1:5" x14ac:dyDescent="0.25">
      <c r="A923" s="199" t="s">
        <v>497</v>
      </c>
      <c r="B923" s="199">
        <v>44713</v>
      </c>
      <c r="C923" s="199">
        <v>5000</v>
      </c>
      <c r="D923" s="199" t="s">
        <v>477</v>
      </c>
      <c r="E923" s="199" t="s">
        <v>239</v>
      </c>
    </row>
    <row r="924" spans="1:5" x14ac:dyDescent="0.25">
      <c r="A924" s="199" t="s">
        <v>497</v>
      </c>
      <c r="B924" s="199">
        <v>44743</v>
      </c>
      <c r="C924" s="199">
        <v>5000</v>
      </c>
      <c r="D924" s="199" t="s">
        <v>477</v>
      </c>
      <c r="E924" s="199" t="s">
        <v>239</v>
      </c>
    </row>
    <row r="925" spans="1:5" x14ac:dyDescent="0.25">
      <c r="A925" s="199" t="s">
        <v>497</v>
      </c>
      <c r="B925" s="199">
        <v>44774</v>
      </c>
      <c r="C925" s="199">
        <v>5000</v>
      </c>
      <c r="D925" s="199" t="s">
        <v>477</v>
      </c>
      <c r="E925" s="199" t="s">
        <v>239</v>
      </c>
    </row>
    <row r="926" spans="1:5" x14ac:dyDescent="0.25">
      <c r="A926" s="199" t="s">
        <v>497</v>
      </c>
      <c r="B926" s="199">
        <v>44805</v>
      </c>
      <c r="C926" s="199">
        <v>5000</v>
      </c>
      <c r="D926" s="199" t="s">
        <v>477</v>
      </c>
      <c r="E926" s="199" t="s">
        <v>239</v>
      </c>
    </row>
    <row r="927" spans="1:5" x14ac:dyDescent="0.25">
      <c r="A927" s="199" t="s">
        <v>497</v>
      </c>
      <c r="B927" s="199">
        <v>44835</v>
      </c>
      <c r="C927" s="199">
        <v>5000</v>
      </c>
      <c r="D927" s="199" t="s">
        <v>477</v>
      </c>
      <c r="E927" s="199" t="s">
        <v>239</v>
      </c>
    </row>
    <row r="928" spans="1:5" x14ac:dyDescent="0.25">
      <c r="A928" s="199" t="s">
        <v>497</v>
      </c>
      <c r="B928" s="199">
        <v>44866</v>
      </c>
      <c r="C928" s="199">
        <v>5000</v>
      </c>
      <c r="D928" s="199" t="s">
        <v>477</v>
      </c>
      <c r="E928" s="199" t="s">
        <v>239</v>
      </c>
    </row>
    <row r="929" spans="1:5" x14ac:dyDescent="0.25">
      <c r="A929" s="199" t="s">
        <v>497</v>
      </c>
      <c r="B929" s="199">
        <v>44896</v>
      </c>
      <c r="C929" s="199">
        <v>5000</v>
      </c>
      <c r="D929" s="199" t="s">
        <v>477</v>
      </c>
      <c r="E929" s="199" t="s">
        <v>239</v>
      </c>
    </row>
    <row r="930" spans="1:5" x14ac:dyDescent="0.25">
      <c r="A930" s="199" t="s">
        <v>499</v>
      </c>
      <c r="B930" s="199">
        <v>44621</v>
      </c>
      <c r="C930" s="199">
        <v>100000</v>
      </c>
      <c r="D930" s="199" t="s">
        <v>473</v>
      </c>
      <c r="E930" s="199" t="s">
        <v>239</v>
      </c>
    </row>
    <row r="931" spans="1:5" x14ac:dyDescent="0.25">
      <c r="A931" s="199" t="s">
        <v>538</v>
      </c>
      <c r="B931" s="199">
        <v>44562</v>
      </c>
      <c r="C931" s="199"/>
      <c r="D931" s="199" t="s">
        <v>391</v>
      </c>
      <c r="E931" s="199" t="s">
        <v>239</v>
      </c>
    </row>
    <row r="932" spans="1:5" x14ac:dyDescent="0.25">
      <c r="A932" s="199" t="s">
        <v>538</v>
      </c>
      <c r="B932" s="199">
        <v>44593</v>
      </c>
      <c r="C932" s="199"/>
      <c r="D932" s="199" t="s">
        <v>391</v>
      </c>
      <c r="E932" s="199" t="s">
        <v>239</v>
      </c>
    </row>
    <row r="933" spans="1:5" x14ac:dyDescent="0.25">
      <c r="A933" s="199" t="s">
        <v>538</v>
      </c>
      <c r="B933" s="199">
        <v>44621</v>
      </c>
      <c r="C933" s="199"/>
      <c r="D933" s="199" t="s">
        <v>391</v>
      </c>
      <c r="E933" s="199" t="s">
        <v>239</v>
      </c>
    </row>
    <row r="934" spans="1:5" x14ac:dyDescent="0.25">
      <c r="A934" s="199" t="s">
        <v>538</v>
      </c>
      <c r="B934" s="199">
        <v>44652</v>
      </c>
      <c r="C934" s="199"/>
      <c r="D934" s="199" t="s">
        <v>391</v>
      </c>
      <c r="E934" s="199" t="s">
        <v>239</v>
      </c>
    </row>
    <row r="935" spans="1:5" x14ac:dyDescent="0.25">
      <c r="A935" s="199" t="s">
        <v>538</v>
      </c>
      <c r="B935" s="199">
        <v>44682</v>
      </c>
      <c r="C935" s="199">
        <v>45000</v>
      </c>
      <c r="D935" s="199" t="s">
        <v>391</v>
      </c>
      <c r="E935" s="199" t="s">
        <v>239</v>
      </c>
    </row>
    <row r="936" spans="1:5" x14ac:dyDescent="0.25">
      <c r="A936" s="199" t="s">
        <v>538</v>
      </c>
      <c r="B936" s="199">
        <v>44713</v>
      </c>
      <c r="C936" s="199"/>
      <c r="D936" s="199" t="s">
        <v>391</v>
      </c>
      <c r="E936" s="199" t="s">
        <v>239</v>
      </c>
    </row>
    <row r="937" spans="1:5" x14ac:dyDescent="0.25">
      <c r="A937" s="199" t="s">
        <v>538</v>
      </c>
      <c r="B937" s="199">
        <v>44743</v>
      </c>
      <c r="C937" s="199"/>
      <c r="D937" s="199" t="s">
        <v>391</v>
      </c>
      <c r="E937" s="199" t="s">
        <v>239</v>
      </c>
    </row>
    <row r="938" spans="1:5" x14ac:dyDescent="0.25">
      <c r="A938" s="199" t="s">
        <v>538</v>
      </c>
      <c r="B938" s="199">
        <v>44774</v>
      </c>
      <c r="C938" s="199"/>
      <c r="D938" s="199" t="s">
        <v>391</v>
      </c>
      <c r="E938" s="199" t="s">
        <v>239</v>
      </c>
    </row>
    <row r="939" spans="1:5" x14ac:dyDescent="0.25">
      <c r="A939" s="199" t="s">
        <v>538</v>
      </c>
      <c r="B939" s="199">
        <v>44805</v>
      </c>
      <c r="C939" s="199"/>
      <c r="D939" s="199" t="s">
        <v>391</v>
      </c>
      <c r="E939" s="199" t="s">
        <v>239</v>
      </c>
    </row>
    <row r="940" spans="1:5" x14ac:dyDescent="0.25">
      <c r="A940" s="199" t="s">
        <v>538</v>
      </c>
      <c r="B940" s="199">
        <v>44835</v>
      </c>
      <c r="C940" s="199"/>
      <c r="D940" s="199" t="s">
        <v>391</v>
      </c>
      <c r="E940" s="199" t="s">
        <v>239</v>
      </c>
    </row>
    <row r="941" spans="1:5" x14ac:dyDescent="0.25">
      <c r="A941" s="199" t="s">
        <v>538</v>
      </c>
      <c r="B941" s="199">
        <v>44866</v>
      </c>
      <c r="C941" s="199"/>
      <c r="D941" s="199" t="s">
        <v>391</v>
      </c>
      <c r="E941" s="199" t="s">
        <v>239</v>
      </c>
    </row>
    <row r="942" spans="1:5" x14ac:dyDescent="0.25">
      <c r="A942" s="199" t="s">
        <v>538</v>
      </c>
      <c r="B942" s="199">
        <v>44896</v>
      </c>
      <c r="C942" s="199">
        <v>45000</v>
      </c>
      <c r="D942" s="199" t="s">
        <v>391</v>
      </c>
      <c r="E942" s="199" t="s">
        <v>239</v>
      </c>
    </row>
    <row r="943" spans="1:5" x14ac:dyDescent="0.25">
      <c r="A943" s="199" t="s">
        <v>513</v>
      </c>
      <c r="B943" s="199">
        <v>44562</v>
      </c>
      <c r="C943" s="199"/>
      <c r="D943" s="199" t="s">
        <v>457</v>
      </c>
      <c r="E943" s="199" t="s">
        <v>239</v>
      </c>
    </row>
    <row r="944" spans="1:5" x14ac:dyDescent="0.25">
      <c r="A944" s="199" t="s">
        <v>513</v>
      </c>
      <c r="B944" s="199">
        <v>44593</v>
      </c>
      <c r="C944" s="199"/>
      <c r="D944" s="199" t="s">
        <v>457</v>
      </c>
      <c r="E944" s="199" t="s">
        <v>239</v>
      </c>
    </row>
    <row r="945" spans="1:5" x14ac:dyDescent="0.25">
      <c r="A945" s="199" t="s">
        <v>513</v>
      </c>
      <c r="B945" s="199">
        <v>44621</v>
      </c>
      <c r="C945" s="199">
        <v>782500</v>
      </c>
      <c r="D945" s="199" t="s">
        <v>457</v>
      </c>
      <c r="E945" s="199" t="s">
        <v>239</v>
      </c>
    </row>
    <row r="946" spans="1:5" x14ac:dyDescent="0.25">
      <c r="A946" s="199" t="s">
        <v>513</v>
      </c>
      <c r="B946" s="199">
        <v>44652</v>
      </c>
      <c r="C946" s="199"/>
      <c r="D946" s="199" t="s">
        <v>457</v>
      </c>
      <c r="E946" s="199" t="s">
        <v>239</v>
      </c>
    </row>
    <row r="947" spans="1:5" x14ac:dyDescent="0.25">
      <c r="A947" s="199" t="s">
        <v>513</v>
      </c>
      <c r="B947" s="199">
        <v>44682</v>
      </c>
      <c r="C947" s="199"/>
      <c r="D947" s="199" t="s">
        <v>457</v>
      </c>
      <c r="E947" s="199" t="s">
        <v>239</v>
      </c>
    </row>
    <row r="948" spans="1:5" x14ac:dyDescent="0.25">
      <c r="A948" s="199" t="s">
        <v>513</v>
      </c>
      <c r="B948" s="199">
        <v>44713</v>
      </c>
      <c r="C948" s="199"/>
      <c r="D948" s="199" t="s">
        <v>457</v>
      </c>
      <c r="E948" s="199" t="s">
        <v>239</v>
      </c>
    </row>
    <row r="949" spans="1:5" x14ac:dyDescent="0.25">
      <c r="A949" s="199" t="s">
        <v>513</v>
      </c>
      <c r="B949" s="199">
        <v>44743</v>
      </c>
      <c r="C949" s="199"/>
      <c r="D949" s="199" t="s">
        <v>457</v>
      </c>
      <c r="E949" s="199" t="s">
        <v>239</v>
      </c>
    </row>
    <row r="950" spans="1:5" x14ac:dyDescent="0.25">
      <c r="A950" s="199" t="s">
        <v>513</v>
      </c>
      <c r="B950" s="199">
        <v>44774</v>
      </c>
      <c r="C950" s="199"/>
      <c r="D950" s="199" t="s">
        <v>457</v>
      </c>
      <c r="E950" s="199" t="s">
        <v>239</v>
      </c>
    </row>
    <row r="951" spans="1:5" x14ac:dyDescent="0.25">
      <c r="A951" s="199" t="s">
        <v>513</v>
      </c>
      <c r="B951" s="199">
        <v>44805</v>
      </c>
      <c r="C951" s="199"/>
      <c r="D951" s="199" t="s">
        <v>457</v>
      </c>
      <c r="E951" s="199" t="s">
        <v>239</v>
      </c>
    </row>
    <row r="952" spans="1:5" x14ac:dyDescent="0.25">
      <c r="A952" s="199" t="s">
        <v>513</v>
      </c>
      <c r="B952" s="199">
        <v>44835</v>
      </c>
      <c r="C952" s="199"/>
      <c r="D952" s="199" t="s">
        <v>457</v>
      </c>
      <c r="E952" s="199" t="s">
        <v>239</v>
      </c>
    </row>
    <row r="953" spans="1:5" x14ac:dyDescent="0.25">
      <c r="A953" s="199" t="s">
        <v>513</v>
      </c>
      <c r="B953" s="199">
        <v>44866</v>
      </c>
      <c r="C953" s="199"/>
      <c r="D953" s="199" t="s">
        <v>457</v>
      </c>
      <c r="E953" s="199" t="s">
        <v>239</v>
      </c>
    </row>
    <row r="954" spans="1:5" x14ac:dyDescent="0.25">
      <c r="A954" s="199" t="s">
        <v>513</v>
      </c>
      <c r="B954" s="199">
        <v>44896</v>
      </c>
      <c r="C954" s="199"/>
      <c r="D954" s="199" t="s">
        <v>457</v>
      </c>
      <c r="E954" s="199" t="s">
        <v>239</v>
      </c>
    </row>
    <row r="955" spans="1:5" x14ac:dyDescent="0.25">
      <c r="A955" s="199" t="s">
        <v>558</v>
      </c>
      <c r="B955" s="199">
        <v>44562</v>
      </c>
      <c r="C955" s="199">
        <v>84971</v>
      </c>
      <c r="D955" s="199" t="s">
        <v>557</v>
      </c>
      <c r="E955" s="199" t="s">
        <v>239</v>
      </c>
    </row>
    <row r="956" spans="1:5" x14ac:dyDescent="0.25">
      <c r="A956" s="199" t="s">
        <v>558</v>
      </c>
      <c r="B956" s="199">
        <v>44593</v>
      </c>
      <c r="C956" s="199">
        <v>84971</v>
      </c>
      <c r="D956" s="199" t="s">
        <v>557</v>
      </c>
      <c r="E956" s="199" t="s">
        <v>239</v>
      </c>
    </row>
    <row r="957" spans="1:5" x14ac:dyDescent="0.25">
      <c r="A957" s="199" t="s">
        <v>558</v>
      </c>
      <c r="B957" s="199">
        <v>44621</v>
      </c>
      <c r="C957" s="199">
        <v>84971</v>
      </c>
      <c r="D957" s="199" t="s">
        <v>557</v>
      </c>
      <c r="E957" s="199" t="s">
        <v>239</v>
      </c>
    </row>
    <row r="958" spans="1:5" x14ac:dyDescent="0.25">
      <c r="A958" s="199" t="s">
        <v>558</v>
      </c>
      <c r="B958" s="199">
        <v>44652</v>
      </c>
      <c r="C958" s="199">
        <v>84971</v>
      </c>
      <c r="D958" s="199" t="s">
        <v>557</v>
      </c>
      <c r="E958" s="199" t="s">
        <v>239</v>
      </c>
    </row>
    <row r="959" spans="1:5" x14ac:dyDescent="0.25">
      <c r="A959" s="199" t="s">
        <v>558</v>
      </c>
      <c r="B959" s="199">
        <v>44682</v>
      </c>
      <c r="C959" s="199">
        <v>84971</v>
      </c>
      <c r="D959" s="199" t="s">
        <v>557</v>
      </c>
      <c r="E959" s="199" t="s">
        <v>239</v>
      </c>
    </row>
    <row r="960" spans="1:5" x14ac:dyDescent="0.25">
      <c r="A960" s="199" t="s">
        <v>558</v>
      </c>
      <c r="B960" s="199">
        <v>44713</v>
      </c>
      <c r="C960" s="199">
        <v>84971</v>
      </c>
      <c r="D960" s="199" t="s">
        <v>557</v>
      </c>
      <c r="E960" s="199" t="s">
        <v>239</v>
      </c>
    </row>
    <row r="961" spans="1:5" x14ac:dyDescent="0.25">
      <c r="A961" s="199" t="s">
        <v>558</v>
      </c>
      <c r="B961" s="199">
        <v>44743</v>
      </c>
      <c r="C961" s="199">
        <v>84971</v>
      </c>
      <c r="D961" s="199" t="s">
        <v>557</v>
      </c>
      <c r="E961" s="199" t="s">
        <v>239</v>
      </c>
    </row>
    <row r="962" spans="1:5" x14ac:dyDescent="0.25">
      <c r="A962" s="199" t="s">
        <v>558</v>
      </c>
      <c r="B962" s="199">
        <v>44774</v>
      </c>
      <c r="C962" s="199">
        <v>84971</v>
      </c>
      <c r="D962" s="199" t="s">
        <v>557</v>
      </c>
      <c r="E962" s="199" t="s">
        <v>239</v>
      </c>
    </row>
    <row r="963" spans="1:5" x14ac:dyDescent="0.25">
      <c r="A963" s="199" t="s">
        <v>558</v>
      </c>
      <c r="B963" s="199">
        <v>44805</v>
      </c>
      <c r="C963" s="199">
        <v>84971</v>
      </c>
      <c r="D963" s="199" t="s">
        <v>557</v>
      </c>
      <c r="E963" s="199" t="s">
        <v>239</v>
      </c>
    </row>
    <row r="964" spans="1:5" x14ac:dyDescent="0.25">
      <c r="A964" s="199" t="s">
        <v>558</v>
      </c>
      <c r="B964" s="199">
        <v>44835</v>
      </c>
      <c r="C964" s="199">
        <v>84971</v>
      </c>
      <c r="D964" s="199" t="s">
        <v>557</v>
      </c>
      <c r="E964" s="199" t="s">
        <v>239</v>
      </c>
    </row>
    <row r="965" spans="1:5" x14ac:dyDescent="0.25">
      <c r="A965" s="199" t="s">
        <v>558</v>
      </c>
      <c r="B965" s="199">
        <v>44866</v>
      </c>
      <c r="C965" s="199">
        <v>84971</v>
      </c>
      <c r="D965" s="199" t="s">
        <v>557</v>
      </c>
      <c r="E965" s="199" t="s">
        <v>239</v>
      </c>
    </row>
    <row r="966" spans="1:5" x14ac:dyDescent="0.25">
      <c r="A966" s="199" t="s">
        <v>558</v>
      </c>
      <c r="B966" s="199">
        <v>44896</v>
      </c>
      <c r="C966" s="199">
        <v>84971</v>
      </c>
      <c r="D966" s="199" t="s">
        <v>557</v>
      </c>
      <c r="E966" s="199" t="s">
        <v>239</v>
      </c>
    </row>
    <row r="967" spans="1:5" x14ac:dyDescent="0.25">
      <c r="A967" s="199" t="s">
        <v>594</v>
      </c>
      <c r="B967" s="199">
        <v>44562</v>
      </c>
      <c r="C967" s="199">
        <v>392981</v>
      </c>
      <c r="D967" s="199" t="s">
        <v>559</v>
      </c>
      <c r="E967" s="199" t="s">
        <v>239</v>
      </c>
    </row>
    <row r="968" spans="1:5" x14ac:dyDescent="0.25">
      <c r="A968" s="199" t="s">
        <v>594</v>
      </c>
      <c r="B968" s="199">
        <v>44593</v>
      </c>
      <c r="C968" s="199">
        <v>392981</v>
      </c>
      <c r="D968" s="199" t="s">
        <v>559</v>
      </c>
      <c r="E968" s="199" t="s">
        <v>239</v>
      </c>
    </row>
    <row r="969" spans="1:5" x14ac:dyDescent="0.25">
      <c r="A969" s="199" t="s">
        <v>594</v>
      </c>
      <c r="B969" s="199">
        <v>44621</v>
      </c>
      <c r="C969" s="199">
        <v>392981</v>
      </c>
      <c r="D969" s="199" t="s">
        <v>559</v>
      </c>
      <c r="E969" s="199" t="s">
        <v>239</v>
      </c>
    </row>
    <row r="970" spans="1:5" x14ac:dyDescent="0.25">
      <c r="A970" s="199" t="s">
        <v>594</v>
      </c>
      <c r="B970" s="199">
        <v>44652</v>
      </c>
      <c r="C970" s="199">
        <v>392981</v>
      </c>
      <c r="D970" s="199" t="s">
        <v>559</v>
      </c>
      <c r="E970" s="199" t="s">
        <v>239</v>
      </c>
    </row>
    <row r="971" spans="1:5" x14ac:dyDescent="0.25">
      <c r="A971" s="199" t="s">
        <v>594</v>
      </c>
      <c r="B971" s="199">
        <v>44682</v>
      </c>
      <c r="C971" s="199">
        <v>392981</v>
      </c>
      <c r="D971" s="199" t="s">
        <v>559</v>
      </c>
      <c r="E971" s="199" t="s">
        <v>239</v>
      </c>
    </row>
    <row r="972" spans="1:5" x14ac:dyDescent="0.25">
      <c r="A972" s="199" t="s">
        <v>594</v>
      </c>
      <c r="B972" s="199">
        <v>44713</v>
      </c>
      <c r="C972" s="199">
        <v>392981</v>
      </c>
      <c r="D972" s="199" t="s">
        <v>559</v>
      </c>
      <c r="E972" s="199" t="s">
        <v>239</v>
      </c>
    </row>
    <row r="973" spans="1:5" x14ac:dyDescent="0.25">
      <c r="A973" s="199" t="s">
        <v>594</v>
      </c>
      <c r="B973" s="199">
        <v>44743</v>
      </c>
      <c r="C973" s="199">
        <v>392981</v>
      </c>
      <c r="D973" s="199" t="s">
        <v>559</v>
      </c>
      <c r="E973" s="199" t="s">
        <v>239</v>
      </c>
    </row>
    <row r="974" spans="1:5" x14ac:dyDescent="0.25">
      <c r="A974" s="199" t="s">
        <v>594</v>
      </c>
      <c r="B974" s="199">
        <v>44774</v>
      </c>
      <c r="C974" s="199">
        <v>392981</v>
      </c>
      <c r="D974" s="199" t="s">
        <v>559</v>
      </c>
      <c r="E974" s="199" t="s">
        <v>239</v>
      </c>
    </row>
    <row r="975" spans="1:5" x14ac:dyDescent="0.25">
      <c r="A975" s="199" t="s">
        <v>594</v>
      </c>
      <c r="B975" s="199">
        <v>44805</v>
      </c>
      <c r="C975" s="199">
        <v>392981</v>
      </c>
      <c r="D975" s="199" t="s">
        <v>559</v>
      </c>
      <c r="E975" s="199" t="s">
        <v>239</v>
      </c>
    </row>
    <row r="976" spans="1:5" x14ac:dyDescent="0.25">
      <c r="A976" s="199" t="s">
        <v>594</v>
      </c>
      <c r="B976" s="199">
        <v>44835</v>
      </c>
      <c r="C976" s="199">
        <v>392981</v>
      </c>
      <c r="D976" s="199" t="s">
        <v>559</v>
      </c>
      <c r="E976" s="199" t="s">
        <v>239</v>
      </c>
    </row>
    <row r="977" spans="1:5" x14ac:dyDescent="0.25">
      <c r="A977" s="199" t="s">
        <v>594</v>
      </c>
      <c r="B977" s="199">
        <v>44866</v>
      </c>
      <c r="C977" s="199">
        <v>392981</v>
      </c>
      <c r="D977" s="199" t="s">
        <v>559</v>
      </c>
      <c r="E977" s="199" t="s">
        <v>239</v>
      </c>
    </row>
    <row r="978" spans="1:5" x14ac:dyDescent="0.25">
      <c r="A978" s="199" t="s">
        <v>594</v>
      </c>
      <c r="B978" s="199">
        <v>44896</v>
      </c>
      <c r="C978" s="199">
        <v>392981</v>
      </c>
      <c r="D978" s="199" t="s">
        <v>559</v>
      </c>
      <c r="E978" s="199" t="s">
        <v>239</v>
      </c>
    </row>
    <row r="979" spans="1:5" x14ac:dyDescent="0.25">
      <c r="A979" s="199" t="s">
        <v>536</v>
      </c>
      <c r="B979" s="199">
        <v>44896</v>
      </c>
      <c r="C979" s="199">
        <v>5000</v>
      </c>
      <c r="D979" s="199" t="s">
        <v>480</v>
      </c>
      <c r="E979" s="199" t="s">
        <v>239</v>
      </c>
    </row>
    <row r="980" spans="1:5" x14ac:dyDescent="0.25">
      <c r="A980" s="199" t="s">
        <v>535</v>
      </c>
      <c r="B980" s="199">
        <v>44896</v>
      </c>
      <c r="C980" s="199">
        <v>80000</v>
      </c>
      <c r="D980" s="199" t="s">
        <v>479</v>
      </c>
      <c r="E980" s="199" t="s">
        <v>239</v>
      </c>
    </row>
    <row r="981" spans="1:5" x14ac:dyDescent="0.25">
      <c r="A981" s="199" t="s">
        <v>486</v>
      </c>
      <c r="B981" s="199">
        <v>44562</v>
      </c>
      <c r="C981" s="199">
        <v>69660</v>
      </c>
      <c r="D981" s="199" t="s">
        <v>476</v>
      </c>
      <c r="E981" s="199" t="s">
        <v>239</v>
      </c>
    </row>
    <row r="982" spans="1:5" x14ac:dyDescent="0.25">
      <c r="A982" s="199" t="s">
        <v>486</v>
      </c>
      <c r="B982" s="199">
        <v>44593</v>
      </c>
      <c r="C982" s="199">
        <v>69660</v>
      </c>
      <c r="D982" s="199" t="s">
        <v>476</v>
      </c>
      <c r="E982" s="199" t="s">
        <v>239</v>
      </c>
    </row>
    <row r="983" spans="1:5" x14ac:dyDescent="0.25">
      <c r="A983" s="199" t="s">
        <v>486</v>
      </c>
      <c r="B983" s="199">
        <v>44621</v>
      </c>
      <c r="C983" s="199">
        <v>69660</v>
      </c>
      <c r="D983" s="199" t="s">
        <v>476</v>
      </c>
      <c r="E983" s="199" t="s">
        <v>239</v>
      </c>
    </row>
    <row r="984" spans="1:5" x14ac:dyDescent="0.25">
      <c r="A984" s="199" t="s">
        <v>486</v>
      </c>
      <c r="B984" s="199">
        <v>44652</v>
      </c>
      <c r="C984" s="199">
        <v>69660</v>
      </c>
      <c r="D984" s="199" t="s">
        <v>476</v>
      </c>
      <c r="E984" s="199" t="s">
        <v>239</v>
      </c>
    </row>
    <row r="985" spans="1:5" x14ac:dyDescent="0.25">
      <c r="A985" s="199" t="s">
        <v>486</v>
      </c>
      <c r="B985" s="199">
        <v>44682</v>
      </c>
      <c r="C985" s="199">
        <v>69660</v>
      </c>
      <c r="D985" s="199" t="s">
        <v>476</v>
      </c>
      <c r="E985" s="199" t="s">
        <v>239</v>
      </c>
    </row>
    <row r="986" spans="1:5" x14ac:dyDescent="0.25">
      <c r="A986" s="199" t="s">
        <v>486</v>
      </c>
      <c r="B986" s="199">
        <v>44713</v>
      </c>
      <c r="C986" s="199">
        <v>69660</v>
      </c>
      <c r="D986" s="199" t="s">
        <v>476</v>
      </c>
      <c r="E986" s="199" t="s">
        <v>239</v>
      </c>
    </row>
    <row r="987" spans="1:5" x14ac:dyDescent="0.25">
      <c r="A987" s="199" t="s">
        <v>486</v>
      </c>
      <c r="B987" s="199">
        <v>44743</v>
      </c>
      <c r="C987" s="199">
        <v>69660</v>
      </c>
      <c r="D987" s="199" t="s">
        <v>476</v>
      </c>
      <c r="E987" s="199" t="s">
        <v>239</v>
      </c>
    </row>
    <row r="988" spans="1:5" x14ac:dyDescent="0.25">
      <c r="A988" s="199" t="s">
        <v>486</v>
      </c>
      <c r="B988" s="199">
        <v>44774</v>
      </c>
      <c r="C988" s="199">
        <v>69660</v>
      </c>
      <c r="D988" s="199" t="s">
        <v>476</v>
      </c>
      <c r="E988" s="199" t="s">
        <v>239</v>
      </c>
    </row>
    <row r="989" spans="1:5" x14ac:dyDescent="0.25">
      <c r="A989" s="199" t="s">
        <v>486</v>
      </c>
      <c r="B989" s="199">
        <v>44805</v>
      </c>
      <c r="C989" s="199">
        <v>69660</v>
      </c>
      <c r="D989" s="199" t="s">
        <v>476</v>
      </c>
      <c r="E989" s="199" t="s">
        <v>239</v>
      </c>
    </row>
    <row r="990" spans="1:5" x14ac:dyDescent="0.25">
      <c r="A990" s="199" t="s">
        <v>486</v>
      </c>
      <c r="B990" s="199">
        <v>44835</v>
      </c>
      <c r="C990" s="199">
        <v>69660</v>
      </c>
      <c r="D990" s="199" t="s">
        <v>476</v>
      </c>
      <c r="E990" s="199" t="s">
        <v>239</v>
      </c>
    </row>
    <row r="991" spans="1:5" x14ac:dyDescent="0.25">
      <c r="A991" s="199" t="s">
        <v>486</v>
      </c>
      <c r="B991" s="199">
        <v>44866</v>
      </c>
      <c r="C991" s="199">
        <v>69660</v>
      </c>
      <c r="D991" s="199" t="s">
        <v>476</v>
      </c>
      <c r="E991" s="199" t="s">
        <v>239</v>
      </c>
    </row>
    <row r="992" spans="1:5" x14ac:dyDescent="0.25">
      <c r="A992" s="199" t="s">
        <v>486</v>
      </c>
      <c r="B992" s="199">
        <v>44896</v>
      </c>
      <c r="C992" s="199">
        <v>69660</v>
      </c>
      <c r="D992" s="199" t="s">
        <v>476</v>
      </c>
      <c r="E992" s="199" t="s">
        <v>239</v>
      </c>
    </row>
    <row r="993" spans="1:5" x14ac:dyDescent="0.25">
      <c r="A993" s="199" t="s">
        <v>522</v>
      </c>
      <c r="B993" s="199">
        <v>44743</v>
      </c>
      <c r="C993" s="199">
        <v>1100000</v>
      </c>
      <c r="D993" s="199" t="s">
        <v>475</v>
      </c>
      <c r="E993" s="199" t="s">
        <v>239</v>
      </c>
    </row>
    <row r="994" spans="1:5" x14ac:dyDescent="0.25">
      <c r="A994" s="199" t="s">
        <v>595</v>
      </c>
      <c r="B994" s="199">
        <v>44562</v>
      </c>
      <c r="C994" s="199"/>
      <c r="D994" s="199" t="s">
        <v>596</v>
      </c>
      <c r="E994" s="199" t="s">
        <v>239</v>
      </c>
    </row>
    <row r="995" spans="1:5" x14ac:dyDescent="0.25">
      <c r="A995" s="199" t="s">
        <v>595</v>
      </c>
      <c r="B995" s="199">
        <v>44593</v>
      </c>
      <c r="C995" s="199"/>
      <c r="D995" s="199" t="s">
        <v>596</v>
      </c>
      <c r="E995" s="199" t="s">
        <v>239</v>
      </c>
    </row>
    <row r="996" spans="1:5" x14ac:dyDescent="0.25">
      <c r="A996" s="199" t="s">
        <v>595</v>
      </c>
      <c r="B996" s="199">
        <v>44621</v>
      </c>
      <c r="C996" s="199"/>
      <c r="D996" s="199" t="s">
        <v>596</v>
      </c>
      <c r="E996" s="199" t="s">
        <v>239</v>
      </c>
    </row>
    <row r="997" spans="1:5" x14ac:dyDescent="0.25">
      <c r="A997" s="199" t="s">
        <v>595</v>
      </c>
      <c r="B997" s="199">
        <v>44652</v>
      </c>
      <c r="C997" s="199"/>
      <c r="D997" s="199" t="s">
        <v>596</v>
      </c>
      <c r="E997" s="199" t="s">
        <v>239</v>
      </c>
    </row>
    <row r="998" spans="1:5" x14ac:dyDescent="0.25">
      <c r="A998" s="199" t="s">
        <v>595</v>
      </c>
      <c r="B998" s="199">
        <v>44682</v>
      </c>
      <c r="C998" s="199"/>
      <c r="D998" s="199" t="s">
        <v>596</v>
      </c>
      <c r="E998" s="199" t="s">
        <v>239</v>
      </c>
    </row>
    <row r="999" spans="1:5" x14ac:dyDescent="0.25">
      <c r="A999" s="199" t="s">
        <v>595</v>
      </c>
      <c r="B999" s="199">
        <v>44713</v>
      </c>
      <c r="C999" s="199"/>
      <c r="D999" s="199" t="s">
        <v>596</v>
      </c>
      <c r="E999" s="199" t="s">
        <v>239</v>
      </c>
    </row>
    <row r="1000" spans="1:5" x14ac:dyDescent="0.25">
      <c r="A1000" s="199" t="s">
        <v>595</v>
      </c>
      <c r="B1000" s="199">
        <v>44743</v>
      </c>
      <c r="C1000" s="199"/>
      <c r="D1000" s="199" t="s">
        <v>596</v>
      </c>
      <c r="E1000" s="199" t="s">
        <v>239</v>
      </c>
    </row>
    <row r="1001" spans="1:5" x14ac:dyDescent="0.25">
      <c r="A1001" s="199" t="s">
        <v>595</v>
      </c>
      <c r="B1001" s="199">
        <v>44774</v>
      </c>
      <c r="C1001" s="199"/>
      <c r="D1001" s="199" t="s">
        <v>596</v>
      </c>
      <c r="E1001" s="199" t="s">
        <v>239</v>
      </c>
    </row>
    <row r="1002" spans="1:5" x14ac:dyDescent="0.25">
      <c r="A1002" s="199" t="s">
        <v>595</v>
      </c>
      <c r="B1002" s="199">
        <v>44805</v>
      </c>
      <c r="C1002" s="199"/>
      <c r="D1002" s="199" t="s">
        <v>596</v>
      </c>
      <c r="E1002" s="199" t="s">
        <v>239</v>
      </c>
    </row>
    <row r="1003" spans="1:5" x14ac:dyDescent="0.25">
      <c r="A1003" s="199" t="s">
        <v>595</v>
      </c>
      <c r="B1003" s="199">
        <v>44835</v>
      </c>
      <c r="C1003" s="199"/>
      <c r="D1003" s="199" t="s">
        <v>596</v>
      </c>
      <c r="E1003" s="199" t="s">
        <v>239</v>
      </c>
    </row>
    <row r="1004" spans="1:5" x14ac:dyDescent="0.25">
      <c r="A1004" s="199" t="s">
        <v>595</v>
      </c>
      <c r="B1004" s="199">
        <v>44866</v>
      </c>
      <c r="C1004" s="199"/>
      <c r="D1004" s="199" t="s">
        <v>596</v>
      </c>
      <c r="E1004" s="199" t="s">
        <v>239</v>
      </c>
    </row>
    <row r="1005" spans="1:5" x14ac:dyDescent="0.25">
      <c r="A1005" s="199" t="s">
        <v>595</v>
      </c>
      <c r="B1005" s="199">
        <v>44896</v>
      </c>
      <c r="C1005" s="199"/>
      <c r="D1005" s="199" t="s">
        <v>596</v>
      </c>
      <c r="E1005" s="199" t="s">
        <v>239</v>
      </c>
    </row>
    <row r="1006" spans="1:5" x14ac:dyDescent="0.25">
      <c r="A1006" s="199" t="s">
        <v>605</v>
      </c>
      <c r="B1006" s="199">
        <v>44562</v>
      </c>
      <c r="C1006" s="199">
        <v>103500</v>
      </c>
      <c r="D1006" s="199" t="s">
        <v>606</v>
      </c>
      <c r="E1006" s="199" t="s">
        <v>239</v>
      </c>
    </row>
    <row r="1007" spans="1:5" x14ac:dyDescent="0.25">
      <c r="A1007" s="199" t="s">
        <v>605</v>
      </c>
      <c r="B1007" s="199">
        <v>44593</v>
      </c>
      <c r="C1007" s="199">
        <v>103500</v>
      </c>
      <c r="D1007" s="199" t="s">
        <v>606</v>
      </c>
      <c r="E1007" s="199" t="s">
        <v>239</v>
      </c>
    </row>
    <row r="1008" spans="1:5" x14ac:dyDescent="0.25">
      <c r="A1008" s="199" t="s">
        <v>605</v>
      </c>
      <c r="B1008" s="199">
        <v>44621</v>
      </c>
      <c r="C1008" s="199">
        <v>103500</v>
      </c>
      <c r="D1008" s="199" t="s">
        <v>606</v>
      </c>
      <c r="E1008" s="199" t="s">
        <v>239</v>
      </c>
    </row>
    <row r="1009" spans="1:5" x14ac:dyDescent="0.25">
      <c r="A1009" s="199" t="s">
        <v>605</v>
      </c>
      <c r="B1009" s="199">
        <v>44652</v>
      </c>
      <c r="C1009" s="199">
        <v>103500</v>
      </c>
      <c r="D1009" s="199" t="s">
        <v>606</v>
      </c>
      <c r="E1009" s="199" t="s">
        <v>239</v>
      </c>
    </row>
    <row r="1010" spans="1:5" x14ac:dyDescent="0.25">
      <c r="A1010" s="199" t="s">
        <v>605</v>
      </c>
      <c r="B1010" s="199">
        <v>44682</v>
      </c>
      <c r="C1010" s="199">
        <v>103500</v>
      </c>
      <c r="D1010" s="199" t="s">
        <v>606</v>
      </c>
      <c r="E1010" s="199" t="s">
        <v>239</v>
      </c>
    </row>
    <row r="1011" spans="1:5" x14ac:dyDescent="0.25">
      <c r="A1011" s="199" t="s">
        <v>605</v>
      </c>
      <c r="B1011" s="199">
        <v>44713</v>
      </c>
      <c r="C1011" s="199">
        <v>103500</v>
      </c>
      <c r="D1011" s="199" t="s">
        <v>606</v>
      </c>
      <c r="E1011" s="199" t="s">
        <v>239</v>
      </c>
    </row>
    <row r="1012" spans="1:5" x14ac:dyDescent="0.25">
      <c r="A1012" s="199" t="s">
        <v>605</v>
      </c>
      <c r="B1012" s="199">
        <v>44743</v>
      </c>
      <c r="C1012" s="199">
        <v>103500</v>
      </c>
      <c r="D1012" s="199" t="s">
        <v>606</v>
      </c>
      <c r="E1012" s="199" t="s">
        <v>239</v>
      </c>
    </row>
    <row r="1013" spans="1:5" x14ac:dyDescent="0.25">
      <c r="A1013" s="199" t="s">
        <v>605</v>
      </c>
      <c r="B1013" s="199">
        <v>44774</v>
      </c>
      <c r="C1013" s="199">
        <v>103500</v>
      </c>
      <c r="D1013" s="199" t="s">
        <v>606</v>
      </c>
      <c r="E1013" s="199" t="s">
        <v>239</v>
      </c>
    </row>
    <row r="1014" spans="1:5" x14ac:dyDescent="0.25">
      <c r="A1014" s="199" t="s">
        <v>605</v>
      </c>
      <c r="B1014" s="199">
        <v>44805</v>
      </c>
      <c r="C1014" s="199">
        <v>103500</v>
      </c>
      <c r="D1014" s="199" t="s">
        <v>606</v>
      </c>
      <c r="E1014" s="199" t="s">
        <v>239</v>
      </c>
    </row>
    <row r="1015" spans="1:5" x14ac:dyDescent="0.25">
      <c r="A1015" s="199" t="s">
        <v>605</v>
      </c>
      <c r="B1015" s="199">
        <v>44835</v>
      </c>
      <c r="C1015" s="199">
        <v>103500</v>
      </c>
      <c r="D1015" s="199" t="s">
        <v>606</v>
      </c>
      <c r="E1015" s="199" t="s">
        <v>239</v>
      </c>
    </row>
    <row r="1016" spans="1:5" x14ac:dyDescent="0.25">
      <c r="A1016" s="199" t="s">
        <v>605</v>
      </c>
      <c r="B1016" s="199">
        <v>44866</v>
      </c>
      <c r="C1016" s="199">
        <v>103500</v>
      </c>
      <c r="D1016" s="199" t="s">
        <v>606</v>
      </c>
      <c r="E1016" s="199" t="s">
        <v>239</v>
      </c>
    </row>
    <row r="1017" spans="1:5" x14ac:dyDescent="0.25">
      <c r="A1017" s="199" t="s">
        <v>605</v>
      </c>
      <c r="B1017" s="199">
        <v>44896</v>
      </c>
      <c r="C1017" s="199">
        <v>103500</v>
      </c>
      <c r="D1017" s="199" t="s">
        <v>606</v>
      </c>
      <c r="E1017" s="199" t="s">
        <v>239</v>
      </c>
    </row>
    <row r="1018" spans="1:5" x14ac:dyDescent="0.25">
      <c r="A1018" s="199" t="s">
        <v>1121</v>
      </c>
      <c r="B1018" s="199">
        <v>44713</v>
      </c>
      <c r="C1018" s="199">
        <v>1000000</v>
      </c>
      <c r="D1018" s="199" t="s">
        <v>292</v>
      </c>
      <c r="E1018" s="199" t="s">
        <v>239</v>
      </c>
    </row>
    <row r="1019" spans="1:5" x14ac:dyDescent="0.25">
      <c r="A1019" s="199" t="s">
        <v>1122</v>
      </c>
      <c r="B1019" s="199">
        <v>44805</v>
      </c>
      <c r="C1019" s="199">
        <v>1000000</v>
      </c>
      <c r="D1019" s="199" t="s">
        <v>292</v>
      </c>
      <c r="E1019" s="199" t="s">
        <v>239</v>
      </c>
    </row>
    <row r="1020" spans="1:5" x14ac:dyDescent="0.25">
      <c r="A1020" s="199" t="s">
        <v>1123</v>
      </c>
      <c r="B1020" s="199">
        <v>44621</v>
      </c>
      <c r="C1020" s="199">
        <v>3670000</v>
      </c>
      <c r="D1020" s="199" t="s">
        <v>292</v>
      </c>
      <c r="E1020" s="199" t="s">
        <v>239</v>
      </c>
    </row>
    <row r="1021" spans="1:5" x14ac:dyDescent="0.25">
      <c r="A1021" s="199" t="s">
        <v>1124</v>
      </c>
      <c r="B1021" s="199">
        <v>44713</v>
      </c>
      <c r="C1021" s="199">
        <v>2500000</v>
      </c>
      <c r="D1021" s="199" t="s">
        <v>292</v>
      </c>
      <c r="E1021" s="199" t="s">
        <v>239</v>
      </c>
    </row>
    <row r="1022" spans="1:5" x14ac:dyDescent="0.25">
      <c r="A1022" s="199" t="s">
        <v>1125</v>
      </c>
      <c r="B1022" s="199">
        <v>44805</v>
      </c>
      <c r="C1022" s="199">
        <v>2500000</v>
      </c>
      <c r="D1022" s="199" t="s">
        <v>292</v>
      </c>
      <c r="E1022" s="199" t="s">
        <v>239</v>
      </c>
    </row>
    <row r="1023" spans="1:5" x14ac:dyDescent="0.25">
      <c r="A1023" s="199" t="s">
        <v>1126</v>
      </c>
      <c r="B1023" s="199">
        <v>44896</v>
      </c>
      <c r="C1023" s="199">
        <v>5000000</v>
      </c>
      <c r="D1023" s="199" t="s">
        <v>292</v>
      </c>
      <c r="E1023" s="199" t="s">
        <v>239</v>
      </c>
    </row>
    <row r="1024" spans="1:5" x14ac:dyDescent="0.25">
      <c r="A1024" s="199" t="s">
        <v>1127</v>
      </c>
      <c r="B1024" s="199">
        <v>44927</v>
      </c>
      <c r="C1024" s="199">
        <v>1340000</v>
      </c>
      <c r="D1024" s="199" t="s">
        <v>292</v>
      </c>
      <c r="E1024" s="199" t="s">
        <v>239</v>
      </c>
    </row>
    <row r="1025" spans="1:5" x14ac:dyDescent="0.25">
      <c r="A1025" s="199" t="s">
        <v>1128</v>
      </c>
      <c r="B1025" s="199">
        <v>44652</v>
      </c>
      <c r="C1025" s="199">
        <v>35000000</v>
      </c>
      <c r="D1025" s="199" t="s">
        <v>292</v>
      </c>
      <c r="E1025" s="199" t="s">
        <v>239</v>
      </c>
    </row>
    <row r="1026" spans="1:5" x14ac:dyDescent="0.25">
      <c r="A1026" s="199" t="s">
        <v>1181</v>
      </c>
      <c r="B1026" s="199">
        <v>44805</v>
      </c>
      <c r="C1026" s="199">
        <v>6811000</v>
      </c>
      <c r="D1026" s="199" t="s">
        <v>302</v>
      </c>
      <c r="E1026" s="199" t="s">
        <v>239</v>
      </c>
    </row>
    <row r="1027" spans="1:5" x14ac:dyDescent="0.25">
      <c r="A1027" s="199" t="s">
        <v>577</v>
      </c>
      <c r="B1027" s="199">
        <v>44866</v>
      </c>
      <c r="C1027" s="199">
        <v>14160000</v>
      </c>
      <c r="D1027" s="199" t="s">
        <v>292</v>
      </c>
      <c r="E1027" s="199" t="s">
        <v>239</v>
      </c>
    </row>
    <row r="1028" spans="1:5" x14ac:dyDescent="0.25">
      <c r="A1028" s="199" t="s">
        <v>1129</v>
      </c>
      <c r="B1028" s="199">
        <v>44531</v>
      </c>
      <c r="C1028" s="199">
        <v>2000000</v>
      </c>
      <c r="D1028" s="199" t="s">
        <v>301</v>
      </c>
      <c r="E1028" s="199" t="s">
        <v>239</v>
      </c>
    </row>
    <row r="1029" spans="1:5" x14ac:dyDescent="0.25">
      <c r="A1029" s="199" t="s">
        <v>1130</v>
      </c>
      <c r="B1029" s="199">
        <v>44713</v>
      </c>
      <c r="C1029" s="199">
        <v>1260000</v>
      </c>
      <c r="D1029" s="199" t="s">
        <v>858</v>
      </c>
      <c r="E1029" s="199" t="s">
        <v>239</v>
      </c>
    </row>
    <row r="1030" spans="1:5" x14ac:dyDescent="0.25">
      <c r="A1030" s="199" t="s">
        <v>1131</v>
      </c>
      <c r="B1030" s="199">
        <v>44593</v>
      </c>
      <c r="C1030" s="199">
        <v>590000</v>
      </c>
      <c r="D1030" s="199" t="s">
        <v>858</v>
      </c>
      <c r="E1030" s="199" t="s">
        <v>239</v>
      </c>
    </row>
    <row r="1031" spans="1:5" x14ac:dyDescent="0.25">
      <c r="A1031" s="199" t="s">
        <v>1132</v>
      </c>
      <c r="B1031" s="199">
        <v>44593</v>
      </c>
      <c r="C1031" s="199">
        <v>236000</v>
      </c>
      <c r="D1031" s="199" t="s">
        <v>858</v>
      </c>
      <c r="E1031" s="199" t="s">
        <v>239</v>
      </c>
    </row>
    <row r="1032" spans="1:5" x14ac:dyDescent="0.25">
      <c r="A1032" s="199" t="s">
        <v>1133</v>
      </c>
      <c r="B1032" s="199">
        <v>44593</v>
      </c>
      <c r="C1032" s="199">
        <v>495600</v>
      </c>
      <c r="D1032" s="199" t="s">
        <v>292</v>
      </c>
      <c r="E1032" s="199" t="s">
        <v>239</v>
      </c>
    </row>
    <row r="1033" spans="1:5" x14ac:dyDescent="0.25">
      <c r="A1033" s="199" t="s">
        <v>1162</v>
      </c>
      <c r="B1033" s="199">
        <v>44593</v>
      </c>
      <c r="C1033" s="199">
        <v>2124000</v>
      </c>
      <c r="D1033" s="199" t="s">
        <v>302</v>
      </c>
      <c r="E1033" s="199" t="s">
        <v>239</v>
      </c>
    </row>
    <row r="1034" spans="1:5" x14ac:dyDescent="0.25">
      <c r="A1034" s="199" t="s">
        <v>1163</v>
      </c>
      <c r="B1034" s="199">
        <v>44652</v>
      </c>
      <c r="C1034" s="199">
        <v>1890000</v>
      </c>
      <c r="D1034" s="199" t="s">
        <v>292</v>
      </c>
      <c r="E1034" s="199" t="s">
        <v>239</v>
      </c>
    </row>
    <row r="1035" spans="1:5" x14ac:dyDescent="0.25">
      <c r="A1035" s="199" t="s">
        <v>1134</v>
      </c>
      <c r="B1035" s="199">
        <v>44682</v>
      </c>
      <c r="C1035" s="199">
        <v>6000000</v>
      </c>
      <c r="D1035" s="199" t="s">
        <v>292</v>
      </c>
      <c r="E1035" s="199" t="s">
        <v>239</v>
      </c>
    </row>
    <row r="1036" spans="1:5" x14ac:dyDescent="0.25">
      <c r="A1036" s="199" t="s">
        <v>1135</v>
      </c>
      <c r="B1036" s="199">
        <v>44621</v>
      </c>
      <c r="C1036" s="199">
        <v>18000000</v>
      </c>
      <c r="D1036" s="199" t="s">
        <v>858</v>
      </c>
      <c r="E1036" s="199" t="s">
        <v>239</v>
      </c>
    </row>
    <row r="1037" spans="1:5" x14ac:dyDescent="0.25">
      <c r="A1037" s="199" t="s">
        <v>1136</v>
      </c>
      <c r="B1037" s="199">
        <v>44593</v>
      </c>
      <c r="C1037" s="199">
        <v>1180000</v>
      </c>
      <c r="D1037" s="199" t="s">
        <v>302</v>
      </c>
      <c r="E1037" s="199" t="s">
        <v>239</v>
      </c>
    </row>
    <row r="1038" spans="1:5" x14ac:dyDescent="0.25">
      <c r="A1038" s="199" t="s">
        <v>1182</v>
      </c>
      <c r="B1038" s="199">
        <v>44927</v>
      </c>
      <c r="C1038" s="199">
        <v>2310000</v>
      </c>
      <c r="D1038" s="199" t="s">
        <v>292</v>
      </c>
      <c r="E1038" s="199" t="s">
        <v>239</v>
      </c>
    </row>
    <row r="1039" spans="1:5" x14ac:dyDescent="0.25">
      <c r="A1039" s="199" t="s">
        <v>1174</v>
      </c>
      <c r="B1039" s="199">
        <v>44805</v>
      </c>
      <c r="C1039" s="199">
        <v>15375000</v>
      </c>
      <c r="D1039" s="199" t="s">
        <v>292</v>
      </c>
      <c r="E1039" s="199" t="s">
        <v>239</v>
      </c>
    </row>
    <row r="1040" spans="1:5" x14ac:dyDescent="0.25">
      <c r="A1040" s="199" t="s">
        <v>1175</v>
      </c>
      <c r="B1040" s="199">
        <v>44805</v>
      </c>
      <c r="C1040" s="199">
        <v>7100000</v>
      </c>
      <c r="D1040" s="199" t="s">
        <v>292</v>
      </c>
      <c r="E1040" s="199" t="s">
        <v>239</v>
      </c>
    </row>
    <row r="1041" spans="1:5" x14ac:dyDescent="0.25">
      <c r="A1041" s="199" t="s">
        <v>1137</v>
      </c>
      <c r="B1041" s="199">
        <v>44743</v>
      </c>
      <c r="C1041" s="199">
        <v>1200000</v>
      </c>
      <c r="D1041" s="199" t="s">
        <v>863</v>
      </c>
      <c r="E1041" s="199" t="s">
        <v>239</v>
      </c>
    </row>
    <row r="1042" spans="1:5" x14ac:dyDescent="0.25">
      <c r="A1042" s="199" t="s">
        <v>1145</v>
      </c>
      <c r="B1042" s="199">
        <v>44896</v>
      </c>
      <c r="C1042" s="199">
        <v>6825000</v>
      </c>
      <c r="D1042" s="199" t="s">
        <v>858</v>
      </c>
      <c r="E1042" s="199" t="s">
        <v>239</v>
      </c>
    </row>
    <row r="1043" spans="1:5" x14ac:dyDescent="0.25">
      <c r="A1043" s="199" t="s">
        <v>1146</v>
      </c>
      <c r="B1043" s="199">
        <v>44713</v>
      </c>
      <c r="C1043" s="199">
        <v>1260000</v>
      </c>
      <c r="D1043" s="199" t="s">
        <v>292</v>
      </c>
      <c r="E1043" s="199" t="s">
        <v>239</v>
      </c>
    </row>
    <row r="1044" spans="1:5" x14ac:dyDescent="0.25">
      <c r="A1044" s="199" t="s">
        <v>1176</v>
      </c>
      <c r="B1044" s="199">
        <v>44682</v>
      </c>
      <c r="C1044" s="199">
        <v>3500000</v>
      </c>
      <c r="D1044" s="199" t="s">
        <v>301</v>
      </c>
      <c r="E1044" s="199" t="s">
        <v>239</v>
      </c>
    </row>
    <row r="1045" spans="1:5" x14ac:dyDescent="0.25">
      <c r="A1045" s="199" t="s">
        <v>1164</v>
      </c>
      <c r="B1045" s="199">
        <v>44713</v>
      </c>
      <c r="C1045" s="199">
        <v>630000</v>
      </c>
      <c r="D1045" s="199" t="s">
        <v>294</v>
      </c>
      <c r="E1045" s="199" t="s">
        <v>239</v>
      </c>
    </row>
    <row r="1046" spans="1:5" x14ac:dyDescent="0.25">
      <c r="A1046" s="199" t="s">
        <v>1183</v>
      </c>
      <c r="B1046" s="199">
        <v>44927</v>
      </c>
      <c r="C1046" s="199">
        <v>6195000</v>
      </c>
      <c r="D1046" s="199" t="s">
        <v>292</v>
      </c>
      <c r="E1046" s="199" t="s">
        <v>239</v>
      </c>
    </row>
  </sheetData>
  <phoneticPr fontId="20"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rgb="FFFFC000"/>
  </sheetPr>
  <dimension ref="B2:W266"/>
  <sheetViews>
    <sheetView workbookViewId="0">
      <selection activeCell="H36" sqref="H36"/>
    </sheetView>
  </sheetViews>
  <sheetFormatPr defaultRowHeight="15" x14ac:dyDescent="0.25"/>
  <cols>
    <col min="2" max="2" width="77.85546875" customWidth="1"/>
    <col min="3" max="3" width="16.85546875" customWidth="1"/>
    <col min="4" max="6" width="10.140625" bestFit="1" customWidth="1"/>
    <col min="7" max="7" width="11.140625" style="14" bestFit="1" customWidth="1"/>
    <col min="8" max="8" width="10.140625" bestFit="1" customWidth="1"/>
    <col min="9" max="9" width="11.140625" bestFit="1" customWidth="1"/>
    <col min="10" max="11" width="10.140625" bestFit="1" customWidth="1"/>
    <col min="12" max="12" width="13.140625" bestFit="1" customWidth="1"/>
    <col min="13" max="14" width="11.140625" bestFit="1" customWidth="1"/>
    <col min="15" max="15" width="10.140625" bestFit="1" customWidth="1"/>
    <col min="16" max="16" width="13.140625" bestFit="1" customWidth="1"/>
    <col min="17" max="17" width="10.28515625" bestFit="1" customWidth="1"/>
    <col min="18" max="19" width="10.140625" bestFit="1" customWidth="1"/>
    <col min="20" max="20" width="13.140625" bestFit="1" customWidth="1"/>
    <col min="21" max="21" width="10.28515625" bestFit="1" customWidth="1"/>
    <col min="22" max="23" width="10.140625" bestFit="1" customWidth="1"/>
    <col min="24" max="24" width="13.140625" bestFit="1" customWidth="1"/>
    <col min="25" max="25" width="10.28515625" bestFit="1" customWidth="1"/>
    <col min="26" max="27" width="10.140625" bestFit="1" customWidth="1"/>
    <col min="28" max="28" width="13.140625" bestFit="1" customWidth="1"/>
    <col min="29" max="29" width="11.140625" bestFit="1" customWidth="1"/>
    <col min="30" max="30" width="13.140625" bestFit="1" customWidth="1"/>
    <col min="31" max="31" width="12.7109375" bestFit="1" customWidth="1"/>
    <col min="32" max="32" width="9" bestFit="1" customWidth="1"/>
    <col min="33" max="36" width="11" bestFit="1" customWidth="1"/>
  </cols>
  <sheetData>
    <row r="2" spans="2:23" x14ac:dyDescent="0.25">
      <c r="B2" s="4" t="s">
        <v>152</v>
      </c>
      <c r="C2" t="s" vm="676">
        <v>801</v>
      </c>
    </row>
    <row r="3" spans="2:23" x14ac:dyDescent="0.25">
      <c r="B3" s="4" t="s">
        <v>244</v>
      </c>
      <c r="C3" t="s" vm="13">
        <v>245</v>
      </c>
    </row>
    <row r="5" spans="2:23" x14ac:dyDescent="0.25">
      <c r="B5" s="4" t="s">
        <v>136</v>
      </c>
      <c r="C5" s="4" t="s">
        <v>137</v>
      </c>
    </row>
    <row r="6" spans="2:23" x14ac:dyDescent="0.25">
      <c r="B6" s="4" t="s">
        <v>242</v>
      </c>
      <c r="C6" s="6">
        <v>43190</v>
      </c>
      <c r="D6" s="6">
        <v>43281</v>
      </c>
      <c r="E6" s="6">
        <v>43373</v>
      </c>
      <c r="F6" s="6">
        <v>43465</v>
      </c>
      <c r="G6" s="6">
        <v>43555</v>
      </c>
      <c r="H6" s="6">
        <v>43646</v>
      </c>
      <c r="I6" s="6">
        <v>43738</v>
      </c>
      <c r="J6" s="6">
        <v>43830</v>
      </c>
      <c r="K6" s="6">
        <v>43921</v>
      </c>
      <c r="L6" s="6">
        <v>44012</v>
      </c>
      <c r="M6" s="6">
        <v>44104</v>
      </c>
      <c r="N6" s="6">
        <v>44196</v>
      </c>
      <c r="O6" s="6">
        <v>44286</v>
      </c>
      <c r="P6" s="6">
        <v>44377</v>
      </c>
      <c r="Q6" s="6">
        <v>44469</v>
      </c>
      <c r="R6" s="6">
        <v>44561</v>
      </c>
      <c r="S6" s="6">
        <v>44651</v>
      </c>
      <c r="T6" s="6">
        <v>44742</v>
      </c>
      <c r="U6" s="6">
        <v>44834</v>
      </c>
      <c r="V6" s="6">
        <v>44926</v>
      </c>
      <c r="W6" s="14" t="s">
        <v>138</v>
      </c>
    </row>
    <row r="7" spans="2:23" x14ac:dyDescent="0.25">
      <c r="B7" s="7" t="s">
        <v>382</v>
      </c>
      <c r="C7" s="1">
        <v>0</v>
      </c>
      <c r="D7" s="1">
        <v>0</v>
      </c>
      <c r="E7" s="1">
        <v>0</v>
      </c>
      <c r="F7" s="1">
        <v>0</v>
      </c>
      <c r="G7" s="1">
        <v>188765244</v>
      </c>
      <c r="H7" s="1">
        <v>47094011</v>
      </c>
      <c r="I7" s="1">
        <v>42082291</v>
      </c>
      <c r="J7" s="1">
        <v>34510366</v>
      </c>
      <c r="K7" s="1">
        <v>381131185</v>
      </c>
      <c r="L7" s="1">
        <v>95110015</v>
      </c>
      <c r="M7" s="1">
        <v>82696774</v>
      </c>
      <c r="N7" s="1">
        <v>106293401</v>
      </c>
      <c r="O7" s="1">
        <v>377894964</v>
      </c>
      <c r="P7" s="1">
        <v>114960143</v>
      </c>
      <c r="Q7" s="1">
        <v>88201326</v>
      </c>
      <c r="R7" s="1">
        <v>101687976</v>
      </c>
      <c r="S7" s="1">
        <v>201126807</v>
      </c>
      <c r="T7" s="1">
        <v>53868887</v>
      </c>
      <c r="U7" s="1">
        <v>52255726</v>
      </c>
      <c r="V7" s="1">
        <v>53809853</v>
      </c>
      <c r="W7" s="10">
        <v>2021488969</v>
      </c>
    </row>
    <row r="8" spans="2:23" x14ac:dyDescent="0.25">
      <c r="B8" s="7" t="s">
        <v>383</v>
      </c>
      <c r="C8" s="1">
        <v>0</v>
      </c>
      <c r="D8" s="1">
        <v>0</v>
      </c>
      <c r="E8" s="1">
        <v>0</v>
      </c>
      <c r="F8" s="1">
        <v>0</v>
      </c>
      <c r="G8" s="1">
        <v>1332112</v>
      </c>
      <c r="H8" s="1">
        <v>12249117</v>
      </c>
      <c r="I8" s="1">
        <v>1180743</v>
      </c>
      <c r="J8" s="1">
        <v>828687</v>
      </c>
      <c r="K8" s="1">
        <v>2487032</v>
      </c>
      <c r="L8" s="1">
        <v>2409122</v>
      </c>
      <c r="M8" s="1">
        <v>2331683</v>
      </c>
      <c r="N8" s="1">
        <v>2517494</v>
      </c>
      <c r="O8" s="1">
        <v>3947551</v>
      </c>
      <c r="P8" s="1">
        <v>2414136</v>
      </c>
      <c r="Q8" s="1">
        <v>2428445</v>
      </c>
      <c r="R8" s="1">
        <v>3062439</v>
      </c>
      <c r="S8" s="1">
        <v>1278943</v>
      </c>
      <c r="T8" s="1">
        <v>1178943</v>
      </c>
      <c r="U8" s="1">
        <v>1178943</v>
      </c>
      <c r="V8" s="1">
        <v>1768943</v>
      </c>
      <c r="W8" s="10">
        <v>42594333</v>
      </c>
    </row>
    <row r="9" spans="2:23" x14ac:dyDescent="0.25">
      <c r="B9" s="7" t="s">
        <v>384</v>
      </c>
      <c r="C9" s="1">
        <v>0</v>
      </c>
      <c r="D9" s="1">
        <v>0</v>
      </c>
      <c r="E9" s="1">
        <v>0</v>
      </c>
      <c r="F9" s="1">
        <v>0</v>
      </c>
      <c r="G9" s="1">
        <v>2405865</v>
      </c>
      <c r="H9" s="1">
        <v>2689989</v>
      </c>
      <c r="I9" s="1">
        <v>1107991</v>
      </c>
      <c r="J9" s="1">
        <v>2258145</v>
      </c>
      <c r="K9" s="1">
        <v>5071342</v>
      </c>
      <c r="L9" s="1">
        <v>3760099</v>
      </c>
      <c r="M9" s="1">
        <v>4745148</v>
      </c>
      <c r="N9" s="1">
        <v>5669549</v>
      </c>
      <c r="O9" s="1">
        <v>3644673</v>
      </c>
      <c r="P9" s="1">
        <v>3495920</v>
      </c>
      <c r="Q9" s="1">
        <v>3007703</v>
      </c>
      <c r="R9" s="1">
        <v>5346940</v>
      </c>
      <c r="S9" s="1">
        <v>4803727</v>
      </c>
      <c r="T9" s="1">
        <v>3229902</v>
      </c>
      <c r="U9" s="1">
        <v>3184902</v>
      </c>
      <c r="V9" s="1">
        <v>3508677</v>
      </c>
      <c r="W9" s="10">
        <v>57930572</v>
      </c>
    </row>
    <row r="10" spans="2:23" x14ac:dyDescent="0.25">
      <c r="B10" s="7" t="s">
        <v>392</v>
      </c>
      <c r="C10" s="1">
        <v>0</v>
      </c>
      <c r="D10" s="1">
        <v>0</v>
      </c>
      <c r="E10" s="1">
        <v>0</v>
      </c>
      <c r="F10" s="1">
        <v>0</v>
      </c>
      <c r="G10" s="1">
        <v>55424128</v>
      </c>
      <c r="H10" s="1">
        <v>56462565</v>
      </c>
      <c r="I10" s="1">
        <v>60581359</v>
      </c>
      <c r="J10" s="1">
        <v>38381971</v>
      </c>
      <c r="K10" s="1">
        <v>118305363</v>
      </c>
      <c r="L10" s="1">
        <v>118072653</v>
      </c>
      <c r="M10" s="1">
        <v>122709109</v>
      </c>
      <c r="N10" s="1">
        <v>123968378</v>
      </c>
      <c r="O10" s="1">
        <v>113455325</v>
      </c>
      <c r="P10" s="1">
        <v>115190861</v>
      </c>
      <c r="Q10" s="1">
        <v>124144357</v>
      </c>
      <c r="R10" s="1">
        <v>111625841</v>
      </c>
      <c r="S10" s="1">
        <v>60023373</v>
      </c>
      <c r="T10" s="1">
        <v>66170973</v>
      </c>
      <c r="U10" s="1">
        <v>57098365</v>
      </c>
      <c r="V10" s="1">
        <v>57131378</v>
      </c>
      <c r="W10" s="10">
        <v>1398745999</v>
      </c>
    </row>
    <row r="11" spans="2:23" x14ac:dyDescent="0.25">
      <c r="B11" s="7" t="s">
        <v>243</v>
      </c>
      <c r="C11" s="1">
        <v>0</v>
      </c>
      <c r="D11" s="1">
        <v>0</v>
      </c>
      <c r="E11" s="1">
        <v>0</v>
      </c>
      <c r="F11" s="1">
        <v>0</v>
      </c>
      <c r="G11" s="1">
        <v>8584920</v>
      </c>
      <c r="H11" s="1">
        <v>7295848</v>
      </c>
      <c r="I11" s="1">
        <v>6511235</v>
      </c>
      <c r="J11" s="1">
        <v>4898929</v>
      </c>
      <c r="K11" s="1">
        <v>17483176</v>
      </c>
      <c r="L11" s="1">
        <v>17938532</v>
      </c>
      <c r="M11" s="1">
        <v>17921681</v>
      </c>
      <c r="N11" s="1">
        <v>20272367</v>
      </c>
      <c r="O11" s="1">
        <v>17107810</v>
      </c>
      <c r="P11" s="1">
        <v>17881084</v>
      </c>
      <c r="Q11" s="1">
        <v>20235525</v>
      </c>
      <c r="R11" s="1">
        <v>22923961</v>
      </c>
      <c r="S11" s="1">
        <v>12417102</v>
      </c>
      <c r="T11" s="1">
        <v>13060974</v>
      </c>
      <c r="U11" s="1">
        <v>13828412</v>
      </c>
      <c r="V11" s="1">
        <v>14923142</v>
      </c>
      <c r="W11" s="10">
        <v>233284698</v>
      </c>
    </row>
    <row r="12" spans="2:23" x14ac:dyDescent="0.25">
      <c r="B12" s="8" t="s">
        <v>310</v>
      </c>
      <c r="C12" s="1">
        <v>0</v>
      </c>
      <c r="D12" s="1">
        <v>0</v>
      </c>
      <c r="E12" s="1">
        <v>0</v>
      </c>
      <c r="F12" s="1">
        <v>0</v>
      </c>
      <c r="G12" s="1">
        <v>8584920</v>
      </c>
      <c r="H12" s="1">
        <v>7295848</v>
      </c>
      <c r="I12" s="1">
        <v>6511235</v>
      </c>
      <c r="J12" s="1">
        <v>4898929</v>
      </c>
      <c r="K12" s="1">
        <v>17483176</v>
      </c>
      <c r="L12" s="1">
        <v>17938532</v>
      </c>
      <c r="M12" s="1">
        <v>17921681</v>
      </c>
      <c r="N12" s="1">
        <v>20272367</v>
      </c>
      <c r="O12" s="1">
        <v>17107810</v>
      </c>
      <c r="P12" s="1">
        <v>17881084</v>
      </c>
      <c r="Q12" s="1">
        <v>20235525</v>
      </c>
      <c r="R12" s="1">
        <v>22923961</v>
      </c>
      <c r="S12" s="1">
        <v>12417102</v>
      </c>
      <c r="T12" s="1">
        <v>13060974</v>
      </c>
      <c r="U12" s="1">
        <v>13828412</v>
      </c>
      <c r="V12" s="1">
        <v>14923142</v>
      </c>
      <c r="W12" s="10">
        <v>233284698</v>
      </c>
    </row>
    <row r="13" spans="2:23" x14ac:dyDescent="0.25">
      <c r="B13" s="7" t="s">
        <v>848</v>
      </c>
      <c r="C13" s="1">
        <v>0</v>
      </c>
      <c r="D13" s="1">
        <v>0</v>
      </c>
      <c r="E13" s="1">
        <v>0</v>
      </c>
      <c r="F13" s="1">
        <v>0</v>
      </c>
      <c r="G13" s="1">
        <v>0</v>
      </c>
      <c r="H13" s="1">
        <v>0</v>
      </c>
      <c r="I13" s="1">
        <v>0</v>
      </c>
      <c r="J13" s="1">
        <v>70027</v>
      </c>
      <c r="K13" s="1">
        <v>0</v>
      </c>
      <c r="L13" s="1">
        <v>0</v>
      </c>
      <c r="M13" s="1">
        <v>0</v>
      </c>
      <c r="N13" s="1">
        <v>92265</v>
      </c>
      <c r="O13" s="1">
        <v>0</v>
      </c>
      <c r="P13" s="1">
        <v>0</v>
      </c>
      <c r="Q13" s="1">
        <v>0</v>
      </c>
      <c r="R13" s="1">
        <v>0</v>
      </c>
      <c r="S13" s="1"/>
      <c r="T13" s="1"/>
      <c r="U13" s="1"/>
      <c r="V13" s="1"/>
      <c r="W13" s="10">
        <v>162292</v>
      </c>
    </row>
    <row r="14" spans="2:23" x14ac:dyDescent="0.25">
      <c r="B14" s="7" t="s">
        <v>402</v>
      </c>
      <c r="C14" s="1">
        <v>0</v>
      </c>
      <c r="D14" s="1">
        <v>0</v>
      </c>
      <c r="E14" s="1">
        <v>0</v>
      </c>
      <c r="F14" s="1">
        <v>0</v>
      </c>
      <c r="G14" s="1">
        <v>6831635</v>
      </c>
      <c r="H14" s="1">
        <v>25246999</v>
      </c>
      <c r="I14" s="1">
        <v>9488200</v>
      </c>
      <c r="J14" s="1">
        <v>11683265</v>
      </c>
      <c r="K14" s="1">
        <v>18120391</v>
      </c>
      <c r="L14" s="1">
        <v>21154546</v>
      </c>
      <c r="M14" s="1">
        <v>21758335</v>
      </c>
      <c r="N14" s="1">
        <v>28373523</v>
      </c>
      <c r="O14" s="1">
        <v>18814745</v>
      </c>
      <c r="P14" s="1">
        <v>21572193</v>
      </c>
      <c r="Q14" s="1">
        <v>18688833</v>
      </c>
      <c r="R14" s="1">
        <v>25476218</v>
      </c>
      <c r="S14" s="1">
        <v>14103437</v>
      </c>
      <c r="T14" s="1">
        <v>14605360</v>
      </c>
      <c r="U14" s="1">
        <v>13508631</v>
      </c>
      <c r="V14" s="1">
        <v>13240231</v>
      </c>
      <c r="W14" s="10">
        <v>282666542</v>
      </c>
    </row>
    <row r="15" spans="2:23" x14ac:dyDescent="0.25">
      <c r="B15" s="7" t="s">
        <v>456</v>
      </c>
      <c r="C15" s="1">
        <v>0</v>
      </c>
      <c r="D15" s="1">
        <v>0</v>
      </c>
      <c r="E15" s="1">
        <v>0</v>
      </c>
      <c r="F15" s="1">
        <v>0</v>
      </c>
      <c r="G15" s="1">
        <v>2216</v>
      </c>
      <c r="H15" s="1">
        <v>2491</v>
      </c>
      <c r="I15" s="1">
        <v>770</v>
      </c>
      <c r="J15" s="1">
        <v>291</v>
      </c>
      <c r="K15" s="1">
        <v>4325</v>
      </c>
      <c r="L15" s="1">
        <v>5337</v>
      </c>
      <c r="M15" s="1">
        <v>4630</v>
      </c>
      <c r="N15" s="1">
        <v>11645</v>
      </c>
      <c r="O15" s="1">
        <v>3908</v>
      </c>
      <c r="P15" s="1">
        <v>3507</v>
      </c>
      <c r="Q15" s="1">
        <v>2220</v>
      </c>
      <c r="R15" s="1">
        <v>980</v>
      </c>
      <c r="S15" s="1">
        <v>3000</v>
      </c>
      <c r="T15" s="1">
        <v>3000</v>
      </c>
      <c r="U15" s="1">
        <v>3000</v>
      </c>
      <c r="V15" s="1">
        <v>3000</v>
      </c>
      <c r="W15" s="10">
        <v>54320</v>
      </c>
    </row>
    <row r="16" spans="2:23" x14ac:dyDescent="0.25">
      <c r="B16" s="7" t="s">
        <v>478</v>
      </c>
      <c r="C16" s="1">
        <v>0</v>
      </c>
      <c r="D16" s="1">
        <v>0</v>
      </c>
      <c r="E16" s="1">
        <v>0</v>
      </c>
      <c r="F16" s="1">
        <v>0</v>
      </c>
      <c r="G16" s="1">
        <v>3726</v>
      </c>
      <c r="H16" s="1">
        <v>57678</v>
      </c>
      <c r="I16" s="1">
        <v>321</v>
      </c>
      <c r="J16" s="1">
        <v>4520675</v>
      </c>
      <c r="K16" s="1">
        <v>20787</v>
      </c>
      <c r="L16" s="1">
        <v>36067</v>
      </c>
      <c r="M16" s="1">
        <v>21549</v>
      </c>
      <c r="N16" s="1">
        <v>-21046</v>
      </c>
      <c r="O16" s="1">
        <v>2666997</v>
      </c>
      <c r="P16" s="1">
        <v>1183</v>
      </c>
      <c r="Q16" s="1">
        <v>1130</v>
      </c>
      <c r="R16" s="1">
        <v>89101</v>
      </c>
      <c r="S16" s="1"/>
      <c r="T16" s="1"/>
      <c r="U16" s="1"/>
      <c r="V16" s="1">
        <v>85000</v>
      </c>
      <c r="W16" s="10">
        <v>7483168</v>
      </c>
    </row>
    <row r="17" spans="7:7" x14ac:dyDescent="0.25">
      <c r="G17"/>
    </row>
    <row r="18" spans="7:7" x14ac:dyDescent="0.25">
      <c r="G18"/>
    </row>
    <row r="19" spans="7:7" x14ac:dyDescent="0.25">
      <c r="G19"/>
    </row>
    <row r="20" spans="7:7" x14ac:dyDescent="0.25">
      <c r="G20"/>
    </row>
    <row r="21" spans="7:7" x14ac:dyDescent="0.25">
      <c r="G21"/>
    </row>
    <row r="22" spans="7:7" x14ac:dyDescent="0.25">
      <c r="G22"/>
    </row>
    <row r="23" spans="7:7" x14ac:dyDescent="0.25">
      <c r="G23"/>
    </row>
    <row r="24" spans="7:7" x14ac:dyDescent="0.25">
      <c r="G24"/>
    </row>
    <row r="25" spans="7:7" x14ac:dyDescent="0.25">
      <c r="G25"/>
    </row>
    <row r="26" spans="7:7" x14ac:dyDescent="0.25">
      <c r="G26"/>
    </row>
    <row r="27" spans="7:7" x14ac:dyDescent="0.25">
      <c r="G27"/>
    </row>
    <row r="28" spans="7:7" x14ac:dyDescent="0.25">
      <c r="G28"/>
    </row>
    <row r="29" spans="7:7" x14ac:dyDescent="0.25">
      <c r="G29"/>
    </row>
    <row r="30" spans="7:7" x14ac:dyDescent="0.25">
      <c r="G30"/>
    </row>
    <row r="31" spans="7:7" x14ac:dyDescent="0.25">
      <c r="G31"/>
    </row>
    <row r="32" spans="7:7" x14ac:dyDescent="0.25">
      <c r="G32"/>
    </row>
    <row r="33" spans="7:7" x14ac:dyDescent="0.25">
      <c r="G33"/>
    </row>
    <row r="34" spans="7:7" x14ac:dyDescent="0.25">
      <c r="G34"/>
    </row>
    <row r="35" spans="7:7" x14ac:dyDescent="0.25">
      <c r="G35"/>
    </row>
    <row r="36" spans="7:7" x14ac:dyDescent="0.25">
      <c r="G36"/>
    </row>
    <row r="37" spans="7:7" x14ac:dyDescent="0.25">
      <c r="G37"/>
    </row>
    <row r="38" spans="7:7" x14ac:dyDescent="0.25">
      <c r="G38"/>
    </row>
    <row r="39" spans="7:7" x14ac:dyDescent="0.25">
      <c r="G39"/>
    </row>
    <row r="40" spans="7:7" x14ac:dyDescent="0.25">
      <c r="G40"/>
    </row>
    <row r="41" spans="7:7" x14ac:dyDescent="0.25">
      <c r="G41"/>
    </row>
    <row r="42" spans="7:7" x14ac:dyDescent="0.25">
      <c r="G42"/>
    </row>
    <row r="43" spans="7:7" x14ac:dyDescent="0.25">
      <c r="G43"/>
    </row>
    <row r="44" spans="7:7" x14ac:dyDescent="0.25">
      <c r="G44"/>
    </row>
    <row r="45" spans="7:7" x14ac:dyDescent="0.25">
      <c r="G45"/>
    </row>
    <row r="46" spans="7:7" x14ac:dyDescent="0.25">
      <c r="G46"/>
    </row>
    <row r="47" spans="7:7" x14ac:dyDescent="0.25">
      <c r="G47"/>
    </row>
    <row r="48" spans="7:7" x14ac:dyDescent="0.25">
      <c r="G48"/>
    </row>
    <row r="49" spans="2:7" x14ac:dyDescent="0.25">
      <c r="G49"/>
    </row>
    <row r="50" spans="2:7" x14ac:dyDescent="0.25">
      <c r="G50"/>
    </row>
    <row r="51" spans="2:7" x14ac:dyDescent="0.25">
      <c r="G51"/>
    </row>
    <row r="52" spans="2:7" x14ac:dyDescent="0.25">
      <c r="G52"/>
    </row>
    <row r="53" spans="2:7" x14ac:dyDescent="0.25">
      <c r="G53"/>
    </row>
    <row r="54" spans="2:7" x14ac:dyDescent="0.25">
      <c r="G54"/>
    </row>
    <row r="55" spans="2:7" x14ac:dyDescent="0.25">
      <c r="G55"/>
    </row>
    <row r="56" spans="2:7" x14ac:dyDescent="0.25">
      <c r="G56"/>
    </row>
    <row r="57" spans="2:7" x14ac:dyDescent="0.25">
      <c r="G57"/>
    </row>
    <row r="58" spans="2:7" x14ac:dyDescent="0.25">
      <c r="G58"/>
    </row>
    <row r="59" spans="2:7" x14ac:dyDescent="0.25">
      <c r="G59"/>
    </row>
    <row r="60" spans="2:7" x14ac:dyDescent="0.25">
      <c r="G60"/>
    </row>
    <row r="61" spans="2:7" x14ac:dyDescent="0.25">
      <c r="G61"/>
    </row>
    <row r="62" spans="2:7" s="148" customFormat="1" x14ac:dyDescent="0.25">
      <c r="B62"/>
      <c r="C62"/>
      <c r="D62"/>
      <c r="E62"/>
      <c r="F62"/>
      <c r="G62"/>
    </row>
    <row r="63" spans="2:7" x14ac:dyDescent="0.25">
      <c r="G63"/>
    </row>
    <row r="64" spans="2:7" x14ac:dyDescent="0.25">
      <c r="G64"/>
    </row>
    <row r="65" spans="7:7" x14ac:dyDescent="0.25">
      <c r="G65"/>
    </row>
    <row r="66" spans="7:7" x14ac:dyDescent="0.25">
      <c r="G66"/>
    </row>
    <row r="67" spans="7:7" x14ac:dyDescent="0.25">
      <c r="G67"/>
    </row>
    <row r="68" spans="7:7" x14ac:dyDescent="0.25">
      <c r="G68"/>
    </row>
    <row r="69" spans="7:7" x14ac:dyDescent="0.25">
      <c r="G69"/>
    </row>
    <row r="70" spans="7:7" x14ac:dyDescent="0.25">
      <c r="G70"/>
    </row>
    <row r="71" spans="7:7" x14ac:dyDescent="0.25">
      <c r="G71"/>
    </row>
    <row r="72" spans="7:7" x14ac:dyDescent="0.25">
      <c r="G72"/>
    </row>
    <row r="73" spans="7:7" x14ac:dyDescent="0.25">
      <c r="G73"/>
    </row>
    <row r="74" spans="7:7" x14ac:dyDescent="0.25">
      <c r="G74"/>
    </row>
    <row r="75" spans="7:7" x14ac:dyDescent="0.25">
      <c r="G75"/>
    </row>
    <row r="76" spans="7:7" x14ac:dyDescent="0.25">
      <c r="G76"/>
    </row>
    <row r="77" spans="7:7" x14ac:dyDescent="0.25">
      <c r="G77"/>
    </row>
    <row r="78" spans="7:7" x14ac:dyDescent="0.25">
      <c r="G78"/>
    </row>
    <row r="79" spans="7:7" x14ac:dyDescent="0.25">
      <c r="G79"/>
    </row>
    <row r="80" spans="7:7" x14ac:dyDescent="0.25">
      <c r="G80"/>
    </row>
    <row r="81" spans="7:7" x14ac:dyDescent="0.25">
      <c r="G81"/>
    </row>
    <row r="82" spans="7:7" x14ac:dyDescent="0.25">
      <c r="G82"/>
    </row>
    <row r="83" spans="7:7" x14ac:dyDescent="0.25">
      <c r="G83"/>
    </row>
    <row r="84" spans="7:7" x14ac:dyDescent="0.25">
      <c r="G84"/>
    </row>
    <row r="85" spans="7:7" x14ac:dyDescent="0.25">
      <c r="G85"/>
    </row>
    <row r="86" spans="7:7" x14ac:dyDescent="0.25">
      <c r="G86"/>
    </row>
    <row r="87" spans="7:7" x14ac:dyDescent="0.25">
      <c r="G87"/>
    </row>
    <row r="88" spans="7:7" x14ac:dyDescent="0.25">
      <c r="G88"/>
    </row>
    <row r="89" spans="7:7" x14ac:dyDescent="0.25">
      <c r="G89"/>
    </row>
    <row r="90" spans="7:7" x14ac:dyDescent="0.25">
      <c r="G90"/>
    </row>
    <row r="91" spans="7:7" x14ac:dyDescent="0.25">
      <c r="G91"/>
    </row>
    <row r="92" spans="7:7" x14ac:dyDescent="0.25">
      <c r="G92"/>
    </row>
    <row r="93" spans="7:7" x14ac:dyDescent="0.25">
      <c r="G93"/>
    </row>
    <row r="94" spans="7:7" x14ac:dyDescent="0.25">
      <c r="G94"/>
    </row>
    <row r="95" spans="7:7" x14ac:dyDescent="0.25">
      <c r="G95"/>
    </row>
    <row r="96" spans="7:7" x14ac:dyDescent="0.25">
      <c r="G96"/>
    </row>
    <row r="97" spans="7:7" x14ac:dyDescent="0.25">
      <c r="G97"/>
    </row>
    <row r="98" spans="7:7" x14ac:dyDescent="0.25">
      <c r="G98"/>
    </row>
    <row r="99" spans="7:7" x14ac:dyDescent="0.25">
      <c r="G99"/>
    </row>
    <row r="100" spans="7:7" x14ac:dyDescent="0.25">
      <c r="G100"/>
    </row>
    <row r="101" spans="7:7" x14ac:dyDescent="0.25">
      <c r="G101"/>
    </row>
    <row r="102" spans="7:7" x14ac:dyDescent="0.25">
      <c r="G102"/>
    </row>
    <row r="103" spans="7:7" x14ac:dyDescent="0.25">
      <c r="G103"/>
    </row>
    <row r="104" spans="7:7" x14ac:dyDescent="0.25">
      <c r="G104"/>
    </row>
    <row r="105" spans="7:7" x14ac:dyDescent="0.25">
      <c r="G105"/>
    </row>
    <row r="106" spans="7:7" x14ac:dyDescent="0.25">
      <c r="G106"/>
    </row>
    <row r="107" spans="7:7" x14ac:dyDescent="0.25">
      <c r="G107"/>
    </row>
    <row r="108" spans="7:7" x14ac:dyDescent="0.25">
      <c r="G108"/>
    </row>
    <row r="109" spans="7:7" x14ac:dyDescent="0.25">
      <c r="G109"/>
    </row>
    <row r="110" spans="7:7" x14ac:dyDescent="0.25">
      <c r="G110"/>
    </row>
    <row r="111" spans="7:7" x14ac:dyDescent="0.25">
      <c r="G111"/>
    </row>
    <row r="112" spans="7:7" x14ac:dyDescent="0.25">
      <c r="G112"/>
    </row>
    <row r="113" spans="7:7" x14ac:dyDescent="0.25">
      <c r="G113"/>
    </row>
    <row r="114" spans="7:7" x14ac:dyDescent="0.25">
      <c r="G114"/>
    </row>
    <row r="115" spans="7:7" x14ac:dyDescent="0.25">
      <c r="G115"/>
    </row>
    <row r="116" spans="7:7" x14ac:dyDescent="0.25">
      <c r="G116"/>
    </row>
    <row r="117" spans="7:7" x14ac:dyDescent="0.25">
      <c r="G117"/>
    </row>
    <row r="118" spans="7:7" x14ac:dyDescent="0.25">
      <c r="G118"/>
    </row>
    <row r="119" spans="7:7" x14ac:dyDescent="0.25">
      <c r="G119"/>
    </row>
    <row r="120" spans="7:7" x14ac:dyDescent="0.25">
      <c r="G120"/>
    </row>
    <row r="121" spans="7:7" x14ac:dyDescent="0.25">
      <c r="G121"/>
    </row>
    <row r="122" spans="7:7" x14ac:dyDescent="0.25">
      <c r="G122"/>
    </row>
    <row r="123" spans="7:7" x14ac:dyDescent="0.25">
      <c r="G123"/>
    </row>
    <row r="124" spans="7:7" x14ac:dyDescent="0.25">
      <c r="G124"/>
    </row>
    <row r="125" spans="7:7" x14ac:dyDescent="0.25">
      <c r="G125"/>
    </row>
    <row r="126" spans="7:7" x14ac:dyDescent="0.25">
      <c r="G126"/>
    </row>
    <row r="127" spans="7:7" x14ac:dyDescent="0.25">
      <c r="G127"/>
    </row>
    <row r="128" spans="7:7" x14ac:dyDescent="0.25">
      <c r="G128"/>
    </row>
    <row r="129" spans="7:7" x14ac:dyDescent="0.25">
      <c r="G129"/>
    </row>
    <row r="130" spans="7:7" x14ac:dyDescent="0.25">
      <c r="G130"/>
    </row>
    <row r="131" spans="7:7" x14ac:dyDescent="0.25">
      <c r="G131"/>
    </row>
    <row r="132" spans="7:7" x14ac:dyDescent="0.25">
      <c r="G132"/>
    </row>
    <row r="133" spans="7:7" x14ac:dyDescent="0.25">
      <c r="G133"/>
    </row>
    <row r="134" spans="7:7" x14ac:dyDescent="0.25">
      <c r="G134"/>
    </row>
    <row r="135" spans="7:7" x14ac:dyDescent="0.25">
      <c r="G135"/>
    </row>
    <row r="136" spans="7:7" x14ac:dyDescent="0.25">
      <c r="G136"/>
    </row>
    <row r="137" spans="7:7" x14ac:dyDescent="0.25">
      <c r="G137"/>
    </row>
    <row r="138" spans="7:7" x14ac:dyDescent="0.25">
      <c r="G138"/>
    </row>
    <row r="139" spans="7:7" x14ac:dyDescent="0.25">
      <c r="G139"/>
    </row>
    <row r="140" spans="7:7" x14ac:dyDescent="0.25">
      <c r="G140"/>
    </row>
    <row r="141" spans="7:7" x14ac:dyDescent="0.25">
      <c r="G141"/>
    </row>
    <row r="142" spans="7:7" x14ac:dyDescent="0.25">
      <c r="G142"/>
    </row>
    <row r="143" spans="7:7" x14ac:dyDescent="0.25">
      <c r="G143"/>
    </row>
    <row r="144" spans="7:7" x14ac:dyDescent="0.25">
      <c r="G144"/>
    </row>
    <row r="145" spans="7:7" x14ac:dyDescent="0.25">
      <c r="G145"/>
    </row>
    <row r="146" spans="7:7" x14ac:dyDescent="0.25">
      <c r="G146"/>
    </row>
    <row r="147" spans="7:7" x14ac:dyDescent="0.25">
      <c r="G147"/>
    </row>
    <row r="148" spans="7:7" x14ac:dyDescent="0.25">
      <c r="G148"/>
    </row>
    <row r="149" spans="7:7" x14ac:dyDescent="0.25">
      <c r="G149"/>
    </row>
    <row r="150" spans="7:7" x14ac:dyDescent="0.25">
      <c r="G150"/>
    </row>
    <row r="151" spans="7:7" x14ac:dyDescent="0.25">
      <c r="G151"/>
    </row>
    <row r="152" spans="7:7" x14ac:dyDescent="0.25">
      <c r="G152"/>
    </row>
    <row r="153" spans="7:7" x14ac:dyDescent="0.25">
      <c r="G153"/>
    </row>
    <row r="154" spans="7:7" x14ac:dyDescent="0.25">
      <c r="G154"/>
    </row>
    <row r="155" spans="7:7" x14ac:dyDescent="0.25">
      <c r="G155"/>
    </row>
    <row r="156" spans="7:7" x14ac:dyDescent="0.25">
      <c r="G156"/>
    </row>
    <row r="157" spans="7:7" x14ac:dyDescent="0.25">
      <c r="G157"/>
    </row>
    <row r="158" spans="7:7" x14ac:dyDescent="0.25">
      <c r="G158"/>
    </row>
    <row r="159" spans="7:7" x14ac:dyDescent="0.25">
      <c r="G159"/>
    </row>
    <row r="160" spans="7:7" x14ac:dyDescent="0.25">
      <c r="G160"/>
    </row>
    <row r="161" spans="7:7" x14ac:dyDescent="0.25">
      <c r="G161"/>
    </row>
    <row r="162" spans="7:7" x14ac:dyDescent="0.25">
      <c r="G162"/>
    </row>
    <row r="163" spans="7:7" x14ac:dyDescent="0.25">
      <c r="G163"/>
    </row>
    <row r="164" spans="7:7" x14ac:dyDescent="0.25">
      <c r="G164"/>
    </row>
    <row r="165" spans="7:7" x14ac:dyDescent="0.25">
      <c r="G165"/>
    </row>
    <row r="166" spans="7:7" x14ac:dyDescent="0.25">
      <c r="G166"/>
    </row>
    <row r="167" spans="7:7" x14ac:dyDescent="0.25">
      <c r="G167"/>
    </row>
    <row r="168" spans="7:7" x14ac:dyDescent="0.25">
      <c r="G168"/>
    </row>
    <row r="169" spans="7:7" x14ac:dyDescent="0.25">
      <c r="G169"/>
    </row>
    <row r="170" spans="7:7" x14ac:dyDescent="0.25">
      <c r="G170"/>
    </row>
    <row r="171" spans="7:7" x14ac:dyDescent="0.25">
      <c r="G171"/>
    </row>
    <row r="172" spans="7:7" x14ac:dyDescent="0.25">
      <c r="G172"/>
    </row>
    <row r="173" spans="7:7" x14ac:dyDescent="0.25">
      <c r="G173"/>
    </row>
    <row r="174" spans="7:7" x14ac:dyDescent="0.25">
      <c r="G174"/>
    </row>
    <row r="175" spans="7:7" x14ac:dyDescent="0.25">
      <c r="G175"/>
    </row>
    <row r="176" spans="7:7" x14ac:dyDescent="0.25">
      <c r="G176"/>
    </row>
    <row r="177" spans="7:7" x14ac:dyDescent="0.25">
      <c r="G177"/>
    </row>
    <row r="178" spans="7:7" x14ac:dyDescent="0.25">
      <c r="G178"/>
    </row>
    <row r="179" spans="7:7" x14ac:dyDescent="0.25">
      <c r="G179"/>
    </row>
    <row r="180" spans="7:7" x14ac:dyDescent="0.25">
      <c r="G180"/>
    </row>
    <row r="181" spans="7:7" x14ac:dyDescent="0.25">
      <c r="G181"/>
    </row>
    <row r="182" spans="7:7" x14ac:dyDescent="0.25">
      <c r="G182"/>
    </row>
    <row r="183" spans="7:7" x14ac:dyDescent="0.25">
      <c r="G183"/>
    </row>
    <row r="184" spans="7:7" x14ac:dyDescent="0.25">
      <c r="G184"/>
    </row>
    <row r="185" spans="7:7" x14ac:dyDescent="0.25">
      <c r="G185"/>
    </row>
    <row r="186" spans="7:7" x14ac:dyDescent="0.25">
      <c r="G186"/>
    </row>
    <row r="187" spans="7:7" x14ac:dyDescent="0.25">
      <c r="G187"/>
    </row>
    <row r="188" spans="7:7" x14ac:dyDescent="0.25">
      <c r="G188"/>
    </row>
    <row r="189" spans="7:7" x14ac:dyDescent="0.25">
      <c r="G189"/>
    </row>
    <row r="190" spans="7:7" x14ac:dyDescent="0.25">
      <c r="G190"/>
    </row>
    <row r="191" spans="7:7" x14ac:dyDescent="0.25">
      <c r="G191"/>
    </row>
    <row r="192" spans="7:7" x14ac:dyDescent="0.25">
      <c r="G192"/>
    </row>
    <row r="193" spans="7:7" x14ac:dyDescent="0.25">
      <c r="G193"/>
    </row>
    <row r="194" spans="7:7" x14ac:dyDescent="0.25">
      <c r="G194"/>
    </row>
    <row r="195" spans="7:7" x14ac:dyDescent="0.25">
      <c r="G195"/>
    </row>
    <row r="196" spans="7:7" x14ac:dyDescent="0.25">
      <c r="G196"/>
    </row>
    <row r="197" spans="7:7" x14ac:dyDescent="0.25">
      <c r="G197"/>
    </row>
    <row r="198" spans="7:7" x14ac:dyDescent="0.25">
      <c r="G198"/>
    </row>
    <row r="199" spans="7:7" x14ac:dyDescent="0.25">
      <c r="G199"/>
    </row>
    <row r="200" spans="7:7" x14ac:dyDescent="0.25">
      <c r="G200"/>
    </row>
    <row r="201" spans="7:7" x14ac:dyDescent="0.25">
      <c r="G201"/>
    </row>
    <row r="202" spans="7:7" x14ac:dyDescent="0.25">
      <c r="G202"/>
    </row>
    <row r="203" spans="7:7" x14ac:dyDescent="0.25">
      <c r="G203"/>
    </row>
    <row r="204" spans="7:7" x14ac:dyDescent="0.25">
      <c r="G204"/>
    </row>
    <row r="205" spans="7:7" x14ac:dyDescent="0.25">
      <c r="G205"/>
    </row>
    <row r="206" spans="7:7" x14ac:dyDescent="0.25">
      <c r="G206"/>
    </row>
    <row r="207" spans="7:7" x14ac:dyDescent="0.25">
      <c r="G207"/>
    </row>
    <row r="208" spans="7:7" x14ac:dyDescent="0.25">
      <c r="G208"/>
    </row>
    <row r="209" spans="7:7" x14ac:dyDescent="0.25">
      <c r="G209"/>
    </row>
    <row r="210" spans="7:7" x14ac:dyDescent="0.25">
      <c r="G210"/>
    </row>
    <row r="211" spans="7:7" x14ac:dyDescent="0.25">
      <c r="G211"/>
    </row>
    <row r="212" spans="7:7" x14ac:dyDescent="0.25">
      <c r="G212"/>
    </row>
    <row r="213" spans="7:7" x14ac:dyDescent="0.25">
      <c r="G213"/>
    </row>
    <row r="214" spans="7:7" x14ac:dyDescent="0.25">
      <c r="G214"/>
    </row>
    <row r="215" spans="7:7" x14ac:dyDescent="0.25">
      <c r="G215"/>
    </row>
    <row r="216" spans="7:7" x14ac:dyDescent="0.25">
      <c r="G216"/>
    </row>
    <row r="217" spans="7:7" x14ac:dyDescent="0.25">
      <c r="G217"/>
    </row>
    <row r="218" spans="7:7" x14ac:dyDescent="0.25">
      <c r="G218"/>
    </row>
    <row r="219" spans="7:7" x14ac:dyDescent="0.25">
      <c r="G219"/>
    </row>
    <row r="220" spans="7:7" x14ac:dyDescent="0.25">
      <c r="G220"/>
    </row>
    <row r="221" spans="7:7" x14ac:dyDescent="0.25">
      <c r="G221"/>
    </row>
    <row r="222" spans="7:7" x14ac:dyDescent="0.25">
      <c r="G222"/>
    </row>
    <row r="223" spans="7:7" x14ac:dyDescent="0.25">
      <c r="G223"/>
    </row>
    <row r="224" spans="7:7" x14ac:dyDescent="0.25">
      <c r="G224"/>
    </row>
    <row r="225" spans="7:7" x14ac:dyDescent="0.25">
      <c r="G225"/>
    </row>
    <row r="226" spans="7:7" x14ac:dyDescent="0.25">
      <c r="G226"/>
    </row>
    <row r="227" spans="7:7" x14ac:dyDescent="0.25">
      <c r="G227"/>
    </row>
    <row r="228" spans="7:7" x14ac:dyDescent="0.25">
      <c r="G228"/>
    </row>
    <row r="229" spans="7:7" x14ac:dyDescent="0.25">
      <c r="G229"/>
    </row>
    <row r="230" spans="7:7" x14ac:dyDescent="0.25">
      <c r="G230"/>
    </row>
    <row r="231" spans="7:7" x14ac:dyDescent="0.25">
      <c r="G231"/>
    </row>
    <row r="232" spans="7:7" x14ac:dyDescent="0.25">
      <c r="G232"/>
    </row>
    <row r="233" spans="7:7" x14ac:dyDescent="0.25">
      <c r="G233"/>
    </row>
    <row r="234" spans="7:7" x14ac:dyDescent="0.25">
      <c r="G234"/>
    </row>
    <row r="235" spans="7:7" x14ac:dyDescent="0.25">
      <c r="G235"/>
    </row>
    <row r="236" spans="7:7" x14ac:dyDescent="0.25">
      <c r="G236"/>
    </row>
    <row r="237" spans="7:7" x14ac:dyDescent="0.25">
      <c r="G237"/>
    </row>
    <row r="238" spans="7:7" x14ac:dyDescent="0.25">
      <c r="G238"/>
    </row>
    <row r="239" spans="7:7" x14ac:dyDescent="0.25">
      <c r="G239"/>
    </row>
    <row r="240" spans="7:7" x14ac:dyDescent="0.25">
      <c r="G240"/>
    </row>
    <row r="241" spans="7:7" x14ac:dyDescent="0.25">
      <c r="G241"/>
    </row>
    <row r="242" spans="7:7" x14ac:dyDescent="0.25">
      <c r="G242"/>
    </row>
    <row r="243" spans="7:7" x14ac:dyDescent="0.25">
      <c r="G243"/>
    </row>
    <row r="244" spans="7:7" x14ac:dyDescent="0.25">
      <c r="G244"/>
    </row>
    <row r="245" spans="7:7" x14ac:dyDescent="0.25">
      <c r="G245"/>
    </row>
    <row r="246" spans="7:7" x14ac:dyDescent="0.25">
      <c r="G246"/>
    </row>
    <row r="247" spans="7:7" x14ac:dyDescent="0.25">
      <c r="G247"/>
    </row>
    <row r="248" spans="7:7" x14ac:dyDescent="0.25">
      <c r="G248"/>
    </row>
    <row r="249" spans="7:7" x14ac:dyDescent="0.25">
      <c r="G249"/>
    </row>
    <row r="250" spans="7:7" x14ac:dyDescent="0.25">
      <c r="G250"/>
    </row>
    <row r="251" spans="7:7" x14ac:dyDescent="0.25">
      <c r="G251"/>
    </row>
    <row r="252" spans="7:7" x14ac:dyDescent="0.25">
      <c r="G252"/>
    </row>
    <row r="253" spans="7:7" x14ac:dyDescent="0.25">
      <c r="G253"/>
    </row>
    <row r="254" spans="7:7" x14ac:dyDescent="0.25">
      <c r="G254"/>
    </row>
    <row r="255" spans="7:7" x14ac:dyDescent="0.25">
      <c r="G255"/>
    </row>
    <row r="256" spans="7:7" x14ac:dyDescent="0.25">
      <c r="G256"/>
    </row>
    <row r="257" spans="7:7" x14ac:dyDescent="0.25">
      <c r="G257"/>
    </row>
    <row r="258" spans="7:7" x14ac:dyDescent="0.25">
      <c r="G258"/>
    </row>
    <row r="259" spans="7:7" x14ac:dyDescent="0.25">
      <c r="G259"/>
    </row>
    <row r="260" spans="7:7" x14ac:dyDescent="0.25">
      <c r="G260"/>
    </row>
    <row r="261" spans="7:7" x14ac:dyDescent="0.25">
      <c r="G261"/>
    </row>
    <row r="262" spans="7:7" x14ac:dyDescent="0.25">
      <c r="G262"/>
    </row>
    <row r="263" spans="7:7" x14ac:dyDescent="0.25">
      <c r="G263"/>
    </row>
    <row r="264" spans="7:7" x14ac:dyDescent="0.25">
      <c r="G264"/>
    </row>
    <row r="265" spans="7:7" x14ac:dyDescent="0.25">
      <c r="G265"/>
    </row>
    <row r="266" spans="7:7" x14ac:dyDescent="0.25">
      <c r="G266"/>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C000"/>
  </sheetPr>
  <dimension ref="B2:G9"/>
  <sheetViews>
    <sheetView workbookViewId="0">
      <selection activeCell="C10" sqref="C10"/>
    </sheetView>
  </sheetViews>
  <sheetFormatPr defaultRowHeight="15" x14ac:dyDescent="0.25"/>
  <cols>
    <col min="2" max="2" width="26.28515625" bestFit="1" customWidth="1"/>
    <col min="3" max="3" width="31.5703125" bestFit="1" customWidth="1"/>
    <col min="4" max="5" width="10.140625" bestFit="1" customWidth="1"/>
    <col min="6" max="6" width="10.7109375" bestFit="1" customWidth="1"/>
    <col min="7" max="7" width="11.28515625" bestFit="1" customWidth="1"/>
    <col min="8" max="8" width="10.140625" bestFit="1" customWidth="1"/>
    <col min="9" max="9" width="11.140625" bestFit="1" customWidth="1"/>
    <col min="10" max="11" width="10.140625" bestFit="1" customWidth="1"/>
    <col min="12" max="12" width="13.140625" bestFit="1" customWidth="1"/>
    <col min="13" max="14" width="11.140625" bestFit="1" customWidth="1"/>
    <col min="15" max="15" width="10.140625" bestFit="1" customWidth="1"/>
    <col min="16" max="16" width="13.140625" bestFit="1" customWidth="1"/>
    <col min="17" max="17" width="10.28515625" bestFit="1" customWidth="1"/>
    <col min="18" max="19" width="10.140625" bestFit="1" customWidth="1"/>
    <col min="20" max="20" width="13.140625" bestFit="1" customWidth="1"/>
    <col min="21" max="21" width="10.28515625" bestFit="1" customWidth="1"/>
    <col min="22" max="23" width="10.140625" bestFit="1" customWidth="1"/>
    <col min="24" max="24" width="13.140625" bestFit="1" customWidth="1"/>
    <col min="25" max="25" width="10.28515625" bestFit="1" customWidth="1"/>
    <col min="26" max="27" width="10.140625" bestFit="1" customWidth="1"/>
    <col min="28" max="28" width="13.140625" bestFit="1" customWidth="1"/>
    <col min="29" max="29" width="11.140625" bestFit="1" customWidth="1"/>
    <col min="30" max="30" width="13.140625" bestFit="1" customWidth="1"/>
    <col min="31" max="31" width="12.7109375" bestFit="1" customWidth="1"/>
    <col min="32" max="32" width="9" bestFit="1" customWidth="1"/>
    <col min="33" max="36" width="11" bestFit="1" customWidth="1"/>
  </cols>
  <sheetData>
    <row r="2" spans="2:7" x14ac:dyDescent="0.25">
      <c r="B2" s="4" t="s">
        <v>152</v>
      </c>
      <c r="C2" t="s" vm="12">
        <v>239</v>
      </c>
    </row>
    <row r="3" spans="2:7" x14ac:dyDescent="0.25">
      <c r="B3" s="4" t="s">
        <v>244</v>
      </c>
      <c r="C3" t="s" vm="13">
        <v>245</v>
      </c>
    </row>
    <row r="5" spans="2:7" x14ac:dyDescent="0.25">
      <c r="B5" s="4" t="s">
        <v>136</v>
      </c>
      <c r="C5" s="4" t="s">
        <v>137</v>
      </c>
    </row>
    <row r="6" spans="2:7" x14ac:dyDescent="0.25">
      <c r="B6" s="4" t="s">
        <v>242</v>
      </c>
      <c r="C6" s="6">
        <v>43921</v>
      </c>
      <c r="D6" s="6">
        <v>44012</v>
      </c>
      <c r="E6" s="6">
        <v>44104</v>
      </c>
      <c r="F6" s="6">
        <v>44196</v>
      </c>
      <c r="G6" t="s">
        <v>138</v>
      </c>
    </row>
    <row r="7" spans="2:7" x14ac:dyDescent="0.25">
      <c r="B7" s="7" t="s">
        <v>1030</v>
      </c>
      <c r="C7" s="1">
        <v>189729918</v>
      </c>
      <c r="D7" s="1">
        <v>54663521</v>
      </c>
      <c r="E7" s="1">
        <v>45266379</v>
      </c>
      <c r="F7" s="1">
        <v>60422940</v>
      </c>
      <c r="G7" s="1">
        <v>350082758</v>
      </c>
    </row>
    <row r="8" spans="2:7" x14ac:dyDescent="0.25">
      <c r="B8" s="7" t="s">
        <v>1044</v>
      </c>
      <c r="C8" s="1">
        <v>1292222</v>
      </c>
      <c r="D8" s="1">
        <v>1232739</v>
      </c>
      <c r="E8" s="1">
        <v>1151932</v>
      </c>
      <c r="F8" s="1">
        <v>1347492</v>
      </c>
      <c r="G8" s="1">
        <v>5024385</v>
      </c>
    </row>
    <row r="9" spans="2:7" x14ac:dyDescent="0.25">
      <c r="B9" s="7" t="s">
        <v>241</v>
      </c>
      <c r="C9" s="1">
        <v>85526826</v>
      </c>
      <c r="D9" s="1">
        <v>86314846</v>
      </c>
      <c r="E9" s="1">
        <v>92057732</v>
      </c>
      <c r="F9" s="1">
        <v>88597467</v>
      </c>
      <c r="G9" s="1">
        <v>352496871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tabColor rgb="FFFFC000"/>
  </sheetPr>
  <dimension ref="B2:AE60"/>
  <sheetViews>
    <sheetView topLeftCell="A34" zoomScaleNormal="100" workbookViewId="0">
      <selection activeCell="H36" sqref="H36"/>
    </sheetView>
  </sheetViews>
  <sheetFormatPr defaultRowHeight="15" x14ac:dyDescent="0.25"/>
  <cols>
    <col min="2" max="2" width="48.85546875" customWidth="1"/>
    <col min="3" max="3" width="22.140625" customWidth="1"/>
    <col min="4" max="4" width="16.85546875" bestFit="1" customWidth="1"/>
    <col min="5" max="5" width="16.28515625" customWidth="1"/>
    <col min="6" max="14" width="12.140625" bestFit="1" customWidth="1"/>
    <col min="15" max="15" width="12.42578125" bestFit="1" customWidth="1"/>
    <col min="16" max="16" width="10.140625" bestFit="1" customWidth="1"/>
    <col min="17" max="17" width="26.7109375" customWidth="1"/>
    <col min="18" max="18" width="14.28515625" style="41" bestFit="1" customWidth="1"/>
    <col min="19" max="19" width="16.85546875" style="41" bestFit="1" customWidth="1"/>
    <col min="20" max="20" width="14.28515625" style="41" bestFit="1" customWidth="1"/>
    <col min="21" max="21" width="14.7109375" style="41" bestFit="1" customWidth="1"/>
    <col min="22" max="22" width="14.28515625" style="41" bestFit="1" customWidth="1"/>
    <col min="23" max="25" width="14.7109375" style="41" bestFit="1" customWidth="1"/>
    <col min="26" max="26" width="14.28515625" style="41" bestFit="1" customWidth="1"/>
    <col min="27" max="27" width="14.7109375" style="41" bestFit="1" customWidth="1"/>
    <col min="28" max="29" width="14.28515625" style="41" bestFit="1" customWidth="1"/>
    <col min="30" max="30" width="15.28515625" style="41" bestFit="1" customWidth="1"/>
    <col min="31" max="31" width="11" bestFit="1" customWidth="1"/>
    <col min="32" max="33" width="10.140625" bestFit="1" customWidth="1"/>
    <col min="34" max="34" width="13.140625" bestFit="1" customWidth="1"/>
    <col min="35" max="35" width="11.140625" bestFit="1" customWidth="1"/>
    <col min="36" max="36" width="13.140625" bestFit="1" customWidth="1"/>
    <col min="37" max="37" width="12.7109375" bestFit="1" customWidth="1"/>
    <col min="38" max="38" width="9" bestFit="1" customWidth="1"/>
    <col min="39" max="42" width="11" bestFit="1" customWidth="1"/>
  </cols>
  <sheetData>
    <row r="2" spans="2:30" x14ac:dyDescent="0.25">
      <c r="B2" s="4" t="s">
        <v>152</v>
      </c>
      <c r="C2" t="s" vm="12">
        <v>239</v>
      </c>
      <c r="Q2" s="155" t="s">
        <v>152</v>
      </c>
      <c r="R2" s="156" t="s" vm="119">
        <v>248</v>
      </c>
    </row>
    <row r="3" spans="2:30" x14ac:dyDescent="0.25">
      <c r="B3" s="4" t="s">
        <v>244</v>
      </c>
      <c r="C3" t="s" vm="13">
        <v>245</v>
      </c>
      <c r="Q3" s="155" t="s">
        <v>244</v>
      </c>
      <c r="R3" s="156" t="s" vm="13">
        <v>245</v>
      </c>
    </row>
    <row r="5" spans="2:30" x14ac:dyDescent="0.25">
      <c r="B5" t="str" vm="10">
        <f>CUBEMEMBER("ThisWorkbookDataModel","[Measures].[Sum of Износ]")</f>
        <v>Sum of Износ</v>
      </c>
      <c r="C5" t="s">
        <v>137</v>
      </c>
      <c r="D5" s="8" t="str" vm="873">
        <f>CUBEMEMBER("ThisWorkbookDataModel","[Calendar].[Date Hierarchy].[Year].&amp;[2022]")</f>
        <v>2022</v>
      </c>
      <c r="Q5" t="str" vm="10">
        <f>CUBEMEMBER("ThisWorkbookDataModel","[Measures].[Sum of Износ]")</f>
        <v>Sum of Износ</v>
      </c>
      <c r="R5" s="41" t="s">
        <v>137</v>
      </c>
      <c r="S5" s="157" t="str" vm="2494">
        <f>CUBEMEMBER("ThisWorkbookDataModel","[Calendar].[Date Hierarchy].[Year].&amp;[2021]")</f>
        <v>2021</v>
      </c>
    </row>
    <row r="6" spans="2:30" x14ac:dyDescent="0.25">
      <c r="B6" t="s">
        <v>242</v>
      </c>
      <c r="C6" t="str" vm="14">
        <f>CUBEMEMBER("ThisWorkbookDataModel","[Calendar].[Месец].&amp;[Jan]")</f>
        <v>Jan</v>
      </c>
      <c r="D6" t="str" vm="15">
        <f>CUBEMEMBER("ThisWorkbookDataModel","[Calendar].[Месец].&amp;[Feb]")</f>
        <v>Feb</v>
      </c>
      <c r="E6" t="str" vm="16">
        <f>CUBEMEMBER("ThisWorkbookDataModel","[Calendar].[Месец].&amp;[Mar]")</f>
        <v>Mar</v>
      </c>
      <c r="F6" t="str" vm="17">
        <f>CUBEMEMBER("ThisWorkbookDataModel","[Calendar].[Месец].&amp;[Apr]")</f>
        <v>Apr</v>
      </c>
      <c r="G6" t="str" vm="18">
        <f>CUBEMEMBER("ThisWorkbookDataModel","[Calendar].[Месец].&amp;[May]")</f>
        <v>May</v>
      </c>
      <c r="H6" t="str" vm="19">
        <f>CUBEMEMBER("ThisWorkbookDataModel","[Calendar].[Месец].&amp;[Jun]")</f>
        <v>Jun</v>
      </c>
      <c r="I6" t="str" vm="20">
        <f>CUBEMEMBER("ThisWorkbookDataModel","[Calendar].[Месец].&amp;[Jul]")</f>
        <v>Jul</v>
      </c>
      <c r="J6" t="str" vm="21">
        <f>CUBEMEMBER("ThisWorkbookDataModel","[Calendar].[Месец].&amp;[Aug]")</f>
        <v>Aug</v>
      </c>
      <c r="K6" t="str" vm="22">
        <f>CUBEMEMBER("ThisWorkbookDataModel","[Calendar].[Месец].&amp;[Sep]")</f>
        <v>Sep</v>
      </c>
      <c r="L6" t="str" vm="23">
        <f>CUBEMEMBER("ThisWorkbookDataModel","[Calendar].[Месец].&amp;[Oct]")</f>
        <v>Oct</v>
      </c>
      <c r="M6" t="str" vm="24">
        <f>CUBEMEMBER("ThisWorkbookDataModel","[Calendar].[Месец].&amp;[Nov]")</f>
        <v>Nov</v>
      </c>
      <c r="N6" t="str" vm="25">
        <f>CUBEMEMBER("ThisWorkbookDataModel","[Calendar].[Месец].&amp;[Dec]")</f>
        <v>Dec</v>
      </c>
      <c r="O6" t="str" vm="26">
        <f>CUBEMEMBER("ThisWorkbookDataModel","[Calendar].[Месец].[All]","Grand Total")</f>
        <v>Grand Total</v>
      </c>
      <c r="Q6" t="s">
        <v>242</v>
      </c>
      <c r="R6" s="41" t="str" vm="14">
        <f>CUBEMEMBER("ThisWorkbookDataModel","[Calendar].[Месец].&amp;[Jan]")</f>
        <v>Jan</v>
      </c>
      <c r="S6" s="41" t="str" vm="15">
        <f>CUBEMEMBER("ThisWorkbookDataModel","[Calendar].[Месец].&amp;[Feb]")</f>
        <v>Feb</v>
      </c>
      <c r="T6" s="41" t="str" vm="16">
        <f>CUBEMEMBER("ThisWorkbookDataModel","[Calendar].[Месец].&amp;[Mar]")</f>
        <v>Mar</v>
      </c>
      <c r="U6" s="41" t="str" vm="17">
        <f>CUBEMEMBER("ThisWorkbookDataModel","[Calendar].[Месец].&amp;[Apr]")</f>
        <v>Apr</v>
      </c>
      <c r="V6" s="41" t="str" vm="18">
        <f>CUBEMEMBER("ThisWorkbookDataModel","[Calendar].[Месец].&amp;[May]")</f>
        <v>May</v>
      </c>
      <c r="W6" s="41" t="str" vm="19">
        <f>CUBEMEMBER("ThisWorkbookDataModel","[Calendar].[Месец].&amp;[Jun]")</f>
        <v>Jun</v>
      </c>
      <c r="X6" s="41" t="str" vm="20">
        <f>CUBEMEMBER("ThisWorkbookDataModel","[Calendar].[Месец].&amp;[Jul]")</f>
        <v>Jul</v>
      </c>
      <c r="Y6" s="41" t="str" vm="21">
        <f>CUBEMEMBER("ThisWorkbookDataModel","[Calendar].[Месец].&amp;[Aug]")</f>
        <v>Aug</v>
      </c>
      <c r="Z6" s="41" t="str" vm="22">
        <f>CUBEMEMBER("ThisWorkbookDataModel","[Calendar].[Месец].&amp;[Sep]")</f>
        <v>Sep</v>
      </c>
      <c r="AA6" s="41" t="str" vm="23">
        <f>CUBEMEMBER("ThisWorkbookDataModel","[Calendar].[Месец].&amp;[Oct]")</f>
        <v>Oct</v>
      </c>
      <c r="AB6" s="41" t="str" vm="24">
        <f>CUBEMEMBER("ThisWorkbookDataModel","[Calendar].[Месец].&amp;[Nov]")</f>
        <v>Nov</v>
      </c>
      <c r="AC6" s="41" t="str" vm="25">
        <f>CUBEMEMBER("ThisWorkbookDataModel","[Calendar].[Месец].&amp;[Dec]")</f>
        <v>Dec</v>
      </c>
      <c r="AD6" s="41" t="str" vm="26">
        <f>CUBEMEMBER("ThisWorkbookDataModel","[Calendar].[Месец].[All]","Grand Total")</f>
        <v>Grand Total</v>
      </c>
    </row>
    <row r="7" spans="2:30" s="9" customFormat="1" x14ac:dyDescent="0.25">
      <c r="B7" s="109" t="str" vm="59">
        <f>CUBEMEMBER("ThisWorkbookDataModel","[fActualAndBudget].[StavkaKategorija].&amp;[2.29. Приходи од продажба]")</f>
        <v>2.29. Приходи од продажба</v>
      </c>
      <c r="C7" s="110" vm="1083">
        <f t="shared" ref="C7:O8" si="0">CUBEVALUE("ThisWorkbookDataModel",$C$2,$C$3,$B$5,$B7,C$6,$D$5)</f>
        <v>23381660</v>
      </c>
      <c r="D7" s="110" vm="1030">
        <f t="shared" si="0"/>
        <v>114216168</v>
      </c>
      <c r="E7" s="110" vm="1448">
        <f t="shared" si="0"/>
        <v>63528979</v>
      </c>
      <c r="F7" s="110" vm="965">
        <f t="shared" si="0"/>
        <v>18956534</v>
      </c>
      <c r="G7" s="110" vm="940">
        <f t="shared" si="0"/>
        <v>17291848</v>
      </c>
      <c r="H7" s="110" vm="1169">
        <f t="shared" si="0"/>
        <v>17620505</v>
      </c>
      <c r="I7" s="110" vm="908">
        <f t="shared" si="0"/>
        <v>18757797</v>
      </c>
      <c r="J7" s="110" vm="1275">
        <f t="shared" si="0"/>
        <v>14705032</v>
      </c>
      <c r="K7" s="110" vm="1425">
        <f t="shared" si="0"/>
        <v>18792897</v>
      </c>
      <c r="L7" s="110" vm="928">
        <f t="shared" si="0"/>
        <v>16310877</v>
      </c>
      <c r="M7" s="110" vm="979">
        <f t="shared" si="0"/>
        <v>20341737</v>
      </c>
      <c r="N7" s="110" vm="1488">
        <f t="shared" si="0"/>
        <v>17157239</v>
      </c>
      <c r="O7" s="110" vm="890">
        <f t="shared" si="0"/>
        <v>361061273</v>
      </c>
      <c r="Q7" s="9" t="str" vm="59">
        <f>CUBEMEMBER("ThisWorkbookDataModel","[fActualAndBudget].[StavkaKategorija].&amp;[2.29. Приходи од продажба]")</f>
        <v>2.29. Приходи од продажба</v>
      </c>
      <c r="R7" s="110" vm="2826">
        <f t="shared" ref="R7:R23" si="1">CUBEVALUE("ThisWorkbookDataModel",$R$2,$R$3,$B$5,$B7,R$6,$S$5)</f>
        <v>13155253</v>
      </c>
      <c r="S7" s="110" vm="2750">
        <f t="shared" ref="S7:AD22" si="2">CUBEVALUE("ThisWorkbookDataModel",$R$2,$R$3,$B$5,$B7,S$6,$S$5)</f>
        <v>89685748</v>
      </c>
      <c r="T7" s="110" vm="2833">
        <f t="shared" si="2"/>
        <v>83688183</v>
      </c>
      <c r="U7" s="110" vm="2854">
        <f t="shared" si="2"/>
        <v>29458859</v>
      </c>
      <c r="V7" s="110" vm="2617">
        <f t="shared" si="2"/>
        <v>16655547</v>
      </c>
      <c r="W7" s="110" vm="2795">
        <f t="shared" si="2"/>
        <v>21401884</v>
      </c>
      <c r="X7" s="110" vm="2913">
        <f t="shared" si="2"/>
        <v>16839960</v>
      </c>
      <c r="Y7" s="110" vm="2953">
        <f t="shared" si="2"/>
        <v>13884732</v>
      </c>
      <c r="Z7" s="110" vm="2960">
        <f t="shared" si="2"/>
        <v>16419730</v>
      </c>
      <c r="AA7" s="110" vm="2884">
        <f t="shared" si="2"/>
        <v>15808744</v>
      </c>
      <c r="AB7" s="110" vm="2846">
        <f t="shared" si="2"/>
        <v>16386903</v>
      </c>
      <c r="AC7" s="110" vm="2581">
        <f t="shared" si="2"/>
        <v>20668635</v>
      </c>
      <c r="AD7" s="110" vm="2575">
        <f t="shared" si="2"/>
        <v>354054178</v>
      </c>
    </row>
    <row r="8" spans="2:30" x14ac:dyDescent="0.25">
      <c r="B8" s="8" t="str" vm="46">
        <f>CUBEMEMBER("ThisWorkbookDataModel",{"[fActualAndBudget].[StavkaKategorija].&amp;[2.29. Приходи од продажба]","[fActualAndBudget].[StavkaImeMK].&amp;[Приходи од годишни сметки]"})</f>
        <v>Приходи од годишни сметки</v>
      </c>
      <c r="C8" s="41" vm="1465">
        <f>CUBEVALUE("ThisWorkbookDataModel",$C$2,$C$3,$B$5,$B8,C$6,$D$5)</f>
        <v>2885980</v>
      </c>
      <c r="D8" s="41" vm="1121">
        <f>CUBEVALUE("ThisWorkbookDataModel",$C$2,$C$3,$B$5,$B8,D$6,$D$5)</f>
        <v>96921165</v>
      </c>
      <c r="E8" s="41" vm="1306">
        <f t="shared" si="0"/>
        <v>46115687</v>
      </c>
      <c r="F8" s="41" vm="1228">
        <f t="shared" si="0"/>
        <v>6816678</v>
      </c>
      <c r="G8" s="41" vm="1466">
        <f t="shared" si="0"/>
        <v>3223302</v>
      </c>
      <c r="H8" s="41" vm="944">
        <f t="shared" si="0"/>
        <v>2083920</v>
      </c>
      <c r="I8" s="41" vm="1467">
        <f t="shared" si="0"/>
        <v>1368367</v>
      </c>
      <c r="J8" s="41" vm="1231">
        <f t="shared" si="0"/>
        <v>1078904</v>
      </c>
      <c r="K8" s="41" vm="1404">
        <f t="shared" si="0"/>
        <v>1337458</v>
      </c>
      <c r="L8" s="41" vm="935">
        <f t="shared" si="0"/>
        <v>1321575</v>
      </c>
      <c r="M8" s="41" vm="1419">
        <f t="shared" si="0"/>
        <v>1320194</v>
      </c>
      <c r="N8" s="41" vm="1304">
        <f t="shared" si="0"/>
        <v>2826765</v>
      </c>
      <c r="O8" s="41" vm="1305">
        <f t="shared" si="0"/>
        <v>167299995</v>
      </c>
      <c r="Q8" t="str" vm="46">
        <f>CUBEMEMBER("ThisWorkbookDataModel",{"[fActualAndBudget].[StavkaKategorija].&amp;[2.29. Приходи од продажба]","[fActualAndBudget].[StavkaImeMK].&amp;[Приходи од годишни сметки]"})</f>
        <v>Приходи од годишни сметки</v>
      </c>
      <c r="R8" s="41" vm="2733">
        <f t="shared" si="1"/>
        <v>2983382</v>
      </c>
      <c r="S8" s="41" vm="3049">
        <f t="shared" si="2"/>
        <v>66229221</v>
      </c>
      <c r="T8" s="41" vm="2539">
        <f t="shared" si="2"/>
        <v>68511497</v>
      </c>
      <c r="U8" s="41" vm="2652">
        <f t="shared" si="2"/>
        <v>7064373</v>
      </c>
      <c r="V8" s="41" vm="2767">
        <f t="shared" si="2"/>
        <v>1819814</v>
      </c>
      <c r="W8" s="41" vm="2764">
        <f t="shared" si="2"/>
        <v>2008441</v>
      </c>
      <c r="X8" s="41" vm="3027">
        <f t="shared" si="2"/>
        <v>1258402</v>
      </c>
      <c r="Y8" s="41" vm="2860">
        <f t="shared" si="2"/>
        <v>1097026</v>
      </c>
      <c r="Z8" s="41" vm="2613">
        <f t="shared" si="2"/>
        <v>1266187</v>
      </c>
      <c r="AA8" s="41" vm="2836">
        <f t="shared" si="2"/>
        <v>1155956</v>
      </c>
      <c r="AB8" s="41" vm="2614">
        <f t="shared" si="2"/>
        <v>1264030</v>
      </c>
      <c r="AC8" s="41" vm="2930">
        <f t="shared" si="2"/>
        <v>2800112</v>
      </c>
      <c r="AD8" s="41" vm="3063">
        <f t="shared" si="2"/>
        <v>157458441</v>
      </c>
    </row>
    <row r="9" spans="2:30" x14ac:dyDescent="0.25">
      <c r="B9" s="8" t="str" vm="50">
        <f>CUBEMEMBER("ThisWorkbookDataModel",{"[fActualAndBudget].[StavkaKategorija].&amp;[2.29. Приходи од продажба]","[fActualAndBudget].[StavkaImeMK].&amp;[Приходи од заложен регистар]"})</f>
        <v>Приходи од заложен регистар</v>
      </c>
      <c r="C9" s="41" vm="1320">
        <f t="shared" ref="C9:O24" si="3">CUBEVALUE("ThisWorkbookDataModel",$C$2,$C$3,$B$5,$B9,C$6,$D$5)</f>
        <v>218901</v>
      </c>
      <c r="D9" s="41" vm="1035">
        <f t="shared" si="3"/>
        <v>283038</v>
      </c>
      <c r="E9" s="41" vm="1072">
        <f t="shared" si="3"/>
        <v>285569</v>
      </c>
      <c r="F9" s="41" vm="953">
        <f t="shared" si="3"/>
        <v>115112</v>
      </c>
      <c r="G9" s="41" vm="1198">
        <f t="shared" si="3"/>
        <v>160084</v>
      </c>
      <c r="H9" s="41" vm="1386">
        <f t="shared" si="3"/>
        <v>174935</v>
      </c>
      <c r="I9" s="41" vm="875">
        <f t="shared" si="3"/>
        <v>181867</v>
      </c>
      <c r="J9" s="41" vm="1297">
        <f t="shared" si="3"/>
        <v>150697</v>
      </c>
      <c r="K9" s="41" vm="978">
        <f t="shared" si="3"/>
        <v>176956</v>
      </c>
      <c r="L9" s="41" vm="1154">
        <f t="shared" si="3"/>
        <v>173257</v>
      </c>
      <c r="M9" s="41" vm="970">
        <f t="shared" si="3"/>
        <v>157804</v>
      </c>
      <c r="N9" s="41" vm="1119">
        <f t="shared" si="3"/>
        <v>221775</v>
      </c>
      <c r="O9" s="41" vm="994">
        <f t="shared" si="3"/>
        <v>2299995</v>
      </c>
      <c r="Q9" t="str" vm="50">
        <f>CUBEMEMBER("ThisWorkbookDataModel",{"[fActualAndBudget].[StavkaKategorija].&amp;[2.29. Приходи од продажба]","[fActualAndBudget].[StavkaImeMK].&amp;[Приходи од заложен регистар]"})</f>
        <v>Приходи од заложен регистар</v>
      </c>
      <c r="R9" s="41" vm="2808">
        <f t="shared" si="1"/>
        <v>115557</v>
      </c>
      <c r="S9" s="41" vm="2535">
        <f t="shared" si="2"/>
        <v>169348</v>
      </c>
      <c r="T9" s="41" vm="2690">
        <f t="shared" si="2"/>
        <v>191797</v>
      </c>
      <c r="U9" s="41" vm="2868">
        <f t="shared" si="2"/>
        <v>181887</v>
      </c>
      <c r="V9" s="41" vm="2804">
        <f t="shared" si="2"/>
        <v>142046</v>
      </c>
      <c r="W9" s="41" vm="2565">
        <f t="shared" si="2"/>
        <v>197230</v>
      </c>
      <c r="X9" s="41" vm="2934">
        <f t="shared" si="2"/>
        <v>160089</v>
      </c>
      <c r="Y9" s="41" vm="3073">
        <f t="shared" si="2"/>
        <v>111935</v>
      </c>
      <c r="Z9" s="41" vm="2671">
        <f t="shared" si="2"/>
        <v>169350</v>
      </c>
      <c r="AA9" s="41" vm="2715">
        <f t="shared" si="2"/>
        <v>159362</v>
      </c>
      <c r="AB9" s="41" vm="2729">
        <f t="shared" si="2"/>
        <v>155742</v>
      </c>
      <c r="AC9" s="41" vm="2673">
        <f t="shared" si="2"/>
        <v>220857</v>
      </c>
      <c r="AD9" s="41" vm="2559">
        <f t="shared" si="2"/>
        <v>1975200</v>
      </c>
    </row>
    <row r="10" spans="2:30" x14ac:dyDescent="0.25">
      <c r="B10" s="8" t="str" vm="42">
        <f>CUBEMEMBER("ThisWorkbookDataModel",{"[fActualAndBudget].[StavkaKategorija].&amp;[2.29. Приходи од продажба]","[fActualAndBudget].[StavkaImeMK].&amp;[Приходи од интернет дистрибутивен систем]"})</f>
        <v>Приходи од интернет дистрибутивен систем</v>
      </c>
      <c r="C10" s="41" vm="1105">
        <f t="shared" si="3"/>
        <v>1666667</v>
      </c>
      <c r="D10" s="41" vm="1250">
        <f t="shared" si="3"/>
        <v>1666667</v>
      </c>
      <c r="E10" s="41" vm="1157">
        <f t="shared" si="3"/>
        <v>1666667</v>
      </c>
      <c r="F10" s="41" vm="1086">
        <f t="shared" si="3"/>
        <v>1666667</v>
      </c>
      <c r="G10" s="41" vm="1301">
        <f t="shared" si="3"/>
        <v>1666667</v>
      </c>
      <c r="H10" s="41" vm="1178">
        <f t="shared" si="3"/>
        <v>1666667</v>
      </c>
      <c r="I10" s="41" vm="1023">
        <f t="shared" si="3"/>
        <v>1666667</v>
      </c>
      <c r="J10" s="41" vm="1168">
        <f t="shared" si="3"/>
        <v>1666667</v>
      </c>
      <c r="K10" s="41" vm="1308">
        <f t="shared" si="3"/>
        <v>1666667</v>
      </c>
      <c r="L10" s="41" vm="1018">
        <f t="shared" si="3"/>
        <v>1666667</v>
      </c>
      <c r="M10" s="41" vm="1251">
        <f t="shared" si="3"/>
        <v>1666667</v>
      </c>
      <c r="N10" s="41" vm="1318">
        <f t="shared" si="3"/>
        <v>1666667</v>
      </c>
      <c r="O10" s="41" vm="1296">
        <f t="shared" si="3"/>
        <v>20000004</v>
      </c>
      <c r="Q10" t="str" vm="42">
        <f>CUBEMEMBER("ThisWorkbookDataModel",{"[fActualAndBudget].[StavkaKategorija].&amp;[2.29. Приходи од продажба]","[fActualAndBudget].[StavkaImeMK].&amp;[Приходи од интернет дистрибутивен систем]"})</f>
        <v>Приходи од интернет дистрибутивен систем</v>
      </c>
      <c r="R10" s="41" vm="2550">
        <f t="shared" si="1"/>
        <v>659225</v>
      </c>
      <c r="S10" s="41" vm="2694">
        <f t="shared" si="2"/>
        <v>850926</v>
      </c>
      <c r="T10" s="41" vm="2737">
        <f t="shared" si="2"/>
        <v>1498987</v>
      </c>
      <c r="U10" s="41" vm="2849">
        <f t="shared" si="2"/>
        <v>1225292</v>
      </c>
      <c r="V10" s="41" vm="2851">
        <f t="shared" si="2"/>
        <v>1519774</v>
      </c>
      <c r="W10" s="41" vm="2526">
        <f t="shared" si="2"/>
        <v>2335540</v>
      </c>
      <c r="X10" s="41" vm="2937">
        <f t="shared" si="2"/>
        <v>1994130</v>
      </c>
      <c r="Y10" s="41" vm="2748">
        <f t="shared" si="2"/>
        <v>1924998</v>
      </c>
      <c r="Z10" s="41" vm="2877">
        <f t="shared" si="2"/>
        <v>2118320</v>
      </c>
      <c r="AA10" s="41" vm="2847">
        <f t="shared" si="2"/>
        <v>2158469</v>
      </c>
      <c r="AB10" s="41" vm="2949">
        <f t="shared" si="2"/>
        <v>914120</v>
      </c>
      <c r="AC10" s="41" vm="2942">
        <f t="shared" si="2"/>
        <v>1123800</v>
      </c>
      <c r="AD10" s="41" vm="2875">
        <f t="shared" si="2"/>
        <v>18323581</v>
      </c>
    </row>
    <row r="11" spans="2:30" x14ac:dyDescent="0.25">
      <c r="B11" s="8" t="str" vm="39">
        <f>CUBEMEMBER("ThisWorkbookDataModel",{"[fActualAndBudget].[StavkaKategorija].&amp;[2.29. Приходи од продажба]","[fActualAndBudget].[StavkaImeMK].&amp;[Приходи од прекршочна постапка]"})</f>
        <v>Приходи од прекршочна постапка</v>
      </c>
      <c r="C11" s="41" t="str" vm="1026">
        <f t="shared" si="3"/>
        <v/>
      </c>
      <c r="D11" s="41" vm="1253">
        <f t="shared" si="3"/>
        <v>0</v>
      </c>
      <c r="E11" s="41" t="str" vm="1128">
        <f t="shared" si="3"/>
        <v/>
      </c>
      <c r="F11" s="41" t="str" vm="1281">
        <f t="shared" si="3"/>
        <v/>
      </c>
      <c r="G11" s="41" t="str" vm="897">
        <f t="shared" si="3"/>
        <v/>
      </c>
      <c r="H11" s="41" t="str" vm="1338">
        <f t="shared" si="3"/>
        <v/>
      </c>
      <c r="I11" s="41" t="str" vm="1449">
        <f t="shared" si="3"/>
        <v/>
      </c>
      <c r="J11" s="41" t="str" vm="885">
        <f t="shared" si="3"/>
        <v/>
      </c>
      <c r="K11" s="41" t="str" vm="1019">
        <f t="shared" si="3"/>
        <v/>
      </c>
      <c r="L11" s="41" t="str" vm="1059">
        <f t="shared" si="3"/>
        <v/>
      </c>
      <c r="M11" s="41" t="str" vm="1479">
        <f t="shared" si="3"/>
        <v/>
      </c>
      <c r="N11" s="41" t="str" vm="1004">
        <f t="shared" si="3"/>
        <v/>
      </c>
      <c r="O11" s="41" vm="1372">
        <f t="shared" si="3"/>
        <v>0</v>
      </c>
      <c r="Q11" t="str" vm="39">
        <f>CUBEMEMBER("ThisWorkbookDataModel",{"[fActualAndBudget].[StavkaKategorija].&amp;[2.29. Приходи од продажба]","[fActualAndBudget].[StavkaImeMK].&amp;[Приходи од прекршочна постапка]"})</f>
        <v>Приходи од прекршочна постапка</v>
      </c>
      <c r="R11" s="41" vm="2647">
        <f t="shared" si="1"/>
        <v>0</v>
      </c>
      <c r="S11" s="41" vm="2702">
        <f t="shared" si="2"/>
        <v>0</v>
      </c>
      <c r="T11" s="41" vm="2631">
        <f t="shared" si="2"/>
        <v>0</v>
      </c>
      <c r="U11" s="41" vm="2618">
        <f t="shared" si="2"/>
        <v>0</v>
      </c>
      <c r="V11" s="41" vm="2532">
        <f t="shared" si="2"/>
        <v>0</v>
      </c>
      <c r="W11" s="41" vm="2537">
        <f t="shared" si="2"/>
        <v>0</v>
      </c>
      <c r="X11" s="41" vm="2541">
        <f t="shared" si="2"/>
        <v>0</v>
      </c>
      <c r="Y11" s="41" vm="2520">
        <f t="shared" si="2"/>
        <v>0</v>
      </c>
      <c r="Z11" s="41" vm="2963">
        <f t="shared" si="2"/>
        <v>0</v>
      </c>
      <c r="AA11" s="41" vm="2655">
        <f t="shared" si="2"/>
        <v>0</v>
      </c>
      <c r="AB11" s="41" t="str" vm="2516">
        <f t="shared" si="2"/>
        <v/>
      </c>
      <c r="AC11" s="41" t="str" vm="2551">
        <f t="shared" si="2"/>
        <v/>
      </c>
      <c r="AD11" s="41" vm="2701">
        <f t="shared" si="2"/>
        <v>0</v>
      </c>
    </row>
    <row r="12" spans="2:30" x14ac:dyDescent="0.25">
      <c r="B12" s="8" t="str" vm="33">
        <f>CUBEMEMBER("ThisWorkbookDataModel",{"[fActualAndBudget].[StavkaKategorija].&amp;[2.29. Приходи од продажба]","[fActualAndBudget].[StavkaImeMK].&amp;[Приходи од регистар на директни странски инвестиции]"})</f>
        <v>Приходи од регистар на директни странски инвестиции</v>
      </c>
      <c r="C12" s="41" vm="1375">
        <f t="shared" si="3"/>
        <v>83334</v>
      </c>
      <c r="D12" s="41" vm="1435">
        <f t="shared" si="3"/>
        <v>83334</v>
      </c>
      <c r="E12" s="41" vm="1369">
        <f t="shared" si="3"/>
        <v>83334</v>
      </c>
      <c r="F12" s="41" vm="877">
        <f t="shared" si="3"/>
        <v>83334</v>
      </c>
      <c r="G12" s="41" vm="1495">
        <f t="shared" si="3"/>
        <v>83334</v>
      </c>
      <c r="H12" s="41" vm="932">
        <f t="shared" si="3"/>
        <v>83334</v>
      </c>
      <c r="I12" s="41" vm="1342">
        <f t="shared" si="3"/>
        <v>83334</v>
      </c>
      <c r="J12" s="41" vm="1037">
        <f t="shared" si="3"/>
        <v>83334</v>
      </c>
      <c r="K12" s="41" vm="1132">
        <f t="shared" si="3"/>
        <v>83334</v>
      </c>
      <c r="L12" s="41" vm="919">
        <f t="shared" si="3"/>
        <v>83334</v>
      </c>
      <c r="M12" s="41" vm="966">
        <f t="shared" si="3"/>
        <v>83334</v>
      </c>
      <c r="N12" s="41" vm="1179">
        <f t="shared" si="3"/>
        <v>83334</v>
      </c>
      <c r="O12" s="41" vm="1283">
        <f t="shared" si="3"/>
        <v>1000008</v>
      </c>
      <c r="Q12" t="str" vm="33">
        <f>CUBEMEMBER("ThisWorkbookDataModel",{"[fActualAndBudget].[StavkaKategorija].&amp;[2.29. Приходи од продажба]","[fActualAndBudget].[StavkaImeMK].&amp;[Приходи од регистар на директни странски инвестиции]"})</f>
        <v>Приходи од регистар на директни странски инвестиции</v>
      </c>
      <c r="R12" s="41" vm="2901">
        <f t="shared" si="1"/>
        <v>58238</v>
      </c>
      <c r="S12" s="41" vm="2807">
        <f t="shared" si="2"/>
        <v>50328</v>
      </c>
      <c r="T12" s="41" vm="2514">
        <f t="shared" si="2"/>
        <v>70881</v>
      </c>
      <c r="U12" s="41" vm="2593">
        <f t="shared" si="2"/>
        <v>98146</v>
      </c>
      <c r="V12" s="41" vm="2844">
        <f t="shared" si="2"/>
        <v>87506</v>
      </c>
      <c r="W12" s="41" vm="2891">
        <f t="shared" si="2"/>
        <v>88578</v>
      </c>
      <c r="X12" s="41" vm="2881">
        <f t="shared" si="2"/>
        <v>84192</v>
      </c>
      <c r="Y12" s="41" vm="2810">
        <f t="shared" si="2"/>
        <v>58989</v>
      </c>
      <c r="Z12" s="41" vm="2800">
        <f t="shared" si="2"/>
        <v>91540</v>
      </c>
      <c r="AA12" s="41" vm="2561">
        <f t="shared" si="2"/>
        <v>77990</v>
      </c>
      <c r="AB12" s="41" vm="2679">
        <f t="shared" si="2"/>
        <v>77990</v>
      </c>
      <c r="AC12" s="41" vm="3105">
        <f t="shared" si="2"/>
        <v>77990</v>
      </c>
      <c r="AD12" s="41" vm="3098">
        <f t="shared" si="2"/>
        <v>922368</v>
      </c>
    </row>
    <row r="13" spans="2:30" x14ac:dyDescent="0.25">
      <c r="B13" s="8" t="str" vm="72">
        <f>CUBEMEMBER("ThisWorkbookDataModel",{"[fActualAndBudget].[StavkaKategorija].&amp;[2.29. Приходи од продажба]","[fActualAndBudget].[StavkaImeMK].&amp;[Приходи од регистар на задолжница]"})</f>
        <v>Приходи од регистар на задолжница</v>
      </c>
      <c r="C13" s="41" vm="1382">
        <f t="shared" si="3"/>
        <v>833</v>
      </c>
      <c r="D13" s="41" vm="1003">
        <f t="shared" si="3"/>
        <v>833</v>
      </c>
      <c r="E13" s="41" vm="1114">
        <f t="shared" si="3"/>
        <v>833</v>
      </c>
      <c r="F13" s="41" vm="1316">
        <f t="shared" si="3"/>
        <v>833</v>
      </c>
      <c r="G13" s="41" vm="1455">
        <f t="shared" si="3"/>
        <v>833</v>
      </c>
      <c r="H13" s="41" vm="950">
        <f t="shared" si="3"/>
        <v>833</v>
      </c>
      <c r="I13" s="41" vm="1456">
        <f t="shared" si="3"/>
        <v>833</v>
      </c>
      <c r="J13" s="41" vm="990">
        <f t="shared" si="3"/>
        <v>833</v>
      </c>
      <c r="K13" s="41" vm="913">
        <f t="shared" si="3"/>
        <v>833</v>
      </c>
      <c r="L13" s="41" vm="1421">
        <f t="shared" si="3"/>
        <v>833</v>
      </c>
      <c r="M13" s="41" vm="1309">
        <f t="shared" si="3"/>
        <v>833</v>
      </c>
      <c r="N13" s="41" vm="1146">
        <f t="shared" si="3"/>
        <v>111944</v>
      </c>
      <c r="O13" s="41" vm="915">
        <f t="shared" si="3"/>
        <v>121107</v>
      </c>
      <c r="Q13" t="str" vm="72">
        <f>CUBEMEMBER("ThisWorkbookDataModel",{"[fActualAndBudget].[StavkaKategorija].&amp;[2.29. Приходи од продажба]","[fActualAndBudget].[StavkaImeMK].&amp;[Приходи од регистар на задолжница]"})</f>
        <v>Приходи од регистар на задолжница</v>
      </c>
      <c r="R13" s="41" vm="2828">
        <f t="shared" si="1"/>
        <v>0</v>
      </c>
      <c r="S13" s="41" vm="2821">
        <f t="shared" si="2"/>
        <v>0</v>
      </c>
      <c r="T13" s="41" vm="3021">
        <f t="shared" si="2"/>
        <v>0</v>
      </c>
      <c r="U13" s="41" vm="2592">
        <f t="shared" si="2"/>
        <v>0</v>
      </c>
      <c r="V13" s="41" vm="3033">
        <f t="shared" si="2"/>
        <v>0</v>
      </c>
      <c r="W13" s="41" vm="2829">
        <f t="shared" si="2"/>
        <v>0</v>
      </c>
      <c r="X13" s="41" vm="2817">
        <f t="shared" si="2"/>
        <v>0</v>
      </c>
      <c r="Y13" s="41" vm="3011">
        <f t="shared" si="2"/>
        <v>0</v>
      </c>
      <c r="Z13" s="41" vm="2919">
        <f t="shared" si="2"/>
        <v>0</v>
      </c>
      <c r="AA13" s="41" vm="3074">
        <f t="shared" si="2"/>
        <v>0</v>
      </c>
      <c r="AB13" s="41" vm="2922">
        <f t="shared" si="2"/>
        <v>0</v>
      </c>
      <c r="AC13" s="41" vm="2692">
        <f t="shared" si="2"/>
        <v>0</v>
      </c>
      <c r="AD13" s="41" vm="2911">
        <f t="shared" si="2"/>
        <v>0</v>
      </c>
    </row>
    <row r="14" spans="2:30" x14ac:dyDescent="0.25">
      <c r="B14" s="8" t="str" vm="29">
        <f>CUBEMEMBER("ThisWorkbookDataModel",{"[fActualAndBudget].[StavkaKategorija].&amp;[2.29. Приходи од продажба]","[fActualAndBudget].[StavkaImeMK].&amp;[Приходи од Регистар на лизинг]"})</f>
        <v>Приходи од Регистар на лизинг</v>
      </c>
      <c r="C14" s="41" vm="1406">
        <f t="shared" si="3"/>
        <v>99462</v>
      </c>
      <c r="D14" s="41" vm="1014">
        <f t="shared" si="3"/>
        <v>122889</v>
      </c>
      <c r="E14" s="41" vm="1224">
        <f t="shared" si="3"/>
        <v>110513</v>
      </c>
      <c r="F14" s="41" vm="1012">
        <f t="shared" si="3"/>
        <v>53050</v>
      </c>
      <c r="G14" s="41" vm="1358">
        <f t="shared" si="3"/>
        <v>62775</v>
      </c>
      <c r="H14" s="41" vm="1418">
        <f t="shared" si="3"/>
        <v>75593</v>
      </c>
      <c r="I14" s="41" vm="1174">
        <f t="shared" si="3"/>
        <v>117585</v>
      </c>
      <c r="J14" s="41" vm="887">
        <f t="shared" si="3"/>
        <v>107860</v>
      </c>
      <c r="K14" s="41" vm="1348">
        <f t="shared" si="3"/>
        <v>102998</v>
      </c>
      <c r="L14" s="41" vm="980">
        <f t="shared" si="3"/>
        <v>91948</v>
      </c>
      <c r="M14" s="41" vm="1476">
        <f t="shared" si="3"/>
        <v>82665</v>
      </c>
      <c r="N14" s="41" vm="1216">
        <f t="shared" si="3"/>
        <v>82665</v>
      </c>
      <c r="O14" s="41" vm="1050">
        <f t="shared" si="3"/>
        <v>1110003</v>
      </c>
      <c r="Q14" t="str" vm="29">
        <f>CUBEMEMBER("ThisWorkbookDataModel",{"[fActualAndBudget].[StavkaKategorija].&amp;[2.29. Приходи од продажба]","[fActualAndBudget].[StavkaImeMK].&amp;[Приходи од Регистар на лизинг]"})</f>
        <v>Приходи од Регистар на лизинг</v>
      </c>
      <c r="R14" s="41" vm="2897">
        <f t="shared" si="1"/>
        <v>42721</v>
      </c>
      <c r="S14" s="41" vm="3053">
        <f t="shared" si="2"/>
        <v>68723</v>
      </c>
      <c r="T14" s="41" vm="2741">
        <f t="shared" si="2"/>
        <v>82906</v>
      </c>
      <c r="U14" s="41" vm="3067">
        <f t="shared" si="2"/>
        <v>61965</v>
      </c>
      <c r="V14" s="41" vm="2785">
        <f t="shared" si="2"/>
        <v>73196</v>
      </c>
      <c r="W14" s="41" vm="2745">
        <f t="shared" si="2"/>
        <v>91402</v>
      </c>
      <c r="X14" s="41" vm="3019">
        <f t="shared" si="2"/>
        <v>88773</v>
      </c>
      <c r="Y14" s="41" vm="3018">
        <f t="shared" si="2"/>
        <v>63612</v>
      </c>
      <c r="Z14" s="41" vm="2871">
        <f t="shared" si="2"/>
        <v>71286</v>
      </c>
      <c r="AA14" s="41" vm="2697">
        <f t="shared" si="2"/>
        <v>73308</v>
      </c>
      <c r="AB14" s="41" vm="3047">
        <f t="shared" si="2"/>
        <v>81278</v>
      </c>
      <c r="AC14" s="41" vm="2499">
        <f t="shared" si="2"/>
        <v>62062</v>
      </c>
      <c r="AD14" s="41" vm="2628">
        <f t="shared" si="2"/>
        <v>861232</v>
      </c>
    </row>
    <row r="15" spans="2:30" x14ac:dyDescent="0.25">
      <c r="B15" s="8" t="str" vm="58">
        <f>CUBEMEMBER("ThisWorkbookDataModel",{"[fActualAndBudget].[StavkaKategorija].&amp;[2.29. Приходи од продажба]","[fActualAndBudget].[StavkaImeMK].&amp;[Приходи од регистар на недвижности]"})</f>
        <v>Приходи од регистар на недвижности</v>
      </c>
      <c r="C15" s="41" vm="1324">
        <f t="shared" si="3"/>
        <v>4167</v>
      </c>
      <c r="D15" s="41" vm="1087">
        <f t="shared" si="3"/>
        <v>4167</v>
      </c>
      <c r="E15" s="41" vm="1033">
        <f t="shared" si="3"/>
        <v>4167</v>
      </c>
      <c r="F15" s="41" vm="951">
        <f t="shared" si="3"/>
        <v>4167</v>
      </c>
      <c r="G15" s="41" vm="916">
        <f t="shared" si="3"/>
        <v>4167</v>
      </c>
      <c r="H15" s="41" vm="1392">
        <f t="shared" si="3"/>
        <v>4167</v>
      </c>
      <c r="I15" s="41" vm="1045">
        <f t="shared" si="3"/>
        <v>4167</v>
      </c>
      <c r="J15" s="41" vm="1394">
        <f t="shared" si="3"/>
        <v>4167</v>
      </c>
      <c r="K15" s="41" vm="961">
        <f t="shared" si="3"/>
        <v>4167</v>
      </c>
      <c r="L15" s="41" vm="1234">
        <f t="shared" si="3"/>
        <v>4167</v>
      </c>
      <c r="M15" s="41" vm="1478">
        <f t="shared" si="3"/>
        <v>4167</v>
      </c>
      <c r="N15" s="41" vm="1103">
        <f t="shared" si="3"/>
        <v>4167</v>
      </c>
      <c r="O15" s="41" vm="1236">
        <f t="shared" si="3"/>
        <v>50004</v>
      </c>
      <c r="Q15" t="str" vm="58">
        <f>CUBEMEMBER("ThisWorkbookDataModel",{"[fActualAndBudget].[StavkaKategorija].&amp;[2.29. Приходи од продажба]","[fActualAndBudget].[StavkaImeMK].&amp;[Приходи од регистар на недвижности]"})</f>
        <v>Приходи од регистар на недвижности</v>
      </c>
      <c r="R15" s="41" vm="2747">
        <f t="shared" si="1"/>
        <v>125</v>
      </c>
      <c r="S15" s="41" vm="2858">
        <f t="shared" si="2"/>
        <v>1130</v>
      </c>
      <c r="T15" s="41" vm="2500">
        <f t="shared" si="2"/>
        <v>2047</v>
      </c>
      <c r="U15" s="41" vm="2502">
        <f t="shared" si="2"/>
        <v>7122</v>
      </c>
      <c r="V15" s="41" vm="2650">
        <f t="shared" si="2"/>
        <v>17974</v>
      </c>
      <c r="W15" s="41" vm="2889">
        <f t="shared" si="2"/>
        <v>2691</v>
      </c>
      <c r="X15" s="41" vm="2732">
        <f t="shared" si="2"/>
        <v>999</v>
      </c>
      <c r="Y15" s="41" vm="3095">
        <f t="shared" si="2"/>
        <v>0</v>
      </c>
      <c r="Z15" s="41" vm="2609">
        <f t="shared" si="2"/>
        <v>1625</v>
      </c>
      <c r="AA15" s="41" vm="2576">
        <f t="shared" si="2"/>
        <v>900</v>
      </c>
      <c r="AB15" s="41" vm="3077">
        <f t="shared" si="2"/>
        <v>3300</v>
      </c>
      <c r="AC15" s="41" vm="3003">
        <f t="shared" si="2"/>
        <v>2704</v>
      </c>
      <c r="AD15" s="41" vm="2837">
        <f t="shared" si="2"/>
        <v>40617</v>
      </c>
    </row>
    <row r="16" spans="2:30" x14ac:dyDescent="0.25">
      <c r="B16" s="8" t="str" vm="53">
        <f>CUBEMEMBER("ThisWorkbookDataModel",{"[fActualAndBudget].[StavkaKategorija].&amp;[2.29. Приходи од продажба]","[fActualAndBudget].[StavkaImeMK].&amp;[Приходи од Регистар на резиденти и нерезиденти]"})</f>
        <v>Приходи од Регистар на резиденти и нерезиденти</v>
      </c>
      <c r="C16" s="41" vm="904">
        <f t="shared" si="3"/>
        <v>17500</v>
      </c>
      <c r="D16" s="41" vm="1298">
        <f t="shared" si="3"/>
        <v>17500</v>
      </c>
      <c r="E16" s="41" vm="1085">
        <f t="shared" si="3"/>
        <v>17500</v>
      </c>
      <c r="F16" s="41" vm="1238">
        <f t="shared" si="3"/>
        <v>17500</v>
      </c>
      <c r="G16" s="41" vm="1270">
        <f t="shared" si="3"/>
        <v>17500</v>
      </c>
      <c r="H16" s="41" vm="1240">
        <f t="shared" si="3"/>
        <v>17500</v>
      </c>
      <c r="I16" s="41" vm="971">
        <f t="shared" si="3"/>
        <v>17500</v>
      </c>
      <c r="J16" s="41" vm="1043">
        <f t="shared" si="3"/>
        <v>17500</v>
      </c>
      <c r="K16" s="41" vm="1187">
        <f t="shared" si="3"/>
        <v>17500</v>
      </c>
      <c r="L16" s="41" vm="948">
        <f t="shared" si="3"/>
        <v>17500</v>
      </c>
      <c r="M16" s="41" vm="1415">
        <f t="shared" si="3"/>
        <v>17500</v>
      </c>
      <c r="N16" s="41" vm="1322">
        <f t="shared" si="3"/>
        <v>17500</v>
      </c>
      <c r="O16" s="41" vm="906">
        <f t="shared" si="3"/>
        <v>210000</v>
      </c>
      <c r="Q16" t="str" vm="53">
        <f>CUBEMEMBER("ThisWorkbookDataModel",{"[fActualAndBudget].[StavkaKategorija].&amp;[2.29. Приходи од продажба]","[fActualAndBudget].[StavkaImeMK].&amp;[Приходи од Регистар на резиденти и нерезиденти]"})</f>
        <v>Приходи од Регистар на резиденти и нерезиденти</v>
      </c>
      <c r="R16" s="41" vm="3065">
        <f t="shared" si="1"/>
        <v>10674</v>
      </c>
      <c r="S16" s="41" vm="2633">
        <f t="shared" si="2"/>
        <v>11434</v>
      </c>
      <c r="T16" s="41" vm="3080">
        <f t="shared" si="2"/>
        <v>15708</v>
      </c>
      <c r="U16" s="41" vm="2661">
        <f t="shared" si="2"/>
        <v>20864</v>
      </c>
      <c r="V16" s="41" vm="2538">
        <f t="shared" si="2"/>
        <v>14037</v>
      </c>
      <c r="W16" s="41" vm="2567">
        <f t="shared" si="2"/>
        <v>12126</v>
      </c>
      <c r="X16" s="41" vm="2859">
        <f t="shared" si="2"/>
        <v>15306</v>
      </c>
      <c r="Y16" s="41" vm="2599">
        <f t="shared" si="2"/>
        <v>14562</v>
      </c>
      <c r="Z16" s="41" vm="2853">
        <f t="shared" si="2"/>
        <v>12543</v>
      </c>
      <c r="AA16" s="41" vm="2756">
        <f t="shared" si="2"/>
        <v>26669</v>
      </c>
      <c r="AB16" s="41" vm="2540">
        <f t="shared" si="2"/>
        <v>18775</v>
      </c>
      <c r="AC16" s="41" vm="2850">
        <f t="shared" si="2"/>
        <v>15656</v>
      </c>
      <c r="AD16" s="41" vm="3005">
        <f t="shared" si="2"/>
        <v>188354</v>
      </c>
    </row>
    <row r="17" spans="2:30" x14ac:dyDescent="0.25">
      <c r="B17" s="8" t="str" vm="44">
        <f>CUBEMEMBER("ThisWorkbookDataModel",{"[fActualAndBudget].[StavkaKategorija].&amp;[2.29. Приходи од продажба]","[fActualAndBudget].[StavkaImeMK].&amp;[Приходи од регистрите за кривични санкции, пресуди и др.]"})</f>
        <v>Приходи од регистрите за кривични санкции, пресуди и др.</v>
      </c>
      <c r="C17" s="41" vm="946">
        <f t="shared" si="3"/>
        <v>1655996</v>
      </c>
      <c r="D17" s="41" vm="1060">
        <f t="shared" si="3"/>
        <v>1733680</v>
      </c>
      <c r="E17" s="41" vm="927">
        <f t="shared" si="3"/>
        <v>1424476</v>
      </c>
      <c r="F17" s="41" vm="1252">
        <f t="shared" si="3"/>
        <v>682536</v>
      </c>
      <c r="G17" s="41" vm="1034">
        <f t="shared" si="3"/>
        <v>698534</v>
      </c>
      <c r="H17" s="41" vm="879">
        <f t="shared" si="3"/>
        <v>949745</v>
      </c>
      <c r="I17" s="41" vm="883">
        <f t="shared" si="3"/>
        <v>963593</v>
      </c>
      <c r="J17" s="41" vm="1323">
        <f t="shared" si="3"/>
        <v>661278</v>
      </c>
      <c r="K17" s="41" vm="1151">
        <f t="shared" si="3"/>
        <v>924091</v>
      </c>
      <c r="L17" s="41" vm="1057">
        <f t="shared" si="3"/>
        <v>1100213</v>
      </c>
      <c r="M17" s="41" vm="1255">
        <f t="shared" si="3"/>
        <v>1295221</v>
      </c>
      <c r="N17" s="41" vm="1350">
        <f t="shared" si="3"/>
        <v>1410638</v>
      </c>
      <c r="O17" s="41" vm="880">
        <f t="shared" si="3"/>
        <v>13500001</v>
      </c>
      <c r="Q17" t="str" vm="44">
        <f>CUBEMEMBER("ThisWorkbookDataModel",{"[fActualAndBudget].[StavkaKategorija].&amp;[2.29. Приходи од продажба]","[fActualAndBudget].[StavkaImeMK].&amp;[Приходи од регистрите за кривични санкции, пресуди и др.]"})</f>
        <v>Приходи од регистрите за кривични санкции, пресуди и др.</v>
      </c>
      <c r="R17" s="41" vm="2765">
        <f t="shared" si="1"/>
        <v>1041781</v>
      </c>
      <c r="S17" s="41" vm="2610">
        <f t="shared" si="2"/>
        <v>1378846</v>
      </c>
      <c r="T17" s="41" vm="3090">
        <f t="shared" si="2"/>
        <v>1327701</v>
      </c>
      <c r="U17" s="41" vm="2895">
        <f t="shared" si="2"/>
        <v>984606</v>
      </c>
      <c r="V17" s="41" vm="2921">
        <f t="shared" si="2"/>
        <v>970277</v>
      </c>
      <c r="W17" s="41" vm="2892">
        <f t="shared" si="2"/>
        <v>1063540</v>
      </c>
      <c r="X17" s="41" vm="2823">
        <f t="shared" si="2"/>
        <v>1271328</v>
      </c>
      <c r="Y17" s="41" vm="2977">
        <f t="shared" si="2"/>
        <v>1090475</v>
      </c>
      <c r="Z17" s="41" vm="2511">
        <f t="shared" si="2"/>
        <v>1102126</v>
      </c>
      <c r="AA17" s="41" vm="3028">
        <f t="shared" si="2"/>
        <v>865764</v>
      </c>
      <c r="AB17" s="41" vm="2649">
        <f t="shared" si="2"/>
        <v>1082262</v>
      </c>
      <c r="AC17" s="41" vm="2653">
        <f t="shared" si="2"/>
        <v>1277320</v>
      </c>
      <c r="AD17" s="41" vm="2872">
        <f t="shared" si="2"/>
        <v>13456026</v>
      </c>
    </row>
    <row r="18" spans="2:30" x14ac:dyDescent="0.25">
      <c r="B18" s="8" t="str" vm="48">
        <f>CUBEMEMBER("ThisWorkbookDataModel",{"[fActualAndBudget].[StavkaKategorija].&amp;[2.29. Приходи од продажба]","[fActualAndBudget].[StavkaImeMK].&amp;[Приходи од странство]"})</f>
        <v>Приходи од странство</v>
      </c>
      <c r="C18" s="41" vm="1049">
        <f t="shared" si="3"/>
        <v>5000</v>
      </c>
      <c r="D18" s="41" vm="1285">
        <f t="shared" si="3"/>
        <v>5000</v>
      </c>
      <c r="E18" s="41" vm="1131">
        <f t="shared" si="3"/>
        <v>5000</v>
      </c>
      <c r="F18" s="41" vm="1155">
        <f t="shared" si="3"/>
        <v>5000</v>
      </c>
      <c r="G18" s="41" vm="1274">
        <f t="shared" si="3"/>
        <v>5000</v>
      </c>
      <c r="H18" s="41" vm="881">
        <f t="shared" si="3"/>
        <v>5000</v>
      </c>
      <c r="I18" s="41" vm="1016">
        <f t="shared" si="3"/>
        <v>5000</v>
      </c>
      <c r="J18" s="41" vm="1246">
        <f t="shared" si="3"/>
        <v>5000</v>
      </c>
      <c r="K18" s="41" vm="1244">
        <f t="shared" si="3"/>
        <v>5000</v>
      </c>
      <c r="L18" s="41" vm="1020">
        <f t="shared" si="3"/>
        <v>5000</v>
      </c>
      <c r="M18" s="41" vm="1052">
        <f t="shared" si="3"/>
        <v>5000</v>
      </c>
      <c r="N18" s="41" vm="1374">
        <f t="shared" si="3"/>
        <v>5000</v>
      </c>
      <c r="O18" s="41" vm="884">
        <f t="shared" si="3"/>
        <v>60000</v>
      </c>
      <c r="Q18" t="str" vm="48">
        <f>CUBEMEMBER("ThisWorkbookDataModel",{"[fActualAndBudget].[StavkaKategorija].&amp;[2.29. Приходи од продажба]","[fActualAndBudget].[StavkaImeMK].&amp;[Приходи од странство]"})</f>
        <v>Приходи од странство</v>
      </c>
      <c r="R18" s="41" vm="2827">
        <f t="shared" si="1"/>
        <v>4224</v>
      </c>
      <c r="S18" s="41" vm="2554">
        <f t="shared" si="2"/>
        <v>1058</v>
      </c>
      <c r="T18" s="41" vm="2839">
        <f t="shared" si="2"/>
        <v>2116</v>
      </c>
      <c r="U18" s="41" vm="3029">
        <f t="shared" si="2"/>
        <v>0</v>
      </c>
      <c r="V18" s="41" vm="2651">
        <f t="shared" si="2"/>
        <v>10150</v>
      </c>
      <c r="W18" s="41" vm="2504">
        <f t="shared" si="2"/>
        <v>0</v>
      </c>
      <c r="X18" s="41" vm="3089">
        <f t="shared" si="2"/>
        <v>0</v>
      </c>
      <c r="Y18" s="41" vm="2563">
        <f t="shared" si="2"/>
        <v>10884</v>
      </c>
      <c r="Z18" s="41" vm="2861">
        <f t="shared" si="2"/>
        <v>0</v>
      </c>
      <c r="AA18" s="41" vm="2721">
        <f t="shared" si="2"/>
        <v>79</v>
      </c>
      <c r="AB18" s="41" vm="2975">
        <f t="shared" si="2"/>
        <v>72585</v>
      </c>
      <c r="AC18" s="41" vm="2736">
        <f t="shared" si="2"/>
        <v>5290</v>
      </c>
      <c r="AD18" s="41" vm="2627">
        <f t="shared" si="2"/>
        <v>106386</v>
      </c>
    </row>
    <row r="19" spans="2:30" x14ac:dyDescent="0.25">
      <c r="B19" s="8" t="str" vm="38">
        <f>CUBEMEMBER("ThisWorkbookDataModel",{"[fActualAndBudget].[StavkaKategorija].&amp;[2.29. Приходи од продажба]","[fActualAndBudget].[StavkaImeMK].&amp;[Приходи од трговски регистар]"})</f>
        <v>Приходи од трговски регистар</v>
      </c>
      <c r="C19" s="41" vm="1349">
        <f t="shared" si="3"/>
        <v>16995870</v>
      </c>
      <c r="D19" s="41" vm="1401">
        <f t="shared" si="3"/>
        <v>12377895</v>
      </c>
      <c r="E19" s="41" vm="945">
        <f t="shared" si="3"/>
        <v>12815233</v>
      </c>
      <c r="F19" s="41" vm="1321">
        <f t="shared" si="3"/>
        <v>8444991</v>
      </c>
      <c r="G19" s="41" vm="1359">
        <f t="shared" si="3"/>
        <v>10302986</v>
      </c>
      <c r="H19" s="41" vm="1127">
        <f t="shared" si="3"/>
        <v>11492145</v>
      </c>
      <c r="I19" s="41" vm="939">
        <f t="shared" si="3"/>
        <v>13282218</v>
      </c>
      <c r="J19" s="41" vm="1211">
        <f t="shared" si="3"/>
        <v>9862126</v>
      </c>
      <c r="K19" s="41" vm="1161">
        <f t="shared" si="3"/>
        <v>13407227</v>
      </c>
      <c r="L19" s="41" vm="1335">
        <f t="shared" si="3"/>
        <v>10679717</v>
      </c>
      <c r="M19" s="41" vm="1445">
        <f t="shared" si="3"/>
        <v>14541686</v>
      </c>
      <c r="N19" s="41" vm="1256">
        <f t="shared" si="3"/>
        <v>9560118</v>
      </c>
      <c r="O19" s="41" vm="1099">
        <f t="shared" si="3"/>
        <v>143762212</v>
      </c>
      <c r="Q19" t="str" vm="38">
        <f>CUBEMEMBER("ThisWorkbookDataModel",{"[fActualAndBudget].[StavkaKategorija].&amp;[2.29. Приходи од продажба]","[fActualAndBudget].[StavkaImeMK].&amp;[Приходи од трговски регистар]"})</f>
        <v>Приходи од трговски регистар</v>
      </c>
      <c r="R19" s="41" vm="3024">
        <f t="shared" si="1"/>
        <v>8239326</v>
      </c>
      <c r="S19" s="41" vm="3112">
        <f t="shared" si="2"/>
        <v>20924734</v>
      </c>
      <c r="T19" s="41" vm="3111">
        <f t="shared" si="2"/>
        <v>11984543</v>
      </c>
      <c r="U19" s="41" vm="3023">
        <f t="shared" si="2"/>
        <v>19802640</v>
      </c>
      <c r="V19" s="41" vm="3114">
        <f t="shared" si="2"/>
        <v>11727001</v>
      </c>
      <c r="W19" s="41" vm="2967">
        <f t="shared" si="2"/>
        <v>12776143</v>
      </c>
      <c r="X19" s="41" vm="3113">
        <f t="shared" si="2"/>
        <v>9740376</v>
      </c>
      <c r="Y19" s="41" vm="3116">
        <f t="shared" si="2"/>
        <v>7487524</v>
      </c>
      <c r="Z19" s="41" vm="3117">
        <f t="shared" si="2"/>
        <v>8814314</v>
      </c>
      <c r="AA19" s="41" vm="3022">
        <f t="shared" si="2"/>
        <v>8724343</v>
      </c>
      <c r="AB19" s="41" vm="3052">
        <f t="shared" si="2"/>
        <v>10150317</v>
      </c>
      <c r="AC19" s="41" vm="3118">
        <f t="shared" si="2"/>
        <v>12516340</v>
      </c>
      <c r="AD19" s="41" vm="3115">
        <f t="shared" si="2"/>
        <v>142887601</v>
      </c>
    </row>
    <row r="20" spans="2:30" s="9" customFormat="1" x14ac:dyDescent="0.25">
      <c r="B20" s="109" t="str" vm="34">
        <f>CUBEMEMBER("ThisWorkbookDataModel","[fActualAndBudget].[StavkaKategorija].&amp;[2.30. Останати оперативни приходи]")</f>
        <v>2.30. Останати оперативни приходи</v>
      </c>
      <c r="C20" s="110" vm="1116">
        <f t="shared" si="3"/>
        <v>492981</v>
      </c>
      <c r="D20" s="110" vm="1100">
        <f t="shared" si="3"/>
        <v>392981</v>
      </c>
      <c r="E20" s="110" vm="1189">
        <f t="shared" si="3"/>
        <v>392981</v>
      </c>
      <c r="F20" s="110" vm="1108">
        <f t="shared" si="3"/>
        <v>392981</v>
      </c>
      <c r="G20" s="110" vm="1258">
        <f t="shared" si="3"/>
        <v>392981</v>
      </c>
      <c r="H20" s="110" vm="942">
        <f t="shared" si="3"/>
        <v>392981</v>
      </c>
      <c r="I20" s="110" vm="1257">
        <f t="shared" si="3"/>
        <v>392981</v>
      </c>
      <c r="J20" s="110" vm="1140">
        <f t="shared" si="3"/>
        <v>392981</v>
      </c>
      <c r="K20" s="110" vm="1284">
        <f t="shared" si="3"/>
        <v>392981</v>
      </c>
      <c r="L20" s="110" vm="1409">
        <f t="shared" si="3"/>
        <v>392981</v>
      </c>
      <c r="M20" s="110" vm="1260">
        <f t="shared" si="3"/>
        <v>687981</v>
      </c>
      <c r="N20" s="110" vm="1195">
        <f t="shared" si="3"/>
        <v>687981</v>
      </c>
      <c r="O20" s="110" vm="1134">
        <f t="shared" si="3"/>
        <v>5405772</v>
      </c>
      <c r="Q20" s="9" t="str" vm="34">
        <f>CUBEMEMBER("ThisWorkbookDataModel","[fActualAndBudget].[StavkaKategorija].&amp;[2.30. Останати оперативни приходи]")</f>
        <v>2.30. Останати оперативни приходи</v>
      </c>
      <c r="R20" s="110" vm="2946">
        <f t="shared" si="1"/>
        <v>1935306</v>
      </c>
      <c r="S20" s="110" vm="2999">
        <f t="shared" si="2"/>
        <v>384071</v>
      </c>
      <c r="T20" s="110" vm="2498">
        <f t="shared" si="2"/>
        <v>392981</v>
      </c>
      <c r="U20" s="110" vm="3103">
        <f t="shared" si="2"/>
        <v>392981</v>
      </c>
      <c r="V20" s="110" vm="2596">
        <f t="shared" si="2"/>
        <v>392981</v>
      </c>
      <c r="W20" s="110" vm="2726">
        <f t="shared" si="2"/>
        <v>392981</v>
      </c>
      <c r="X20" s="110" vm="2915">
        <f t="shared" si="2"/>
        <v>407290</v>
      </c>
      <c r="Y20" s="110" vm="2693">
        <f t="shared" si="2"/>
        <v>392981</v>
      </c>
      <c r="Z20" s="110" vm="2571">
        <f t="shared" si="2"/>
        <v>392981</v>
      </c>
      <c r="AA20" s="110" vm="2757">
        <f t="shared" si="2"/>
        <v>394044</v>
      </c>
      <c r="AB20" s="110" vm="2815">
        <f t="shared" si="2"/>
        <v>422578</v>
      </c>
      <c r="AC20" s="110" vm="2929">
        <f t="shared" si="2"/>
        <v>420478</v>
      </c>
      <c r="AD20" s="110" vm="2936">
        <f t="shared" si="2"/>
        <v>6321653</v>
      </c>
    </row>
    <row r="21" spans="2:30" x14ac:dyDescent="0.25">
      <c r="B21" s="8" t="str" vm="64">
        <f>CUBEMEMBER("ThisWorkbookDataModel",{"[fActualAndBudget].[StavkaKategorija].&amp;[2.30. Останати оперативни приходи]","[fActualAndBudget].[StavkaImeMK].&amp;[Вонредни невообичаени приходи]"})</f>
        <v>Вонредни невообичаени приходи</v>
      </c>
      <c r="C21" s="41" t="str" vm="1107">
        <f t="shared" si="3"/>
        <v/>
      </c>
      <c r="D21" s="41" t="str" vm="1073">
        <f t="shared" si="3"/>
        <v/>
      </c>
      <c r="E21" s="41" t="str" vm="1007">
        <f t="shared" si="3"/>
        <v/>
      </c>
      <c r="F21" s="41" t="str" vm="1325">
        <f t="shared" si="3"/>
        <v/>
      </c>
      <c r="G21" s="41" t="str" vm="1093">
        <f t="shared" si="3"/>
        <v/>
      </c>
      <c r="H21" s="41" t="str" vm="1259">
        <f t="shared" si="3"/>
        <v/>
      </c>
      <c r="I21" s="41" t="str" vm="882">
        <f t="shared" si="3"/>
        <v/>
      </c>
      <c r="J21" s="41" t="str" vm="1413">
        <f t="shared" si="3"/>
        <v/>
      </c>
      <c r="K21" s="41" t="str" vm="1226">
        <f t="shared" si="3"/>
        <v/>
      </c>
      <c r="L21" s="41" t="str" vm="1205">
        <f t="shared" si="3"/>
        <v/>
      </c>
      <c r="M21" s="41" t="str" vm="1069">
        <f t="shared" si="3"/>
        <v/>
      </c>
      <c r="N21" s="41" t="str" vm="1112">
        <f t="shared" si="3"/>
        <v/>
      </c>
      <c r="O21" s="41" t="str" vm="889">
        <f t="shared" si="3"/>
        <v/>
      </c>
      <c r="Q21" t="str" vm="64">
        <f>CUBEMEMBER("ThisWorkbookDataModel",{"[fActualAndBudget].[StavkaKategorija].&amp;[2.30. Останати оперативни приходи]","[fActualAndBudget].[StavkaImeMK].&amp;[Вонредни невообичаени приходи]"})</f>
        <v>Вонредни невообичаени приходи</v>
      </c>
      <c r="R21" s="41" vm="2964">
        <f t="shared" si="1"/>
        <v>0</v>
      </c>
      <c r="S21" s="41" vm="2598">
        <f t="shared" si="2"/>
        <v>0</v>
      </c>
      <c r="T21" s="41" vm="3084">
        <f t="shared" si="2"/>
        <v>0</v>
      </c>
      <c r="U21" s="41" vm="2972">
        <f t="shared" si="2"/>
        <v>0</v>
      </c>
      <c r="V21" s="41" vm="2841">
        <f t="shared" si="2"/>
        <v>0</v>
      </c>
      <c r="W21" s="41" vm="2813">
        <f t="shared" si="2"/>
        <v>0</v>
      </c>
      <c r="X21" s="41" vm="2824">
        <f t="shared" si="2"/>
        <v>14309</v>
      </c>
      <c r="Y21" s="41" vm="2630">
        <f t="shared" si="2"/>
        <v>0</v>
      </c>
      <c r="Z21" s="41" vm="2768">
        <f t="shared" si="2"/>
        <v>0</v>
      </c>
      <c r="AA21" s="41" vm="3032">
        <f t="shared" si="2"/>
        <v>0</v>
      </c>
      <c r="AB21" s="41" t="str" vm="2944">
        <f t="shared" si="2"/>
        <v/>
      </c>
      <c r="AC21" s="41" t="str" vm="2553">
        <f t="shared" si="2"/>
        <v/>
      </c>
      <c r="AD21" s="41" vm="2978">
        <f t="shared" si="2"/>
        <v>14309</v>
      </c>
    </row>
    <row r="22" spans="2:30" x14ac:dyDescent="0.25">
      <c r="B22" s="8" t="str" vm="71">
        <f>CUBEMEMBER("ThisWorkbookDataModel",{"[fActualAndBudget].[StavkaKategorija].&amp;[2.30. Останати оперативни приходи]","[fActualAndBudget].[StavkaImeMK].&amp;[Други неспомнати приходи]"})</f>
        <v>Други неспомнати приходи</v>
      </c>
      <c r="C22" s="41" vm="1175">
        <f t="shared" si="3"/>
        <v>100000</v>
      </c>
      <c r="D22" s="41" vm="1021">
        <f t="shared" si="3"/>
        <v>0</v>
      </c>
      <c r="E22" s="41" vm="1000">
        <f t="shared" si="3"/>
        <v>0</v>
      </c>
      <c r="F22" s="41" vm="1074">
        <f t="shared" si="3"/>
        <v>0</v>
      </c>
      <c r="G22" s="41" vm="1340">
        <f t="shared" si="3"/>
        <v>0</v>
      </c>
      <c r="H22" s="41" vm="959">
        <f t="shared" si="3"/>
        <v>0</v>
      </c>
      <c r="I22" s="41" vm="1212">
        <f t="shared" si="3"/>
        <v>0</v>
      </c>
      <c r="J22" s="41" vm="981">
        <f t="shared" si="3"/>
        <v>0</v>
      </c>
      <c r="K22" s="41" vm="974">
        <f t="shared" si="3"/>
        <v>0</v>
      </c>
      <c r="L22" s="41" vm="1453">
        <f t="shared" si="3"/>
        <v>0</v>
      </c>
      <c r="M22" s="41" vm="1079">
        <f t="shared" si="3"/>
        <v>0</v>
      </c>
      <c r="N22" s="41" vm="1391">
        <f t="shared" si="3"/>
        <v>0</v>
      </c>
      <c r="O22" s="41" vm="901">
        <f t="shared" si="3"/>
        <v>100000</v>
      </c>
      <c r="Q22" t="str" vm="71">
        <f>CUBEMEMBER("ThisWorkbookDataModel",{"[fActualAndBudget].[StavkaKategorija].&amp;[2.30. Останати оперативни приходи]","[fActualAndBudget].[StavkaImeMK].&amp;[Други неспомнати приходи]"})</f>
        <v>Други неспомнати приходи</v>
      </c>
      <c r="R22" s="41" vm="2908">
        <f t="shared" si="1"/>
        <v>1542325</v>
      </c>
      <c r="S22" s="41" vm="2926">
        <f t="shared" si="2"/>
        <v>-8910</v>
      </c>
      <c r="T22" s="41" vm="2730">
        <f t="shared" si="2"/>
        <v>0</v>
      </c>
      <c r="U22" s="41" vm="2513">
        <f t="shared" si="2"/>
        <v>0</v>
      </c>
      <c r="V22" s="41" vm="2601">
        <f t="shared" si="2"/>
        <v>0</v>
      </c>
      <c r="W22" s="41" vm="2974">
        <f t="shared" si="2"/>
        <v>0</v>
      </c>
      <c r="X22" s="41" vm="2814">
        <f t="shared" si="2"/>
        <v>0</v>
      </c>
      <c r="Y22" s="41" vm="2985">
        <f t="shared" si="2"/>
        <v>0</v>
      </c>
      <c r="Z22" s="41" vm="2523">
        <f t="shared" si="2"/>
        <v>0</v>
      </c>
      <c r="AA22" s="41" vm="3055">
        <f t="shared" si="2"/>
        <v>1063</v>
      </c>
      <c r="AB22" s="41" vm="2640">
        <f t="shared" si="2"/>
        <v>29597</v>
      </c>
      <c r="AC22" s="41" vm="2569">
        <f t="shared" si="2"/>
        <v>27497</v>
      </c>
      <c r="AD22" s="41" vm="2724">
        <f t="shared" si="2"/>
        <v>1591572</v>
      </c>
    </row>
    <row r="23" spans="2:30" x14ac:dyDescent="0.25">
      <c r="B23" s="8" t="str" vm="69">
        <f>CUBEMEMBER("ThisWorkbookDataModel",{"[fActualAndBudget].[StavkaKategorija].&amp;[2.30. Останати оперативни приходи]","[fActualAndBudget].[StavkaImeMK].&amp;[Приходи од донации]"})</f>
        <v>Приходи од донации</v>
      </c>
      <c r="C23" s="41" vm="976">
        <f t="shared" si="3"/>
        <v>392981</v>
      </c>
      <c r="D23" s="41" vm="1081">
        <f t="shared" si="3"/>
        <v>392981</v>
      </c>
      <c r="E23" s="41" vm="1075">
        <f t="shared" si="3"/>
        <v>392981</v>
      </c>
      <c r="F23" s="41" vm="1138">
        <f t="shared" si="3"/>
        <v>392981</v>
      </c>
      <c r="G23" s="41" vm="1068">
        <f t="shared" si="3"/>
        <v>392981</v>
      </c>
      <c r="H23" s="41" vm="1345">
        <f t="shared" si="3"/>
        <v>392981</v>
      </c>
      <c r="I23" s="41" vm="960">
        <f t="shared" si="3"/>
        <v>392981</v>
      </c>
      <c r="J23" s="41" vm="1104">
        <f t="shared" si="3"/>
        <v>392981</v>
      </c>
      <c r="K23" s="41" vm="1315">
        <f t="shared" si="3"/>
        <v>392981</v>
      </c>
      <c r="L23" s="41" vm="1417">
        <f t="shared" si="3"/>
        <v>392981</v>
      </c>
      <c r="M23" s="41" vm="1313">
        <f t="shared" si="3"/>
        <v>687981</v>
      </c>
      <c r="N23" s="41" vm="1416">
        <f t="shared" si="3"/>
        <v>687981</v>
      </c>
      <c r="O23" s="41" vm="895">
        <f t="shared" si="3"/>
        <v>5305772</v>
      </c>
      <c r="Q23" t="str" vm="69">
        <f>CUBEMEMBER("ThisWorkbookDataModel",{"[fActualAndBudget].[StavkaKategorija].&amp;[2.30. Останати оперативни приходи]","[fActualAndBudget].[StavkaImeMK].&amp;[Приходи од донации]"})</f>
        <v>Приходи од донации</v>
      </c>
      <c r="R23" s="41" vm="2898">
        <f t="shared" si="1"/>
        <v>392981</v>
      </c>
      <c r="S23" s="41" vm="2623">
        <f t="shared" ref="S23:AD23" si="4">CUBEVALUE("ThisWorkbookDataModel",$R$2,$R$3,$B$5,$B23,S$6,$S$5)</f>
        <v>392981</v>
      </c>
      <c r="T23" s="41" vm="2959">
        <f t="shared" si="4"/>
        <v>392981</v>
      </c>
      <c r="U23" s="41" vm="2914">
        <f t="shared" si="4"/>
        <v>392981</v>
      </c>
      <c r="V23" s="41" vm="2893">
        <f t="shared" si="4"/>
        <v>392981</v>
      </c>
      <c r="W23" s="41" vm="2529">
        <f t="shared" si="4"/>
        <v>392981</v>
      </c>
      <c r="X23" s="41" vm="2602">
        <f t="shared" si="4"/>
        <v>392981</v>
      </c>
      <c r="Y23" s="41" vm="2587">
        <f t="shared" si="4"/>
        <v>392981</v>
      </c>
      <c r="Z23" s="41" vm="3081">
        <f t="shared" si="4"/>
        <v>392981</v>
      </c>
      <c r="AA23" s="41" vm="2521">
        <f t="shared" si="4"/>
        <v>392981</v>
      </c>
      <c r="AB23" s="41" vm="2941">
        <f t="shared" si="4"/>
        <v>392981</v>
      </c>
      <c r="AC23" s="41" vm="3069">
        <f t="shared" si="4"/>
        <v>392981</v>
      </c>
      <c r="AD23" s="41" vm="2758">
        <f t="shared" si="4"/>
        <v>4715772</v>
      </c>
    </row>
    <row r="24" spans="2:30" x14ac:dyDescent="0.25">
      <c r="B24" s="8" t="str" vm="67">
        <f>CUBEMEMBER("ThisWorkbookDataModel",{"[fActualAndBudget].[StavkaKategorija].&amp;[2.30. Останати оперативни приходи]","[fActualAndBudget].[StavkaImeMK].&amp;[Приходи од продажба на подвижен имот]"})</f>
        <v>Приходи од продажба на подвижен имот</v>
      </c>
      <c r="C24" s="41" t="str" vm="1158">
        <f t="shared" si="3"/>
        <v/>
      </c>
      <c r="D24" s="41" t="str" vm="1027">
        <f t="shared" si="3"/>
        <v/>
      </c>
      <c r="E24" s="41" t="str" vm="1431">
        <f t="shared" si="3"/>
        <v/>
      </c>
      <c r="F24" s="41" t="str" vm="938">
        <f t="shared" si="3"/>
        <v/>
      </c>
      <c r="G24" s="41" t="str" vm="1090">
        <f t="shared" si="3"/>
        <v/>
      </c>
      <c r="H24" s="41" t="str" vm="1329">
        <f t="shared" si="3"/>
        <v/>
      </c>
      <c r="I24" s="41" t="str" vm="1163">
        <f t="shared" si="3"/>
        <v/>
      </c>
      <c r="J24" s="41" t="str" vm="1295">
        <f t="shared" si="3"/>
        <v/>
      </c>
      <c r="K24" s="41" t="str" vm="1405">
        <f t="shared" si="3"/>
        <v/>
      </c>
      <c r="L24" s="41" t="str" vm="1077">
        <f t="shared" si="3"/>
        <v/>
      </c>
      <c r="M24" s="41" t="str" vm="996">
        <f t="shared" si="3"/>
        <v/>
      </c>
      <c r="N24" s="41" t="str" vm="1117">
        <f t="shared" si="3"/>
        <v/>
      </c>
      <c r="O24" s="41" t="str" vm="957">
        <f t="shared" si="3"/>
        <v/>
      </c>
      <c r="Q24" t="str" vm="67">
        <f>CUBEMEMBER("ThisWorkbookDataModel",{"[fActualAndBudget].[StavkaKategorija].&amp;[2.30. Останати оперативни приходи]","[fActualAndBudget].[StavkaImeMK].&amp;[Приходи од продажба на подвижен имот]"})</f>
        <v>Приходи од продажба на подвижен имот</v>
      </c>
      <c r="R24" s="41" vm="2906">
        <f t="shared" ref="R24:AD39" si="5">CUBEVALUE("ThisWorkbookDataModel",$R$2,$R$3,$B$5,$B24,R$6,$S$5)</f>
        <v>0</v>
      </c>
      <c r="S24" s="41" vm="2952">
        <f t="shared" si="5"/>
        <v>0</v>
      </c>
      <c r="T24" s="41" vm="2530">
        <f t="shared" si="5"/>
        <v>0</v>
      </c>
      <c r="U24" s="41" vm="3093">
        <f t="shared" si="5"/>
        <v>0</v>
      </c>
      <c r="V24" s="41" vm="2678">
        <f t="shared" si="5"/>
        <v>0</v>
      </c>
      <c r="W24" s="41" vm="2506">
        <f t="shared" si="5"/>
        <v>0</v>
      </c>
      <c r="X24" s="41" vm="2848">
        <f t="shared" si="5"/>
        <v>0</v>
      </c>
      <c r="Y24" s="41" vm="2606">
        <f t="shared" si="5"/>
        <v>0</v>
      </c>
      <c r="Z24" s="41" vm="2789">
        <f t="shared" si="5"/>
        <v>0</v>
      </c>
      <c r="AA24" s="41" vm="2966">
        <f t="shared" si="5"/>
        <v>0</v>
      </c>
      <c r="AB24" s="41" t="str" vm="2796">
        <f t="shared" si="5"/>
        <v/>
      </c>
      <c r="AC24" s="41" t="str" vm="2710">
        <f t="shared" si="5"/>
        <v/>
      </c>
      <c r="AD24" s="41" vm="3038">
        <f t="shared" si="5"/>
        <v>0</v>
      </c>
    </row>
    <row r="25" spans="2:30" x14ac:dyDescent="0.25">
      <c r="B25" s="8" t="str" vm="31">
        <f>CUBEMEMBER("ThisWorkbookDataModel",{"[fActualAndBudget].[StavkaKategorija].&amp;[2.30. Останати оперативни приходи]","[fActualAndBudget].[StavkaImeMK].&amp;[Приходи од закуп]"})</f>
        <v>Приходи од закуп</v>
      </c>
      <c r="C25" s="41" t="str" vm="1437">
        <f t="shared" ref="C25:O25" si="6">CUBEVALUE("ThisWorkbookDataModel",$C$2,$C$3,$B$5,$B25,C$6,$D$5)</f>
        <v/>
      </c>
      <c r="D25" s="41" t="str" vm="1364">
        <f t="shared" si="6"/>
        <v/>
      </c>
      <c r="E25" s="41" t="str" vm="1207">
        <f t="shared" si="6"/>
        <v/>
      </c>
      <c r="F25" s="41" t="str" vm="899">
        <f t="shared" si="6"/>
        <v/>
      </c>
      <c r="G25" s="41" t="str" vm="934">
        <f t="shared" si="6"/>
        <v/>
      </c>
      <c r="H25" s="41" t="str" vm="984">
        <f t="shared" si="6"/>
        <v/>
      </c>
      <c r="I25" s="41" t="str" vm="1183">
        <f t="shared" si="6"/>
        <v/>
      </c>
      <c r="J25" s="41" t="str" vm="1055">
        <f t="shared" si="6"/>
        <v/>
      </c>
      <c r="K25" s="41" t="str" vm="1029">
        <f t="shared" si="6"/>
        <v/>
      </c>
      <c r="L25" s="41" t="str" vm="941">
        <f t="shared" si="6"/>
        <v/>
      </c>
      <c r="M25" s="41" t="str" vm="1273">
        <f t="shared" si="6"/>
        <v/>
      </c>
      <c r="N25" s="41" t="str" vm="1489">
        <f t="shared" si="6"/>
        <v/>
      </c>
      <c r="O25" s="41" t="str" vm="1039">
        <f t="shared" si="6"/>
        <v/>
      </c>
      <c r="Q25" t="str" vm="31">
        <f>CUBEMEMBER("ThisWorkbookDataModel",{"[fActualAndBudget].[StavkaKategorija].&amp;[2.30. Останати оперативни приходи]","[fActualAndBudget].[StavkaImeMK].&amp;[Приходи од закуп]"})</f>
        <v>Приходи од закуп</v>
      </c>
      <c r="R25" s="41" t="str" vm="2549">
        <f t="shared" si="5"/>
        <v/>
      </c>
      <c r="S25" s="41" t="str" vm="2654">
        <f t="shared" si="5"/>
        <v/>
      </c>
      <c r="T25" s="41" t="str" vm="3001">
        <f t="shared" si="5"/>
        <v/>
      </c>
      <c r="U25" s="41" t="str" vm="2918">
        <f t="shared" si="5"/>
        <v/>
      </c>
      <c r="V25" s="41" t="str" vm="2867">
        <f t="shared" si="5"/>
        <v/>
      </c>
      <c r="W25" s="41" t="str" vm="2857">
        <f t="shared" si="5"/>
        <v/>
      </c>
      <c r="X25" s="41" t="str" vm="2668">
        <f t="shared" si="5"/>
        <v/>
      </c>
      <c r="Y25" s="41" t="str" vm="2865">
        <f t="shared" si="5"/>
        <v/>
      </c>
      <c r="Z25" s="41" t="str" vm="3046">
        <f t="shared" si="5"/>
        <v/>
      </c>
      <c r="AA25" s="41" t="str" vm="2886">
        <f t="shared" si="5"/>
        <v/>
      </c>
      <c r="AB25" s="41" t="str" vm="2797">
        <f t="shared" si="5"/>
        <v/>
      </c>
      <c r="AC25" s="41" t="str" vm="2766">
        <f t="shared" si="5"/>
        <v/>
      </c>
      <c r="AD25" s="41" t="str" vm="2834">
        <f t="shared" si="5"/>
        <v/>
      </c>
    </row>
    <row r="26" spans="2:30" s="9" customFormat="1" x14ac:dyDescent="0.25">
      <c r="B26" s="24" t="s">
        <v>164</v>
      </c>
      <c r="C26" s="108">
        <f>SUM(C7,C20)</f>
        <v>23874641</v>
      </c>
      <c r="D26" s="108">
        <f t="shared" ref="D26:O26" si="7">SUM(D7,D20)</f>
        <v>114609149</v>
      </c>
      <c r="E26" s="108">
        <f t="shared" si="7"/>
        <v>63921960</v>
      </c>
      <c r="F26" s="108">
        <f t="shared" si="7"/>
        <v>19349515</v>
      </c>
      <c r="G26" s="108">
        <f t="shared" si="7"/>
        <v>17684829</v>
      </c>
      <c r="H26" s="108">
        <f t="shared" si="7"/>
        <v>18013486</v>
      </c>
      <c r="I26" s="108">
        <f t="shared" si="7"/>
        <v>19150778</v>
      </c>
      <c r="J26" s="108">
        <f t="shared" si="7"/>
        <v>15098013</v>
      </c>
      <c r="K26" s="108">
        <f t="shared" si="7"/>
        <v>19185878</v>
      </c>
      <c r="L26" s="108">
        <f t="shared" si="7"/>
        <v>16703858</v>
      </c>
      <c r="M26" s="108">
        <f t="shared" si="7"/>
        <v>21029718</v>
      </c>
      <c r="N26" s="108">
        <f t="shared" si="7"/>
        <v>17845220</v>
      </c>
      <c r="O26" s="108">
        <f t="shared" si="7"/>
        <v>366467045</v>
      </c>
      <c r="Q26" s="9" t="s">
        <v>164</v>
      </c>
      <c r="R26" s="110">
        <f>SUM(R7,R20)</f>
        <v>15090559</v>
      </c>
      <c r="S26" s="110">
        <f t="shared" ref="S26:AD26" si="8">SUM(S7,S20)</f>
        <v>90069819</v>
      </c>
      <c r="T26" s="110">
        <f t="shared" si="8"/>
        <v>84081164</v>
      </c>
      <c r="U26" s="110">
        <f t="shared" si="8"/>
        <v>29851840</v>
      </c>
      <c r="V26" s="110">
        <f t="shared" si="8"/>
        <v>17048528</v>
      </c>
      <c r="W26" s="110">
        <f t="shared" si="8"/>
        <v>21794865</v>
      </c>
      <c r="X26" s="110">
        <f t="shared" si="8"/>
        <v>17247250</v>
      </c>
      <c r="Y26" s="110">
        <f t="shared" si="8"/>
        <v>14277713</v>
      </c>
      <c r="Z26" s="110">
        <f t="shared" si="8"/>
        <v>16812711</v>
      </c>
      <c r="AA26" s="110">
        <f t="shared" si="8"/>
        <v>16202788</v>
      </c>
      <c r="AB26" s="110">
        <f t="shared" si="8"/>
        <v>16809481</v>
      </c>
      <c r="AC26" s="110">
        <f t="shared" si="8"/>
        <v>21089113</v>
      </c>
      <c r="AD26" s="110">
        <f t="shared" si="8"/>
        <v>360375831</v>
      </c>
    </row>
    <row r="27" spans="2:30" s="9" customFormat="1" x14ac:dyDescent="0.25">
      <c r="B27" s="109" t="str" vm="28">
        <f>CUBEMEMBER("ThisWorkbookDataModel","[fActualAndBudget].[StavkaKategorija].&amp;[2.32. Потрошени суровини и материјали]")</f>
        <v>2.32. Потрошени суровини и материјали</v>
      </c>
      <c r="C27" s="110" vm="1434">
        <f t="shared" ref="C27:O46" si="9">CUBEVALUE("ThisWorkbookDataModel",$C$2,$C$3,$B$5,$B27,C$6,$D$5)</f>
        <v>1340409</v>
      </c>
      <c r="D27" s="110" vm="1125">
        <f t="shared" si="9"/>
        <v>1340409</v>
      </c>
      <c r="E27" s="110" vm="1237">
        <f t="shared" si="9"/>
        <v>2122909</v>
      </c>
      <c r="F27" s="110" vm="1299">
        <f t="shared" si="9"/>
        <v>1061634</v>
      </c>
      <c r="G27" s="110" vm="1109">
        <f t="shared" si="9"/>
        <v>1106634</v>
      </c>
      <c r="H27" s="110" vm="1209">
        <f t="shared" si="9"/>
        <v>1061634</v>
      </c>
      <c r="I27" s="110" vm="1378">
        <f t="shared" si="9"/>
        <v>1061634</v>
      </c>
      <c r="J27" s="110" vm="1286">
        <f t="shared" si="9"/>
        <v>1061634</v>
      </c>
      <c r="K27" s="110" vm="1293">
        <f t="shared" si="9"/>
        <v>1061634</v>
      </c>
      <c r="L27" s="110" vm="975">
        <f t="shared" si="9"/>
        <v>1061634</v>
      </c>
      <c r="M27" s="110" vm="1385">
        <f t="shared" si="9"/>
        <v>1061634</v>
      </c>
      <c r="N27" s="110" vm="1149">
        <f t="shared" si="9"/>
        <v>1385409</v>
      </c>
      <c r="O27" s="110" vm="1094">
        <f t="shared" si="9"/>
        <v>14727208</v>
      </c>
      <c r="Q27" s="9" t="str" vm="28">
        <f>CUBEMEMBER("ThisWorkbookDataModel","[fActualAndBudget].[StavkaKategorija].&amp;[2.32. Потрошени суровини и материјали]")</f>
        <v>2.32. Потрошени суровини и материјали</v>
      </c>
      <c r="R27" s="110" vm="2976">
        <f t="shared" si="5"/>
        <v>91134</v>
      </c>
      <c r="S27" s="110" vm="3014">
        <f t="shared" si="5"/>
        <v>96237</v>
      </c>
      <c r="T27" s="110" vm="2863">
        <f t="shared" si="5"/>
        <v>626553</v>
      </c>
      <c r="U27" s="110" vm="2656">
        <f t="shared" si="5"/>
        <v>464948</v>
      </c>
      <c r="V27" s="110" vm="2705">
        <f t="shared" si="5"/>
        <v>699482</v>
      </c>
      <c r="W27" s="110" vm="2543">
        <f t="shared" si="5"/>
        <v>292066</v>
      </c>
      <c r="X27" s="110" vm="2642">
        <f t="shared" si="5"/>
        <v>439665</v>
      </c>
      <c r="Y27" s="110" vm="2635">
        <f t="shared" si="5"/>
        <v>245393</v>
      </c>
      <c r="Z27" s="110" vm="3097">
        <f t="shared" si="5"/>
        <v>328221</v>
      </c>
      <c r="AA27" s="110" vm="2611">
        <f t="shared" si="5"/>
        <v>520249</v>
      </c>
      <c r="AB27" s="110" vm="2894">
        <f t="shared" si="5"/>
        <v>442627</v>
      </c>
      <c r="AC27" s="110" vm="2685">
        <f t="shared" si="5"/>
        <v>2065865</v>
      </c>
      <c r="AD27" s="110" vm="2904">
        <f t="shared" si="5"/>
        <v>6312440</v>
      </c>
    </row>
    <row r="28" spans="2:30" x14ac:dyDescent="0.25">
      <c r="B28" s="8" t="str" vm="57">
        <f>CUBEMEMBER("ThisWorkbookDataModel",{"[fActualAndBudget].[StavkaKategorija].&amp;[2.32. Потрошени суровини и материјали]","[fActualAndBudget].[StavkaImeMK].&amp;[Потрoшена енергија и гориво за возила]"})</f>
        <v>Потрoшена енергија и гориво за возила</v>
      </c>
      <c r="C28" s="41" vm="1300">
        <f t="shared" si="9"/>
        <v>1005442</v>
      </c>
      <c r="D28" s="41" vm="1167">
        <f t="shared" si="9"/>
        <v>1005442</v>
      </c>
      <c r="E28" s="41" vm="1497">
        <f t="shared" si="9"/>
        <v>1005442</v>
      </c>
      <c r="F28" s="41" vm="1102">
        <f t="shared" si="9"/>
        <v>726667</v>
      </c>
      <c r="G28" s="41" vm="1433">
        <f t="shared" si="9"/>
        <v>726667</v>
      </c>
      <c r="H28" s="41" vm="1389">
        <f t="shared" si="9"/>
        <v>726667</v>
      </c>
      <c r="I28" s="41" vm="894">
        <f t="shared" si="9"/>
        <v>726667</v>
      </c>
      <c r="J28" s="41" vm="918">
        <f t="shared" si="9"/>
        <v>726667</v>
      </c>
      <c r="K28" s="41" vm="1196">
        <f t="shared" si="9"/>
        <v>726667</v>
      </c>
      <c r="L28" s="41" vm="1276">
        <f t="shared" si="9"/>
        <v>726667</v>
      </c>
      <c r="M28" s="41" vm="963">
        <f t="shared" si="9"/>
        <v>726667</v>
      </c>
      <c r="N28" s="41" vm="1269">
        <f t="shared" si="9"/>
        <v>1005442</v>
      </c>
      <c r="O28" s="41" vm="888">
        <f t="shared" si="9"/>
        <v>9835104</v>
      </c>
      <c r="Q28" t="str" vm="57">
        <f>CUBEMEMBER("ThisWorkbookDataModel",{"[fActualAndBudget].[StavkaKategorija].&amp;[2.32. Потрошени суровини и материјали]","[fActualAndBudget].[StavkaImeMK].&amp;[Потрoшена енергија и гориво за возила]"})</f>
        <v>Потрoшена енергија и гориво за возила</v>
      </c>
      <c r="R28" s="41" vm="2981">
        <f t="shared" si="5"/>
        <v>87639</v>
      </c>
      <c r="S28" s="41" vm="2998">
        <f t="shared" si="5"/>
        <v>91459</v>
      </c>
      <c r="T28" s="41" vm="2971">
        <f t="shared" si="5"/>
        <v>437232</v>
      </c>
      <c r="U28" s="41" vm="2728">
        <f t="shared" si="5"/>
        <v>285288</v>
      </c>
      <c r="V28" s="41" vm="3062">
        <f t="shared" si="5"/>
        <v>304853</v>
      </c>
      <c r="W28" s="41" vm="2555">
        <f t="shared" si="5"/>
        <v>166208</v>
      </c>
      <c r="X28" s="41" vm="2933">
        <f t="shared" si="5"/>
        <v>142491</v>
      </c>
      <c r="Y28" s="41" vm="2632">
        <f t="shared" si="5"/>
        <v>209809</v>
      </c>
      <c r="Z28" s="41" vm="2788">
        <f t="shared" si="5"/>
        <v>172515</v>
      </c>
      <c r="AA28" s="41" vm="3042">
        <f t="shared" si="5"/>
        <v>183906</v>
      </c>
      <c r="AB28" s="41" vm="2600">
        <f t="shared" si="5"/>
        <v>251464</v>
      </c>
      <c r="AC28" s="41" vm="3109">
        <f t="shared" si="5"/>
        <v>1408951</v>
      </c>
      <c r="AD28" s="41" vm="2591">
        <f t="shared" si="5"/>
        <v>3741815</v>
      </c>
    </row>
    <row r="29" spans="2:30" x14ac:dyDescent="0.25">
      <c r="B29" s="8" t="str" vm="54">
        <f>CUBEMEMBER("ThisWorkbookDataModel",{"[fActualAndBudget].[StavkaKategorija].&amp;[2.32. Потрошени суровини и материјали]","[fActualAndBudget].[StavkaImeMK].&amp;[Потрошени резервни делови]"})</f>
        <v>Потрошени резервни делови</v>
      </c>
      <c r="C29" s="41" vm="1470">
        <f t="shared" si="9"/>
        <v>3438</v>
      </c>
      <c r="D29" s="41" vm="1361">
        <f t="shared" si="9"/>
        <v>3438</v>
      </c>
      <c r="E29" s="41" vm="1156">
        <f t="shared" si="9"/>
        <v>3438</v>
      </c>
      <c r="F29" s="41" vm="1290">
        <f t="shared" si="9"/>
        <v>3438</v>
      </c>
      <c r="G29" s="41" vm="1407">
        <f t="shared" si="9"/>
        <v>3438</v>
      </c>
      <c r="H29" s="41" vm="993">
        <f t="shared" si="9"/>
        <v>3438</v>
      </c>
      <c r="I29" s="41" vm="1336">
        <f t="shared" si="9"/>
        <v>3438</v>
      </c>
      <c r="J29" s="41" vm="1354">
        <f t="shared" si="9"/>
        <v>3438</v>
      </c>
      <c r="K29" s="41" vm="1397">
        <f t="shared" si="9"/>
        <v>3438</v>
      </c>
      <c r="L29" s="41" vm="1013">
        <f t="shared" si="9"/>
        <v>3438</v>
      </c>
      <c r="M29" s="41" vm="1166">
        <f t="shared" si="9"/>
        <v>3438</v>
      </c>
      <c r="N29" s="41" vm="1141">
        <f t="shared" si="9"/>
        <v>3438</v>
      </c>
      <c r="O29" s="41" vm="1438">
        <f t="shared" si="9"/>
        <v>41256</v>
      </c>
      <c r="Q29" t="str" vm="54">
        <f>CUBEMEMBER("ThisWorkbookDataModel",{"[fActualAndBudget].[StavkaKategorija].&amp;[2.32. Потрошени суровини и материјали]","[fActualAndBudget].[StavkaImeMK].&amp;[Потрошени резервни делови]"})</f>
        <v>Потрошени резервни делови</v>
      </c>
      <c r="R29" s="41" vm="2885">
        <f t="shared" si="5"/>
        <v>3495</v>
      </c>
      <c r="S29" s="41" vm="3035">
        <f t="shared" si="5"/>
        <v>2100</v>
      </c>
      <c r="T29" s="41" vm="2832">
        <f t="shared" si="5"/>
        <v>0</v>
      </c>
      <c r="U29" s="41" vm="2603">
        <f t="shared" si="5"/>
        <v>0</v>
      </c>
      <c r="V29" s="41" vm="2597">
        <f t="shared" si="5"/>
        <v>0</v>
      </c>
      <c r="W29" s="41" vm="2825">
        <f t="shared" si="5"/>
        <v>316</v>
      </c>
      <c r="X29" s="41" vm="2644">
        <f t="shared" si="5"/>
        <v>1120</v>
      </c>
      <c r="Y29" s="41" vm="2719">
        <f t="shared" si="5"/>
        <v>0</v>
      </c>
      <c r="Z29" s="41" vm="2503">
        <f t="shared" si="5"/>
        <v>0</v>
      </c>
      <c r="AA29" s="41" vm="2582">
        <f t="shared" si="5"/>
        <v>0</v>
      </c>
      <c r="AB29" s="41" vm="2512">
        <f t="shared" si="5"/>
        <v>250</v>
      </c>
      <c r="AC29" s="41" vm="2547">
        <f t="shared" si="5"/>
        <v>0</v>
      </c>
      <c r="AD29" s="41" vm="2779">
        <f t="shared" si="5"/>
        <v>7281</v>
      </c>
    </row>
    <row r="30" spans="2:30" x14ac:dyDescent="0.25">
      <c r="B30" s="8" t="str" vm="52">
        <f>CUBEMEMBER("ThisWorkbookDataModel",{"[fActualAndBudget].[StavkaKategorija].&amp;[2.32. Потрошени суровини и материјали]","[fActualAndBudget].[StavkaImeMK].&amp;[Потрошени суровини и материјали]"})</f>
        <v>Потрошени суровини и материјали</v>
      </c>
      <c r="C30" s="41" vm="923">
        <f t="shared" si="9"/>
        <v>256421</v>
      </c>
      <c r="D30" s="41" vm="1263">
        <f t="shared" si="9"/>
        <v>256421</v>
      </c>
      <c r="E30" s="41" vm="1327">
        <f t="shared" si="9"/>
        <v>1038921</v>
      </c>
      <c r="F30" s="41" vm="1328">
        <f t="shared" si="9"/>
        <v>256421</v>
      </c>
      <c r="G30" s="41" vm="1261">
        <f t="shared" si="9"/>
        <v>256421</v>
      </c>
      <c r="H30" s="41" vm="1267">
        <f t="shared" si="9"/>
        <v>256421</v>
      </c>
      <c r="I30" s="41" vm="1368">
        <f t="shared" si="9"/>
        <v>256421</v>
      </c>
      <c r="J30" s="41" vm="1245">
        <f t="shared" si="9"/>
        <v>256421</v>
      </c>
      <c r="K30" s="41" vm="943">
        <f t="shared" si="9"/>
        <v>256421</v>
      </c>
      <c r="L30" s="41" vm="1396">
        <f t="shared" si="9"/>
        <v>256421</v>
      </c>
      <c r="M30" s="41" vm="1352">
        <f t="shared" si="9"/>
        <v>256421</v>
      </c>
      <c r="N30" s="41" vm="1220">
        <f t="shared" si="9"/>
        <v>256421</v>
      </c>
      <c r="O30" s="41" vm="1142">
        <f t="shared" si="9"/>
        <v>3859552</v>
      </c>
      <c r="Q30" t="str" vm="52">
        <f>CUBEMEMBER("ThisWorkbookDataModel",{"[fActualAndBudget].[StavkaKategorija].&amp;[2.32. Потрошени суровини и материјали]","[fActualAndBudget].[StavkaImeMK].&amp;[Потрошени суровини и материјали]"})</f>
        <v>Потрошени суровини и материјали</v>
      </c>
      <c r="R30" s="41" vm="2725">
        <f t="shared" si="5"/>
        <v>0</v>
      </c>
      <c r="S30" s="41" vm="2995">
        <f t="shared" si="5"/>
        <v>2678</v>
      </c>
      <c r="T30" s="41" vm="2682">
        <f t="shared" si="5"/>
        <v>189321</v>
      </c>
      <c r="U30" s="41" vm="3078">
        <f t="shared" si="5"/>
        <v>179660</v>
      </c>
      <c r="V30" s="41" vm="2585">
        <f t="shared" si="5"/>
        <v>394629</v>
      </c>
      <c r="W30" s="41" vm="2743">
        <f t="shared" si="5"/>
        <v>125542</v>
      </c>
      <c r="X30" s="41" vm="2527">
        <f t="shared" si="5"/>
        <v>277981</v>
      </c>
      <c r="Y30" s="41" vm="2735">
        <f t="shared" si="5"/>
        <v>35584</v>
      </c>
      <c r="Z30" s="41" vm="3045">
        <f t="shared" si="5"/>
        <v>134618</v>
      </c>
      <c r="AA30" s="41" vm="2996">
        <f t="shared" si="5"/>
        <v>152582</v>
      </c>
      <c r="AB30" s="41" vm="2925">
        <f t="shared" si="5"/>
        <v>146795</v>
      </c>
      <c r="AC30" s="41" vm="3044">
        <f t="shared" si="5"/>
        <v>615349</v>
      </c>
      <c r="AD30" s="41" vm="2968">
        <f t="shared" si="5"/>
        <v>2254739</v>
      </c>
    </row>
    <row r="31" spans="2:30" x14ac:dyDescent="0.25">
      <c r="B31" s="8" t="str" vm="41">
        <f>CUBEMEMBER("ThisWorkbookDataModel",{"[fActualAndBudget].[StavkaKategorija].&amp;[2.32. Потрошени суровини и материјали]","[fActualAndBudget].[StavkaImeMK].&amp;[Потрошок на ситен инвентар и автогуми]"})</f>
        <v>Потрошок на ситен инвентар и автогуми</v>
      </c>
      <c r="C31" s="41" vm="1118">
        <f t="shared" si="9"/>
        <v>75108</v>
      </c>
      <c r="D31" s="41" vm="1005">
        <f t="shared" si="9"/>
        <v>75108</v>
      </c>
      <c r="E31" s="41" vm="1496">
        <f t="shared" si="9"/>
        <v>75108</v>
      </c>
      <c r="F31" s="41" vm="1040">
        <f t="shared" si="9"/>
        <v>75108</v>
      </c>
      <c r="G31" s="41" vm="930">
        <f t="shared" si="9"/>
        <v>120108</v>
      </c>
      <c r="H31" s="41" vm="1082">
        <f t="shared" si="9"/>
        <v>75108</v>
      </c>
      <c r="I31" s="41" vm="892">
        <f t="shared" si="9"/>
        <v>75108</v>
      </c>
      <c r="J31" s="41" vm="1268">
        <f t="shared" si="9"/>
        <v>75108</v>
      </c>
      <c r="K31" s="41" vm="926">
        <f t="shared" si="9"/>
        <v>75108</v>
      </c>
      <c r="L31" s="41" vm="905">
        <f t="shared" si="9"/>
        <v>75108</v>
      </c>
      <c r="M31" s="41" vm="1356">
        <f t="shared" si="9"/>
        <v>75108</v>
      </c>
      <c r="N31" s="41" vm="1480">
        <f t="shared" si="9"/>
        <v>120108</v>
      </c>
      <c r="O31" s="41" vm="1271">
        <f t="shared" si="9"/>
        <v>991296</v>
      </c>
      <c r="Q31" t="str" vm="41">
        <f>CUBEMEMBER("ThisWorkbookDataModel",{"[fActualAndBudget].[StavkaKategorija].&amp;[2.32. Потрошени суровини и материјали]","[fActualAndBudget].[StavkaImeMK].&amp;[Потрошок на ситен инвентар и автогуми]"})</f>
        <v>Потрошок на ситен инвентар и автогуми</v>
      </c>
      <c r="R31" s="41" vm="2584">
        <f t="shared" si="5"/>
        <v>0</v>
      </c>
      <c r="S31" s="41" vm="2856">
        <f t="shared" si="5"/>
        <v>0</v>
      </c>
      <c r="T31" s="41" vm="2594">
        <f t="shared" si="5"/>
        <v>0</v>
      </c>
      <c r="U31" s="41" vm="2961">
        <f t="shared" si="5"/>
        <v>0</v>
      </c>
      <c r="V31" s="41" vm="3087">
        <f t="shared" si="5"/>
        <v>0</v>
      </c>
      <c r="W31" s="41" vm="2616">
        <f t="shared" si="5"/>
        <v>0</v>
      </c>
      <c r="X31" s="41" vm="3108">
        <f t="shared" si="5"/>
        <v>18073</v>
      </c>
      <c r="Y31" s="41" vm="3102">
        <f t="shared" si="5"/>
        <v>0</v>
      </c>
      <c r="Z31" s="41" vm="3016">
        <f t="shared" si="5"/>
        <v>21088</v>
      </c>
      <c r="AA31" s="41" vm="2657">
        <f t="shared" si="5"/>
        <v>183761</v>
      </c>
      <c r="AB31" s="41" vm="3059">
        <f t="shared" si="5"/>
        <v>44118</v>
      </c>
      <c r="AC31" s="41" vm="2641">
        <f t="shared" si="5"/>
        <v>41565</v>
      </c>
      <c r="AD31" s="41" vm="2691">
        <f t="shared" si="5"/>
        <v>308605</v>
      </c>
    </row>
    <row r="32" spans="2:30" s="9" customFormat="1" x14ac:dyDescent="0.25">
      <c r="B32" s="109" t="str" vm="37">
        <f>CUBEMEMBER("ThisWorkbookDataModel","[fActualAndBudget].[StavkaKategorija].&amp;[2.33. Трошоци за вработените]")</f>
        <v>2.33. Трошоци за вработените</v>
      </c>
      <c r="C32" s="110" vm="1452">
        <f t="shared" si="9"/>
        <v>20007791</v>
      </c>
      <c r="D32" s="110" vm="1440">
        <f t="shared" si="9"/>
        <v>20007791</v>
      </c>
      <c r="E32" s="110" vm="1032">
        <f t="shared" si="9"/>
        <v>20007791</v>
      </c>
      <c r="F32" s="110" vm="1221">
        <f t="shared" si="9"/>
        <v>20007791</v>
      </c>
      <c r="G32" s="110" vm="1088">
        <f t="shared" si="9"/>
        <v>20007791</v>
      </c>
      <c r="H32" s="110" vm="1173">
        <f t="shared" si="9"/>
        <v>26155391</v>
      </c>
      <c r="I32" s="110" vm="1450">
        <f t="shared" si="9"/>
        <v>18991617</v>
      </c>
      <c r="J32" s="110" vm="1451">
        <f t="shared" si="9"/>
        <v>19067352</v>
      </c>
      <c r="K32" s="110" vm="1459">
        <f t="shared" si="9"/>
        <v>19039396</v>
      </c>
      <c r="L32" s="110" vm="1172">
        <f t="shared" si="9"/>
        <v>19024630</v>
      </c>
      <c r="M32" s="110" vm="1475">
        <f t="shared" si="9"/>
        <v>19082118</v>
      </c>
      <c r="N32" s="110" vm="1064">
        <f t="shared" si="9"/>
        <v>19024630</v>
      </c>
      <c r="O32" s="110" vm="1054">
        <f t="shared" si="9"/>
        <v>240424089</v>
      </c>
      <c r="Q32" s="9" t="str" vm="37">
        <f>CUBEMEMBER("ThisWorkbookDataModel","[fActualAndBudget].[StavkaKategorija].&amp;[2.33. Трошоци за вработените]")</f>
        <v>2.33. Трошоци за вработените</v>
      </c>
      <c r="R32" s="110" vm="3064">
        <f t="shared" si="5"/>
        <v>18290743</v>
      </c>
      <c r="S32" s="110" vm="2780">
        <f t="shared" si="5"/>
        <v>18175602</v>
      </c>
      <c r="T32" s="110" vm="3083">
        <f t="shared" si="5"/>
        <v>18511073</v>
      </c>
      <c r="U32" s="110" vm="2708">
        <f t="shared" si="5"/>
        <v>18719810</v>
      </c>
      <c r="V32" s="110" vm="3050">
        <f t="shared" si="5"/>
        <v>19152488</v>
      </c>
      <c r="W32" s="110" vm="2684">
        <f t="shared" si="5"/>
        <v>18903586</v>
      </c>
      <c r="X32" s="110" vm="2515">
        <f t="shared" si="5"/>
        <v>18755795</v>
      </c>
      <c r="Y32" s="110" vm="2951">
        <f t="shared" si="5"/>
        <v>24576493</v>
      </c>
      <c r="Z32" s="110" vm="2878">
        <f t="shared" si="5"/>
        <v>18903275</v>
      </c>
      <c r="AA32" s="110" vm="2755">
        <f t="shared" si="5"/>
        <v>18678858</v>
      </c>
      <c r="AB32" s="110" vm="2612">
        <f t="shared" si="5"/>
        <v>18633568</v>
      </c>
      <c r="AC32" s="110" vm="3106">
        <f t="shared" si="5"/>
        <v>18943946</v>
      </c>
      <c r="AD32" s="110" vm="3008">
        <f t="shared" si="5"/>
        <v>230245237</v>
      </c>
    </row>
    <row r="33" spans="2:30" x14ac:dyDescent="0.25">
      <c r="B33" s="8" t="str" vm="35">
        <f>CUBEMEMBER("ThisWorkbookDataModel",{"[fActualAndBudget].[StavkaKategorija].&amp;[2.33. Трошоци за вработените]","[fActualAndBudget].[StavkaImeMK].&amp;[Надомест на трошоци на вработените, подароци и помошти]"})</f>
        <v>Надомест на трошоци на вработените, подароци и помошти</v>
      </c>
      <c r="C33" s="41" vm="1048">
        <f t="shared" si="9"/>
        <v>20007791</v>
      </c>
      <c r="D33" s="41" vm="1363">
        <f t="shared" si="9"/>
        <v>20007791</v>
      </c>
      <c r="E33" s="41" vm="1471">
        <f t="shared" si="9"/>
        <v>20007791</v>
      </c>
      <c r="F33" s="41" vm="1472">
        <f t="shared" si="9"/>
        <v>20007791</v>
      </c>
      <c r="G33" s="41" vm="955">
        <f t="shared" si="9"/>
        <v>20007791</v>
      </c>
      <c r="H33" s="41" vm="1307">
        <f t="shared" si="9"/>
        <v>26155391</v>
      </c>
      <c r="I33" s="41" vm="1473">
        <f t="shared" si="9"/>
        <v>18991617</v>
      </c>
      <c r="J33" s="41" vm="1147">
        <f t="shared" si="9"/>
        <v>19067352</v>
      </c>
      <c r="K33" s="41" vm="1176">
        <f t="shared" si="9"/>
        <v>19039396</v>
      </c>
      <c r="L33" s="41" vm="1113">
        <f t="shared" si="9"/>
        <v>19024630</v>
      </c>
      <c r="M33" s="41" vm="1474">
        <f t="shared" si="9"/>
        <v>19082118</v>
      </c>
      <c r="N33" s="41" vm="1247">
        <f t="shared" si="9"/>
        <v>19024630</v>
      </c>
      <c r="O33" s="41" vm="977">
        <f t="shared" si="9"/>
        <v>240424089</v>
      </c>
      <c r="Q33" t="str" vm="35">
        <f>CUBEMEMBER("ThisWorkbookDataModel",{"[fActualAndBudget].[StavkaKategorija].&amp;[2.33. Трошоци за вработените]","[fActualAndBudget].[StavkaImeMK].&amp;[Надомест на трошоци на вработените, подароци и помошти]"})</f>
        <v>Надомест на трошоци на вработените, подароци и помошти</v>
      </c>
      <c r="R33" s="41" vm="2583">
        <f t="shared" si="5"/>
        <v>18290743</v>
      </c>
      <c r="S33" s="41" vm="2956">
        <f t="shared" si="5"/>
        <v>18175602</v>
      </c>
      <c r="T33" s="41" vm="2742">
        <f t="shared" si="5"/>
        <v>18511073</v>
      </c>
      <c r="U33" s="41" vm="2505">
        <f t="shared" si="5"/>
        <v>18719810</v>
      </c>
      <c r="V33" s="41" vm="2973">
        <f t="shared" si="5"/>
        <v>19152488</v>
      </c>
      <c r="W33" s="41" vm="2822">
        <f t="shared" si="5"/>
        <v>18903586</v>
      </c>
      <c r="X33" s="41" vm="3058">
        <f t="shared" si="5"/>
        <v>18755795</v>
      </c>
      <c r="Y33" s="41" vm="2510">
        <f t="shared" si="5"/>
        <v>24576493</v>
      </c>
      <c r="Z33" s="41" vm="2546">
        <f t="shared" si="5"/>
        <v>18903275</v>
      </c>
      <c r="AA33" s="41" vm="2896">
        <f t="shared" si="5"/>
        <v>18678858</v>
      </c>
      <c r="AB33" s="41" vm="2938">
        <f t="shared" si="5"/>
        <v>18633568</v>
      </c>
      <c r="AC33" s="41" vm="2566">
        <f t="shared" si="5"/>
        <v>18943946</v>
      </c>
      <c r="AD33" s="41" vm="2927">
        <f t="shared" si="5"/>
        <v>230245237</v>
      </c>
    </row>
    <row r="34" spans="2:30" s="161" customFormat="1" x14ac:dyDescent="0.25">
      <c r="B34" s="159" t="str" vm="62">
        <f>CUBEMEMBER("ThisWorkbookDataModel","[fActualAndBudget].[StavkaKategorija].&amp;[2.34. Амортизација на материјални средства]")</f>
        <v>2.34. Амортизација на материјални средства</v>
      </c>
      <c r="C34" s="160" vm="1317">
        <f t="shared" si="9"/>
        <v>4139034</v>
      </c>
      <c r="D34" s="160" vm="1441">
        <f t="shared" si="9"/>
        <v>4139034</v>
      </c>
      <c r="E34" s="160" vm="1242">
        <f t="shared" si="9"/>
        <v>4139034</v>
      </c>
      <c r="F34" s="160" vm="1136">
        <f t="shared" si="9"/>
        <v>4096015</v>
      </c>
      <c r="G34" s="160" vm="874">
        <f t="shared" si="9"/>
        <v>4380391</v>
      </c>
      <c r="H34" s="160" vm="1185">
        <f t="shared" si="9"/>
        <v>4584568</v>
      </c>
      <c r="I34" s="160" vm="964">
        <f t="shared" si="9"/>
        <v>4609568</v>
      </c>
      <c r="J34" s="160" vm="1381">
        <f t="shared" si="9"/>
        <v>4467380</v>
      </c>
      <c r="K34" s="160" vm="1463">
        <f t="shared" si="9"/>
        <v>4751464</v>
      </c>
      <c r="L34" s="160" vm="1006">
        <f t="shared" si="9"/>
        <v>4777714</v>
      </c>
      <c r="M34" s="160" vm="956">
        <f t="shared" si="9"/>
        <v>5072714</v>
      </c>
      <c r="N34" s="160" vm="1217">
        <f t="shared" si="9"/>
        <v>5072714</v>
      </c>
      <c r="O34" s="160" vm="1436">
        <f t="shared" si="9"/>
        <v>54229630</v>
      </c>
      <c r="Q34" s="161" t="str" vm="62">
        <f>CUBEMEMBER("ThisWorkbookDataModel","[fActualAndBudget].[StavkaKategorija].&amp;[2.34. Амортизација на материјални средства]")</f>
        <v>2.34. Амортизација на материјални средства</v>
      </c>
      <c r="R34" s="160" vm="2714">
        <f t="shared" si="5"/>
        <v>3029536</v>
      </c>
      <c r="S34" s="160" vm="2928">
        <f t="shared" si="5"/>
        <v>3012199</v>
      </c>
      <c r="T34" s="160" vm="2907">
        <f t="shared" si="5"/>
        <v>3012199</v>
      </c>
      <c r="U34" s="160" vm="2703">
        <f t="shared" si="5"/>
        <v>3058669</v>
      </c>
      <c r="V34" s="160" vm="3013">
        <f t="shared" si="5"/>
        <v>3058669</v>
      </c>
      <c r="W34" s="160" vm="2495">
        <f t="shared" si="5"/>
        <v>3031179</v>
      </c>
      <c r="X34" s="160" vm="2699">
        <f t="shared" si="5"/>
        <v>3372650</v>
      </c>
      <c r="Y34" s="160" vm="2660">
        <f t="shared" si="5"/>
        <v>3372650</v>
      </c>
      <c r="Z34" s="160" vm="3071">
        <f t="shared" si="5"/>
        <v>4076032</v>
      </c>
      <c r="AA34" s="160" vm="2713">
        <f t="shared" si="5"/>
        <v>4134867</v>
      </c>
      <c r="AB34" s="160" vm="3099">
        <f t="shared" si="5"/>
        <v>4134867</v>
      </c>
      <c r="AC34" s="160" vm="2773">
        <f t="shared" si="5"/>
        <v>4134867</v>
      </c>
      <c r="AD34" s="160" vm="2778">
        <f t="shared" si="5"/>
        <v>41428384</v>
      </c>
    </row>
    <row r="35" spans="2:30" s="9" customFormat="1" x14ac:dyDescent="0.25">
      <c r="B35" s="109" t="str" vm="66">
        <f>CUBEMEMBER("ThisWorkbookDataModel","[fActualAndBudget].[StavkaKategorija].&amp;[2.35. Вредносно усогласување на тековни средства]")</f>
        <v>2.35. Вредносно усогласување на тековни средства</v>
      </c>
      <c r="C35" s="110" t="str" vm="962">
        <f t="shared" si="9"/>
        <v/>
      </c>
      <c r="D35" s="110" t="str" vm="1272">
        <f t="shared" si="9"/>
        <v/>
      </c>
      <c r="E35" s="110" t="str" vm="1076">
        <f t="shared" si="9"/>
        <v/>
      </c>
      <c r="F35" s="110" t="str" vm="1288">
        <f t="shared" si="9"/>
        <v/>
      </c>
      <c r="G35" s="110" t="str" vm="921">
        <f t="shared" si="9"/>
        <v/>
      </c>
      <c r="H35" s="110" t="str" vm="1092">
        <f t="shared" si="9"/>
        <v/>
      </c>
      <c r="I35" s="110" t="str" vm="1225">
        <f t="shared" si="9"/>
        <v/>
      </c>
      <c r="J35" s="110" t="str" vm="1457">
        <f t="shared" si="9"/>
        <v/>
      </c>
      <c r="K35" s="110" t="str" vm="991">
        <f t="shared" si="9"/>
        <v/>
      </c>
      <c r="L35" s="110" t="str" vm="1159">
        <f t="shared" si="9"/>
        <v/>
      </c>
      <c r="M35" s="110" t="str" vm="1066">
        <f t="shared" si="9"/>
        <v/>
      </c>
      <c r="N35" s="110" t="str" vm="1393">
        <f t="shared" si="9"/>
        <v/>
      </c>
      <c r="O35" s="110" t="str" vm="1047">
        <f t="shared" si="9"/>
        <v/>
      </c>
      <c r="Q35" s="9" t="str" vm="66">
        <f>CUBEMEMBER("ThisWorkbookDataModel","[fActualAndBudget].[StavkaKategorija].&amp;[2.35. Вредносно усогласување на тековни средства]")</f>
        <v>2.35. Вредносно усогласување на тековни средства</v>
      </c>
      <c r="R35" s="110" vm="2759">
        <f t="shared" si="5"/>
        <v>0</v>
      </c>
      <c r="S35" s="110" vm="2771">
        <f t="shared" si="5"/>
        <v>0</v>
      </c>
      <c r="T35" s="110" vm="2709">
        <f t="shared" si="5"/>
        <v>0</v>
      </c>
      <c r="U35" s="110" vm="2722">
        <f t="shared" si="5"/>
        <v>0</v>
      </c>
      <c r="V35" s="110" vm="2648">
        <f t="shared" si="5"/>
        <v>0</v>
      </c>
      <c r="W35" s="110" vm="2784">
        <f t="shared" si="5"/>
        <v>0</v>
      </c>
      <c r="X35" s="110" vm="2634">
        <f t="shared" si="5"/>
        <v>0</v>
      </c>
      <c r="Y35" s="110" vm="2879">
        <f t="shared" si="5"/>
        <v>0</v>
      </c>
      <c r="Z35" s="110" vm="2562">
        <f t="shared" si="5"/>
        <v>0</v>
      </c>
      <c r="AA35" s="110" vm="2658">
        <f t="shared" si="5"/>
        <v>0</v>
      </c>
      <c r="AB35" s="110" t="str" vm="2775">
        <f t="shared" si="5"/>
        <v/>
      </c>
      <c r="AC35" s="110" t="str" vm="2882">
        <f t="shared" si="5"/>
        <v/>
      </c>
      <c r="AD35" s="110" vm="2665">
        <f t="shared" si="5"/>
        <v>0</v>
      </c>
    </row>
    <row r="36" spans="2:30" s="9" customFormat="1" x14ac:dyDescent="0.25">
      <c r="B36" s="109" t="str" vm="61">
        <f>CUBEMEMBER("ThisWorkbookDataModel","[fActualAndBudget].[StavkaKategorija].&amp;[2.37. Останати оперативни расходи]")</f>
        <v>2.37. Останати оперативни расходи</v>
      </c>
      <c r="C36" s="110" vm="1279">
        <f t="shared" si="9"/>
        <v>4400859</v>
      </c>
      <c r="D36" s="110" vm="1223">
        <f t="shared" si="9"/>
        <v>4740539</v>
      </c>
      <c r="E36" s="110" vm="1446">
        <f t="shared" si="9"/>
        <v>4962039</v>
      </c>
      <c r="F36" s="110" vm="1423">
        <f t="shared" si="9"/>
        <v>4472539</v>
      </c>
      <c r="G36" s="110" vm="1371">
        <f t="shared" si="9"/>
        <v>5760282</v>
      </c>
      <c r="H36" s="110" vm="1347">
        <f t="shared" si="9"/>
        <v>4372539</v>
      </c>
      <c r="I36" s="110" vm="900">
        <f t="shared" si="9"/>
        <v>5152877</v>
      </c>
      <c r="J36" s="110" vm="1031">
        <f t="shared" si="9"/>
        <v>4052877</v>
      </c>
      <c r="K36" s="110" vm="985">
        <f t="shared" si="9"/>
        <v>4302877</v>
      </c>
      <c r="L36" s="110" vm="1164">
        <f t="shared" si="9"/>
        <v>4052877</v>
      </c>
      <c r="M36" s="110" vm="1477">
        <f t="shared" si="9"/>
        <v>5079477</v>
      </c>
      <c r="N36" s="110" vm="1084">
        <f t="shared" si="9"/>
        <v>4107877</v>
      </c>
      <c r="O36" s="110" vm="933">
        <f t="shared" si="9"/>
        <v>55457659</v>
      </c>
      <c r="Q36" s="9" t="str" vm="61">
        <f>CUBEMEMBER("ThisWorkbookDataModel","[fActualAndBudget].[StavkaKategorija].&amp;[2.37. Останати оперативни расходи]")</f>
        <v>2.37. Останати оперативни расходи</v>
      </c>
      <c r="R36" s="110" vm="2980">
        <f t="shared" si="5"/>
        <v>475666</v>
      </c>
      <c r="S36" s="110" vm="2672">
        <f t="shared" si="5"/>
        <v>2148730</v>
      </c>
      <c r="T36" s="110" vm="3070">
        <f t="shared" si="5"/>
        <v>4217209</v>
      </c>
      <c r="U36" s="110" vm="2517">
        <f t="shared" si="5"/>
        <v>1913813</v>
      </c>
      <c r="V36" s="110" vm="2801">
        <f t="shared" si="5"/>
        <v>2599537</v>
      </c>
      <c r="W36" s="110" vm="2629">
        <f t="shared" si="5"/>
        <v>4176328</v>
      </c>
      <c r="X36" s="110" vm="2558">
        <f t="shared" si="5"/>
        <v>2457635</v>
      </c>
      <c r="Y36" s="110" vm="2903">
        <f t="shared" si="5"/>
        <v>2000175</v>
      </c>
      <c r="Z36" s="110" vm="3061">
        <f t="shared" si="5"/>
        <v>2289886</v>
      </c>
      <c r="AA36" s="110" vm="2687">
        <f t="shared" si="5"/>
        <v>3984759</v>
      </c>
      <c r="AB36" s="110" vm="2525">
        <f t="shared" si="5"/>
        <v>2784362</v>
      </c>
      <c r="AC36" s="110" vm="2531">
        <f t="shared" si="5"/>
        <v>8025911</v>
      </c>
      <c r="AD36" s="110" vm="2675">
        <f t="shared" si="5"/>
        <v>37074011</v>
      </c>
    </row>
    <row r="37" spans="2:30" x14ac:dyDescent="0.25">
      <c r="B37" s="8" t="str" vm="60">
        <f>CUBEMEMBER("ThisWorkbookDataModel",{"[fActualAndBudget].[StavkaKategorija].&amp;[2.37. Останати оперативни расходи]","[fActualAndBudget].[StavkaImeMK].&amp;[Банкарски услуги и трошоци за платен промет]"})</f>
        <v>Банкарски услуги и трошоци за платен промет</v>
      </c>
      <c r="C37" s="41" vm="949">
        <f t="shared" si="9"/>
        <v>21188</v>
      </c>
      <c r="D37" s="41" vm="1145">
        <f t="shared" si="9"/>
        <v>21188</v>
      </c>
      <c r="E37" s="41" vm="1191">
        <f t="shared" si="9"/>
        <v>21188</v>
      </c>
      <c r="F37" s="41" vm="1239">
        <f t="shared" si="9"/>
        <v>21188</v>
      </c>
      <c r="G37" s="41" vm="878">
        <f t="shared" si="9"/>
        <v>21188</v>
      </c>
      <c r="H37" s="41" vm="1426">
        <f t="shared" si="9"/>
        <v>21188</v>
      </c>
      <c r="I37" s="41" vm="1061">
        <f t="shared" si="9"/>
        <v>21188</v>
      </c>
      <c r="J37" s="41" vm="1373">
        <f t="shared" si="9"/>
        <v>21188</v>
      </c>
      <c r="K37" s="41" vm="1458">
        <f t="shared" si="9"/>
        <v>21188</v>
      </c>
      <c r="L37" s="41" vm="1235">
        <f t="shared" si="9"/>
        <v>21188</v>
      </c>
      <c r="M37" s="41" vm="1130">
        <f t="shared" si="9"/>
        <v>21188</v>
      </c>
      <c r="N37" s="41" vm="1200">
        <f t="shared" si="9"/>
        <v>21188</v>
      </c>
      <c r="O37" s="41" vm="992">
        <f t="shared" si="9"/>
        <v>254256</v>
      </c>
      <c r="Q37" t="str" vm="60">
        <f>CUBEMEMBER("ThisWorkbookDataModel",{"[fActualAndBudget].[StavkaKategorija].&amp;[2.37. Останати оперативни расходи]","[fActualAndBudget].[StavkaImeMK].&amp;[Банкарски услуги и трошоци за платен промет]"})</f>
        <v>Банкарски услуги и трошоци за платен промет</v>
      </c>
      <c r="R37" s="41" vm="2945">
        <f t="shared" si="5"/>
        <v>12660</v>
      </c>
      <c r="S37" s="41" vm="2910">
        <f t="shared" si="5"/>
        <v>24550</v>
      </c>
      <c r="T37" s="41" vm="2787">
        <f t="shared" si="5"/>
        <v>26424</v>
      </c>
      <c r="U37" s="41" vm="2774">
        <f t="shared" si="5"/>
        <v>27135</v>
      </c>
      <c r="V37" s="41" vm="2637">
        <f t="shared" si="5"/>
        <v>14868</v>
      </c>
      <c r="W37" s="41" vm="2870">
        <f t="shared" si="5"/>
        <v>24801</v>
      </c>
      <c r="X37" s="41" vm="2776">
        <f t="shared" si="5"/>
        <v>22135</v>
      </c>
      <c r="Y37" s="41" vm="2508">
        <f t="shared" si="5"/>
        <v>26117</v>
      </c>
      <c r="Z37" s="41" vm="2762">
        <f t="shared" si="5"/>
        <v>22805</v>
      </c>
      <c r="AA37" s="41" vm="2965">
        <f t="shared" si="5"/>
        <v>21805</v>
      </c>
      <c r="AB37" s="41" vm="3092">
        <f t="shared" si="5"/>
        <v>22144</v>
      </c>
      <c r="AC37" s="41" vm="2744">
        <f t="shared" si="5"/>
        <v>35431</v>
      </c>
      <c r="AD37" s="41" vm="2573">
        <f t="shared" si="5"/>
        <v>280875</v>
      </c>
    </row>
    <row r="38" spans="2:30" x14ac:dyDescent="0.25">
      <c r="B38" s="8" t="str" vm="56">
        <f>CUBEMEMBER("ThisWorkbookDataModel",{"[fActualAndBudget].[StavkaKategorija].&amp;[2.37. Останати оперативни расходи]","[fActualAndBudget].[StavkaImeMK].&amp;[Даноци,чланарини и други давачки кои не зависат од резултатот]"})</f>
        <v>Даноци,чланарини и други давачки кои не зависат од резултатот</v>
      </c>
      <c r="C38" s="41" vm="893">
        <f t="shared" si="9"/>
        <v>28320</v>
      </c>
      <c r="D38" s="41" t="str" vm="1230">
        <f t="shared" si="9"/>
        <v/>
      </c>
      <c r="E38" s="41" t="str" vm="1447">
        <f t="shared" si="9"/>
        <v/>
      </c>
      <c r="F38" s="41" t="str" vm="1001">
        <f t="shared" si="9"/>
        <v/>
      </c>
      <c r="G38" s="41" vm="902">
        <f t="shared" si="9"/>
        <v>118000</v>
      </c>
      <c r="H38" s="41" t="str" vm="1197">
        <f t="shared" si="9"/>
        <v/>
      </c>
      <c r="I38" s="41" t="str" vm="987">
        <f t="shared" si="9"/>
        <v/>
      </c>
      <c r="J38" s="41" t="str" vm="891">
        <f t="shared" si="9"/>
        <v/>
      </c>
      <c r="K38" s="41" t="str" vm="997">
        <f t="shared" si="9"/>
        <v/>
      </c>
      <c r="L38" s="41" t="str" vm="1254">
        <f t="shared" si="9"/>
        <v/>
      </c>
      <c r="M38" s="41" vm="1427">
        <f t="shared" si="9"/>
        <v>1026600</v>
      </c>
      <c r="N38" s="41" t="str" vm="1487">
        <f t="shared" si="9"/>
        <v/>
      </c>
      <c r="O38" s="41" vm="1067">
        <f t="shared" si="9"/>
        <v>1172920</v>
      </c>
      <c r="Q38" t="str" vm="56">
        <f>CUBEMEMBER("ThisWorkbookDataModel",{"[fActualAndBudget].[StavkaKategorija].&amp;[2.37. Останати оперативни расходи]","[fActualAndBudget].[StavkaImeMK].&amp;[Даноци,чланарини и други давачки кои не зависат од резултатот]"})</f>
        <v>Даноци,чланарини и други давачки кои не зависат од резултатот</v>
      </c>
      <c r="R38" s="41" vm="2727">
        <f t="shared" si="5"/>
        <v>0</v>
      </c>
      <c r="S38" s="41" vm="2820">
        <f t="shared" si="5"/>
        <v>36788</v>
      </c>
      <c r="T38" s="41" vm="2681">
        <f t="shared" si="5"/>
        <v>864220</v>
      </c>
      <c r="U38" s="41" vm="2935">
        <f t="shared" si="5"/>
        <v>4121</v>
      </c>
      <c r="V38" s="41" vm="3015">
        <f t="shared" si="5"/>
        <v>12375</v>
      </c>
      <c r="W38" s="41" vm="2777">
        <f t="shared" si="5"/>
        <v>0</v>
      </c>
      <c r="X38" s="41" vm="3007">
        <f t="shared" si="5"/>
        <v>0</v>
      </c>
      <c r="Y38" s="41" vm="2991">
        <f t="shared" si="5"/>
        <v>0</v>
      </c>
      <c r="Z38" s="41" vm="2888">
        <f t="shared" si="5"/>
        <v>0</v>
      </c>
      <c r="AA38" s="41" vm="2760">
        <f t="shared" si="5"/>
        <v>4062</v>
      </c>
      <c r="AB38" s="41" vm="2962">
        <f t="shared" si="5"/>
        <v>0</v>
      </c>
      <c r="AC38" s="41" vm="2799">
        <f t="shared" si="5"/>
        <v>0</v>
      </c>
      <c r="AD38" s="41" vm="2769">
        <f t="shared" si="5"/>
        <v>921566</v>
      </c>
    </row>
    <row r="39" spans="2:30" x14ac:dyDescent="0.25">
      <c r="B39" s="8" t="str" vm="45">
        <f>CUBEMEMBER("ThisWorkbookDataModel",{"[fActualAndBudget].[StavkaKategorija].&amp;[2.37. Останати оперативни расходи]","[fActualAndBudget].[StavkaImeMK].&amp;[Дневници за службени патувања и патни трошоци]"})</f>
        <v>Дневници за службени патувања и патни трошоци</v>
      </c>
      <c r="C39" s="41" vm="1091">
        <f t="shared" si="9"/>
        <v>155000</v>
      </c>
      <c r="D39" s="41" vm="1331">
        <f t="shared" si="9"/>
        <v>155000</v>
      </c>
      <c r="E39" s="41" vm="1115">
        <f t="shared" si="9"/>
        <v>155000</v>
      </c>
      <c r="F39" s="41" vm="876">
        <f t="shared" si="9"/>
        <v>155000</v>
      </c>
      <c r="G39" s="41" vm="1233">
        <f t="shared" si="9"/>
        <v>155000</v>
      </c>
      <c r="H39" s="41" vm="1390">
        <f t="shared" si="9"/>
        <v>155000</v>
      </c>
      <c r="I39" s="41" vm="898">
        <f t="shared" si="9"/>
        <v>155000</v>
      </c>
      <c r="J39" s="41" vm="920">
        <f t="shared" si="9"/>
        <v>155000</v>
      </c>
      <c r="K39" s="41" vm="1310">
        <f t="shared" si="9"/>
        <v>155000</v>
      </c>
      <c r="L39" s="41" vm="1028">
        <f t="shared" si="9"/>
        <v>155000</v>
      </c>
      <c r="M39" s="41" vm="1202">
        <f t="shared" si="9"/>
        <v>155000</v>
      </c>
      <c r="N39" s="41" vm="1485">
        <f t="shared" si="9"/>
        <v>210000</v>
      </c>
      <c r="O39" s="41" vm="1182">
        <f t="shared" si="9"/>
        <v>1915000</v>
      </c>
      <c r="Q39" t="str" vm="45">
        <f>CUBEMEMBER("ThisWorkbookDataModel",{"[fActualAndBudget].[StavkaKategorija].&amp;[2.37. Останати оперативни расходи]","[fActualAndBudget].[StavkaImeMK].&amp;[Дневници за службени патувања и патни трошоци]"})</f>
        <v>Дневници за службени патувања и патни трошоци</v>
      </c>
      <c r="R39" s="41" vm="2572">
        <f t="shared" si="5"/>
        <v>0</v>
      </c>
      <c r="S39" s="41" vm="2564">
        <f t="shared" si="5"/>
        <v>4560</v>
      </c>
      <c r="T39" s="41" vm="3054">
        <f t="shared" si="5"/>
        <v>18000</v>
      </c>
      <c r="U39" s="41" vm="2782">
        <f t="shared" si="5"/>
        <v>3660</v>
      </c>
      <c r="V39" s="41" vm="2924">
        <f t="shared" si="5"/>
        <v>3000</v>
      </c>
      <c r="W39" s="41" vm="2519">
        <f t="shared" si="5"/>
        <v>1560</v>
      </c>
      <c r="X39" s="41" vm="3012">
        <f t="shared" si="5"/>
        <v>0</v>
      </c>
      <c r="Y39" s="41" vm="3051">
        <f t="shared" si="5"/>
        <v>0</v>
      </c>
      <c r="Z39" s="41" vm="3100">
        <f t="shared" si="5"/>
        <v>0</v>
      </c>
      <c r="AA39" s="41" vm="2524">
        <f t="shared" si="5"/>
        <v>0</v>
      </c>
      <c r="AB39" s="41" vm="2958">
        <f t="shared" si="5"/>
        <v>34300</v>
      </c>
      <c r="AC39" s="41" vm="2866">
        <f t="shared" si="5"/>
        <v>36100</v>
      </c>
      <c r="AD39" s="41" vm="2993">
        <f t="shared" si="5"/>
        <v>101180</v>
      </c>
    </row>
    <row r="40" spans="2:30" x14ac:dyDescent="0.25">
      <c r="B40" s="8" t="str" vm="70">
        <f>CUBEMEMBER("ThisWorkbookDataModel",{"[fActualAndBudget].[StavkaKategorija].&amp;[2.37. Останати оперативни расходи]","[fActualAndBudget].[StavkaImeMK].&amp;[Казни, пенали и надомест на штети затезни камати]"})</f>
        <v>Казни, пенали и надомест на штети затезни камати</v>
      </c>
      <c r="C40" s="41" t="str" vm="988">
        <f t="shared" si="9"/>
        <v/>
      </c>
      <c r="D40" s="41" t="str" vm="1400">
        <f t="shared" si="9"/>
        <v/>
      </c>
      <c r="E40" s="41" t="str" vm="1494">
        <f t="shared" si="9"/>
        <v/>
      </c>
      <c r="F40" s="41" t="str" vm="1122">
        <f t="shared" si="9"/>
        <v/>
      </c>
      <c r="G40" s="41" t="str" vm="1241">
        <f t="shared" si="9"/>
        <v/>
      </c>
      <c r="H40" s="41" t="str" vm="1062">
        <f t="shared" si="9"/>
        <v/>
      </c>
      <c r="I40" s="41" t="str" vm="1491">
        <f t="shared" si="9"/>
        <v/>
      </c>
      <c r="J40" s="41" t="str" vm="1493">
        <f t="shared" si="9"/>
        <v/>
      </c>
      <c r="K40" s="41" t="str" vm="1492">
        <f t="shared" si="9"/>
        <v/>
      </c>
      <c r="L40" s="41" t="str" vm="1206">
        <f t="shared" si="9"/>
        <v/>
      </c>
      <c r="M40" s="41" t="str" vm="1110">
        <f t="shared" si="9"/>
        <v/>
      </c>
      <c r="N40" s="41" t="str" vm="1227">
        <f t="shared" si="9"/>
        <v/>
      </c>
      <c r="O40" s="41" t="str" vm="1097">
        <f t="shared" si="9"/>
        <v/>
      </c>
      <c r="Q40" t="str" vm="70">
        <f>CUBEMEMBER("ThisWorkbookDataModel",{"[fActualAndBudget].[StavkaKategorija].&amp;[2.37. Останати оперативни расходи]","[fActualAndBudget].[StavkaImeMK].&amp;[Казни, пенали и надомест на штети затезни камати]"})</f>
        <v>Казни, пенали и надомест на штети затезни камати</v>
      </c>
      <c r="R40" s="41" vm="2753">
        <f t="shared" ref="R40:AD49" si="10">CUBEVALUE("ThisWorkbookDataModel",$R$2,$R$3,$B$5,$B40,R$6,$S$5)</f>
        <v>0</v>
      </c>
      <c r="S40" s="41" vm="2798">
        <f t="shared" si="10"/>
        <v>322</v>
      </c>
      <c r="T40" s="41" vm="2625">
        <f t="shared" si="10"/>
        <v>0</v>
      </c>
      <c r="U40" s="41" vm="3030">
        <f t="shared" si="10"/>
        <v>0</v>
      </c>
      <c r="V40" s="41" vm="2739">
        <f t="shared" si="10"/>
        <v>0</v>
      </c>
      <c r="W40" s="41" vm="2607">
        <f t="shared" si="10"/>
        <v>0</v>
      </c>
      <c r="X40" s="41" vm="2957">
        <f t="shared" si="10"/>
        <v>0</v>
      </c>
      <c r="Y40" s="41" vm="2734">
        <f t="shared" si="10"/>
        <v>0</v>
      </c>
      <c r="Z40" s="41" vm="2542">
        <f t="shared" si="10"/>
        <v>59</v>
      </c>
      <c r="AA40" s="41" vm="2880">
        <f t="shared" si="10"/>
        <v>0</v>
      </c>
      <c r="AB40" s="41" t="str" vm="3043">
        <f t="shared" si="10"/>
        <v/>
      </c>
      <c r="AC40" s="41" t="str" vm="2595">
        <f t="shared" si="10"/>
        <v/>
      </c>
      <c r="AD40" s="41" vm="2674">
        <f t="shared" si="10"/>
        <v>381</v>
      </c>
    </row>
    <row r="41" spans="2:30" x14ac:dyDescent="0.25">
      <c r="B41" s="8" t="str" vm="68">
        <f>CUBEMEMBER("ThisWorkbookDataModel",{"[fActualAndBudget].[StavkaKategorija].&amp;[2.37. Останати оперативни расходи]","[fActualAndBudget].[StavkaImeMK].&amp;[Лиценци за разни софтвери (едногодишни, обновливи)]"})</f>
        <v>Лиценци за разни софтвери (едногодишни, обновливи)</v>
      </c>
      <c r="C41" s="41" t="str" vm="1190">
        <f t="shared" si="9"/>
        <v/>
      </c>
      <c r="D41" s="41" t="str" vm="1410">
        <f t="shared" si="9"/>
        <v/>
      </c>
      <c r="E41" s="41" t="str" vm="986">
        <f t="shared" si="9"/>
        <v/>
      </c>
      <c r="F41" s="41" t="str" vm="1098">
        <f t="shared" si="9"/>
        <v/>
      </c>
      <c r="G41" s="41" t="str" vm="1383">
        <f t="shared" si="9"/>
        <v/>
      </c>
      <c r="H41" s="41" t="str" vm="1011">
        <f t="shared" si="9"/>
        <v/>
      </c>
      <c r="I41" s="41" vm="1184">
        <f t="shared" si="9"/>
        <v>1100000</v>
      </c>
      <c r="J41" s="41" t="str" vm="1294">
        <f t="shared" si="9"/>
        <v/>
      </c>
      <c r="K41" s="41" t="str" vm="1150">
        <f t="shared" si="9"/>
        <v/>
      </c>
      <c r="L41" s="41" t="str" vm="1180">
        <f t="shared" si="9"/>
        <v/>
      </c>
      <c r="M41" s="41" t="str" vm="1192">
        <f t="shared" si="9"/>
        <v/>
      </c>
      <c r="N41" s="41" t="str" vm="1482">
        <f t="shared" si="9"/>
        <v/>
      </c>
      <c r="O41" s="41" vm="1106">
        <f t="shared" si="9"/>
        <v>1100000</v>
      </c>
      <c r="Q41" t="str" vm="68">
        <f>CUBEMEMBER("ThisWorkbookDataModel",{"[fActualAndBudget].[StavkaKategorija].&amp;[2.37. Останати оперативни расходи]","[fActualAndBudget].[StavkaImeMK].&amp;[Лиценци за разни софтвери (едногодишни, обновливи)]"})</f>
        <v>Лиценци за разни софтвери (едногодишни, обновливи)</v>
      </c>
      <c r="R41" s="41" vm="3031">
        <f t="shared" si="10"/>
        <v>0</v>
      </c>
      <c r="S41" s="41" vm="3104">
        <f t="shared" si="10"/>
        <v>0</v>
      </c>
      <c r="T41" s="41" vm="2932">
        <f t="shared" si="10"/>
        <v>0</v>
      </c>
      <c r="U41" s="41" vm="2763">
        <f t="shared" si="10"/>
        <v>0</v>
      </c>
      <c r="V41" s="41" vm="2579">
        <f t="shared" si="10"/>
        <v>579515</v>
      </c>
      <c r="W41" s="41" vm="2931">
        <f t="shared" si="10"/>
        <v>0</v>
      </c>
      <c r="X41" s="41" vm="3034">
        <f t="shared" si="10"/>
        <v>0</v>
      </c>
      <c r="Y41" s="41" vm="2845">
        <f t="shared" si="10"/>
        <v>365458</v>
      </c>
      <c r="Z41" s="41" vm="2556">
        <f t="shared" si="10"/>
        <v>0</v>
      </c>
      <c r="AA41" s="41" vm="2605">
        <f t="shared" si="10"/>
        <v>0</v>
      </c>
      <c r="AB41" s="41" t="str" vm="3101">
        <f t="shared" si="10"/>
        <v/>
      </c>
      <c r="AC41" s="41" t="str" vm="2718">
        <f t="shared" si="10"/>
        <v/>
      </c>
      <c r="AD41" s="41" vm="2754">
        <f t="shared" si="10"/>
        <v>944973</v>
      </c>
    </row>
    <row r="42" spans="2:30" x14ac:dyDescent="0.25">
      <c r="B42" s="8" t="str" vm="43">
        <f>CUBEMEMBER("ThisWorkbookDataModel",{"[fActualAndBudget].[StavkaKategorija].&amp;[2.37. Останати оперативни расходи]","[fActualAndBudget].[StavkaImeMK].&amp;[Надворешни услуги]"})</f>
        <v>Надворешни услуги</v>
      </c>
      <c r="C42" s="41" vm="967">
        <f t="shared" si="9"/>
        <v>83500</v>
      </c>
      <c r="D42" s="41" vm="1432">
        <f t="shared" si="9"/>
        <v>231500</v>
      </c>
      <c r="E42" s="41" vm="886">
        <f t="shared" si="9"/>
        <v>83500</v>
      </c>
      <c r="F42" s="41" vm="909">
        <f t="shared" si="9"/>
        <v>83500</v>
      </c>
      <c r="G42" s="41" vm="907">
        <f t="shared" si="9"/>
        <v>83500</v>
      </c>
      <c r="H42" s="41" vm="1017">
        <f t="shared" si="9"/>
        <v>83500</v>
      </c>
      <c r="I42" s="41" vm="1411">
        <f t="shared" si="9"/>
        <v>83500</v>
      </c>
      <c r="J42" s="41" vm="1429">
        <f t="shared" si="9"/>
        <v>83500</v>
      </c>
      <c r="K42" s="41" vm="1063">
        <f t="shared" si="9"/>
        <v>83500</v>
      </c>
      <c r="L42" s="41" vm="1454">
        <f t="shared" si="9"/>
        <v>83500</v>
      </c>
      <c r="M42" s="41" vm="1357">
        <f t="shared" si="9"/>
        <v>83500</v>
      </c>
      <c r="N42" s="41" vm="1384">
        <f t="shared" si="9"/>
        <v>83500</v>
      </c>
      <c r="O42" s="41" vm="989">
        <f t="shared" si="9"/>
        <v>1150000</v>
      </c>
      <c r="Q42" t="str" vm="43">
        <f>CUBEMEMBER("ThisWorkbookDataModel",{"[fActualAndBudget].[StavkaKategorija].&amp;[2.37. Останати оперативни расходи]","[fActualAndBudget].[StavkaImeMK].&amp;[Надворешни услуги]"})</f>
        <v>Надворешни услуги</v>
      </c>
      <c r="R42" s="41" vm="2706">
        <f t="shared" si="10"/>
        <v>0</v>
      </c>
      <c r="S42" s="41" vm="2992">
        <f t="shared" si="10"/>
        <v>57276</v>
      </c>
      <c r="T42" s="41" vm="2909">
        <f t="shared" si="10"/>
        <v>131726</v>
      </c>
      <c r="U42" s="41" vm="2746">
        <f t="shared" si="10"/>
        <v>48477</v>
      </c>
      <c r="V42" s="41" vm="2791">
        <f t="shared" si="10"/>
        <v>41148</v>
      </c>
      <c r="W42" s="41" vm="2816">
        <f t="shared" si="10"/>
        <v>60467</v>
      </c>
      <c r="X42" s="41" vm="2636">
        <f t="shared" si="10"/>
        <v>68085</v>
      </c>
      <c r="Y42" s="41" vm="2749">
        <f t="shared" si="10"/>
        <v>49694</v>
      </c>
      <c r="Z42" s="41" vm="2496">
        <f t="shared" si="10"/>
        <v>54522</v>
      </c>
      <c r="AA42" s="41" vm="2536">
        <f t="shared" si="10"/>
        <v>76162</v>
      </c>
      <c r="AB42" s="41" vm="2643">
        <f t="shared" si="10"/>
        <v>78091</v>
      </c>
      <c r="AC42" s="41" vm="2790">
        <f t="shared" si="10"/>
        <v>115794</v>
      </c>
      <c r="AD42" s="41" vm="2686">
        <f t="shared" si="10"/>
        <v>781442</v>
      </c>
    </row>
    <row r="43" spans="2:30" x14ac:dyDescent="0.25">
      <c r="B43" s="8" t="str" vm="40">
        <f>CUBEMEMBER("ThisWorkbookDataModel",{"[fActualAndBudget].[StavkaKategorija].&amp;[2.37. Останати оперативни расходи]","[fActualAndBudget].[StavkaImeMK].&amp;[Наемнини и лизинг]"})</f>
        <v>Наемнини и лизинг</v>
      </c>
      <c r="C43" s="41" vm="1395">
        <f t="shared" si="9"/>
        <v>18000</v>
      </c>
      <c r="D43" s="41" vm="1332">
        <f t="shared" si="9"/>
        <v>18000</v>
      </c>
      <c r="E43" s="41" vm="1199">
        <f t="shared" si="9"/>
        <v>18000</v>
      </c>
      <c r="F43" s="41" vm="982">
        <f t="shared" si="9"/>
        <v>18000</v>
      </c>
      <c r="G43" s="41" vm="1080">
        <f t="shared" si="9"/>
        <v>48000</v>
      </c>
      <c r="H43" s="41" vm="1177">
        <f t="shared" si="9"/>
        <v>18000</v>
      </c>
      <c r="I43" s="41" vm="1420">
        <f t="shared" si="9"/>
        <v>18000</v>
      </c>
      <c r="J43" s="41" vm="917">
        <f t="shared" si="9"/>
        <v>18000</v>
      </c>
      <c r="K43" s="41" vm="1461">
        <f t="shared" si="9"/>
        <v>18000</v>
      </c>
      <c r="L43" s="41" vm="1218">
        <f t="shared" si="9"/>
        <v>18000</v>
      </c>
      <c r="M43" s="41" vm="1388">
        <f t="shared" si="9"/>
        <v>18000</v>
      </c>
      <c r="N43" s="41" vm="1264">
        <f t="shared" si="9"/>
        <v>18000</v>
      </c>
      <c r="O43" s="41" vm="1214">
        <f t="shared" si="9"/>
        <v>246000</v>
      </c>
      <c r="Q43" t="str" vm="40">
        <f>CUBEMEMBER("ThisWorkbookDataModel",{"[fActualAndBudget].[StavkaKategorija].&amp;[2.37. Останати оперативни расходи]","[fActualAndBudget].[StavkaImeMK].&amp;[Наемнини и лизинг]"})</f>
        <v>Наемнини и лизинг</v>
      </c>
      <c r="R43" s="41" vm="3036">
        <f t="shared" si="10"/>
        <v>0</v>
      </c>
      <c r="S43" s="41" vm="2862">
        <f t="shared" si="10"/>
        <v>0</v>
      </c>
      <c r="T43" s="41" vm="3085">
        <f t="shared" si="10"/>
        <v>0</v>
      </c>
      <c r="U43" s="41" vm="2695">
        <f t="shared" si="10"/>
        <v>0</v>
      </c>
      <c r="V43" s="41" vm="2666">
        <f t="shared" si="10"/>
        <v>0</v>
      </c>
      <c r="W43" s="41" vm="3041">
        <f t="shared" si="10"/>
        <v>0</v>
      </c>
      <c r="X43" s="41" vm="2792">
        <f t="shared" si="10"/>
        <v>0</v>
      </c>
      <c r="Y43" s="41" vm="2950">
        <f t="shared" si="10"/>
        <v>0</v>
      </c>
      <c r="Z43" s="41" vm="3091">
        <f t="shared" si="10"/>
        <v>0</v>
      </c>
      <c r="AA43" s="41" vm="2620">
        <f t="shared" si="10"/>
        <v>0</v>
      </c>
      <c r="AB43" s="41" vm="2873">
        <f t="shared" si="10"/>
        <v>0</v>
      </c>
      <c r="AC43" s="41" vm="2574">
        <f t="shared" si="10"/>
        <v>0</v>
      </c>
      <c r="AD43" s="41" vm="2916">
        <f t="shared" si="10"/>
        <v>0</v>
      </c>
    </row>
    <row r="44" spans="2:30" x14ac:dyDescent="0.25">
      <c r="B44" s="8" t="str" vm="36">
        <f>CUBEMEMBER("ThisWorkbookDataModel",{"[fActualAndBudget].[StavkaKategorija].&amp;[2.37. Останати оперативни расходи]","[fActualAndBudget].[StavkaImeMK].&amp;[Останати нематеријални трошоци]"})</f>
        <v>Останати нематеријални трошоци</v>
      </c>
      <c r="C44" s="41" vm="1101">
        <f t="shared" si="9"/>
        <v>234390</v>
      </c>
      <c r="D44" s="41" vm="1213">
        <f t="shared" si="9"/>
        <v>234390</v>
      </c>
      <c r="E44" s="41" vm="1120">
        <f t="shared" si="9"/>
        <v>234390</v>
      </c>
      <c r="F44" s="41" vm="1051">
        <f t="shared" si="9"/>
        <v>334390</v>
      </c>
      <c r="G44" s="41" vm="1248">
        <f t="shared" si="9"/>
        <v>234390</v>
      </c>
      <c r="H44" s="41" vm="1277">
        <f t="shared" si="9"/>
        <v>234390</v>
      </c>
      <c r="I44" s="41" vm="1193">
        <f t="shared" si="9"/>
        <v>234390</v>
      </c>
      <c r="J44" s="41" vm="1444">
        <f t="shared" si="9"/>
        <v>234390</v>
      </c>
      <c r="K44" s="41" vm="1462">
        <f t="shared" si="9"/>
        <v>234390</v>
      </c>
      <c r="L44" s="41" vm="972">
        <f t="shared" si="9"/>
        <v>234390</v>
      </c>
      <c r="M44" s="41" vm="1025">
        <f t="shared" si="9"/>
        <v>234390</v>
      </c>
      <c r="N44" s="41" vm="1232">
        <f t="shared" si="9"/>
        <v>234390</v>
      </c>
      <c r="O44" s="41" vm="1408">
        <f t="shared" si="9"/>
        <v>2912680</v>
      </c>
      <c r="Q44" t="str" vm="36">
        <f>CUBEMEMBER("ThisWorkbookDataModel",{"[fActualAndBudget].[StavkaKategorija].&amp;[2.37. Останати оперативни расходи]","[fActualAndBudget].[StavkaImeMK].&amp;[Останати нематеријални трошоци]"})</f>
        <v>Останати нематеријални трошоци</v>
      </c>
      <c r="R44" s="41" vm="2590">
        <f t="shared" si="10"/>
        <v>10333</v>
      </c>
      <c r="S44" s="41" vm="2580">
        <f t="shared" si="10"/>
        <v>111859</v>
      </c>
      <c r="T44" s="41" vm="2838">
        <f t="shared" si="10"/>
        <v>289841</v>
      </c>
      <c r="U44" s="41" vm="2528">
        <f t="shared" si="10"/>
        <v>117109</v>
      </c>
      <c r="V44" s="41" vm="2509">
        <f t="shared" si="10"/>
        <v>125859</v>
      </c>
      <c r="W44" s="41" vm="2843">
        <f t="shared" si="10"/>
        <v>184578</v>
      </c>
      <c r="X44" s="41" vm="2794">
        <f t="shared" si="10"/>
        <v>250546</v>
      </c>
      <c r="Y44" s="41" vm="2670">
        <f t="shared" si="10"/>
        <v>119193</v>
      </c>
      <c r="Z44" s="41" vm="2577">
        <f t="shared" si="10"/>
        <v>135507</v>
      </c>
      <c r="AA44" s="41" vm="2570">
        <f t="shared" si="10"/>
        <v>111109</v>
      </c>
      <c r="AB44" s="41" vm="2676">
        <f t="shared" si="10"/>
        <v>276199</v>
      </c>
      <c r="AC44" s="41" vm="2869">
        <f t="shared" si="10"/>
        <v>499627</v>
      </c>
      <c r="AD44" s="41" vm="2917">
        <f t="shared" si="10"/>
        <v>2231760</v>
      </c>
    </row>
    <row r="45" spans="2:30" x14ac:dyDescent="0.25">
      <c r="B45" s="8" t="str" vm="32">
        <f>CUBEMEMBER("ThisWorkbookDataModel",{"[fActualAndBudget].[StavkaKategorija].&amp;[2.37. Останати оперативни расходи]","[fActualAndBudget].[StavkaImeMK].&amp;[Останати услуги]"})</f>
        <v>Останати услуги</v>
      </c>
      <c r="C45" s="41" vm="1008">
        <f t="shared" si="9"/>
        <v>1722989</v>
      </c>
      <c r="D45" s="41" vm="1044">
        <f t="shared" si="9"/>
        <v>1942989</v>
      </c>
      <c r="E45" s="41" vm="1153">
        <f t="shared" si="9"/>
        <v>1722989</v>
      </c>
      <c r="F45" s="41" vm="924">
        <f t="shared" si="9"/>
        <v>1722989</v>
      </c>
      <c r="G45" s="41" vm="1165">
        <f t="shared" si="9"/>
        <v>1722989</v>
      </c>
      <c r="H45" s="41" vm="1370">
        <f t="shared" si="9"/>
        <v>1722989</v>
      </c>
      <c r="I45" s="41" vm="999">
        <f t="shared" si="9"/>
        <v>1403327</v>
      </c>
      <c r="J45" s="41" vm="1204">
        <f t="shared" si="9"/>
        <v>1403327</v>
      </c>
      <c r="K45" s="41" vm="1188">
        <f t="shared" si="9"/>
        <v>1653327</v>
      </c>
      <c r="L45" s="41" vm="1287">
        <f t="shared" si="9"/>
        <v>1403327</v>
      </c>
      <c r="M45" s="41" vm="1129">
        <f t="shared" si="9"/>
        <v>1403327</v>
      </c>
      <c r="N45" s="41" vm="1341">
        <f t="shared" si="9"/>
        <v>1403327</v>
      </c>
      <c r="O45" s="41" vm="1046">
        <f t="shared" si="9"/>
        <v>19227896</v>
      </c>
      <c r="Q45" t="str" vm="32">
        <f>CUBEMEMBER("ThisWorkbookDataModel",{"[fActualAndBudget].[StavkaKategorija].&amp;[2.37. Останати оперативни расходи]","[fActualAndBudget].[StavkaImeMK].&amp;[Останати услуги]"})</f>
        <v>Останати услуги</v>
      </c>
      <c r="R45" s="41" vm="2544">
        <f t="shared" si="10"/>
        <v>87133</v>
      </c>
      <c r="S45" s="41" vm="2984">
        <f t="shared" si="10"/>
        <v>687515</v>
      </c>
      <c r="T45" s="41" vm="2948">
        <f t="shared" si="10"/>
        <v>486772</v>
      </c>
      <c r="U45" s="41" vm="2689">
        <f t="shared" si="10"/>
        <v>491082</v>
      </c>
      <c r="V45" s="41" vm="3010">
        <f t="shared" si="10"/>
        <v>695117</v>
      </c>
      <c r="W45" s="41" vm="3056">
        <f t="shared" si="10"/>
        <v>778242</v>
      </c>
      <c r="X45" s="41" vm="2793">
        <f t="shared" si="10"/>
        <v>910845</v>
      </c>
      <c r="Y45" s="41" vm="2890">
        <f t="shared" si="10"/>
        <v>493966</v>
      </c>
      <c r="Z45" s="41" vm="2667">
        <f t="shared" si="10"/>
        <v>817710</v>
      </c>
      <c r="AA45" s="41" vm="2557">
        <f t="shared" si="10"/>
        <v>841457</v>
      </c>
      <c r="AB45" s="41" vm="3006">
        <f t="shared" si="10"/>
        <v>679700</v>
      </c>
      <c r="AC45" s="41" vm="2920">
        <f t="shared" si="10"/>
        <v>798967</v>
      </c>
      <c r="AD45" s="41" vm="3076">
        <f t="shared" si="10"/>
        <v>7768506</v>
      </c>
    </row>
    <row r="46" spans="2:30" x14ac:dyDescent="0.25">
      <c r="B46" s="8" t="str" vm="30">
        <f>CUBEMEMBER("ThisWorkbookDataModel",{"[fActualAndBudget].[StavkaKategorija].&amp;[2.37. Останати оперативни расходи]","[fActualAndBudget].[StavkaImeMK].&amp;[Премии за осигурување]"})</f>
        <v>Премии за осигурување</v>
      </c>
      <c r="C46" s="41" t="str" vm="973">
        <f t="shared" si="9"/>
        <v/>
      </c>
      <c r="D46" s="41" t="str" vm="1089">
        <f t="shared" si="9"/>
        <v/>
      </c>
      <c r="E46" s="41" t="str" vm="1015">
        <f t="shared" si="9"/>
        <v/>
      </c>
      <c r="F46" s="41" t="str" vm="1360">
        <f t="shared" si="9"/>
        <v/>
      </c>
      <c r="G46" s="41" vm="936">
        <f t="shared" si="9"/>
        <v>1151243</v>
      </c>
      <c r="H46" s="41" t="str" vm="1170">
        <f t="shared" si="9"/>
        <v/>
      </c>
      <c r="I46" s="41" t="str" vm="931">
        <f t="shared" si="9"/>
        <v/>
      </c>
      <c r="J46" s="41" t="str" vm="1265">
        <f t="shared" si="9"/>
        <v/>
      </c>
      <c r="K46" s="41" t="str" vm="1464">
        <f t="shared" ref="C46:O49" si="11">CUBEVALUE("ThisWorkbookDataModel",$C$2,$C$3,$B$5,$B46,K$6,$D$5)</f>
        <v/>
      </c>
      <c r="L46" s="41" t="str" vm="1002">
        <f t="shared" si="11"/>
        <v/>
      </c>
      <c r="M46" s="41" t="str" vm="1042">
        <f t="shared" si="11"/>
        <v/>
      </c>
      <c r="N46" s="41" t="str" vm="1483">
        <f t="shared" si="11"/>
        <v/>
      </c>
      <c r="O46" s="41" vm="1343">
        <f t="shared" si="11"/>
        <v>1151243</v>
      </c>
      <c r="Q46" t="str" vm="30">
        <f>CUBEMEMBER("ThisWorkbookDataModel",{"[fActualAndBudget].[StavkaKategorija].&amp;[2.37. Останати оперативни расходи]","[fActualAndBudget].[StavkaImeMK].&amp;[Премии за осигурување]"})</f>
        <v>Премии за осигурување</v>
      </c>
      <c r="R46" s="41" vm="2842">
        <f t="shared" si="10"/>
        <v>0</v>
      </c>
      <c r="S46" s="41" vm="2876">
        <f t="shared" si="10"/>
        <v>0</v>
      </c>
      <c r="T46" s="41" vm="2548">
        <f t="shared" si="10"/>
        <v>0</v>
      </c>
      <c r="U46" s="41" vm="2645">
        <f t="shared" si="10"/>
        <v>0</v>
      </c>
      <c r="V46" s="41" vm="2662">
        <f t="shared" si="10"/>
        <v>0</v>
      </c>
      <c r="W46" s="41" vm="2852">
        <f t="shared" si="10"/>
        <v>54416</v>
      </c>
      <c r="X46" s="41" vm="2720">
        <f t="shared" si="10"/>
        <v>25228</v>
      </c>
      <c r="Y46" s="41" vm="2578">
        <f t="shared" si="10"/>
        <v>0</v>
      </c>
      <c r="Z46" s="41" vm="2533">
        <f t="shared" si="10"/>
        <v>26943</v>
      </c>
      <c r="AA46" s="41" vm="2698">
        <f t="shared" si="10"/>
        <v>32674</v>
      </c>
      <c r="AB46" s="41" vm="3075">
        <f t="shared" si="10"/>
        <v>4244</v>
      </c>
      <c r="AC46" s="41" vm="2997">
        <f t="shared" si="10"/>
        <v>0</v>
      </c>
      <c r="AD46" s="41" vm="2707">
        <f t="shared" si="10"/>
        <v>143505</v>
      </c>
    </row>
    <row r="47" spans="2:30" x14ac:dyDescent="0.25">
      <c r="B47" s="8" t="str" vm="27">
        <f>CUBEMEMBER("ThisWorkbookDataModel",{"[fActualAndBudget].[StavkaKategorija].&amp;[2.37. Останати оперативни расходи]","[fActualAndBudget].[StavkaImeMK].&amp;[Транспортни услуги]"})</f>
        <v>Транспортни услуги</v>
      </c>
      <c r="C47" s="41" vm="1058">
        <f t="shared" si="11"/>
        <v>824350</v>
      </c>
      <c r="D47" s="41" vm="1380">
        <f t="shared" si="11"/>
        <v>824350</v>
      </c>
      <c r="E47" s="41" vm="1312">
        <f t="shared" si="11"/>
        <v>924350</v>
      </c>
      <c r="F47" s="41" vm="1314">
        <f t="shared" si="11"/>
        <v>824350</v>
      </c>
      <c r="G47" s="41" vm="1152">
        <f t="shared" si="11"/>
        <v>824350</v>
      </c>
      <c r="H47" s="41" vm="1414">
        <f t="shared" si="11"/>
        <v>824350</v>
      </c>
      <c r="I47" s="41" vm="910">
        <f t="shared" si="11"/>
        <v>824350</v>
      </c>
      <c r="J47" s="41" vm="1291">
        <f t="shared" si="11"/>
        <v>824350</v>
      </c>
      <c r="K47" s="41" vm="1111">
        <f t="shared" si="11"/>
        <v>824350</v>
      </c>
      <c r="L47" s="41" vm="1222">
        <f t="shared" si="11"/>
        <v>824350</v>
      </c>
      <c r="M47" s="41" vm="995">
        <f t="shared" si="11"/>
        <v>824350</v>
      </c>
      <c r="N47" s="41" vm="1065">
        <f t="shared" si="11"/>
        <v>824350</v>
      </c>
      <c r="O47" s="41" vm="968">
        <f t="shared" si="11"/>
        <v>9992200</v>
      </c>
      <c r="Q47" t="str" vm="27">
        <f>CUBEMEMBER("ThisWorkbookDataModel",{"[fActualAndBudget].[StavkaKategorija].&amp;[2.37. Останати оперативни расходи]","[fActualAndBudget].[StavkaImeMK].&amp;[Транспортни услуги]"})</f>
        <v>Транспортни услуги</v>
      </c>
      <c r="R47" s="41" vm="2970">
        <f t="shared" si="10"/>
        <v>249889</v>
      </c>
      <c r="S47" s="41" vm="2786">
        <f t="shared" si="10"/>
        <v>1185740</v>
      </c>
      <c r="T47" s="41" vm="3088">
        <f t="shared" si="10"/>
        <v>601995</v>
      </c>
      <c r="U47" s="41" vm="2770">
        <f t="shared" si="10"/>
        <v>543651</v>
      </c>
      <c r="V47" s="41" vm="2835">
        <f t="shared" si="10"/>
        <v>573666</v>
      </c>
      <c r="W47" s="41" vm="2560">
        <f t="shared" si="10"/>
        <v>749276</v>
      </c>
      <c r="X47" s="41" vm="2712">
        <f t="shared" si="10"/>
        <v>622633</v>
      </c>
      <c r="Y47" s="41" vm="2840">
        <f t="shared" si="10"/>
        <v>554497</v>
      </c>
      <c r="Z47" s="41" vm="2669">
        <f t="shared" si="10"/>
        <v>437904</v>
      </c>
      <c r="AA47" s="41" vm="3060">
        <f t="shared" si="10"/>
        <v>935386</v>
      </c>
      <c r="AB47" s="41" vm="2711">
        <f t="shared" si="10"/>
        <v>343250</v>
      </c>
      <c r="AC47" s="41" vm="2899">
        <f t="shared" si="10"/>
        <v>3364649</v>
      </c>
      <c r="AD47" s="41" vm="2809">
        <f t="shared" si="10"/>
        <v>10162536</v>
      </c>
    </row>
    <row r="48" spans="2:30" x14ac:dyDescent="0.25">
      <c r="B48" s="8" t="str" vm="55">
        <f>CUBEMEMBER("ThisWorkbookDataModel",{"[fActualAndBudget].[StavkaKategorija].&amp;[2.37. Останати оперативни расходи]","[fActualAndBudget].[StavkaImeMK].&amp;[Трошоци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C48" s="41" t="str" vm="952">
        <f t="shared" si="11"/>
        <v/>
      </c>
      <c r="D48" s="41" t="str" vm="1282">
        <f t="shared" si="11"/>
        <v/>
      </c>
      <c r="E48" s="41" vm="1022">
        <f t="shared" si="11"/>
        <v>489500</v>
      </c>
      <c r="F48" s="41" t="str" vm="1362">
        <f t="shared" si="11"/>
        <v/>
      </c>
      <c r="G48" s="41" vm="1056">
        <f t="shared" si="11"/>
        <v>88500</v>
      </c>
      <c r="H48" s="41" t="str" vm="1186">
        <f t="shared" si="11"/>
        <v/>
      </c>
      <c r="I48" s="41" t="str" vm="1243">
        <f t="shared" si="11"/>
        <v/>
      </c>
      <c r="J48" s="41" t="str" vm="1398">
        <f t="shared" si="11"/>
        <v/>
      </c>
      <c r="K48" s="41" t="str" vm="1439">
        <f t="shared" si="11"/>
        <v/>
      </c>
      <c r="L48" s="41" t="str" vm="1024">
        <f t="shared" si="11"/>
        <v/>
      </c>
      <c r="M48" s="41" t="str" vm="1123">
        <f t="shared" si="11"/>
        <v/>
      </c>
      <c r="N48" s="41" vm="1135">
        <f t="shared" si="11"/>
        <v>0</v>
      </c>
      <c r="O48" s="41" vm="998">
        <f t="shared" si="11"/>
        <v>578000</v>
      </c>
      <c r="Q48" t="str" vm="55">
        <f>CUBEMEMBER("ThisWorkbookDataModel",{"[fActualAndBudget].[StavkaKategorija].&amp;[2.37. Останати оперативни расходи]","[fActualAndBudget].[StavkaImeMK].&amp;[Трошоци за промоција,пропаганда, реклама, репрезентација и спонзорство]"})</f>
        <v>Трошоци за промоција,пропаганда, реклама, репрезентација и спонзорство</v>
      </c>
      <c r="R48" s="41" vm="2626">
        <f t="shared" si="10"/>
        <v>0</v>
      </c>
      <c r="S48" s="41" vm="2588">
        <f t="shared" si="10"/>
        <v>0</v>
      </c>
      <c r="T48" s="41" vm="3107">
        <f t="shared" si="10"/>
        <v>0</v>
      </c>
      <c r="U48" s="41" vm="3066">
        <f t="shared" si="10"/>
        <v>0</v>
      </c>
      <c r="V48" s="41" vm="2497">
        <f t="shared" si="10"/>
        <v>1540</v>
      </c>
      <c r="W48" s="41" vm="3000">
        <f t="shared" si="10"/>
        <v>1227</v>
      </c>
      <c r="X48" s="41" vm="2940">
        <f t="shared" si="10"/>
        <v>0</v>
      </c>
      <c r="Y48" s="41" vm="2855">
        <f t="shared" si="10"/>
        <v>0</v>
      </c>
      <c r="Z48" s="41" vm="2819">
        <f t="shared" si="10"/>
        <v>0</v>
      </c>
      <c r="AA48" s="41" vm="2621">
        <f t="shared" si="10"/>
        <v>0</v>
      </c>
      <c r="AB48" s="41" vm="3082">
        <f t="shared" si="10"/>
        <v>0</v>
      </c>
      <c r="AC48" s="41" vm="2683">
        <f t="shared" si="10"/>
        <v>484291</v>
      </c>
      <c r="AD48" s="41" vm="2663">
        <f t="shared" si="10"/>
        <v>487058</v>
      </c>
    </row>
    <row r="49" spans="2:31" x14ac:dyDescent="0.25">
      <c r="B49" s="8" t="str" vm="51">
        <f>CUBEMEMBER("ThisWorkbookDataModel",{"[fActualAndBudget].[StavkaKategorija].&amp;[2.37. Останати оперативни расходи]","[fActualAndBudget].[StavkaImeMK].&amp;[Услуги за одржување и заштита]"})</f>
        <v>Услуги за одржување и заштита</v>
      </c>
      <c r="C49" s="41" vm="1203">
        <f t="shared" si="11"/>
        <v>1313122</v>
      </c>
      <c r="D49" s="41" vm="1365">
        <f t="shared" si="11"/>
        <v>1313122</v>
      </c>
      <c r="E49" s="41" vm="1353">
        <f t="shared" si="11"/>
        <v>1313122</v>
      </c>
      <c r="F49" s="41" vm="1162">
        <f t="shared" si="11"/>
        <v>1313122</v>
      </c>
      <c r="G49" s="41" vm="937">
        <f t="shared" si="11"/>
        <v>1313122</v>
      </c>
      <c r="H49" s="41" vm="1422">
        <f t="shared" si="11"/>
        <v>1313122</v>
      </c>
      <c r="I49" s="41" vm="929">
        <f t="shared" si="11"/>
        <v>1313122</v>
      </c>
      <c r="J49" s="41" vm="1148">
        <f t="shared" si="11"/>
        <v>1313122</v>
      </c>
      <c r="K49" s="41" vm="1460">
        <f t="shared" si="11"/>
        <v>1313122</v>
      </c>
      <c r="L49" s="41" vm="1139">
        <f t="shared" si="11"/>
        <v>1313122</v>
      </c>
      <c r="M49" s="41" vm="1377">
        <f t="shared" si="11"/>
        <v>1313122</v>
      </c>
      <c r="N49" s="41" vm="1144">
        <f t="shared" si="11"/>
        <v>1313122</v>
      </c>
      <c r="O49" s="41" vm="903">
        <f t="shared" si="11"/>
        <v>15757464</v>
      </c>
      <c r="Q49" t="str" vm="51">
        <f>CUBEMEMBER("ThisWorkbookDataModel",{"[fActualAndBudget].[StavkaKategorija].&amp;[2.37. Останати оперативни расходи]","[fActualAndBudget].[StavkaImeMK].&amp;[Услуги за одржување и заштита]"})</f>
        <v>Услуги за одржување и заштита</v>
      </c>
      <c r="R49" s="41" vm="2624">
        <f t="shared" si="10"/>
        <v>115651</v>
      </c>
      <c r="S49" s="41" vm="2902">
        <f t="shared" si="10"/>
        <v>40120</v>
      </c>
      <c r="T49" s="41" vm="3020">
        <f t="shared" si="10"/>
        <v>1798231</v>
      </c>
      <c r="U49" s="41" vm="2990">
        <f t="shared" si="10"/>
        <v>678578</v>
      </c>
      <c r="V49" s="41" vm="2545">
        <f t="shared" si="10"/>
        <v>552449</v>
      </c>
      <c r="W49" s="41" vm="2805">
        <f t="shared" si="10"/>
        <v>2321761</v>
      </c>
      <c r="X49" s="41" vm="2731">
        <f t="shared" si="10"/>
        <v>558163</v>
      </c>
      <c r="Y49" s="41" vm="2982">
        <f t="shared" si="10"/>
        <v>391250</v>
      </c>
      <c r="Z49" s="41" vm="2988">
        <f t="shared" si="10"/>
        <v>794436</v>
      </c>
      <c r="AA49" s="41" vm="2986">
        <f t="shared" si="10"/>
        <v>1962104</v>
      </c>
      <c r="AB49" s="41" vm="2761">
        <f t="shared" si="10"/>
        <v>1346434</v>
      </c>
      <c r="AC49" s="41" vm="3040">
        <f t="shared" si="10"/>
        <v>2691052</v>
      </c>
      <c r="AD49" s="41" vm="2802">
        <f t="shared" si="10"/>
        <v>13250229</v>
      </c>
    </row>
    <row r="50" spans="2:31" s="9" customFormat="1" x14ac:dyDescent="0.25">
      <c r="B50" s="24" t="s">
        <v>165</v>
      </c>
      <c r="C50" s="108">
        <f>SUM(C27,C32,C34,C35,C36)</f>
        <v>29888093</v>
      </c>
      <c r="D50" s="108">
        <f t="shared" ref="D50:O50" si="12">SUM(D27,D32,D34,D35,D36)</f>
        <v>30227773</v>
      </c>
      <c r="E50" s="108">
        <f t="shared" si="12"/>
        <v>31231773</v>
      </c>
      <c r="F50" s="108">
        <f t="shared" si="12"/>
        <v>29637979</v>
      </c>
      <c r="G50" s="108">
        <f t="shared" si="12"/>
        <v>31255098</v>
      </c>
      <c r="H50" s="108">
        <f t="shared" si="12"/>
        <v>36174132</v>
      </c>
      <c r="I50" s="108">
        <f t="shared" si="12"/>
        <v>29815696</v>
      </c>
      <c r="J50" s="108">
        <f t="shared" si="12"/>
        <v>28649243</v>
      </c>
      <c r="K50" s="108">
        <f t="shared" si="12"/>
        <v>29155371</v>
      </c>
      <c r="L50" s="108">
        <f t="shared" si="12"/>
        <v>28916855</v>
      </c>
      <c r="M50" s="108">
        <f t="shared" si="12"/>
        <v>30295943</v>
      </c>
      <c r="N50" s="108">
        <f t="shared" si="12"/>
        <v>29590630</v>
      </c>
      <c r="O50" s="108">
        <f t="shared" si="12"/>
        <v>364838586</v>
      </c>
      <c r="Q50" s="9" t="s">
        <v>165</v>
      </c>
      <c r="R50" s="110">
        <f>SUM(R27,R32,R34,R35,R36)</f>
        <v>21887079</v>
      </c>
      <c r="S50" s="110">
        <f t="shared" ref="S50:AD50" si="13">SUM(S27,S32,S34,S35,S36)</f>
        <v>23432768</v>
      </c>
      <c r="T50" s="110">
        <f t="shared" si="13"/>
        <v>26367034</v>
      </c>
      <c r="U50" s="110">
        <f t="shared" si="13"/>
        <v>24157240</v>
      </c>
      <c r="V50" s="110">
        <f t="shared" si="13"/>
        <v>25510176</v>
      </c>
      <c r="W50" s="110">
        <f t="shared" si="13"/>
        <v>26403159</v>
      </c>
      <c r="X50" s="110">
        <f t="shared" si="13"/>
        <v>25025745</v>
      </c>
      <c r="Y50" s="110">
        <f t="shared" si="13"/>
        <v>30194711</v>
      </c>
      <c r="Z50" s="110">
        <f t="shared" si="13"/>
        <v>25597414</v>
      </c>
      <c r="AA50" s="110">
        <f t="shared" si="13"/>
        <v>27318733</v>
      </c>
      <c r="AB50" s="110">
        <f t="shared" si="13"/>
        <v>25995424</v>
      </c>
      <c r="AC50" s="110">
        <f t="shared" si="13"/>
        <v>33170589</v>
      </c>
      <c r="AD50" s="110">
        <f t="shared" si="13"/>
        <v>315060072</v>
      </c>
    </row>
    <row r="51" spans="2:31" s="9" customFormat="1" x14ac:dyDescent="0.25">
      <c r="B51" s="24" t="s">
        <v>167</v>
      </c>
      <c r="C51" s="108">
        <f>SUM(C26,-C50)</f>
        <v>-6013452</v>
      </c>
      <c r="D51" s="108">
        <f t="shared" ref="D51:O51" si="14">SUM(D26,-D50)</f>
        <v>84381376</v>
      </c>
      <c r="E51" s="108">
        <f t="shared" si="14"/>
        <v>32690187</v>
      </c>
      <c r="F51" s="108">
        <f t="shared" si="14"/>
        <v>-10288464</v>
      </c>
      <c r="G51" s="108">
        <f t="shared" si="14"/>
        <v>-13570269</v>
      </c>
      <c r="H51" s="108">
        <f t="shared" si="14"/>
        <v>-18160646</v>
      </c>
      <c r="I51" s="108">
        <f t="shared" si="14"/>
        <v>-10664918</v>
      </c>
      <c r="J51" s="108">
        <f t="shared" si="14"/>
        <v>-13551230</v>
      </c>
      <c r="K51" s="108">
        <f t="shared" si="14"/>
        <v>-9969493</v>
      </c>
      <c r="L51" s="108">
        <f t="shared" si="14"/>
        <v>-12212997</v>
      </c>
      <c r="M51" s="108">
        <f t="shared" si="14"/>
        <v>-9266225</v>
      </c>
      <c r="N51" s="108">
        <f t="shared" si="14"/>
        <v>-11745410</v>
      </c>
      <c r="O51" s="108">
        <f t="shared" si="14"/>
        <v>1628459</v>
      </c>
      <c r="Q51" s="9" t="s">
        <v>167</v>
      </c>
      <c r="R51" s="110">
        <f>SUM(R26,-R50)</f>
        <v>-6796520</v>
      </c>
      <c r="S51" s="110">
        <f t="shared" ref="S51:AD51" si="15">SUM(S26,-S50)</f>
        <v>66637051</v>
      </c>
      <c r="T51" s="110">
        <f t="shared" si="15"/>
        <v>57714130</v>
      </c>
      <c r="U51" s="110">
        <f t="shared" si="15"/>
        <v>5694600</v>
      </c>
      <c r="V51" s="110">
        <f t="shared" si="15"/>
        <v>-8461648</v>
      </c>
      <c r="W51" s="110">
        <f t="shared" si="15"/>
        <v>-4608294</v>
      </c>
      <c r="X51" s="110">
        <f t="shared" si="15"/>
        <v>-7778495</v>
      </c>
      <c r="Y51" s="110">
        <f t="shared" si="15"/>
        <v>-15916998</v>
      </c>
      <c r="Z51" s="110">
        <f t="shared" si="15"/>
        <v>-8784703</v>
      </c>
      <c r="AA51" s="110">
        <f t="shared" si="15"/>
        <v>-11115945</v>
      </c>
      <c r="AB51" s="110">
        <f t="shared" si="15"/>
        <v>-9185943</v>
      </c>
      <c r="AC51" s="110">
        <f t="shared" si="15"/>
        <v>-12081476</v>
      </c>
      <c r="AD51" s="110">
        <f t="shared" si="15"/>
        <v>45315759</v>
      </c>
    </row>
    <row r="52" spans="2:31" s="9" customFormat="1" x14ac:dyDescent="0.25">
      <c r="B52" s="109" t="str" vm="49">
        <f>CUBEMEMBER("ThisWorkbookDataModel","[fActualAndBudget].[StavkaKategorija].&amp;[2.40. Приходи од финансирање]")</f>
        <v>2.40. Приходи од финансирање</v>
      </c>
      <c r="C52" s="110" vm="1351">
        <f t="shared" ref="C52:O54" si="16">CUBEVALUE("ThisWorkbookDataModel",$C$2,$C$3,$B$5,$B52,C$6,$D$5)</f>
        <v>1000</v>
      </c>
      <c r="D52" s="110" vm="1412">
        <f t="shared" si="16"/>
        <v>1000</v>
      </c>
      <c r="E52" s="110" vm="954">
        <f t="shared" si="16"/>
        <v>1000</v>
      </c>
      <c r="F52" s="110" vm="1469">
        <f t="shared" si="16"/>
        <v>1000</v>
      </c>
      <c r="G52" s="110" vm="1262">
        <f t="shared" si="16"/>
        <v>1000</v>
      </c>
      <c r="H52" s="110" vm="922">
        <f t="shared" si="16"/>
        <v>1000</v>
      </c>
      <c r="I52" s="110" vm="1096">
        <f t="shared" si="16"/>
        <v>1000</v>
      </c>
      <c r="J52" s="110" vm="914">
        <f t="shared" si="16"/>
        <v>1000</v>
      </c>
      <c r="K52" s="110" vm="1078">
        <f t="shared" si="16"/>
        <v>1000</v>
      </c>
      <c r="L52" s="110" vm="1468">
        <f t="shared" si="16"/>
        <v>1000</v>
      </c>
      <c r="M52" s="110" vm="1143">
        <f t="shared" si="16"/>
        <v>1000</v>
      </c>
      <c r="N52" s="110" vm="1486">
        <f t="shared" si="16"/>
        <v>1000</v>
      </c>
      <c r="O52" s="110" vm="1181">
        <f t="shared" si="16"/>
        <v>12000</v>
      </c>
      <c r="Q52" s="9" t="str" vm="49">
        <f>CUBEMEMBER("ThisWorkbookDataModel","[fActualAndBudget].[StavkaKategorija].&amp;[2.40. Приходи од финансирање]")</f>
        <v>2.40. Приходи од финансирање</v>
      </c>
      <c r="R52" s="110" vm="2688">
        <f t="shared" ref="R52:AD54" si="17">CUBEVALUE("ThisWorkbookDataModel",$R$2,$R$3,$B$5,$B52,R$6,$S$5)</f>
        <v>1860</v>
      </c>
      <c r="S52" s="110" vm="2939">
        <f t="shared" si="17"/>
        <v>134</v>
      </c>
      <c r="T52" s="110" vm="2781">
        <f t="shared" si="17"/>
        <v>190</v>
      </c>
      <c r="U52" s="110" vm="3072">
        <f t="shared" si="17"/>
        <v>656</v>
      </c>
      <c r="V52" s="110" vm="2994">
        <f t="shared" si="17"/>
        <v>575</v>
      </c>
      <c r="W52" s="110" vm="3002">
        <f t="shared" si="17"/>
        <v>738</v>
      </c>
      <c r="X52" s="110" vm="2522">
        <f t="shared" si="17"/>
        <v>183</v>
      </c>
      <c r="Y52" s="110" vm="2954">
        <f t="shared" si="17"/>
        <v>209</v>
      </c>
      <c r="Z52" s="110" vm="2507">
        <f t="shared" si="17"/>
        <v>1165</v>
      </c>
      <c r="AA52" s="110" vm="2830">
        <f t="shared" si="17"/>
        <v>173</v>
      </c>
      <c r="AB52" s="110" vm="3017">
        <f t="shared" si="17"/>
        <v>195</v>
      </c>
      <c r="AC52" s="110" vm="2717">
        <f t="shared" si="17"/>
        <v>215</v>
      </c>
      <c r="AD52" s="110" vm="2812">
        <f t="shared" si="17"/>
        <v>6293</v>
      </c>
    </row>
    <row r="53" spans="2:31" x14ac:dyDescent="0.25">
      <c r="B53" s="8" t="str" vm="47">
        <f>CUBEMEMBER("ThisWorkbookDataModel",{"[fActualAndBudget].[StavkaKategorija].&amp;[2.40. Приходи од финансирање]","[fActualAndBudget].[StavkaImeMK].&amp;[Приходи од камати]"})</f>
        <v>Приходи од камати</v>
      </c>
      <c r="C53" s="41" vm="1339">
        <f t="shared" si="16"/>
        <v>500</v>
      </c>
      <c r="D53" s="41" vm="1366">
        <f t="shared" si="16"/>
        <v>500</v>
      </c>
      <c r="E53" s="41" vm="1334">
        <f t="shared" si="16"/>
        <v>500</v>
      </c>
      <c r="F53" s="41" vm="1280">
        <f t="shared" si="16"/>
        <v>500</v>
      </c>
      <c r="G53" s="41" vm="1346">
        <f t="shared" si="16"/>
        <v>500</v>
      </c>
      <c r="H53" s="41" vm="1403">
        <f t="shared" si="16"/>
        <v>500</v>
      </c>
      <c r="I53" s="41" vm="1402">
        <f t="shared" si="16"/>
        <v>500</v>
      </c>
      <c r="J53" s="41" vm="1292">
        <f t="shared" si="16"/>
        <v>500</v>
      </c>
      <c r="K53" s="41" vm="1344">
        <f t="shared" si="16"/>
        <v>500</v>
      </c>
      <c r="L53" s="41" vm="1442">
        <f t="shared" si="16"/>
        <v>500</v>
      </c>
      <c r="M53" s="41" vm="1443">
        <f t="shared" si="16"/>
        <v>500</v>
      </c>
      <c r="N53" s="41" vm="1367">
        <f t="shared" si="16"/>
        <v>500</v>
      </c>
      <c r="O53" s="41" vm="1333">
        <f t="shared" si="16"/>
        <v>6000</v>
      </c>
      <c r="Q53" t="str" vm="47">
        <f>CUBEMEMBER("ThisWorkbookDataModel",{"[fActualAndBudget].[StavkaKategorija].&amp;[2.40. Приходи од финансирање]","[fActualAndBudget].[StavkaImeMK].&amp;[Приходи од камати]"})</f>
        <v>Приходи од камати</v>
      </c>
      <c r="R53" s="41" vm="3110">
        <f t="shared" si="17"/>
        <v>189</v>
      </c>
      <c r="S53" s="41" vm="2772">
        <f t="shared" si="17"/>
        <v>125</v>
      </c>
      <c r="T53" s="41" vm="2883">
        <f t="shared" si="17"/>
        <v>171</v>
      </c>
      <c r="U53" s="41" vm="2704">
        <f t="shared" si="17"/>
        <v>173</v>
      </c>
      <c r="V53" s="41" vm="3025">
        <f t="shared" si="17"/>
        <v>184</v>
      </c>
      <c r="W53" s="41" vm="2639">
        <f t="shared" si="17"/>
        <v>183</v>
      </c>
      <c r="X53" s="41" vm="2716">
        <f t="shared" si="17"/>
        <v>114</v>
      </c>
      <c r="Y53" s="41" vm="2659">
        <f t="shared" si="17"/>
        <v>80</v>
      </c>
      <c r="Z53" s="41" vm="2723">
        <f t="shared" si="17"/>
        <v>198</v>
      </c>
      <c r="AA53" s="41" vm="2608">
        <f t="shared" si="17"/>
        <v>173</v>
      </c>
      <c r="AB53" s="41" vm="2752">
        <f t="shared" si="17"/>
        <v>187</v>
      </c>
      <c r="AC53" s="41" vm="2696">
        <f t="shared" si="17"/>
        <v>199</v>
      </c>
      <c r="AD53" s="41" vm="2589">
        <f t="shared" si="17"/>
        <v>1976</v>
      </c>
    </row>
    <row r="54" spans="2:31" x14ac:dyDescent="0.25">
      <c r="B54" s="8" t="str" vm="65">
        <f>CUBEMEMBER("ThisWorkbookDataModel",{"[fActualAndBudget].[StavkaKategorija].&amp;[2.40. Приходи од финансирање]","[fActualAndBudget].[StavkaImeMK].&amp;[Приходи од курсни разлики]"})</f>
        <v>Приходи од курсни разлики</v>
      </c>
      <c r="C54" s="41" vm="1036">
        <f t="shared" si="16"/>
        <v>500</v>
      </c>
      <c r="D54" s="41" vm="1194">
        <f t="shared" si="16"/>
        <v>500</v>
      </c>
      <c r="E54" s="41" vm="1053">
        <f t="shared" si="16"/>
        <v>500</v>
      </c>
      <c r="F54" s="41" vm="1126">
        <f t="shared" si="16"/>
        <v>500</v>
      </c>
      <c r="G54" s="41" vm="1210">
        <f t="shared" si="16"/>
        <v>500</v>
      </c>
      <c r="H54" s="41" vm="1229">
        <f t="shared" si="16"/>
        <v>500</v>
      </c>
      <c r="I54" s="41" vm="911">
        <f t="shared" si="16"/>
        <v>500</v>
      </c>
      <c r="J54" s="41" vm="1041">
        <f t="shared" si="16"/>
        <v>500</v>
      </c>
      <c r="K54" s="41" vm="947">
        <f t="shared" si="16"/>
        <v>500</v>
      </c>
      <c r="L54" s="41" vm="1010">
        <f t="shared" si="16"/>
        <v>500</v>
      </c>
      <c r="M54" s="41" vm="1208">
        <f t="shared" si="16"/>
        <v>500</v>
      </c>
      <c r="N54" s="41" vm="1484">
        <f t="shared" si="16"/>
        <v>500</v>
      </c>
      <c r="O54" s="41" vm="1424">
        <f t="shared" si="16"/>
        <v>6000</v>
      </c>
      <c r="Q54" t="str" vm="65">
        <f>CUBEMEMBER("ThisWorkbookDataModel",{"[fActualAndBudget].[StavkaKategorija].&amp;[2.40. Приходи од финансирање]","[fActualAndBudget].[StavkaImeMK].&amp;[Приходи од курсни разлики]"})</f>
        <v>Приходи од курсни разлики</v>
      </c>
      <c r="R54" s="41" vm="3068">
        <f t="shared" si="17"/>
        <v>1671</v>
      </c>
      <c r="S54" s="41" vm="2803">
        <f t="shared" si="17"/>
        <v>9</v>
      </c>
      <c r="T54" s="41" vm="2615">
        <f t="shared" si="17"/>
        <v>19</v>
      </c>
      <c r="U54" s="41" vm="2887">
        <f t="shared" si="17"/>
        <v>483</v>
      </c>
      <c r="V54" s="41" vm="2738">
        <f t="shared" si="17"/>
        <v>391</v>
      </c>
      <c r="W54" s="41" vm="2740">
        <f t="shared" si="17"/>
        <v>555</v>
      </c>
      <c r="X54" s="41" vm="2604">
        <f t="shared" si="17"/>
        <v>69</v>
      </c>
      <c r="Y54" s="41" vm="2874">
        <f t="shared" si="17"/>
        <v>129</v>
      </c>
      <c r="Z54" s="41" vm="3048">
        <f t="shared" si="17"/>
        <v>967</v>
      </c>
      <c r="AA54" s="41" vm="2905">
        <f t="shared" si="17"/>
        <v>0</v>
      </c>
      <c r="AB54" s="41" vm="2818">
        <f t="shared" si="17"/>
        <v>8</v>
      </c>
      <c r="AC54" s="41" vm="2969">
        <f t="shared" si="17"/>
        <v>16</v>
      </c>
      <c r="AD54" s="41" vm="2811">
        <f t="shared" si="17"/>
        <v>4317</v>
      </c>
    </row>
    <row r="55" spans="2:31" s="9" customFormat="1" x14ac:dyDescent="0.25">
      <c r="B55" s="109" t="str" vm="63">
        <f>CUBEMEMBER("ThisWorkbookDataModel","[fActualAndBudget].[StavkaKategorija].&amp;[2.41. Расходи од финансирање]")</f>
        <v>2.41. Расходи од финансирање</v>
      </c>
      <c r="C55" s="110">
        <f>SUM(C56:C58)</f>
        <v>0</v>
      </c>
      <c r="D55" s="110">
        <f t="shared" ref="D55:O55" si="18">SUM(D56:D58)</f>
        <v>0</v>
      </c>
      <c r="E55" s="110">
        <f t="shared" si="18"/>
        <v>0</v>
      </c>
      <c r="F55" s="110">
        <f t="shared" si="18"/>
        <v>0</v>
      </c>
      <c r="G55" s="110">
        <f t="shared" si="18"/>
        <v>0</v>
      </c>
      <c r="H55" s="110">
        <f t="shared" si="18"/>
        <v>0</v>
      </c>
      <c r="I55" s="110">
        <f t="shared" si="18"/>
        <v>0</v>
      </c>
      <c r="J55" s="110">
        <f t="shared" si="18"/>
        <v>0</v>
      </c>
      <c r="K55" s="110">
        <f t="shared" si="18"/>
        <v>0</v>
      </c>
      <c r="L55" s="110">
        <f t="shared" si="18"/>
        <v>0</v>
      </c>
      <c r="M55" s="110">
        <f t="shared" si="18"/>
        <v>0</v>
      </c>
      <c r="N55" s="110">
        <f t="shared" si="18"/>
        <v>85000</v>
      </c>
      <c r="O55" s="110">
        <f t="shared" si="18"/>
        <v>85000</v>
      </c>
      <c r="Q55" s="9" t="str" vm="63">
        <f>CUBEMEMBER("ThisWorkbookDataModel","[fActualAndBudget].[StavkaKategorija].&amp;[2.41. Расходи од финансирање]")</f>
        <v>2.41. Расходи од финансирање</v>
      </c>
      <c r="R55" s="110">
        <f>SUM(R56:R58)</f>
        <v>2666754</v>
      </c>
      <c r="S55" s="110">
        <f>SUM(S56:S58)</f>
        <v>11</v>
      </c>
      <c r="T55" s="110">
        <f>SUM(T56:T58)</f>
        <v>232</v>
      </c>
      <c r="U55" s="110">
        <f>SUM(U56:U58)</f>
        <v>626</v>
      </c>
      <c r="V55" s="110">
        <f>SUM(V56:V58)</f>
        <v>523</v>
      </c>
      <c r="W55" s="110">
        <f t="shared" ref="W55:AD55" si="19">SUM(W56:W58)</f>
        <v>34</v>
      </c>
      <c r="X55" s="110">
        <f t="shared" si="19"/>
        <v>1038</v>
      </c>
      <c r="Y55" s="110">
        <f t="shared" si="19"/>
        <v>63</v>
      </c>
      <c r="Z55" s="110">
        <f t="shared" si="19"/>
        <v>29</v>
      </c>
      <c r="AA55" s="110">
        <f t="shared" si="19"/>
        <v>172</v>
      </c>
      <c r="AB55" s="110">
        <f t="shared" si="19"/>
        <v>7008</v>
      </c>
      <c r="AC55" s="110">
        <f t="shared" si="19"/>
        <v>21</v>
      </c>
      <c r="AD55" s="110">
        <f t="shared" si="19"/>
        <v>2676511</v>
      </c>
    </row>
    <row r="56" spans="2:31" x14ac:dyDescent="0.25">
      <c r="B56" s="8" t="str" vm="116">
        <f>CUBEMEMBER("ThisWorkbookDataModel",{"[fActualAndBudget].[StavkaKategorija].&amp;[2.41. Расходи од финансирање]","[fActualAndBudget].[StavkaImeMK].&amp;[Загуби и кусоци]"})</f>
        <v>Загуби и кусоци</v>
      </c>
      <c r="C56" s="41" t="str" vm="1330">
        <f t="shared" ref="C56:O58" si="20">CUBEVALUE("ThisWorkbookDataModel",$C$2,$C$3,$B$5,$B56,C$6,$D$5)</f>
        <v/>
      </c>
      <c r="D56" s="41" t="str" vm="1337">
        <f t="shared" si="20"/>
        <v/>
      </c>
      <c r="E56" s="41" t="str" vm="1201">
        <f t="shared" si="20"/>
        <v/>
      </c>
      <c r="F56" s="41" t="str" vm="1289">
        <f t="shared" si="20"/>
        <v/>
      </c>
      <c r="G56" s="41" t="str" vm="1215">
        <f t="shared" si="20"/>
        <v/>
      </c>
      <c r="H56" s="41" t="str" vm="1379">
        <f t="shared" si="20"/>
        <v/>
      </c>
      <c r="I56" s="41" t="str" vm="1303">
        <f t="shared" si="20"/>
        <v/>
      </c>
      <c r="J56" s="41" t="str" vm="1319">
        <f t="shared" si="20"/>
        <v/>
      </c>
      <c r="K56" s="41" t="str" vm="1266">
        <f t="shared" si="20"/>
        <v/>
      </c>
      <c r="L56" s="41" t="str" vm="925">
        <f t="shared" si="20"/>
        <v/>
      </c>
      <c r="M56" s="41" t="str" vm="969">
        <f t="shared" si="20"/>
        <v/>
      </c>
      <c r="N56" s="41" t="str" vm="1481">
        <f t="shared" si="20"/>
        <v/>
      </c>
      <c r="O56" s="41" t="str" vm="958">
        <f t="shared" si="20"/>
        <v/>
      </c>
      <c r="Q56" t="str" vm="116">
        <f>CUBEMEMBER("ThisWorkbookDataModel",{"[fActualAndBudget].[StavkaKategorija].&amp;[2.41. Расходи од финансирање]","[fActualAndBudget].[StavkaImeMK].&amp;[Загуби и кусоци]"})</f>
        <v>Загуби и кусоци</v>
      </c>
      <c r="R56" s="41" vm="2979">
        <f t="shared" ref="R56:AD58" si="21">CUBEVALUE("ThisWorkbookDataModel",$R$2,$R$3,$B$5,$B56,R$6,$S$5)</f>
        <v>0</v>
      </c>
      <c r="S56" s="41" vm="3094">
        <f t="shared" si="21"/>
        <v>0</v>
      </c>
      <c r="T56" s="41" vm="2586">
        <f t="shared" si="21"/>
        <v>0</v>
      </c>
      <c r="U56" s="41" vm="2646">
        <f t="shared" si="21"/>
        <v>0</v>
      </c>
      <c r="V56" s="41" vm="2622">
        <f t="shared" si="21"/>
        <v>0</v>
      </c>
      <c r="W56" s="41" vm="3079">
        <f t="shared" si="21"/>
        <v>0</v>
      </c>
      <c r="X56" s="41" vm="3004">
        <f t="shared" si="21"/>
        <v>0</v>
      </c>
      <c r="Y56" s="41" vm="2900">
        <f t="shared" si="21"/>
        <v>0</v>
      </c>
      <c r="Z56" s="41" vm="2680">
        <f t="shared" si="21"/>
        <v>0</v>
      </c>
      <c r="AA56" s="41" vm="2947">
        <f t="shared" si="21"/>
        <v>0</v>
      </c>
      <c r="AB56" s="41" t="str" vm="2983">
        <f t="shared" si="21"/>
        <v/>
      </c>
      <c r="AC56" s="41" t="str" vm="2912">
        <f t="shared" si="21"/>
        <v/>
      </c>
      <c r="AD56" s="41" vm="2619">
        <f t="shared" si="21"/>
        <v>0</v>
      </c>
    </row>
    <row r="57" spans="2:31" x14ac:dyDescent="0.25">
      <c r="B57" s="8" t="str" vm="117">
        <f>CUBEMEMBER("ThisWorkbookDataModel",{"[fActualAndBudget].[StavkaKategorija].&amp;[2.41. Расходи од финансирање]","[fActualAndBudget].[StavkaImeMK].&amp;[Курсни разлики]"})</f>
        <v>Курсни разлики</v>
      </c>
      <c r="C57" s="41" t="str" vm="983">
        <f t="shared" si="20"/>
        <v/>
      </c>
      <c r="D57" s="41" t="str" vm="1133">
        <f t="shared" si="20"/>
        <v/>
      </c>
      <c r="E57" s="41" t="str" vm="1311">
        <f t="shared" si="20"/>
        <v/>
      </c>
      <c r="F57" s="41" t="str" vm="1355">
        <f t="shared" si="20"/>
        <v/>
      </c>
      <c r="G57" s="41" t="str" vm="1071">
        <f t="shared" si="20"/>
        <v/>
      </c>
      <c r="H57" s="41" t="str" vm="1249">
        <f t="shared" si="20"/>
        <v/>
      </c>
      <c r="I57" s="41" t="str" vm="1095">
        <f t="shared" si="20"/>
        <v/>
      </c>
      <c r="J57" s="41" t="str" vm="896">
        <f t="shared" si="20"/>
        <v/>
      </c>
      <c r="K57" s="41" t="str" vm="1278">
        <f t="shared" si="20"/>
        <v/>
      </c>
      <c r="L57" s="41" t="str" vm="1430">
        <f t="shared" si="20"/>
        <v/>
      </c>
      <c r="M57" s="41" t="str" vm="1124">
        <f t="shared" si="20"/>
        <v/>
      </c>
      <c r="N57" s="41" vm="1490">
        <f t="shared" si="20"/>
        <v>5000</v>
      </c>
      <c r="O57" s="41" vm="1219">
        <f t="shared" si="20"/>
        <v>5000</v>
      </c>
      <c r="Q57" t="str" vm="117">
        <f>CUBEMEMBER("ThisWorkbookDataModel",{"[fActualAndBudget].[StavkaKategorija].&amp;[2.41. Расходи од финансирање]","[fActualAndBudget].[StavkaImeMK].&amp;[Курсни разлики]"})</f>
        <v>Курсни разлики</v>
      </c>
      <c r="R57" s="41" vm="2783">
        <f t="shared" si="21"/>
        <v>1659</v>
      </c>
      <c r="S57" s="41" vm="2700">
        <f t="shared" si="21"/>
        <v>11</v>
      </c>
      <c r="T57" s="41" vm="2501">
        <f t="shared" si="21"/>
        <v>232</v>
      </c>
      <c r="U57" s="41" vm="2664">
        <f t="shared" si="21"/>
        <v>626</v>
      </c>
      <c r="V57" s="41" vm="2955">
        <f t="shared" si="21"/>
        <v>523</v>
      </c>
      <c r="W57" s="41" vm="2923">
        <f t="shared" si="21"/>
        <v>34</v>
      </c>
      <c r="X57" s="41" vm="2989">
        <f t="shared" si="21"/>
        <v>1038</v>
      </c>
      <c r="Y57" s="41" vm="2831">
        <f t="shared" si="21"/>
        <v>63</v>
      </c>
      <c r="Z57" s="41" vm="3009">
        <f t="shared" si="21"/>
        <v>29</v>
      </c>
      <c r="AA57" s="41" vm="3096">
        <f t="shared" si="21"/>
        <v>172</v>
      </c>
      <c r="AB57" s="41" vm="2638">
        <f t="shared" si="21"/>
        <v>8</v>
      </c>
      <c r="AC57" s="41" vm="2806">
        <f t="shared" si="21"/>
        <v>21</v>
      </c>
      <c r="AD57" s="41" vm="2534">
        <f t="shared" si="21"/>
        <v>4416</v>
      </c>
    </row>
    <row r="58" spans="2:31" x14ac:dyDescent="0.25">
      <c r="B58" s="8" t="str" vm="118">
        <f>CUBEMEMBER("ThisWorkbookDataModel",{"[fActualAndBudget].[StavkaKategorija].&amp;[2.41. Расходи од финансирање]","[fActualAndBudget].[StavkaImeMK].&amp;[Останати расходи]"})</f>
        <v>Останати расходи</v>
      </c>
      <c r="C58" s="41" t="str" vm="1387">
        <f t="shared" si="20"/>
        <v/>
      </c>
      <c r="D58" s="41" t="str" vm="1399">
        <f t="shared" si="20"/>
        <v/>
      </c>
      <c r="E58" s="41" t="str" vm="1376">
        <f t="shared" si="20"/>
        <v/>
      </c>
      <c r="F58" s="41" t="str" vm="1137">
        <f t="shared" si="20"/>
        <v/>
      </c>
      <c r="G58" s="41" t="str" vm="1070">
        <f t="shared" si="20"/>
        <v/>
      </c>
      <c r="H58" s="41" t="str" vm="1160">
        <f t="shared" si="20"/>
        <v/>
      </c>
      <c r="I58" s="41" t="str" vm="1038">
        <f t="shared" si="20"/>
        <v/>
      </c>
      <c r="J58" s="41" t="str" vm="1326">
        <f t="shared" si="20"/>
        <v/>
      </c>
      <c r="K58" s="41" t="str" vm="912">
        <f t="shared" si="20"/>
        <v/>
      </c>
      <c r="L58" s="41" t="str" vm="1428">
        <f t="shared" si="20"/>
        <v/>
      </c>
      <c r="M58" s="41" t="str" vm="1171">
        <f t="shared" si="20"/>
        <v/>
      </c>
      <c r="N58" s="41" vm="1302">
        <f t="shared" si="20"/>
        <v>80000</v>
      </c>
      <c r="O58" s="41" vm="1009">
        <f t="shared" si="20"/>
        <v>80000</v>
      </c>
      <c r="Q58" t="str" vm="118">
        <f>CUBEMEMBER("ThisWorkbookDataModel",{"[fActualAndBudget].[StavkaKategorija].&amp;[2.41. Расходи од финансирање]","[fActualAndBudget].[StavkaImeMK].&amp;[Останати расходи]"})</f>
        <v>Останати расходи</v>
      </c>
      <c r="R58" s="41" vm="3057">
        <f t="shared" si="21"/>
        <v>2665095</v>
      </c>
      <c r="S58" s="41" vm="2552">
        <f t="shared" si="21"/>
        <v>0</v>
      </c>
      <c r="T58" s="41" vm="2864">
        <f t="shared" si="21"/>
        <v>0</v>
      </c>
      <c r="U58" s="41" vm="3086">
        <f t="shared" si="21"/>
        <v>0</v>
      </c>
      <c r="V58" s="41" vm="2943">
        <f t="shared" si="21"/>
        <v>0</v>
      </c>
      <c r="W58" s="41" vm="2568">
        <f t="shared" si="21"/>
        <v>0</v>
      </c>
      <c r="X58" s="41" vm="2518">
        <f t="shared" si="21"/>
        <v>0</v>
      </c>
      <c r="Y58" s="41" vm="3037">
        <f t="shared" si="21"/>
        <v>0</v>
      </c>
      <c r="Z58" s="41" vm="3039">
        <f t="shared" si="21"/>
        <v>0</v>
      </c>
      <c r="AA58" s="41" vm="2751">
        <f t="shared" si="21"/>
        <v>0</v>
      </c>
      <c r="AB58" s="41" vm="2677">
        <f t="shared" si="21"/>
        <v>7000</v>
      </c>
      <c r="AC58" s="41" vm="2987">
        <f t="shared" si="21"/>
        <v>0</v>
      </c>
      <c r="AD58" s="41" vm="3026">
        <f t="shared" si="21"/>
        <v>2672095</v>
      </c>
    </row>
    <row r="59" spans="2:31" x14ac:dyDescent="0.25">
      <c r="B59" s="27" t="s">
        <v>166</v>
      </c>
      <c r="C59" s="110">
        <f>SUM(C51,C52,-C55)</f>
        <v>-6012452</v>
      </c>
      <c r="D59" s="110">
        <f t="shared" ref="D59:O59" si="22">SUM(D51,D52,-D55)</f>
        <v>84382376</v>
      </c>
      <c r="E59" s="110">
        <f t="shared" si="22"/>
        <v>32691187</v>
      </c>
      <c r="F59" s="110">
        <f t="shared" si="22"/>
        <v>-10287464</v>
      </c>
      <c r="G59" s="110">
        <f t="shared" si="22"/>
        <v>-13569269</v>
      </c>
      <c r="H59" s="110">
        <f t="shared" si="22"/>
        <v>-18159646</v>
      </c>
      <c r="I59" s="110">
        <f t="shared" si="22"/>
        <v>-10663918</v>
      </c>
      <c r="J59" s="110">
        <f t="shared" si="22"/>
        <v>-13550230</v>
      </c>
      <c r="K59" s="110">
        <f t="shared" si="22"/>
        <v>-9968493</v>
      </c>
      <c r="L59" s="110">
        <f t="shared" si="22"/>
        <v>-12211997</v>
      </c>
      <c r="M59" s="110">
        <f t="shared" si="22"/>
        <v>-9265225</v>
      </c>
      <c r="N59" s="110">
        <f t="shared" si="22"/>
        <v>-11829410</v>
      </c>
      <c r="O59" s="110">
        <f t="shared" si="22"/>
        <v>1555459</v>
      </c>
      <c r="Q59" t="s">
        <v>166</v>
      </c>
      <c r="R59" s="41">
        <f>SUM(R51,R52,-R55)</f>
        <v>-9461414</v>
      </c>
      <c r="S59" s="41">
        <f t="shared" ref="S59:AD59" si="23">SUM(S51,S52,-S55)</f>
        <v>66637174</v>
      </c>
      <c r="T59" s="41">
        <f t="shared" si="23"/>
        <v>57714088</v>
      </c>
      <c r="U59" s="41">
        <f t="shared" si="23"/>
        <v>5694630</v>
      </c>
      <c r="V59" s="41">
        <f t="shared" si="23"/>
        <v>-8461596</v>
      </c>
      <c r="W59" s="41">
        <f t="shared" si="23"/>
        <v>-4607590</v>
      </c>
      <c r="X59" s="41">
        <f t="shared" si="23"/>
        <v>-7779350</v>
      </c>
      <c r="Y59" s="41">
        <f t="shared" si="23"/>
        <v>-15916852</v>
      </c>
      <c r="Z59" s="41">
        <f t="shared" si="23"/>
        <v>-8783567</v>
      </c>
      <c r="AA59" s="41">
        <f t="shared" si="23"/>
        <v>-11115944</v>
      </c>
      <c r="AB59" s="41">
        <f t="shared" si="23"/>
        <v>-9192756</v>
      </c>
      <c r="AC59" s="41">
        <f t="shared" si="23"/>
        <v>-12081282</v>
      </c>
      <c r="AD59" s="41">
        <f t="shared" si="23"/>
        <v>42645541</v>
      </c>
      <c r="AE59" s="104">
        <f>SUM(R59:AD59)</f>
        <v>85291082</v>
      </c>
    </row>
    <row r="60" spans="2:31" x14ac:dyDescent="0.25">
      <c r="D60" s="104">
        <f>SUM($C$59:D59)</f>
        <v>78369924</v>
      </c>
      <c r="E60" s="104">
        <f>SUM($C$59:E59)</f>
        <v>111061111</v>
      </c>
      <c r="F60" s="104">
        <f>SUM($C$59:F59)</f>
        <v>100773647</v>
      </c>
      <c r="G60" s="104">
        <f>SUM($C$59:G59)</f>
        <v>87204378</v>
      </c>
      <c r="H60" s="104">
        <f>SUM($C$59:H59)</f>
        <v>69044732</v>
      </c>
      <c r="I60" s="104">
        <f>SUM($C$59:I59)</f>
        <v>58380814</v>
      </c>
      <c r="J60" s="104">
        <f>SUM($C$59:J59)</f>
        <v>44830584</v>
      </c>
      <c r="K60" s="104">
        <f>SUM($C$59:K59)</f>
        <v>34862091</v>
      </c>
      <c r="L60" s="104">
        <f>SUM($C$59:L59)</f>
        <v>22650094</v>
      </c>
      <c r="M60" s="104">
        <f>SUM($C$59:M59)</f>
        <v>13384869</v>
      </c>
      <c r="N60" s="104">
        <f>SUM($C$59:N59)</f>
        <v>1555459</v>
      </c>
      <c r="O60" s="104">
        <f>SUM($C$59:O59)</f>
        <v>3110918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3:V25"/>
  <sheetViews>
    <sheetView zoomScale="90" zoomScaleNormal="90" workbookViewId="0">
      <selection activeCell="F30" sqref="F30"/>
    </sheetView>
  </sheetViews>
  <sheetFormatPr defaultRowHeight="15" x14ac:dyDescent="0.25"/>
  <cols>
    <col min="1" max="1" width="10.5703125" customWidth="1"/>
    <col min="2" max="2" width="43.7109375" customWidth="1"/>
    <col min="3" max="15" width="15.5703125" style="41" bestFit="1" customWidth="1"/>
    <col min="16" max="16" width="13.28515625" style="41" bestFit="1" customWidth="1"/>
    <col min="17" max="17" width="13.7109375" style="41" bestFit="1" customWidth="1"/>
    <col min="18" max="18" width="8" hidden="1" customWidth="1"/>
    <col min="19" max="19" width="7" hidden="1" customWidth="1"/>
    <col min="20" max="20" width="10.7109375" hidden="1" customWidth="1"/>
    <col min="21" max="21" width="12.7109375" customWidth="1"/>
    <col min="22" max="22" width="9" bestFit="1" customWidth="1"/>
    <col min="23" max="24" width="10.7109375" bestFit="1" customWidth="1"/>
    <col min="25" max="26" width="9.140625" bestFit="1" customWidth="1"/>
    <col min="27" max="27" width="10.140625" bestFit="1" customWidth="1"/>
    <col min="28" max="30" width="9.140625" bestFit="1" customWidth="1"/>
    <col min="31" max="31" width="10.140625" bestFit="1" customWidth="1"/>
    <col min="32" max="34" width="9.140625" bestFit="1" customWidth="1"/>
    <col min="35" max="36" width="10.140625" bestFit="1" customWidth="1"/>
    <col min="37" max="39" width="9.140625" bestFit="1" customWidth="1"/>
    <col min="40" max="40" width="9.28515625" bestFit="1" customWidth="1"/>
    <col min="41" max="43" width="9.140625" bestFit="1" customWidth="1"/>
    <col min="44" max="44" width="9.28515625" bestFit="1" customWidth="1"/>
    <col min="45" max="46" width="6.7109375" bestFit="1" customWidth="1"/>
    <col min="47" max="47" width="9.28515625" bestFit="1" customWidth="1"/>
    <col min="48" max="48" width="9.7109375" bestFit="1" customWidth="1"/>
    <col min="49" max="62" width="8.28515625" bestFit="1" customWidth="1"/>
  </cols>
  <sheetData>
    <row r="3" spans="1:22" x14ac:dyDescent="0.25">
      <c r="Q3" s="162"/>
    </row>
    <row r="4" spans="1:22" x14ac:dyDescent="0.25">
      <c r="A4" t="str" vm="139">
        <f>CUBEMEMBER("ThisWorkbookDataModel","[Measures].[Sum of Износ 2]")</f>
        <v>Sum of Износ 2</v>
      </c>
      <c r="B4" t="s">
        <v>5</v>
      </c>
      <c r="C4">
        <v>2021</v>
      </c>
      <c r="D4" s="208">
        <v>44562</v>
      </c>
      <c r="E4" s="208">
        <v>44593</v>
      </c>
      <c r="F4" s="208">
        <v>44621</v>
      </c>
      <c r="G4" s="208">
        <v>44652</v>
      </c>
      <c r="H4" s="208">
        <v>44682</v>
      </c>
      <c r="I4" s="208">
        <v>44713</v>
      </c>
      <c r="J4" s="208">
        <v>44743</v>
      </c>
      <c r="K4" s="208">
        <v>44774</v>
      </c>
      <c r="L4" s="208">
        <v>44805</v>
      </c>
      <c r="M4" s="208">
        <v>44835</v>
      </c>
      <c r="N4" s="208">
        <v>44866</v>
      </c>
      <c r="O4" s="208">
        <v>44896</v>
      </c>
      <c r="P4"/>
      <c r="Q4"/>
    </row>
    <row r="5" spans="1:22" x14ac:dyDescent="0.25">
      <c r="A5" t="s">
        <v>232</v>
      </c>
      <c r="C5" t="e">
        <f>CUBEMEMBER("ThisWorkbookDataModel","[Amortizacija].[Период].&amp;[2021-12-01T00:00:00]")</f>
        <v>#N/A</v>
      </c>
      <c r="D5" t="str" vm="1545">
        <f>CUBEMEMBER("ThisWorkbookDataModel","[Amortizacija].[Период].&amp;[2022-01-01T00:00:00]")</f>
        <v>1/1/2022</v>
      </c>
      <c r="E5" t="str" vm="1546">
        <f>CUBEMEMBER("ThisWorkbookDataModel","[Amortizacija].[Период].&amp;[2022-02-01T00:00:00]")</f>
        <v>2/1/2022</v>
      </c>
      <c r="F5" t="str" vm="1547">
        <f>CUBEMEMBER("ThisWorkbookDataModel","[Amortizacija].[Период].&amp;[2022-03-01T00:00:00]")</f>
        <v>3/1/2022</v>
      </c>
      <c r="G5" t="str" vm="1548">
        <f>CUBEMEMBER("ThisWorkbookDataModel","[Amortizacija].[Период].&amp;[2022-04-01T00:00:00]")</f>
        <v>4/1/2022</v>
      </c>
      <c r="H5" t="str" vm="1549">
        <f>CUBEMEMBER("ThisWorkbookDataModel","[Amortizacija].[Период].&amp;[2022-05-01T00:00:00]")</f>
        <v>5/1/2022</v>
      </c>
      <c r="I5" t="str" vm="1550">
        <f>CUBEMEMBER("ThisWorkbookDataModel","[Amortizacija].[Период].&amp;[2022-06-01T00:00:00]")</f>
        <v>6/1/2022</v>
      </c>
      <c r="J5" t="str" vm="1553">
        <f>CUBEMEMBER("ThisWorkbookDataModel","[Amortizacija].[Период].&amp;[2022-07-01T00:00:00]")</f>
        <v>7/1/2022</v>
      </c>
      <c r="K5" t="str" vm="1558">
        <f>CUBEMEMBER("ThisWorkbookDataModel","[Amortizacija].[Период].&amp;[2022-08-01T00:00:00]")</f>
        <v>8/1/2022</v>
      </c>
      <c r="L5" t="str" vm="1563">
        <f>CUBEMEMBER("ThisWorkbookDataModel","[Amortizacija].[Период].&amp;[2022-09-01T00:00:00]")</f>
        <v>9/1/2022</v>
      </c>
      <c r="M5" t="str" vm="1568">
        <f>CUBEMEMBER("ThisWorkbookDataModel","[Amortizacija].[Период].&amp;[2022-10-01T00:00:00]")</f>
        <v>10/1/2022</v>
      </c>
      <c r="N5" t="str" vm="1573">
        <f>CUBEMEMBER("ThisWorkbookDataModel","[Amortizacija].[Период].&amp;[2022-11-01T00:00:00]")</f>
        <v>11/1/2022</v>
      </c>
      <c r="O5" t="str" vm="1579">
        <f>CUBEMEMBER("ThisWorkbookDataModel","[Amortizacija].[Период].&amp;[2022-12-01T00:00:00]")</f>
        <v>12/1/2022</v>
      </c>
      <c r="P5"/>
      <c r="Q5"/>
    </row>
    <row r="6" spans="1:22" x14ac:dyDescent="0.25">
      <c r="A6" t="str" vm="225">
        <f>CUBEMEMBER("ThisWorkbookDataModel","[Amortizacija].[Конто].&amp;[43030]")</f>
        <v>43030</v>
      </c>
      <c r="B6" t="s">
        <v>297</v>
      </c>
      <c r="C6" s="148">
        <v>0</v>
      </c>
      <c r="D6" s="148">
        <v>0</v>
      </c>
      <c r="E6" s="148">
        <v>0</v>
      </c>
      <c r="F6" s="148">
        <v>0</v>
      </c>
      <c r="G6" s="148">
        <v>0</v>
      </c>
      <c r="H6" s="148">
        <v>0</v>
      </c>
      <c r="I6" vm="1552">
        <f t="shared" ref="I6:M7" si="0">IF(ISERROR(CUBEVALUE("ThisWorkbookDataModel",$A$4,$A6,I$5)),0,CUBEVALUE("ThisWorkbookDataModel",$A$4,$A6,I$5))</f>
        <v>29500</v>
      </c>
      <c r="J6" vm="1556">
        <f t="shared" si="0"/>
        <v>29500</v>
      </c>
      <c r="K6" vm="1559">
        <f t="shared" si="0"/>
        <v>29500</v>
      </c>
      <c r="L6" vm="1564">
        <f t="shared" si="0"/>
        <v>29500</v>
      </c>
      <c r="M6" vm="1569">
        <f t="shared" si="0"/>
        <v>55750</v>
      </c>
      <c r="N6" vm="1574">
        <f t="shared" ref="N6:O7" si="1">IF(ISERROR(CUBEVALUE("ThisWorkbookDataModel",$A$4,$A6,N$5)),0,CUBEVALUE("ThisWorkbookDataModel",$A$4,$A6,N$5))</f>
        <v>350750</v>
      </c>
      <c r="O6" vm="1582">
        <f t="shared" si="1"/>
        <v>350750</v>
      </c>
      <c r="P6">
        <f>SUM(D6:O6)</f>
        <v>875250</v>
      </c>
      <c r="Q6" s="41">
        <f t="shared" ref="Q6:Q9" si="2">SUM(D6:O6)</f>
        <v>875250</v>
      </c>
    </row>
    <row r="7" spans="1:22" x14ac:dyDescent="0.25">
      <c r="A7" t="str" vm="230">
        <f>CUBEMEMBER("ThisWorkbookDataModel","[Amortizacija].[Конто].&amp;[43031]")</f>
        <v>43031</v>
      </c>
      <c r="B7" t="s">
        <v>297</v>
      </c>
      <c r="C7" s="148">
        <v>0</v>
      </c>
      <c r="D7" s="148">
        <v>0</v>
      </c>
      <c r="E7" s="148">
        <v>0</v>
      </c>
      <c r="F7" s="148">
        <v>0</v>
      </c>
      <c r="G7" vm="2214">
        <f t="shared" ref="G7:H7" si="3">IF(ISERROR(CUBEVALUE("ThisWorkbookDataModel",$A$4,$A7,G$5)),0,CUBEVALUE("ThisWorkbookDataModel",$A$4,$A7,G$5))</f>
        <v>24583</v>
      </c>
      <c r="H7" vm="2203">
        <f t="shared" si="3"/>
        <v>24583</v>
      </c>
      <c r="I7" vm="1551">
        <f t="shared" si="0"/>
        <v>68833</v>
      </c>
      <c r="J7" vm="1557">
        <f t="shared" si="0"/>
        <v>68833</v>
      </c>
      <c r="K7" vm="1562">
        <f t="shared" si="0"/>
        <v>68833</v>
      </c>
      <c r="L7" vm="1565">
        <f t="shared" si="0"/>
        <v>210729</v>
      </c>
      <c r="M7" vm="1572">
        <f t="shared" si="0"/>
        <v>210729</v>
      </c>
      <c r="N7" vm="1578">
        <f t="shared" si="1"/>
        <v>210729</v>
      </c>
      <c r="O7" vm="1581">
        <f t="shared" si="1"/>
        <v>210729</v>
      </c>
      <c r="P7">
        <f>SUM(D7:O7)</f>
        <v>1098581</v>
      </c>
      <c r="Q7" s="41">
        <f t="shared" si="2"/>
        <v>1098581</v>
      </c>
    </row>
    <row r="8" spans="1:22" x14ac:dyDescent="0.25">
      <c r="A8" t="str" vm="228">
        <f>CUBEMEMBER("ThisWorkbookDataModel","[Amortizacija].[Конто].&amp;[43134]")</f>
        <v>43134</v>
      </c>
      <c r="B8" t="s">
        <v>296</v>
      </c>
      <c r="C8" s="148">
        <v>0</v>
      </c>
      <c r="D8" s="148">
        <v>0</v>
      </c>
      <c r="E8" s="148">
        <v>0</v>
      </c>
      <c r="F8" s="148">
        <v>0</v>
      </c>
      <c r="G8" s="148">
        <v>0</v>
      </c>
      <c r="H8" vm="2215">
        <f t="shared" ref="D8:O10" si="4">IF(ISERROR(CUBEVALUE("ThisWorkbookDataModel",$A$4,$A8,H$5)),0,CUBEVALUE("ThisWorkbookDataModel",$A$4,$A8,H$5))</f>
        <v>284376</v>
      </c>
      <c r="I8" vm="2204">
        <f t="shared" si="4"/>
        <v>360636</v>
      </c>
      <c r="J8" vm="1554">
        <f t="shared" si="4"/>
        <v>360636</v>
      </c>
      <c r="K8" vm="1561">
        <f t="shared" si="4"/>
        <v>218448</v>
      </c>
      <c r="L8" vm="1566">
        <f t="shared" si="4"/>
        <v>360636</v>
      </c>
      <c r="M8" vm="1570">
        <f t="shared" si="4"/>
        <v>360636</v>
      </c>
      <c r="N8" vm="1575">
        <f t="shared" si="4"/>
        <v>360636</v>
      </c>
      <c r="O8" vm="1584">
        <f t="shared" si="4"/>
        <v>360636</v>
      </c>
      <c r="P8">
        <f>SUM(D8:O8)</f>
        <v>2666640</v>
      </c>
      <c r="Q8" s="41">
        <f t="shared" si="2"/>
        <v>2666640</v>
      </c>
    </row>
    <row r="9" spans="1:22" x14ac:dyDescent="0.25">
      <c r="A9" t="str" vm="226">
        <f>CUBEMEMBER("ThisWorkbookDataModel","[Amortizacija].[Конто].&amp;[43136]")</f>
        <v>43136</v>
      </c>
      <c r="B9" t="s">
        <v>296</v>
      </c>
      <c r="C9" s="148">
        <v>0</v>
      </c>
      <c r="D9" s="148">
        <v>0</v>
      </c>
      <c r="E9" s="148">
        <v>0</v>
      </c>
      <c r="F9" s="148">
        <v>0</v>
      </c>
      <c r="G9" s="148">
        <v>0</v>
      </c>
      <c r="H9" s="148">
        <v>0</v>
      </c>
      <c r="I9" vm="2493">
        <f t="shared" si="4"/>
        <v>54167</v>
      </c>
      <c r="J9" vm="1555">
        <f t="shared" si="4"/>
        <v>79167</v>
      </c>
      <c r="K9" vm="1560">
        <f t="shared" si="4"/>
        <v>79167</v>
      </c>
      <c r="L9" vm="1567">
        <f t="shared" si="4"/>
        <v>79167</v>
      </c>
      <c r="M9" vm="1571">
        <f t="shared" si="4"/>
        <v>79167</v>
      </c>
      <c r="N9" vm="1577">
        <f t="shared" si="4"/>
        <v>79167</v>
      </c>
      <c r="O9" vm="1580">
        <f t="shared" si="4"/>
        <v>79167</v>
      </c>
      <c r="P9">
        <f>SUM(D9:O9)</f>
        <v>529169</v>
      </c>
      <c r="Q9" s="41">
        <f t="shared" si="2"/>
        <v>529169</v>
      </c>
    </row>
    <row r="10" spans="1:22" x14ac:dyDescent="0.25">
      <c r="A10" t="str" vm="242">
        <f>CUBEMEMBER("ThisWorkbookDataModel","[Amortizacija].[Конто].&amp;[431001]")</f>
        <v>431001</v>
      </c>
      <c r="B10" t="s">
        <v>296</v>
      </c>
      <c r="C10" s="148">
        <v>0</v>
      </c>
      <c r="D10" vm="2207">
        <f t="shared" si="4"/>
        <v>4167</v>
      </c>
      <c r="E10" vm="2211">
        <f t="shared" si="4"/>
        <v>4167</v>
      </c>
      <c r="F10" vm="2216">
        <f t="shared" si="4"/>
        <v>4167</v>
      </c>
      <c r="G10" vm="2205">
        <f t="shared" si="4"/>
        <v>4167</v>
      </c>
      <c r="H10" vm="2208">
        <f t="shared" si="4"/>
        <v>4167</v>
      </c>
      <c r="I10" vm="2212">
        <f t="shared" si="4"/>
        <v>4167</v>
      </c>
      <c r="J10" vm="2210">
        <f t="shared" si="4"/>
        <v>4167</v>
      </c>
      <c r="K10" vm="2206">
        <f t="shared" si="4"/>
        <v>4167</v>
      </c>
      <c r="L10" vm="2209">
        <f t="shared" si="4"/>
        <v>4167</v>
      </c>
      <c r="M10" vm="2213">
        <f t="shared" si="4"/>
        <v>4167</v>
      </c>
      <c r="N10" vm="1576">
        <f t="shared" si="4"/>
        <v>4167</v>
      </c>
      <c r="O10" vm="1583">
        <f t="shared" si="4"/>
        <v>4167</v>
      </c>
      <c r="P10">
        <f>SUM(D10:O10)</f>
        <v>50004</v>
      </c>
      <c r="Q10" s="41">
        <f t="shared" ref="Q10" si="5">SUM(D10:O10)</f>
        <v>50004</v>
      </c>
    </row>
    <row r="11" spans="1:22" x14ac:dyDescent="0.25">
      <c r="A11" t="s">
        <v>153</v>
      </c>
      <c r="C11" s="110">
        <f>SUM(C6:C10)</f>
        <v>0</v>
      </c>
      <c r="D11" s="110">
        <f t="shared" ref="D11:P11" si="6">SUM(D6:D10)</f>
        <v>4167</v>
      </c>
      <c r="E11" s="110">
        <f t="shared" si="6"/>
        <v>4167</v>
      </c>
      <c r="F11" s="110">
        <f t="shared" si="6"/>
        <v>4167</v>
      </c>
      <c r="G11" s="110">
        <f t="shared" si="6"/>
        <v>28750</v>
      </c>
      <c r="H11" s="110">
        <f t="shared" si="6"/>
        <v>313126</v>
      </c>
      <c r="I11" s="110">
        <f t="shared" si="6"/>
        <v>517303</v>
      </c>
      <c r="J11" s="110">
        <f t="shared" si="6"/>
        <v>542303</v>
      </c>
      <c r="K11" s="110">
        <f t="shared" si="6"/>
        <v>400115</v>
      </c>
      <c r="L11" s="110">
        <f t="shared" si="6"/>
        <v>684199</v>
      </c>
      <c r="M11" s="110">
        <f t="shared" si="6"/>
        <v>710449</v>
      </c>
      <c r="N11" s="110">
        <f t="shared" si="6"/>
        <v>1005449</v>
      </c>
      <c r="O11" s="110">
        <f t="shared" si="6"/>
        <v>1005449</v>
      </c>
      <c r="P11" s="110">
        <f t="shared" si="6"/>
        <v>5219644</v>
      </c>
      <c r="Q11" s="41">
        <f>SUM(D11:O11)</f>
        <v>5219644</v>
      </c>
      <c r="V11">
        <v>3641614</v>
      </c>
    </row>
    <row r="12" spans="1:22" x14ac:dyDescent="0.25">
      <c r="V12" s="104">
        <f>V11-P11</f>
        <v>-1578030</v>
      </c>
    </row>
    <row r="13" spans="1:22" x14ac:dyDescent="0.25">
      <c r="A13" t="s">
        <v>1140</v>
      </c>
    </row>
    <row r="14" spans="1:22" x14ac:dyDescent="0.25">
      <c r="B14" t="s">
        <v>297</v>
      </c>
      <c r="C14" s="306">
        <f>2787806*2</f>
        <v>5575612</v>
      </c>
      <c r="D14" s="306">
        <v>2787806</v>
      </c>
      <c r="E14" s="41">
        <f>D14</f>
        <v>2787806</v>
      </c>
      <c r="F14" s="41">
        <f t="shared" ref="F14:O14" si="7">E14</f>
        <v>2787806</v>
      </c>
      <c r="G14" s="306">
        <v>2720204</v>
      </c>
      <c r="H14" s="41">
        <f t="shared" si="7"/>
        <v>2720204</v>
      </c>
      <c r="I14" s="41">
        <f t="shared" si="7"/>
        <v>2720204</v>
      </c>
      <c r="J14" s="41">
        <f t="shared" si="7"/>
        <v>2720204</v>
      </c>
      <c r="K14" s="41">
        <f t="shared" si="7"/>
        <v>2720204</v>
      </c>
      <c r="L14" s="41">
        <f t="shared" si="7"/>
        <v>2720204</v>
      </c>
      <c r="M14" s="41">
        <f t="shared" si="7"/>
        <v>2720204</v>
      </c>
      <c r="N14" s="41">
        <f t="shared" si="7"/>
        <v>2720204</v>
      </c>
      <c r="O14" s="41">
        <f t="shared" si="7"/>
        <v>2720204</v>
      </c>
      <c r="P14" s="41">
        <f>SUM(D14:O14)</f>
        <v>32845254</v>
      </c>
      <c r="Q14" s="41">
        <f>SUM(D14:O14)</f>
        <v>32845254</v>
      </c>
    </row>
    <row r="15" spans="1:22" x14ac:dyDescent="0.25">
      <c r="B15" t="s">
        <v>296</v>
      </c>
      <c r="C15" s="306">
        <f>1347061*2</f>
        <v>2694122</v>
      </c>
      <c r="D15" s="306">
        <v>1347061</v>
      </c>
      <c r="E15" s="41">
        <f>D15</f>
        <v>1347061</v>
      </c>
      <c r="F15" s="41">
        <f t="shared" ref="F15:O15" si="8">E15</f>
        <v>1347061</v>
      </c>
      <c r="G15" s="41">
        <f t="shared" si="8"/>
        <v>1347061</v>
      </c>
      <c r="H15" s="41">
        <f t="shared" si="8"/>
        <v>1347061</v>
      </c>
      <c r="I15" s="41">
        <f t="shared" si="8"/>
        <v>1347061</v>
      </c>
      <c r="J15" s="41">
        <f t="shared" si="8"/>
        <v>1347061</v>
      </c>
      <c r="K15" s="41">
        <f t="shared" si="8"/>
        <v>1347061</v>
      </c>
      <c r="L15" s="41">
        <f t="shared" si="8"/>
        <v>1347061</v>
      </c>
      <c r="M15" s="41">
        <f t="shared" si="8"/>
        <v>1347061</v>
      </c>
      <c r="N15" s="41">
        <f t="shared" si="8"/>
        <v>1347061</v>
      </c>
      <c r="O15" s="41">
        <f t="shared" si="8"/>
        <v>1347061</v>
      </c>
      <c r="P15" s="41">
        <f>SUM(D15:O15)</f>
        <v>16164732</v>
      </c>
      <c r="Q15" s="41">
        <f>SUM(D15:O15)</f>
        <v>16164732</v>
      </c>
      <c r="U15" s="104"/>
    </row>
    <row r="16" spans="1:22" s="9" customFormat="1" x14ac:dyDescent="0.25">
      <c r="C16" s="110">
        <f t="shared" ref="C16:P16" si="9">SUM(C14:C15)</f>
        <v>8269734</v>
      </c>
      <c r="D16" s="110">
        <f t="shared" si="9"/>
        <v>4134867</v>
      </c>
      <c r="E16" s="110">
        <f t="shared" si="9"/>
        <v>4134867</v>
      </c>
      <c r="F16" s="110">
        <f t="shared" si="9"/>
        <v>4134867</v>
      </c>
      <c r="G16" s="110">
        <f t="shared" si="9"/>
        <v>4067265</v>
      </c>
      <c r="H16" s="110">
        <f t="shared" si="9"/>
        <v>4067265</v>
      </c>
      <c r="I16" s="110">
        <f t="shared" si="9"/>
        <v>4067265</v>
      </c>
      <c r="J16" s="110">
        <f t="shared" si="9"/>
        <v>4067265</v>
      </c>
      <c r="K16" s="110">
        <f t="shared" si="9"/>
        <v>4067265</v>
      </c>
      <c r="L16" s="110">
        <f t="shared" si="9"/>
        <v>4067265</v>
      </c>
      <c r="M16" s="110">
        <f t="shared" si="9"/>
        <v>4067265</v>
      </c>
      <c r="N16" s="110">
        <f t="shared" si="9"/>
        <v>4067265</v>
      </c>
      <c r="O16" s="110">
        <f t="shared" si="9"/>
        <v>4067265</v>
      </c>
      <c r="P16" s="110">
        <f t="shared" si="9"/>
        <v>49009986</v>
      </c>
      <c r="Q16" s="41">
        <f>SUM(D16:O16)</f>
        <v>49009986</v>
      </c>
    </row>
    <row r="18" spans="1:17" x14ac:dyDescent="0.25">
      <c r="A18" t="s">
        <v>300</v>
      </c>
    </row>
    <row r="19" spans="1:17" x14ac:dyDescent="0.25">
      <c r="B19" t="s">
        <v>297</v>
      </c>
      <c r="C19" s="41">
        <f>C6+C7+C14</f>
        <v>5575612</v>
      </c>
      <c r="D19" s="41">
        <f t="shared" ref="D19:P19" si="10">D6+D7+D14</f>
        <v>2787806</v>
      </c>
      <c r="E19" s="41">
        <f t="shared" si="10"/>
        <v>2787806</v>
      </c>
      <c r="F19" s="41">
        <f t="shared" si="10"/>
        <v>2787806</v>
      </c>
      <c r="G19" s="41">
        <f t="shared" si="10"/>
        <v>2744787</v>
      </c>
      <c r="H19" s="41">
        <f t="shared" si="10"/>
        <v>2744787</v>
      </c>
      <c r="I19" s="41">
        <f t="shared" si="10"/>
        <v>2818537</v>
      </c>
      <c r="J19" s="41">
        <f t="shared" si="10"/>
        <v>2818537</v>
      </c>
      <c r="K19" s="41">
        <f t="shared" si="10"/>
        <v>2818537</v>
      </c>
      <c r="L19" s="41">
        <f t="shared" si="10"/>
        <v>2960433</v>
      </c>
      <c r="M19" s="41">
        <f t="shared" si="10"/>
        <v>2986683</v>
      </c>
      <c r="N19" s="41">
        <f t="shared" si="10"/>
        <v>3281683</v>
      </c>
      <c r="O19" s="41">
        <f t="shared" si="10"/>
        <v>3281683</v>
      </c>
      <c r="P19" s="41">
        <f t="shared" si="10"/>
        <v>34819085</v>
      </c>
      <c r="Q19" s="41">
        <f>SUM(D19:O19)</f>
        <v>34819085</v>
      </c>
    </row>
    <row r="20" spans="1:17" x14ac:dyDescent="0.25">
      <c r="B20" t="s">
        <v>296</v>
      </c>
      <c r="C20" s="41">
        <f>C8+C15+C9</f>
        <v>2694122</v>
      </c>
      <c r="D20" s="41">
        <f t="shared" ref="D20:J20" si="11">D8+D15+D9+D10</f>
        <v>1351228</v>
      </c>
      <c r="E20" s="41">
        <f t="shared" si="11"/>
        <v>1351228</v>
      </c>
      <c r="F20" s="41">
        <f t="shared" si="11"/>
        <v>1351228</v>
      </c>
      <c r="G20" s="41">
        <f t="shared" si="11"/>
        <v>1351228</v>
      </c>
      <c r="H20" s="41">
        <f t="shared" si="11"/>
        <v>1635604</v>
      </c>
      <c r="I20" s="41">
        <f t="shared" si="11"/>
        <v>1766031</v>
      </c>
      <c r="J20" s="41">
        <f t="shared" si="11"/>
        <v>1791031</v>
      </c>
      <c r="K20" s="41">
        <f t="shared" ref="K20:N20" si="12">K8+K15+K9+K10</f>
        <v>1648843</v>
      </c>
      <c r="L20" s="41">
        <f t="shared" si="12"/>
        <v>1791031</v>
      </c>
      <c r="M20" s="41">
        <f t="shared" si="12"/>
        <v>1791031</v>
      </c>
      <c r="N20" s="41">
        <f t="shared" si="12"/>
        <v>1791031</v>
      </c>
      <c r="O20" s="41">
        <f>O8+O15+O9+O10</f>
        <v>1791031</v>
      </c>
      <c r="P20" s="41">
        <f>P8+P15+P9+P10</f>
        <v>19410545</v>
      </c>
      <c r="Q20" s="41">
        <f>SUM(D20:O20)</f>
        <v>19410545</v>
      </c>
    </row>
    <row r="21" spans="1:17" x14ac:dyDescent="0.25">
      <c r="C21" s="110">
        <f t="shared" ref="C21:P21" si="13">SUM(C19:C20)</f>
        <v>8269734</v>
      </c>
      <c r="D21" s="110">
        <f t="shared" si="13"/>
        <v>4139034</v>
      </c>
      <c r="E21" s="110">
        <f t="shared" si="13"/>
        <v>4139034</v>
      </c>
      <c r="F21" s="110">
        <f t="shared" si="13"/>
        <v>4139034</v>
      </c>
      <c r="G21" s="110">
        <f t="shared" si="13"/>
        <v>4096015</v>
      </c>
      <c r="H21" s="110">
        <f t="shared" si="13"/>
        <v>4380391</v>
      </c>
      <c r="I21" s="110">
        <f t="shared" si="13"/>
        <v>4584568</v>
      </c>
      <c r="J21" s="110">
        <f t="shared" si="13"/>
        <v>4609568</v>
      </c>
      <c r="K21" s="110">
        <f t="shared" si="13"/>
        <v>4467380</v>
      </c>
      <c r="L21" s="110">
        <f t="shared" si="13"/>
        <v>4751464</v>
      </c>
      <c r="M21" s="110">
        <f t="shared" si="13"/>
        <v>4777714</v>
      </c>
      <c r="N21" s="110">
        <f t="shared" si="13"/>
        <v>5072714</v>
      </c>
      <c r="O21" s="110">
        <f t="shared" si="13"/>
        <v>5072714</v>
      </c>
      <c r="P21" s="110">
        <f t="shared" si="13"/>
        <v>54229630</v>
      </c>
      <c r="Q21" s="41">
        <f>SUM(D21:O21)</f>
        <v>54229630</v>
      </c>
    </row>
    <row r="22" spans="1:17" x14ac:dyDescent="0.25">
      <c r="C22" s="41">
        <f t="shared" ref="C22:O22" si="14">C16+C11</f>
        <v>8269734</v>
      </c>
      <c r="D22" s="41">
        <f t="shared" si="14"/>
        <v>4139034</v>
      </c>
      <c r="E22" s="41">
        <f t="shared" si="14"/>
        <v>4139034</v>
      </c>
      <c r="F22" s="41">
        <f t="shared" si="14"/>
        <v>4139034</v>
      </c>
      <c r="G22" s="41">
        <f t="shared" si="14"/>
        <v>4096015</v>
      </c>
      <c r="H22" s="41">
        <f t="shared" si="14"/>
        <v>4380391</v>
      </c>
      <c r="I22" s="41">
        <f t="shared" si="14"/>
        <v>4584568</v>
      </c>
      <c r="J22" s="41">
        <f t="shared" si="14"/>
        <v>4609568</v>
      </c>
      <c r="K22" s="41">
        <f t="shared" si="14"/>
        <v>4467380</v>
      </c>
      <c r="L22" s="41">
        <f t="shared" si="14"/>
        <v>4751464</v>
      </c>
      <c r="M22" s="41">
        <f t="shared" si="14"/>
        <v>4777714</v>
      </c>
      <c r="N22" s="41">
        <f>N16+N11</f>
        <v>5072714</v>
      </c>
      <c r="O22" s="41">
        <f t="shared" si="14"/>
        <v>5072714</v>
      </c>
      <c r="P22" s="41">
        <f>P16+P11</f>
        <v>54229630</v>
      </c>
    </row>
    <row r="23" spans="1:17" x14ac:dyDescent="0.25">
      <c r="C23" s="41">
        <f>C21-C22</f>
        <v>0</v>
      </c>
      <c r="D23" s="41">
        <f t="shared" ref="D23:P23" si="15">D21-D22</f>
        <v>0</v>
      </c>
      <c r="E23" s="41">
        <f t="shared" si="15"/>
        <v>0</v>
      </c>
      <c r="F23" s="41">
        <f t="shared" si="15"/>
        <v>0</v>
      </c>
      <c r="G23" s="41">
        <f t="shared" si="15"/>
        <v>0</v>
      </c>
      <c r="H23" s="41">
        <f t="shared" si="15"/>
        <v>0</v>
      </c>
      <c r="I23" s="41">
        <f t="shared" si="15"/>
        <v>0</v>
      </c>
      <c r="J23" s="41">
        <f t="shared" si="15"/>
        <v>0</v>
      </c>
      <c r="K23" s="41">
        <f t="shared" si="15"/>
        <v>0</v>
      </c>
      <c r="L23" s="41">
        <f t="shared" si="15"/>
        <v>0</v>
      </c>
      <c r="M23" s="41">
        <f t="shared" si="15"/>
        <v>0</v>
      </c>
      <c r="N23" s="41">
        <f t="shared" si="15"/>
        <v>0</v>
      </c>
      <c r="O23" s="41">
        <f t="shared" si="15"/>
        <v>0</v>
      </c>
      <c r="P23" s="41">
        <f t="shared" si="15"/>
        <v>0</v>
      </c>
    </row>
    <row r="24" spans="1:17" x14ac:dyDescent="0.25">
      <c r="P24" s="41">
        <v>49009986</v>
      </c>
    </row>
    <row r="25" spans="1:17" x14ac:dyDescent="0.25">
      <c r="P25" s="41">
        <f>P16-P24</f>
        <v>0</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3:U74"/>
  <sheetViews>
    <sheetView topLeftCell="A52" workbookViewId="0">
      <selection activeCell="H36" sqref="H36"/>
    </sheetView>
  </sheetViews>
  <sheetFormatPr defaultRowHeight="15" x14ac:dyDescent="0.25"/>
  <cols>
    <col min="1" max="1" width="13.140625" bestFit="1" customWidth="1"/>
    <col min="2" max="13" width="17.85546875" bestFit="1" customWidth="1"/>
    <col min="14" max="14" width="11.28515625" bestFit="1" customWidth="1"/>
    <col min="15" max="16" width="10.42578125" bestFit="1" customWidth="1"/>
    <col min="17" max="17" width="11.28515625" bestFit="1" customWidth="1"/>
    <col min="18" max="19" width="10.42578125" bestFit="1" customWidth="1"/>
    <col min="20" max="20" width="11.28515625" bestFit="1" customWidth="1"/>
    <col min="21" max="22" width="10.42578125" bestFit="1" customWidth="1"/>
    <col min="23" max="23" width="11.28515625" bestFit="1" customWidth="1"/>
    <col min="24" max="40" width="16.140625" bestFit="1" customWidth="1"/>
    <col min="41" max="41" width="10.7109375" bestFit="1" customWidth="1"/>
    <col min="42" max="42" width="13.28515625" bestFit="1" customWidth="1"/>
    <col min="43" max="43" width="11" bestFit="1" customWidth="1"/>
    <col min="44" max="44" width="9.28515625" bestFit="1" customWidth="1"/>
    <col min="45" max="46" width="6.7109375" bestFit="1" customWidth="1"/>
    <col min="47" max="47" width="9.28515625" bestFit="1" customWidth="1"/>
    <col min="48" max="48" width="9.7109375" bestFit="1" customWidth="1"/>
    <col min="49" max="62" width="8.28515625" bestFit="1" customWidth="1"/>
  </cols>
  <sheetData>
    <row r="3" spans="1:21" ht="64.150000000000006" customHeight="1" x14ac:dyDescent="0.25">
      <c r="A3" s="4" t="s">
        <v>136</v>
      </c>
      <c r="C3" s="4" t="s">
        <v>238</v>
      </c>
      <c r="D3" s="4" t="s">
        <v>240</v>
      </c>
      <c r="E3" s="4" t="s">
        <v>278</v>
      </c>
    </row>
    <row r="4" spans="1:21" x14ac:dyDescent="0.25">
      <c r="C4">
        <v>2019</v>
      </c>
      <c r="E4" t="s">
        <v>272</v>
      </c>
      <c r="F4">
        <v>2020</v>
      </c>
      <c r="R4" t="s">
        <v>250</v>
      </c>
      <c r="S4">
        <v>2021</v>
      </c>
      <c r="T4">
        <v>2022</v>
      </c>
      <c r="U4" t="s">
        <v>138</v>
      </c>
    </row>
    <row r="5" spans="1:21" x14ac:dyDescent="0.25">
      <c r="C5" t="s">
        <v>162</v>
      </c>
      <c r="D5" t="s">
        <v>279</v>
      </c>
      <c r="F5" t="s">
        <v>140</v>
      </c>
      <c r="G5" t="s">
        <v>141</v>
      </c>
      <c r="H5" t="s">
        <v>142</v>
      </c>
      <c r="I5" t="s">
        <v>143</v>
      </c>
      <c r="J5" t="s">
        <v>144</v>
      </c>
      <c r="K5" t="s">
        <v>145</v>
      </c>
      <c r="L5" t="s">
        <v>146</v>
      </c>
      <c r="M5" t="s">
        <v>147</v>
      </c>
      <c r="N5" t="s">
        <v>148</v>
      </c>
      <c r="O5" t="s">
        <v>149</v>
      </c>
      <c r="P5" t="s">
        <v>150</v>
      </c>
      <c r="Q5" t="s">
        <v>162</v>
      </c>
    </row>
    <row r="6" spans="1:21" x14ac:dyDescent="0.25">
      <c r="A6" s="4" t="s">
        <v>232</v>
      </c>
      <c r="B6" s="4" t="s">
        <v>270</v>
      </c>
      <c r="C6" s="6">
        <v>43800</v>
      </c>
    </row>
    <row r="7" spans="1:21" x14ac:dyDescent="0.25">
      <c r="A7" t="s">
        <v>237</v>
      </c>
      <c r="B7" t="s">
        <v>251</v>
      </c>
      <c r="C7" s="5">
        <v>135400</v>
      </c>
      <c r="D7" s="5">
        <v>135400</v>
      </c>
      <c r="E7" s="5">
        <v>135400</v>
      </c>
      <c r="F7" s="5">
        <v>135400</v>
      </c>
      <c r="G7" s="5">
        <v>135400</v>
      </c>
      <c r="H7" s="5">
        <v>135400</v>
      </c>
      <c r="I7" s="5">
        <v>135400</v>
      </c>
      <c r="J7" s="5">
        <v>135400</v>
      </c>
      <c r="K7" s="5">
        <v>135400</v>
      </c>
      <c r="L7" s="5">
        <v>135400</v>
      </c>
      <c r="M7" s="5">
        <v>135400</v>
      </c>
      <c r="N7" s="5">
        <v>135400</v>
      </c>
      <c r="O7" s="5">
        <v>135400</v>
      </c>
      <c r="P7" s="5">
        <v>135400</v>
      </c>
      <c r="Q7" s="5">
        <v>135400</v>
      </c>
      <c r="R7" s="5">
        <v>1624800</v>
      </c>
      <c r="S7" s="5"/>
      <c r="T7" s="5"/>
      <c r="U7" s="5">
        <v>1760200</v>
      </c>
    </row>
    <row r="8" spans="1:21" x14ac:dyDescent="0.25">
      <c r="B8" t="s">
        <v>252</v>
      </c>
      <c r="C8" s="5">
        <v>111130</v>
      </c>
      <c r="D8" s="5">
        <v>111130</v>
      </c>
      <c r="E8" s="5">
        <v>111130</v>
      </c>
      <c r="F8" s="5">
        <v>111130</v>
      </c>
      <c r="G8" s="5">
        <v>111130</v>
      </c>
      <c r="H8" s="5">
        <v>111130</v>
      </c>
      <c r="I8" s="5">
        <v>111130</v>
      </c>
      <c r="J8" s="5">
        <v>111130</v>
      </c>
      <c r="K8" s="5">
        <v>111130</v>
      </c>
      <c r="L8" s="5">
        <v>111130</v>
      </c>
      <c r="M8" s="5">
        <v>111130</v>
      </c>
      <c r="N8" s="5">
        <v>111130</v>
      </c>
      <c r="O8" s="5">
        <v>111130</v>
      </c>
      <c r="P8" s="5">
        <v>111130</v>
      </c>
      <c r="Q8" s="5">
        <v>111130</v>
      </c>
      <c r="R8" s="5">
        <v>1333560</v>
      </c>
      <c r="S8" s="5"/>
      <c r="T8" s="5"/>
      <c r="U8" s="5">
        <v>1444690</v>
      </c>
    </row>
    <row r="9" spans="1:21" x14ac:dyDescent="0.25">
      <c r="B9" t="s">
        <v>254</v>
      </c>
      <c r="C9" s="5"/>
      <c r="D9" s="5"/>
      <c r="E9" s="5"/>
      <c r="F9" s="5"/>
      <c r="G9" s="5"/>
      <c r="H9" s="5"/>
      <c r="I9" s="5"/>
      <c r="J9" s="5"/>
      <c r="K9" s="5"/>
      <c r="L9" s="5"/>
      <c r="M9" s="5"/>
      <c r="N9" s="5"/>
      <c r="O9" s="5"/>
      <c r="P9" s="5"/>
      <c r="Q9" s="5"/>
      <c r="R9" s="5"/>
      <c r="S9" s="5">
        <v>163958</v>
      </c>
      <c r="T9" s="5"/>
      <c r="U9" s="5">
        <v>163958</v>
      </c>
    </row>
    <row r="10" spans="1:21" x14ac:dyDescent="0.25">
      <c r="B10" t="s">
        <v>255</v>
      </c>
      <c r="C10" s="5"/>
      <c r="D10" s="5"/>
      <c r="E10" s="5"/>
      <c r="F10" s="5"/>
      <c r="G10" s="5"/>
      <c r="H10" s="5"/>
      <c r="I10" s="5"/>
      <c r="J10" s="5"/>
      <c r="K10" s="5">
        <v>176172</v>
      </c>
      <c r="L10" s="5">
        <v>176172</v>
      </c>
      <c r="M10" s="5">
        <v>176172</v>
      </c>
      <c r="N10" s="5">
        <v>176172</v>
      </c>
      <c r="O10" s="5">
        <v>176172</v>
      </c>
      <c r="P10" s="5">
        <v>176172</v>
      </c>
      <c r="Q10" s="5">
        <v>176172</v>
      </c>
      <c r="R10" s="5">
        <v>1233204</v>
      </c>
      <c r="S10" s="5"/>
      <c r="T10" s="5"/>
      <c r="U10" s="5">
        <v>1233204</v>
      </c>
    </row>
    <row r="11" spans="1:21" x14ac:dyDescent="0.25">
      <c r="B11" t="s">
        <v>256</v>
      </c>
      <c r="C11" s="5"/>
      <c r="D11" s="5"/>
      <c r="E11" s="5"/>
      <c r="F11" s="5"/>
      <c r="G11" s="5"/>
      <c r="H11" s="5"/>
      <c r="I11" s="5"/>
      <c r="J11" s="5"/>
      <c r="K11" s="5"/>
      <c r="L11" s="5"/>
      <c r="M11" s="5"/>
      <c r="N11" s="5"/>
      <c r="O11" s="5"/>
      <c r="P11" s="5"/>
      <c r="Q11" s="5"/>
      <c r="R11" s="5"/>
      <c r="S11" s="5">
        <v>145833</v>
      </c>
      <c r="T11" s="5"/>
      <c r="U11" s="5">
        <v>145833</v>
      </c>
    </row>
    <row r="12" spans="1:21" x14ac:dyDescent="0.25">
      <c r="B12" t="s">
        <v>257</v>
      </c>
      <c r="C12" s="5"/>
      <c r="D12" s="5"/>
      <c r="E12" s="5"/>
      <c r="F12" s="5"/>
      <c r="G12" s="5"/>
      <c r="H12" s="5"/>
      <c r="I12" s="5"/>
      <c r="J12" s="5"/>
      <c r="K12" s="5"/>
      <c r="L12" s="5">
        <v>52500</v>
      </c>
      <c r="M12" s="5">
        <v>52500</v>
      </c>
      <c r="N12" s="5">
        <v>52500</v>
      </c>
      <c r="O12" s="5">
        <v>52500</v>
      </c>
      <c r="P12" s="5">
        <v>52500</v>
      </c>
      <c r="Q12" s="5">
        <v>52500</v>
      </c>
      <c r="R12" s="5">
        <v>315000</v>
      </c>
      <c r="S12" s="5"/>
      <c r="T12" s="5"/>
      <c r="U12" s="5">
        <v>315000</v>
      </c>
    </row>
    <row r="13" spans="1:21" x14ac:dyDescent="0.25">
      <c r="B13" t="s">
        <v>273</v>
      </c>
      <c r="C13" s="5"/>
      <c r="D13" s="5"/>
      <c r="E13" s="5"/>
      <c r="F13" s="5"/>
      <c r="G13" s="5"/>
      <c r="H13" s="5"/>
      <c r="I13" s="5"/>
      <c r="J13" s="5"/>
      <c r="K13" s="5"/>
      <c r="L13" s="5"/>
      <c r="M13" s="5"/>
      <c r="N13" s="5"/>
      <c r="O13" s="5"/>
      <c r="P13" s="5"/>
      <c r="Q13" s="5"/>
      <c r="R13" s="5"/>
      <c r="S13" s="5"/>
      <c r="T13" s="5">
        <v>1174666</v>
      </c>
      <c r="U13" s="5">
        <v>1174666</v>
      </c>
    </row>
    <row r="14" spans="1:21" x14ac:dyDescent="0.25">
      <c r="B14" t="s">
        <v>288</v>
      </c>
      <c r="C14" s="5"/>
      <c r="D14" s="5"/>
      <c r="E14" s="5"/>
      <c r="F14" s="5"/>
      <c r="G14" s="5"/>
      <c r="H14" s="5"/>
      <c r="I14" s="5"/>
      <c r="J14" s="5"/>
      <c r="K14" s="5"/>
      <c r="L14" s="5"/>
      <c r="M14" s="5"/>
      <c r="N14" s="5"/>
      <c r="O14" s="5"/>
      <c r="P14" s="5"/>
      <c r="Q14" s="5"/>
      <c r="R14" s="5"/>
      <c r="S14" s="5"/>
      <c r="T14" s="5">
        <v>1795046</v>
      </c>
      <c r="U14" s="5">
        <v>1795046</v>
      </c>
    </row>
    <row r="15" spans="1:21" x14ac:dyDescent="0.25">
      <c r="B15" t="s">
        <v>262</v>
      </c>
      <c r="C15" s="5"/>
      <c r="D15" s="5"/>
      <c r="E15" s="5"/>
      <c r="F15" s="5"/>
      <c r="G15" s="5"/>
      <c r="H15" s="5"/>
      <c r="I15" s="5"/>
      <c r="J15" s="5"/>
      <c r="K15" s="5"/>
      <c r="L15" s="5"/>
      <c r="M15" s="5"/>
      <c r="N15" s="5"/>
      <c r="O15" s="5"/>
      <c r="P15" s="5"/>
      <c r="Q15" s="5">
        <v>2917</v>
      </c>
      <c r="R15" s="5">
        <v>2917</v>
      </c>
      <c r="S15" s="5"/>
      <c r="T15" s="5"/>
      <c r="U15" s="5">
        <v>2917</v>
      </c>
    </row>
    <row r="16" spans="1:21" x14ac:dyDescent="0.25">
      <c r="B16" t="s">
        <v>282</v>
      </c>
      <c r="C16" s="5"/>
      <c r="D16" s="5"/>
      <c r="E16" s="5"/>
      <c r="F16" s="5"/>
      <c r="G16" s="5">
        <v>20708</v>
      </c>
      <c r="H16" s="5">
        <v>20708</v>
      </c>
      <c r="I16" s="5">
        <v>20708</v>
      </c>
      <c r="J16" s="5">
        <v>20708</v>
      </c>
      <c r="K16" s="5">
        <v>20708</v>
      </c>
      <c r="L16" s="5">
        <v>20708</v>
      </c>
      <c r="M16" s="5">
        <v>20708</v>
      </c>
      <c r="N16" s="5">
        <v>20708</v>
      </c>
      <c r="O16" s="5">
        <v>20708</v>
      </c>
      <c r="P16" s="5">
        <v>20708</v>
      </c>
      <c r="Q16" s="5">
        <v>20708</v>
      </c>
      <c r="R16" s="5">
        <v>227788</v>
      </c>
      <c r="S16" s="5"/>
      <c r="T16" s="5"/>
      <c r="U16" s="5">
        <v>227788</v>
      </c>
    </row>
    <row r="17" spans="1:21" x14ac:dyDescent="0.25">
      <c r="B17" t="s">
        <v>265</v>
      </c>
      <c r="C17" s="5"/>
      <c r="D17" s="5"/>
      <c r="E17" s="5"/>
      <c r="F17" s="5"/>
      <c r="G17" s="5"/>
      <c r="H17" s="5"/>
      <c r="I17" s="5"/>
      <c r="J17" s="5"/>
      <c r="K17" s="5"/>
      <c r="L17" s="5"/>
      <c r="M17" s="5"/>
      <c r="N17" s="5"/>
      <c r="O17" s="5"/>
      <c r="P17" s="5"/>
      <c r="Q17" s="5">
        <v>295000</v>
      </c>
      <c r="R17" s="5">
        <v>295000</v>
      </c>
      <c r="S17" s="5"/>
      <c r="T17" s="5"/>
      <c r="U17" s="5">
        <v>295000</v>
      </c>
    </row>
    <row r="18" spans="1:21" x14ac:dyDescent="0.25">
      <c r="B18" t="s">
        <v>266</v>
      </c>
      <c r="C18" s="5"/>
      <c r="D18" s="5"/>
      <c r="E18" s="5"/>
      <c r="F18" s="5"/>
      <c r="G18" s="5"/>
      <c r="H18" s="5"/>
      <c r="I18" s="5"/>
      <c r="J18" s="5"/>
      <c r="K18" s="5"/>
      <c r="L18" s="5"/>
      <c r="M18" s="5"/>
      <c r="N18" s="5">
        <v>216333</v>
      </c>
      <c r="O18" s="5">
        <v>216333</v>
      </c>
      <c r="P18" s="5">
        <v>216333</v>
      </c>
      <c r="Q18" s="5">
        <v>216333</v>
      </c>
      <c r="R18" s="5">
        <v>865332</v>
      </c>
      <c r="S18" s="5"/>
      <c r="T18" s="5"/>
      <c r="U18" s="5">
        <v>865332</v>
      </c>
    </row>
    <row r="19" spans="1:21" x14ac:dyDescent="0.25">
      <c r="B19" t="s">
        <v>267</v>
      </c>
      <c r="C19" s="5"/>
      <c r="D19" s="5"/>
      <c r="E19" s="5"/>
      <c r="F19" s="5"/>
      <c r="G19" s="5"/>
      <c r="H19" s="5"/>
      <c r="I19" s="5"/>
      <c r="J19" s="5"/>
      <c r="K19" s="5"/>
      <c r="L19" s="5"/>
      <c r="M19" s="5"/>
      <c r="N19" s="5"/>
      <c r="O19" s="5"/>
      <c r="P19" s="5"/>
      <c r="Q19" s="5">
        <v>29500</v>
      </c>
      <c r="R19" s="5">
        <v>29500</v>
      </c>
      <c r="S19" s="5"/>
      <c r="T19" s="5"/>
      <c r="U19" s="5">
        <v>29500</v>
      </c>
    </row>
    <row r="20" spans="1:21" x14ac:dyDescent="0.25">
      <c r="B20" t="s">
        <v>287</v>
      </c>
      <c r="C20" s="5"/>
      <c r="D20" s="5"/>
      <c r="E20" s="5"/>
      <c r="F20" s="5"/>
      <c r="G20" s="5"/>
      <c r="H20" s="5"/>
      <c r="I20" s="5"/>
      <c r="J20" s="5"/>
      <c r="K20" s="5"/>
      <c r="L20" s="5"/>
      <c r="M20" s="5"/>
      <c r="N20" s="5"/>
      <c r="O20" s="5"/>
      <c r="P20" s="5"/>
      <c r="Q20" s="5">
        <v>3153</v>
      </c>
      <c r="R20" s="5">
        <v>3153</v>
      </c>
      <c r="S20" s="5"/>
      <c r="T20" s="5"/>
      <c r="U20" s="5">
        <v>3153</v>
      </c>
    </row>
    <row r="21" spans="1:21" x14ac:dyDescent="0.25">
      <c r="B21" t="s">
        <v>268</v>
      </c>
      <c r="C21" s="5"/>
      <c r="D21" s="5"/>
      <c r="E21" s="5"/>
      <c r="F21" s="5"/>
      <c r="G21" s="5"/>
      <c r="H21" s="5"/>
      <c r="I21" s="5"/>
      <c r="J21" s="5"/>
      <c r="K21" s="5">
        <v>3278</v>
      </c>
      <c r="L21" s="5">
        <v>3278</v>
      </c>
      <c r="M21" s="5">
        <v>3278</v>
      </c>
      <c r="N21" s="5">
        <v>3278</v>
      </c>
      <c r="O21" s="5">
        <v>3278</v>
      </c>
      <c r="P21" s="5">
        <v>3278</v>
      </c>
      <c r="Q21" s="5">
        <v>3278</v>
      </c>
      <c r="R21" s="5">
        <v>22946</v>
      </c>
      <c r="S21" s="5"/>
      <c r="T21" s="5"/>
      <c r="U21" s="5">
        <v>22946</v>
      </c>
    </row>
    <row r="22" spans="1:21" x14ac:dyDescent="0.25">
      <c r="A22" t="s">
        <v>280</v>
      </c>
      <c r="C22" s="5">
        <v>246530</v>
      </c>
      <c r="D22" s="5">
        <v>246530</v>
      </c>
      <c r="E22" s="5">
        <v>246530</v>
      </c>
      <c r="F22" s="5">
        <v>246530</v>
      </c>
      <c r="G22" s="5">
        <v>267238</v>
      </c>
      <c r="H22" s="5">
        <v>267238</v>
      </c>
      <c r="I22" s="5">
        <v>267238</v>
      </c>
      <c r="J22" s="5">
        <v>267238</v>
      </c>
      <c r="K22" s="5">
        <v>446688</v>
      </c>
      <c r="L22" s="5">
        <v>499188</v>
      </c>
      <c r="M22" s="5">
        <v>499188</v>
      </c>
      <c r="N22" s="5">
        <v>715521</v>
      </c>
      <c r="O22" s="5">
        <v>715521</v>
      </c>
      <c r="P22" s="5">
        <v>715521</v>
      </c>
      <c r="Q22" s="5">
        <v>1046091</v>
      </c>
      <c r="R22" s="5">
        <v>5953200</v>
      </c>
      <c r="S22" s="5">
        <v>309791</v>
      </c>
      <c r="T22" s="5">
        <v>2969712</v>
      </c>
      <c r="U22" s="5">
        <v>9479233</v>
      </c>
    </row>
    <row r="23" spans="1:21" x14ac:dyDescent="0.25">
      <c r="A23" t="s">
        <v>298</v>
      </c>
      <c r="B23" t="s">
        <v>253</v>
      </c>
      <c r="C23" s="5"/>
      <c r="D23" s="5"/>
      <c r="E23" s="5"/>
      <c r="F23" s="5"/>
      <c r="G23" s="5"/>
      <c r="H23" s="5"/>
      <c r="I23" s="5"/>
      <c r="J23" s="5"/>
      <c r="K23" s="5"/>
      <c r="L23" s="5"/>
      <c r="M23" s="5"/>
      <c r="N23" s="5"/>
      <c r="O23" s="5"/>
      <c r="P23" s="5"/>
      <c r="Q23" s="5"/>
      <c r="R23" s="5"/>
      <c r="S23" s="5">
        <v>87500</v>
      </c>
      <c r="T23" s="5"/>
      <c r="U23" s="5">
        <v>87500</v>
      </c>
    </row>
    <row r="24" spans="1:21" x14ac:dyDescent="0.25">
      <c r="B24" t="s">
        <v>258</v>
      </c>
      <c r="C24" s="5"/>
      <c r="D24" s="5"/>
      <c r="E24" s="5"/>
      <c r="F24" s="5"/>
      <c r="G24" s="5"/>
      <c r="H24" s="5"/>
      <c r="I24" s="5"/>
      <c r="J24" s="5"/>
      <c r="K24" s="5"/>
      <c r="L24" s="5"/>
      <c r="M24" s="5"/>
      <c r="N24" s="5">
        <v>19667</v>
      </c>
      <c r="O24" s="5">
        <v>19667</v>
      </c>
      <c r="P24" s="5">
        <v>19667</v>
      </c>
      <c r="Q24" s="5">
        <v>19667</v>
      </c>
      <c r="R24" s="5">
        <v>78668</v>
      </c>
      <c r="S24" s="5"/>
      <c r="T24" s="5"/>
      <c r="U24" s="5">
        <v>78668</v>
      </c>
    </row>
    <row r="25" spans="1:21" x14ac:dyDescent="0.25">
      <c r="B25" t="s">
        <v>259</v>
      </c>
      <c r="C25" s="5"/>
      <c r="D25" s="5"/>
      <c r="E25" s="5"/>
      <c r="F25" s="5"/>
      <c r="G25" s="5"/>
      <c r="H25" s="5"/>
      <c r="I25" s="5"/>
      <c r="J25" s="5"/>
      <c r="K25" s="5"/>
      <c r="L25" s="5"/>
      <c r="M25" s="5"/>
      <c r="N25" s="5">
        <v>49167</v>
      </c>
      <c r="O25" s="5">
        <v>49167</v>
      </c>
      <c r="P25" s="5">
        <v>49167</v>
      </c>
      <c r="Q25" s="5">
        <v>49167</v>
      </c>
      <c r="R25" s="5">
        <v>196668</v>
      </c>
      <c r="S25" s="5"/>
      <c r="T25" s="5"/>
      <c r="U25" s="5">
        <v>196668</v>
      </c>
    </row>
    <row r="26" spans="1:21" x14ac:dyDescent="0.25">
      <c r="B26" t="s">
        <v>260</v>
      </c>
      <c r="C26" s="5"/>
      <c r="D26" s="5"/>
      <c r="E26" s="5"/>
      <c r="F26" s="5">
        <v>295000</v>
      </c>
      <c r="G26" s="5">
        <v>295000</v>
      </c>
      <c r="H26" s="5">
        <v>295000</v>
      </c>
      <c r="I26" s="5">
        <v>295000</v>
      </c>
      <c r="J26" s="5">
        <v>295000</v>
      </c>
      <c r="K26" s="5">
        <v>295000</v>
      </c>
      <c r="L26" s="5">
        <v>295000</v>
      </c>
      <c r="M26" s="5">
        <v>295000</v>
      </c>
      <c r="N26" s="5">
        <v>295000</v>
      </c>
      <c r="O26" s="5">
        <v>295000</v>
      </c>
      <c r="P26" s="5">
        <v>295000</v>
      </c>
      <c r="Q26" s="5">
        <v>295000</v>
      </c>
      <c r="R26" s="5">
        <v>3540000</v>
      </c>
      <c r="S26" s="5"/>
      <c r="T26" s="5"/>
      <c r="U26" s="5">
        <v>3540000</v>
      </c>
    </row>
    <row r="27" spans="1:21" x14ac:dyDescent="0.25">
      <c r="B27" t="s">
        <v>261</v>
      </c>
      <c r="C27" s="5"/>
      <c r="D27" s="5"/>
      <c r="E27" s="5"/>
      <c r="F27" s="5"/>
      <c r="G27" s="5"/>
      <c r="H27" s="5"/>
      <c r="I27" s="5"/>
      <c r="J27" s="5"/>
      <c r="K27" s="5"/>
      <c r="L27" s="5"/>
      <c r="M27" s="5"/>
      <c r="N27" s="5"/>
      <c r="O27" s="5"/>
      <c r="P27" s="5"/>
      <c r="Q27" s="5"/>
      <c r="R27" s="5"/>
      <c r="S27" s="5">
        <v>16667</v>
      </c>
      <c r="T27" s="5"/>
      <c r="U27" s="5">
        <v>16667</v>
      </c>
    </row>
    <row r="28" spans="1:21" x14ac:dyDescent="0.25">
      <c r="B28" t="s">
        <v>263</v>
      </c>
      <c r="C28" s="5"/>
      <c r="D28" s="5"/>
      <c r="E28" s="5"/>
      <c r="F28" s="5"/>
      <c r="G28" s="5"/>
      <c r="H28" s="5"/>
      <c r="I28" s="5"/>
      <c r="J28" s="5"/>
      <c r="K28" s="5"/>
      <c r="L28" s="5"/>
      <c r="M28" s="5"/>
      <c r="N28" s="5"/>
      <c r="O28" s="5"/>
      <c r="P28" s="5"/>
      <c r="Q28" s="5"/>
      <c r="R28" s="5"/>
      <c r="S28" s="5">
        <v>17872</v>
      </c>
      <c r="T28" s="5"/>
      <c r="U28" s="5">
        <v>17872</v>
      </c>
    </row>
    <row r="29" spans="1:21" x14ac:dyDescent="0.25">
      <c r="B29" t="s">
        <v>286</v>
      </c>
      <c r="C29" s="5"/>
      <c r="D29" s="5"/>
      <c r="E29" s="5"/>
      <c r="F29" s="5">
        <v>146320</v>
      </c>
      <c r="G29" s="5">
        <v>146320</v>
      </c>
      <c r="H29" s="5">
        <v>146320</v>
      </c>
      <c r="I29" s="5">
        <v>146320</v>
      </c>
      <c r="J29" s="5">
        <v>146320</v>
      </c>
      <c r="K29" s="5">
        <v>146320</v>
      </c>
      <c r="L29" s="5">
        <v>146320</v>
      </c>
      <c r="M29" s="5">
        <v>146320</v>
      </c>
      <c r="N29" s="5">
        <v>146320</v>
      </c>
      <c r="O29" s="5">
        <v>146320</v>
      </c>
      <c r="P29" s="5">
        <v>146320</v>
      </c>
      <c r="Q29" s="5">
        <v>146320</v>
      </c>
      <c r="R29" s="5">
        <v>1755840</v>
      </c>
      <c r="S29" s="5"/>
      <c r="T29" s="5"/>
      <c r="U29" s="5">
        <v>1755840</v>
      </c>
    </row>
    <row r="30" spans="1:21" x14ac:dyDescent="0.25">
      <c r="B30" t="s">
        <v>289</v>
      </c>
      <c r="C30" s="5"/>
      <c r="D30" s="5"/>
      <c r="E30" s="5"/>
      <c r="F30" s="5"/>
      <c r="G30" s="5"/>
      <c r="H30" s="5"/>
      <c r="I30" s="5"/>
      <c r="J30" s="5"/>
      <c r="K30" s="5"/>
      <c r="L30" s="5"/>
      <c r="M30" s="5"/>
      <c r="N30" s="5"/>
      <c r="O30" s="5"/>
      <c r="P30" s="5"/>
      <c r="Q30" s="5"/>
      <c r="R30" s="5"/>
      <c r="S30" s="5">
        <v>1967</v>
      </c>
      <c r="T30" s="5"/>
      <c r="U30" s="5">
        <v>1967</v>
      </c>
    </row>
    <row r="31" spans="1:21" x14ac:dyDescent="0.25">
      <c r="A31" t="s">
        <v>299</v>
      </c>
      <c r="C31" s="5"/>
      <c r="D31" s="5"/>
      <c r="E31" s="5"/>
      <c r="F31" s="5">
        <v>441320</v>
      </c>
      <c r="G31" s="5">
        <v>441320</v>
      </c>
      <c r="H31" s="5">
        <v>441320</v>
      </c>
      <c r="I31" s="5">
        <v>441320</v>
      </c>
      <c r="J31" s="5">
        <v>441320</v>
      </c>
      <c r="K31" s="5">
        <v>441320</v>
      </c>
      <c r="L31" s="5">
        <v>441320</v>
      </c>
      <c r="M31" s="5">
        <v>441320</v>
      </c>
      <c r="N31" s="5">
        <v>510154</v>
      </c>
      <c r="O31" s="5">
        <v>510154</v>
      </c>
      <c r="P31" s="5">
        <v>510154</v>
      </c>
      <c r="Q31" s="5">
        <v>510154</v>
      </c>
      <c r="R31" s="5">
        <v>5571176</v>
      </c>
      <c r="S31" s="5">
        <v>124006</v>
      </c>
      <c r="T31" s="5"/>
      <c r="U31" s="5">
        <v>5695182</v>
      </c>
    </row>
    <row r="32" spans="1:21" x14ac:dyDescent="0.25">
      <c r="A32" t="s">
        <v>328</v>
      </c>
      <c r="B32" t="s">
        <v>264</v>
      </c>
      <c r="C32" s="5"/>
      <c r="D32" s="5"/>
      <c r="E32" s="5"/>
      <c r="F32" s="5"/>
      <c r="G32" s="5"/>
      <c r="H32" s="5"/>
      <c r="I32" s="5"/>
      <c r="J32" s="5"/>
      <c r="K32" s="5"/>
      <c r="L32" s="5"/>
      <c r="M32" s="5"/>
      <c r="N32" s="5"/>
      <c r="O32" s="5"/>
      <c r="P32" s="5"/>
      <c r="Q32" s="5"/>
      <c r="R32" s="5"/>
      <c r="S32" s="5">
        <v>37500</v>
      </c>
      <c r="T32" s="5"/>
      <c r="U32" s="5">
        <v>37500</v>
      </c>
    </row>
    <row r="33" spans="1:21" x14ac:dyDescent="0.25">
      <c r="B33" t="s">
        <v>285</v>
      </c>
      <c r="C33" s="5"/>
      <c r="D33" s="5"/>
      <c r="E33" s="5"/>
      <c r="F33" s="5"/>
      <c r="G33" s="5"/>
      <c r="H33" s="5">
        <v>126349</v>
      </c>
      <c r="I33" s="5">
        <v>126349</v>
      </c>
      <c r="J33" s="5">
        <v>126349</v>
      </c>
      <c r="K33" s="5">
        <v>126349</v>
      </c>
      <c r="L33" s="5">
        <v>126349</v>
      </c>
      <c r="M33" s="5">
        <v>126349</v>
      </c>
      <c r="N33" s="5">
        <v>126349</v>
      </c>
      <c r="O33" s="5">
        <v>126349</v>
      </c>
      <c r="P33" s="5">
        <v>126349</v>
      </c>
      <c r="Q33" s="5">
        <v>126349</v>
      </c>
      <c r="R33" s="5">
        <v>1263490</v>
      </c>
      <c r="S33" s="5"/>
      <c r="T33" s="5"/>
      <c r="U33" s="5">
        <v>1263490</v>
      </c>
    </row>
    <row r="34" spans="1:21" x14ac:dyDescent="0.25">
      <c r="B34" t="s">
        <v>283</v>
      </c>
      <c r="C34" s="5"/>
      <c r="D34" s="5"/>
      <c r="E34" s="5"/>
      <c r="F34" s="5"/>
      <c r="G34" s="5"/>
      <c r="H34" s="5"/>
      <c r="I34" s="5"/>
      <c r="J34" s="5"/>
      <c r="K34" s="5"/>
      <c r="L34" s="5">
        <v>11667</v>
      </c>
      <c r="M34" s="5">
        <v>11667</v>
      </c>
      <c r="N34" s="5">
        <v>11667</v>
      </c>
      <c r="O34" s="5">
        <v>11667</v>
      </c>
      <c r="P34" s="5">
        <v>11667</v>
      </c>
      <c r="Q34" s="5">
        <v>11667</v>
      </c>
      <c r="R34" s="5">
        <v>70002</v>
      </c>
      <c r="S34" s="5"/>
      <c r="T34" s="5"/>
      <c r="U34" s="5">
        <v>70002</v>
      </c>
    </row>
    <row r="35" spans="1:21" x14ac:dyDescent="0.25">
      <c r="B35" t="s">
        <v>284</v>
      </c>
      <c r="C35" s="5"/>
      <c r="D35" s="5"/>
      <c r="E35" s="5"/>
      <c r="F35" s="5"/>
      <c r="G35" s="5"/>
      <c r="H35" s="5">
        <v>1250</v>
      </c>
      <c r="I35" s="5">
        <v>1250</v>
      </c>
      <c r="J35" s="5">
        <v>1250</v>
      </c>
      <c r="K35" s="5">
        <v>1250</v>
      </c>
      <c r="L35" s="5">
        <v>1250</v>
      </c>
      <c r="M35" s="5">
        <v>1250</v>
      </c>
      <c r="N35" s="5">
        <v>1250</v>
      </c>
      <c r="O35" s="5">
        <v>1250</v>
      </c>
      <c r="P35" s="5">
        <v>1250</v>
      </c>
      <c r="Q35" s="5">
        <v>1250</v>
      </c>
      <c r="R35" s="5">
        <v>12500</v>
      </c>
      <c r="S35" s="5"/>
      <c r="T35" s="5"/>
      <c r="U35" s="5">
        <v>12500</v>
      </c>
    </row>
    <row r="36" spans="1:21" x14ac:dyDescent="0.25">
      <c r="A36" t="s">
        <v>329</v>
      </c>
      <c r="C36" s="5"/>
      <c r="D36" s="5"/>
      <c r="E36" s="5"/>
      <c r="F36" s="5"/>
      <c r="G36" s="5"/>
      <c r="H36" s="5">
        <v>127599</v>
      </c>
      <c r="I36" s="5">
        <v>127599</v>
      </c>
      <c r="J36" s="5">
        <v>127599</v>
      </c>
      <c r="K36" s="5">
        <v>127599</v>
      </c>
      <c r="L36" s="5">
        <v>139266</v>
      </c>
      <c r="M36" s="5">
        <v>139266</v>
      </c>
      <c r="N36" s="5">
        <v>139266</v>
      </c>
      <c r="O36" s="5">
        <v>139266</v>
      </c>
      <c r="P36" s="5">
        <v>139266</v>
      </c>
      <c r="Q36" s="5">
        <v>139266</v>
      </c>
      <c r="R36" s="5">
        <v>1345992</v>
      </c>
      <c r="S36" s="5">
        <v>37500</v>
      </c>
      <c r="T36" s="5"/>
      <c r="U36" s="5">
        <v>1383492</v>
      </c>
    </row>
    <row r="37" spans="1:21" x14ac:dyDescent="0.25">
      <c r="C37" s="5"/>
      <c r="D37" s="5"/>
      <c r="E37" s="5"/>
      <c r="F37" s="5"/>
      <c r="G37" s="5"/>
      <c r="H37" s="5"/>
      <c r="I37" s="5"/>
      <c r="J37" s="5"/>
      <c r="K37" s="5"/>
      <c r="L37" s="5"/>
      <c r="M37" s="5"/>
      <c r="N37" s="5"/>
      <c r="O37" s="5"/>
      <c r="P37" s="5"/>
      <c r="Q37" s="5"/>
      <c r="R37" s="5"/>
      <c r="S37" s="5"/>
      <c r="T37" s="5"/>
      <c r="U37" s="5"/>
    </row>
    <row r="38" spans="1:21" x14ac:dyDescent="0.25">
      <c r="C38" s="5"/>
      <c r="D38" s="5"/>
      <c r="E38" s="5"/>
      <c r="F38" s="5"/>
      <c r="G38" s="5"/>
      <c r="H38" s="5"/>
      <c r="I38" s="5"/>
      <c r="J38" s="5"/>
      <c r="K38" s="5"/>
      <c r="L38" s="5"/>
      <c r="M38" s="5"/>
      <c r="N38" s="5"/>
      <c r="O38" s="5"/>
      <c r="P38" s="5"/>
      <c r="Q38" s="5"/>
      <c r="R38" s="5"/>
      <c r="S38" s="5"/>
      <c r="T38" s="5"/>
      <c r="U38" s="5"/>
    </row>
    <row r="39" spans="1:21" x14ac:dyDescent="0.25">
      <c r="C39" s="5"/>
      <c r="D39" s="5"/>
      <c r="E39" s="5"/>
      <c r="F39" s="5"/>
      <c r="G39" s="5"/>
      <c r="H39" s="5"/>
      <c r="I39" s="5"/>
      <c r="J39" s="5"/>
      <c r="K39" s="5"/>
      <c r="L39" s="5"/>
      <c r="M39" s="5"/>
      <c r="N39" s="5"/>
      <c r="O39" s="5"/>
      <c r="P39" s="5"/>
      <c r="Q39" s="5"/>
      <c r="R39" s="5"/>
      <c r="S39" s="5"/>
      <c r="T39" s="5"/>
      <c r="U39" s="5"/>
    </row>
    <row r="40" spans="1:21" x14ac:dyDescent="0.25">
      <c r="A40" t="s">
        <v>138</v>
      </c>
      <c r="C40" s="5">
        <v>246530</v>
      </c>
      <c r="D40" s="5">
        <v>246530</v>
      </c>
      <c r="E40" s="5">
        <v>246530</v>
      </c>
      <c r="F40" s="5">
        <v>687850</v>
      </c>
      <c r="G40" s="5">
        <v>708558</v>
      </c>
      <c r="H40" s="5">
        <v>836157</v>
      </c>
      <c r="I40" s="5">
        <v>836157</v>
      </c>
      <c r="J40" s="5">
        <v>836157</v>
      </c>
      <c r="K40" s="5">
        <v>1015607</v>
      </c>
      <c r="L40" s="5">
        <v>1079774</v>
      </c>
      <c r="M40" s="5">
        <v>1079774</v>
      </c>
      <c r="N40" s="5">
        <v>1364941</v>
      </c>
      <c r="O40" s="5">
        <v>1364941</v>
      </c>
      <c r="P40" s="5">
        <v>1364941</v>
      </c>
      <c r="Q40" s="5">
        <v>1695511</v>
      </c>
      <c r="R40" s="5">
        <v>12870368</v>
      </c>
      <c r="S40" s="5">
        <v>471297</v>
      </c>
      <c r="T40" s="5">
        <v>2969712</v>
      </c>
      <c r="U40" s="5">
        <v>16557907</v>
      </c>
    </row>
    <row r="41" spans="1:21" x14ac:dyDescent="0.25">
      <c r="C41" s="5"/>
      <c r="D41" s="5"/>
      <c r="E41" s="5"/>
      <c r="F41" s="5"/>
      <c r="G41" s="5"/>
      <c r="H41" s="5"/>
      <c r="I41" s="5"/>
      <c r="J41" s="5"/>
      <c r="K41" s="5"/>
      <c r="L41" s="5"/>
      <c r="M41" s="5"/>
      <c r="N41" s="5"/>
      <c r="O41" s="5"/>
      <c r="P41" s="5"/>
      <c r="Q41" s="5"/>
      <c r="R41" s="5"/>
      <c r="S41" s="5"/>
      <c r="T41" s="5"/>
      <c r="U41" s="5"/>
    </row>
    <row r="42" spans="1:21" x14ac:dyDescent="0.25">
      <c r="C42" s="5"/>
      <c r="D42" s="5"/>
      <c r="E42" s="5"/>
      <c r="F42" s="5"/>
      <c r="G42" s="5"/>
      <c r="H42" s="5"/>
      <c r="I42" s="5"/>
      <c r="J42" s="5"/>
      <c r="K42" s="5"/>
      <c r="L42" s="5"/>
      <c r="M42" s="5"/>
      <c r="N42" s="5"/>
      <c r="O42" s="5"/>
      <c r="P42" s="5"/>
      <c r="Q42" s="5"/>
      <c r="R42" s="5"/>
      <c r="S42" s="5"/>
      <c r="T42" s="5"/>
      <c r="U42" s="5"/>
    </row>
    <row r="43" spans="1:21" x14ac:dyDescent="0.25">
      <c r="C43" s="5"/>
      <c r="D43" s="5"/>
      <c r="E43" s="5"/>
      <c r="F43" s="5"/>
      <c r="G43" s="5"/>
      <c r="H43" s="5"/>
      <c r="I43" s="5"/>
      <c r="J43" s="5"/>
      <c r="K43" s="5"/>
      <c r="L43" s="5"/>
      <c r="M43" s="5"/>
      <c r="N43" s="5"/>
      <c r="O43" s="5"/>
      <c r="P43" s="5"/>
      <c r="Q43" s="5"/>
      <c r="R43" s="5"/>
      <c r="S43" s="5"/>
      <c r="T43" s="5"/>
      <c r="U43" s="5"/>
    </row>
    <row r="44" spans="1:21" x14ac:dyDescent="0.25">
      <c r="C44" s="5"/>
      <c r="D44" s="5"/>
      <c r="E44" s="5"/>
      <c r="F44" s="5"/>
      <c r="G44" s="5"/>
      <c r="H44" s="5"/>
      <c r="I44" s="5"/>
      <c r="J44" s="5"/>
      <c r="K44" s="5"/>
      <c r="L44" s="5"/>
      <c r="M44" s="5"/>
      <c r="N44" s="5"/>
      <c r="O44" s="5"/>
      <c r="P44" s="5"/>
      <c r="Q44" s="5"/>
      <c r="R44" s="5"/>
      <c r="S44" s="5"/>
      <c r="T44" s="5"/>
      <c r="U44" s="5"/>
    </row>
    <row r="45" spans="1:21" x14ac:dyDescent="0.25">
      <c r="C45" s="5"/>
      <c r="D45" s="5"/>
      <c r="E45" s="5"/>
      <c r="F45" s="5"/>
      <c r="G45" s="5"/>
      <c r="H45" s="5"/>
      <c r="I45" s="5"/>
      <c r="J45" s="5"/>
      <c r="K45" s="5"/>
      <c r="L45" s="5"/>
      <c r="M45" s="5"/>
      <c r="N45" s="5"/>
      <c r="O45" s="5"/>
      <c r="P45" s="5"/>
      <c r="Q45" s="5"/>
      <c r="R45" s="5"/>
      <c r="S45" s="5"/>
      <c r="T45" s="5"/>
      <c r="U45" s="5"/>
    </row>
    <row r="46" spans="1:21" x14ac:dyDescent="0.25">
      <c r="C46" s="5"/>
      <c r="D46" s="5"/>
      <c r="E46" s="5"/>
      <c r="F46" s="5"/>
      <c r="G46" s="5"/>
      <c r="H46" s="5"/>
      <c r="I46" s="5"/>
      <c r="J46" s="5"/>
      <c r="K46" s="5"/>
      <c r="L46" s="5"/>
      <c r="M46" s="5"/>
      <c r="N46" s="5"/>
      <c r="O46" s="5"/>
      <c r="P46" s="5"/>
      <c r="Q46" s="5"/>
      <c r="R46" s="5"/>
      <c r="S46" s="5"/>
      <c r="T46" s="5"/>
      <c r="U46" s="5"/>
    </row>
    <row r="47" spans="1:21" x14ac:dyDescent="0.25">
      <c r="C47" s="5"/>
      <c r="D47" s="5"/>
      <c r="E47" s="5"/>
      <c r="F47" s="5"/>
      <c r="G47" s="5"/>
      <c r="H47" s="5"/>
      <c r="I47" s="5"/>
      <c r="J47" s="5"/>
      <c r="K47" s="5"/>
      <c r="L47" s="5"/>
      <c r="M47" s="5"/>
      <c r="N47" s="5"/>
      <c r="O47" s="5"/>
      <c r="P47" s="5"/>
      <c r="Q47" s="5"/>
      <c r="R47" s="5"/>
      <c r="S47" s="5"/>
      <c r="T47" s="5"/>
      <c r="U47" s="5"/>
    </row>
    <row r="48" spans="1:21" x14ac:dyDescent="0.25">
      <c r="C48" s="5"/>
      <c r="D48" s="5"/>
      <c r="E48" s="5"/>
      <c r="F48" s="5"/>
      <c r="G48" s="5"/>
      <c r="H48" s="5"/>
      <c r="I48" s="5"/>
      <c r="J48" s="5"/>
      <c r="K48" s="5"/>
      <c r="L48" s="5"/>
      <c r="M48" s="5"/>
      <c r="N48" s="5"/>
      <c r="O48" s="5"/>
      <c r="P48" s="5"/>
      <c r="Q48" s="5"/>
      <c r="R48" s="5"/>
      <c r="S48" s="5"/>
      <c r="T48" s="5"/>
      <c r="U48" s="5"/>
    </row>
    <row r="49" spans="1:21" x14ac:dyDescent="0.25">
      <c r="C49" s="5"/>
      <c r="D49" s="5"/>
      <c r="E49" s="5"/>
      <c r="F49" s="5"/>
      <c r="G49" s="5"/>
      <c r="H49" s="5"/>
      <c r="I49" s="5"/>
      <c r="J49" s="5"/>
      <c r="K49" s="5"/>
      <c r="L49" s="5"/>
      <c r="M49" s="5"/>
      <c r="N49" s="5"/>
      <c r="O49" s="5"/>
      <c r="P49" s="5"/>
      <c r="Q49" s="5"/>
      <c r="R49" s="5"/>
      <c r="S49" s="5"/>
      <c r="T49" s="5"/>
      <c r="U49" s="5"/>
    </row>
    <row r="50" spans="1:21" x14ac:dyDescent="0.25">
      <c r="C50" s="5"/>
      <c r="D50" s="5"/>
      <c r="E50" s="5"/>
      <c r="F50" s="5"/>
      <c r="G50" s="5"/>
      <c r="H50" s="5"/>
      <c r="I50" s="5"/>
      <c r="J50" s="5"/>
      <c r="K50" s="5"/>
      <c r="L50" s="5"/>
      <c r="M50" s="5"/>
      <c r="N50" s="5"/>
      <c r="O50" s="5"/>
      <c r="P50" s="5"/>
      <c r="Q50" s="5"/>
      <c r="R50" s="5"/>
      <c r="S50" s="5"/>
      <c r="T50" s="5"/>
      <c r="U50" s="5"/>
    </row>
    <row r="51" spans="1:21" x14ac:dyDescent="0.25">
      <c r="C51" s="5"/>
      <c r="D51" s="5"/>
      <c r="E51" s="5"/>
      <c r="F51" s="5"/>
      <c r="G51" s="5"/>
      <c r="H51" s="5"/>
      <c r="I51" s="5"/>
      <c r="J51" s="5"/>
      <c r="K51" s="5"/>
      <c r="L51" s="5"/>
      <c r="M51" s="5"/>
      <c r="N51" s="5"/>
      <c r="O51" s="5"/>
      <c r="P51" s="5"/>
      <c r="Q51" s="5"/>
      <c r="R51" s="5"/>
      <c r="S51" s="5"/>
      <c r="T51" s="5"/>
      <c r="U51" s="5"/>
    </row>
    <row r="52" spans="1:21" x14ac:dyDescent="0.25">
      <c r="C52" s="5"/>
      <c r="D52" s="5"/>
      <c r="E52" s="5"/>
      <c r="F52" s="5"/>
      <c r="G52" s="5"/>
      <c r="H52" s="5"/>
      <c r="I52" s="5"/>
      <c r="J52" s="5"/>
      <c r="K52" s="5"/>
      <c r="L52" s="5"/>
      <c r="M52" s="5"/>
      <c r="N52" s="5"/>
      <c r="O52" s="5"/>
      <c r="P52" s="5"/>
      <c r="Q52" s="5"/>
      <c r="R52" s="5"/>
      <c r="S52" s="5"/>
      <c r="T52" s="5"/>
      <c r="U52" s="5"/>
    </row>
    <row r="53" spans="1:21" x14ac:dyDescent="0.25">
      <c r="C53" s="5"/>
      <c r="D53" s="5"/>
      <c r="E53" s="5"/>
      <c r="F53" s="5"/>
      <c r="G53" s="5"/>
      <c r="H53" s="5"/>
      <c r="I53" s="5"/>
      <c r="J53" s="5"/>
      <c r="K53" s="5"/>
      <c r="L53" s="5"/>
      <c r="M53" s="5"/>
      <c r="N53" s="5"/>
      <c r="O53" s="5"/>
      <c r="P53" s="5"/>
      <c r="Q53" s="5"/>
      <c r="R53" s="5"/>
      <c r="S53" s="5"/>
      <c r="T53" s="5"/>
      <c r="U53" s="5"/>
    </row>
    <row r="54" spans="1:21" x14ac:dyDescent="0.25">
      <c r="A54" s="4" t="s">
        <v>136</v>
      </c>
      <c r="B54" s="4" t="s">
        <v>5</v>
      </c>
    </row>
    <row r="55" spans="1:21" x14ac:dyDescent="0.25">
      <c r="A55" s="4" t="s">
        <v>232</v>
      </c>
      <c r="B55" s="6">
        <v>44562</v>
      </c>
      <c r="C55" s="6">
        <v>44593</v>
      </c>
      <c r="D55" s="6">
        <v>44621</v>
      </c>
      <c r="E55" s="6">
        <v>44652</v>
      </c>
      <c r="F55" s="6">
        <v>44682</v>
      </c>
      <c r="G55" s="6">
        <v>44713</v>
      </c>
      <c r="H55" s="6">
        <v>44743</v>
      </c>
      <c r="I55" s="6">
        <v>44774</v>
      </c>
      <c r="J55" s="6">
        <v>44805</v>
      </c>
      <c r="K55" s="6">
        <v>44835</v>
      </c>
      <c r="L55" s="6">
        <v>44866</v>
      </c>
      <c r="M55" s="6">
        <v>44896</v>
      </c>
      <c r="N55" t="s">
        <v>138</v>
      </c>
    </row>
    <row r="56" spans="1:21" x14ac:dyDescent="0.25">
      <c r="A56" t="s">
        <v>237</v>
      </c>
      <c r="B56" s="5"/>
      <c r="C56" s="5"/>
      <c r="D56" s="5"/>
      <c r="E56" s="5"/>
      <c r="F56" s="5"/>
      <c r="G56" s="5">
        <v>29500</v>
      </c>
      <c r="H56" s="5">
        <v>29500</v>
      </c>
      <c r="I56" s="5">
        <v>29500</v>
      </c>
      <c r="J56" s="5">
        <v>29500</v>
      </c>
      <c r="K56" s="5">
        <v>55750</v>
      </c>
      <c r="L56" s="5">
        <v>350750</v>
      </c>
      <c r="M56" s="5">
        <v>350750</v>
      </c>
      <c r="N56" s="5">
        <v>875250</v>
      </c>
    </row>
    <row r="57" spans="1:21" x14ac:dyDescent="0.25">
      <c r="A57" t="s">
        <v>397</v>
      </c>
      <c r="B57" s="5"/>
      <c r="C57" s="5"/>
      <c r="D57" s="5"/>
      <c r="E57" s="5">
        <v>24583</v>
      </c>
      <c r="F57" s="5">
        <v>24583</v>
      </c>
      <c r="G57" s="5">
        <v>68833</v>
      </c>
      <c r="H57" s="5">
        <v>68833</v>
      </c>
      <c r="I57" s="5">
        <v>68833</v>
      </c>
      <c r="J57" s="5">
        <v>210729</v>
      </c>
      <c r="K57" s="5">
        <v>210729</v>
      </c>
      <c r="L57" s="5">
        <v>210729</v>
      </c>
      <c r="M57" s="5">
        <v>210729</v>
      </c>
      <c r="N57" s="5">
        <v>1098581</v>
      </c>
    </row>
    <row r="58" spans="1:21" x14ac:dyDescent="0.25">
      <c r="A58" t="s">
        <v>557</v>
      </c>
      <c r="B58" s="5">
        <v>4167</v>
      </c>
      <c r="C58" s="5">
        <v>4167</v>
      </c>
      <c r="D58" s="5">
        <v>4167</v>
      </c>
      <c r="E58" s="5">
        <v>4167</v>
      </c>
      <c r="F58" s="5">
        <v>4167</v>
      </c>
      <c r="G58" s="5">
        <v>4167</v>
      </c>
      <c r="H58" s="5">
        <v>4167</v>
      </c>
      <c r="I58" s="5">
        <v>4167</v>
      </c>
      <c r="J58" s="5">
        <v>4167</v>
      </c>
      <c r="K58" s="5">
        <v>4167</v>
      </c>
      <c r="L58" s="5">
        <v>4167</v>
      </c>
      <c r="M58" s="5">
        <v>4167</v>
      </c>
      <c r="N58" s="5">
        <v>50004</v>
      </c>
    </row>
    <row r="59" spans="1:21" x14ac:dyDescent="0.25">
      <c r="A59" t="s">
        <v>298</v>
      </c>
      <c r="B59" s="5"/>
      <c r="C59" s="5"/>
      <c r="D59" s="5"/>
      <c r="E59" s="5"/>
      <c r="F59" s="5">
        <v>284376</v>
      </c>
      <c r="G59" s="5">
        <v>360636</v>
      </c>
      <c r="H59" s="5">
        <v>360636</v>
      </c>
      <c r="I59" s="5">
        <v>218448</v>
      </c>
      <c r="J59" s="5">
        <v>360636</v>
      </c>
      <c r="K59" s="5">
        <v>360636</v>
      </c>
      <c r="L59" s="5">
        <v>360636</v>
      </c>
      <c r="M59" s="5">
        <v>360636</v>
      </c>
      <c r="N59" s="5">
        <v>2666640</v>
      </c>
    </row>
    <row r="60" spans="1:21" x14ac:dyDescent="0.25">
      <c r="A60" t="s">
        <v>328</v>
      </c>
      <c r="B60" s="5"/>
      <c r="C60" s="5"/>
      <c r="D60" s="5"/>
      <c r="E60" s="5"/>
      <c r="F60" s="5"/>
      <c r="G60" s="5">
        <v>54167</v>
      </c>
      <c r="H60" s="5">
        <v>79167</v>
      </c>
      <c r="I60" s="5">
        <v>79167</v>
      </c>
      <c r="J60" s="5">
        <v>79167</v>
      </c>
      <c r="K60" s="5">
        <v>79167</v>
      </c>
      <c r="L60" s="5">
        <v>79167</v>
      </c>
      <c r="M60" s="5">
        <v>79167</v>
      </c>
      <c r="N60" s="5">
        <v>529169</v>
      </c>
      <c r="R60" s="5"/>
      <c r="S60" s="5"/>
      <c r="T60" s="5"/>
    </row>
    <row r="61" spans="1:21" x14ac:dyDescent="0.25">
      <c r="A61" t="s">
        <v>138</v>
      </c>
      <c r="B61" s="5">
        <v>4167</v>
      </c>
      <c r="C61" s="5">
        <v>4167</v>
      </c>
      <c r="D61" s="5">
        <v>4167</v>
      </c>
      <c r="E61" s="5">
        <v>28750</v>
      </c>
      <c r="F61" s="5">
        <v>313126</v>
      </c>
      <c r="G61" s="5">
        <v>517303</v>
      </c>
      <c r="H61" s="5">
        <v>542303</v>
      </c>
      <c r="I61" s="5">
        <v>400115</v>
      </c>
      <c r="J61" s="5">
        <v>684199</v>
      </c>
      <c r="K61" s="5">
        <v>710449</v>
      </c>
      <c r="L61" s="5">
        <v>1005449</v>
      </c>
      <c r="M61" s="5">
        <v>1005449</v>
      </c>
      <c r="N61" s="5">
        <v>5219644</v>
      </c>
      <c r="R61" s="5"/>
      <c r="S61" s="5"/>
      <c r="T61" s="5"/>
    </row>
    <row r="62" spans="1:21" x14ac:dyDescent="0.25">
      <c r="B62" s="5"/>
      <c r="C62" s="5"/>
      <c r="D62" s="5"/>
      <c r="E62" s="5"/>
      <c r="F62" s="5"/>
      <c r="G62" s="5"/>
      <c r="H62" s="5"/>
      <c r="I62" s="5"/>
      <c r="J62" s="5"/>
      <c r="K62" s="5"/>
      <c r="L62" s="5"/>
      <c r="M62" s="5"/>
      <c r="N62" s="5"/>
      <c r="R62" s="5"/>
      <c r="S62" s="5"/>
      <c r="T62" s="5"/>
    </row>
    <row r="63" spans="1:21" x14ac:dyDescent="0.25">
      <c r="B63" s="5"/>
      <c r="C63" s="5"/>
      <c r="D63" s="5"/>
      <c r="E63" s="5"/>
      <c r="F63" s="5"/>
      <c r="G63" s="5"/>
      <c r="H63" s="5"/>
      <c r="I63" s="5"/>
      <c r="J63" s="5"/>
      <c r="K63" s="5"/>
      <c r="L63" s="5"/>
      <c r="M63" s="5"/>
      <c r="N63" s="5"/>
      <c r="R63" s="5"/>
      <c r="S63" s="5"/>
      <c r="T63" s="5"/>
    </row>
    <row r="64" spans="1:21" x14ac:dyDescent="0.25">
      <c r="A64" s="4" t="s">
        <v>232</v>
      </c>
      <c r="B64" t="s" vm="3119">
        <v>186</v>
      </c>
      <c r="C64" s="5"/>
      <c r="D64" s="5"/>
      <c r="E64" s="5"/>
      <c r="F64" s="5"/>
      <c r="G64" s="5"/>
      <c r="H64" s="5"/>
      <c r="I64" s="5"/>
      <c r="J64" s="5"/>
      <c r="K64" s="5"/>
      <c r="L64" s="5"/>
      <c r="M64" s="5"/>
      <c r="N64" s="5"/>
      <c r="R64" s="5"/>
      <c r="S64" s="5"/>
      <c r="T64" s="5"/>
    </row>
    <row r="65" spans="1:20" x14ac:dyDescent="0.25">
      <c r="A65" s="4" t="s">
        <v>151</v>
      </c>
      <c r="B65" t="s" vm="3120">
        <v>580</v>
      </c>
      <c r="C65" s="5"/>
      <c r="D65" s="5"/>
      <c r="E65" s="5"/>
      <c r="F65" s="5"/>
      <c r="G65" s="5"/>
      <c r="H65" s="5"/>
      <c r="I65" s="5"/>
      <c r="J65" s="5"/>
      <c r="K65" s="5"/>
      <c r="L65" s="5"/>
      <c r="M65" s="5"/>
      <c r="N65" s="5"/>
      <c r="O65" s="5"/>
      <c r="P65" s="5"/>
      <c r="Q65" s="5"/>
      <c r="R65" s="5"/>
      <c r="S65" s="5"/>
      <c r="T65" s="5"/>
    </row>
    <row r="66" spans="1:20" x14ac:dyDescent="0.25">
      <c r="A66" s="4" t="s">
        <v>152</v>
      </c>
      <c r="B66" t="s" vm="12">
        <v>239</v>
      </c>
    </row>
    <row r="67" spans="1:20" x14ac:dyDescent="0.25">
      <c r="P67">
        <f>4415368/12</f>
        <v>367947.33333333331</v>
      </c>
    </row>
    <row r="68" spans="1:20" x14ac:dyDescent="0.25">
      <c r="B68" s="4" t="s">
        <v>139</v>
      </c>
    </row>
    <row r="69" spans="1:20" x14ac:dyDescent="0.25">
      <c r="B69" t="s">
        <v>140</v>
      </c>
      <c r="C69" t="s">
        <v>141</v>
      </c>
      <c r="D69" t="s">
        <v>142</v>
      </c>
      <c r="E69" t="s">
        <v>143</v>
      </c>
      <c r="F69" t="s">
        <v>144</v>
      </c>
      <c r="G69" t="s">
        <v>145</v>
      </c>
      <c r="H69" t="s">
        <v>146</v>
      </c>
      <c r="I69" t="s">
        <v>147</v>
      </c>
      <c r="J69" t="s">
        <v>148</v>
      </c>
      <c r="K69" t="s">
        <v>149</v>
      </c>
      <c r="L69" t="s">
        <v>150</v>
      </c>
      <c r="M69" t="s">
        <v>162</v>
      </c>
      <c r="N69" t="s">
        <v>138</v>
      </c>
    </row>
    <row r="70" spans="1:20" x14ac:dyDescent="0.25">
      <c r="A70" t="s">
        <v>136</v>
      </c>
      <c r="B70" s="5">
        <v>4139034</v>
      </c>
      <c r="C70" s="5">
        <v>4139034</v>
      </c>
      <c r="D70" s="5">
        <v>4139034</v>
      </c>
      <c r="E70" s="5">
        <v>4096015</v>
      </c>
      <c r="F70" s="5">
        <v>4380391</v>
      </c>
      <c r="G70" s="5">
        <v>4584568</v>
      </c>
      <c r="H70" s="5">
        <v>4609568</v>
      </c>
      <c r="I70" s="5">
        <v>4467380</v>
      </c>
      <c r="J70" s="5">
        <v>4751464</v>
      </c>
      <c r="K70" s="5">
        <v>4777714</v>
      </c>
      <c r="L70" s="5">
        <v>5072714</v>
      </c>
      <c r="M70" s="5">
        <v>5072714</v>
      </c>
      <c r="N70" s="5">
        <v>54229630</v>
      </c>
    </row>
    <row r="72" spans="1:20" x14ac:dyDescent="0.25">
      <c r="B72" s="106">
        <v>4134867</v>
      </c>
      <c r="C72" s="106">
        <v>4134867</v>
      </c>
      <c r="D72" s="106">
        <v>4134867</v>
      </c>
      <c r="E72" s="106">
        <v>4134867</v>
      </c>
      <c r="F72" s="106">
        <v>4134867</v>
      </c>
      <c r="G72" s="106">
        <v>4134867</v>
      </c>
      <c r="H72" s="106">
        <v>4134867</v>
      </c>
      <c r="I72" s="106">
        <v>4134867</v>
      </c>
      <c r="J72" s="106">
        <v>4134867</v>
      </c>
      <c r="K72" s="106">
        <v>4134867</v>
      </c>
      <c r="L72" s="106">
        <v>4134867</v>
      </c>
      <c r="M72" s="106">
        <v>4134867</v>
      </c>
      <c r="N72" s="106">
        <v>4134867</v>
      </c>
    </row>
    <row r="73" spans="1:20" x14ac:dyDescent="0.25">
      <c r="B73" s="106">
        <f>GETPIVOTDATA("[Measures].[Sum of Износ 2]",$A$54)/12</f>
        <v>434970.33333333331</v>
      </c>
      <c r="C73" s="106">
        <f t="shared" ref="C73:N73" si="0">GETPIVOTDATA("[Measures].[Sum of Износ 2]",$A$54)/12</f>
        <v>434970.33333333331</v>
      </c>
      <c r="D73" s="106">
        <f t="shared" si="0"/>
        <v>434970.33333333331</v>
      </c>
      <c r="E73" s="106">
        <f t="shared" si="0"/>
        <v>434970.33333333331</v>
      </c>
      <c r="F73" s="106">
        <f t="shared" si="0"/>
        <v>434970.33333333331</v>
      </c>
      <c r="G73" s="106">
        <f t="shared" si="0"/>
        <v>434970.33333333331</v>
      </c>
      <c r="H73" s="106">
        <f t="shared" si="0"/>
        <v>434970.33333333331</v>
      </c>
      <c r="I73" s="106">
        <f t="shared" si="0"/>
        <v>434970.33333333331</v>
      </c>
      <c r="J73" s="106">
        <f t="shared" si="0"/>
        <v>434970.33333333331</v>
      </c>
      <c r="K73" s="106">
        <f t="shared" si="0"/>
        <v>434970.33333333331</v>
      </c>
      <c r="L73" s="106">
        <f t="shared" si="0"/>
        <v>434970.33333333331</v>
      </c>
      <c r="M73" s="106">
        <f t="shared" si="0"/>
        <v>434970.33333333331</v>
      </c>
      <c r="N73" s="106">
        <f t="shared" si="0"/>
        <v>434970.33333333331</v>
      </c>
    </row>
    <row r="74" spans="1:20" x14ac:dyDescent="0.25">
      <c r="B74" s="312">
        <f>+B72+B73</f>
        <v>4569837.333333333</v>
      </c>
      <c r="C74" s="312">
        <f t="shared" ref="C74:N74" si="1">+C72+C73</f>
        <v>4569837.333333333</v>
      </c>
      <c r="D74" s="312">
        <f t="shared" si="1"/>
        <v>4569837.333333333</v>
      </c>
      <c r="E74" s="312">
        <f t="shared" si="1"/>
        <v>4569837.333333333</v>
      </c>
      <c r="F74" s="312">
        <f t="shared" si="1"/>
        <v>4569837.333333333</v>
      </c>
      <c r="G74" s="312">
        <f t="shared" si="1"/>
        <v>4569837.333333333</v>
      </c>
      <c r="H74" s="312">
        <f t="shared" si="1"/>
        <v>4569837.333333333</v>
      </c>
      <c r="I74" s="312">
        <f t="shared" si="1"/>
        <v>4569837.333333333</v>
      </c>
      <c r="J74" s="312">
        <f t="shared" si="1"/>
        <v>4569837.333333333</v>
      </c>
      <c r="K74" s="312">
        <f t="shared" si="1"/>
        <v>4569837.333333333</v>
      </c>
      <c r="L74" s="312">
        <f t="shared" si="1"/>
        <v>4569837.333333333</v>
      </c>
      <c r="M74" s="312">
        <f t="shared" si="1"/>
        <v>4569837.333333333</v>
      </c>
      <c r="N74" s="312">
        <f t="shared" si="1"/>
        <v>4569837.333333333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FFC000"/>
  </sheetPr>
  <dimension ref="B2:K167"/>
  <sheetViews>
    <sheetView topLeftCell="A76" workbookViewId="0">
      <selection activeCell="H36" sqref="H36"/>
    </sheetView>
  </sheetViews>
  <sheetFormatPr defaultRowHeight="15" x14ac:dyDescent="0.25"/>
  <cols>
    <col min="2" max="2" width="56.7109375" bestFit="1" customWidth="1"/>
    <col min="3" max="3" width="33.7109375" bestFit="1" customWidth="1"/>
    <col min="4" max="5" width="9.7109375" bestFit="1" customWidth="1"/>
    <col min="6" max="6" width="11.28515625" bestFit="1" customWidth="1"/>
    <col min="7" max="7" width="11.140625" bestFit="1" customWidth="1"/>
    <col min="8" max="8" width="11.140625" style="14" customWidth="1"/>
    <col min="9" max="9" width="10.140625" bestFit="1" customWidth="1"/>
    <col min="10" max="10" width="11.140625" bestFit="1" customWidth="1"/>
    <col min="11" max="12" width="10.140625" bestFit="1" customWidth="1"/>
    <col min="13" max="13" width="13.140625" bestFit="1" customWidth="1"/>
    <col min="14" max="15" width="11.140625" bestFit="1" customWidth="1"/>
    <col min="16" max="16" width="10.140625" bestFit="1" customWidth="1"/>
    <col min="17" max="17" width="13.140625" bestFit="1" customWidth="1"/>
    <col min="18" max="18" width="10.28515625" bestFit="1" customWidth="1"/>
    <col min="19" max="20" width="10.140625" bestFit="1" customWidth="1"/>
    <col min="21" max="21" width="13.140625" bestFit="1" customWidth="1"/>
    <col min="22" max="22" width="10.28515625" bestFit="1" customWidth="1"/>
    <col min="23" max="24" width="10.140625" bestFit="1" customWidth="1"/>
    <col min="25" max="25" width="13.140625" bestFit="1" customWidth="1"/>
    <col min="26" max="26" width="10.28515625" bestFit="1" customWidth="1"/>
    <col min="27" max="28" width="10.140625" bestFit="1" customWidth="1"/>
    <col min="29" max="29" width="13.140625" bestFit="1" customWidth="1"/>
    <col min="30" max="30" width="11.140625" bestFit="1" customWidth="1"/>
    <col min="31" max="31" width="13.140625" bestFit="1" customWidth="1"/>
    <col min="32" max="32" width="12.7109375" bestFit="1" customWidth="1"/>
    <col min="33" max="33" width="9" bestFit="1" customWidth="1"/>
    <col min="34" max="37" width="11" bestFit="1" customWidth="1"/>
  </cols>
  <sheetData>
    <row r="2" spans="2:10" x14ac:dyDescent="0.25">
      <c r="B2" s="4" t="s">
        <v>152</v>
      </c>
      <c r="C2" t="s" vm="119">
        <v>248</v>
      </c>
    </row>
    <row r="3" spans="2:10" x14ac:dyDescent="0.25">
      <c r="B3" s="4" t="s">
        <v>244</v>
      </c>
      <c r="C3" t="s" vm="122">
        <v>274</v>
      </c>
    </row>
    <row r="5" spans="2:10" x14ac:dyDescent="0.25">
      <c r="B5" s="4" t="s">
        <v>136</v>
      </c>
      <c r="C5" s="4" t="s">
        <v>137</v>
      </c>
      <c r="H5" t="s">
        <v>276</v>
      </c>
      <c r="I5" t="s">
        <v>275</v>
      </c>
      <c r="J5" t="s">
        <v>277</v>
      </c>
    </row>
    <row r="6" spans="2:10" x14ac:dyDescent="0.25">
      <c r="B6" s="4" t="s">
        <v>242</v>
      </c>
      <c r="C6" s="6">
        <v>43555</v>
      </c>
      <c r="D6" s="6">
        <v>43646</v>
      </c>
      <c r="E6" s="6">
        <v>43738</v>
      </c>
      <c r="F6" s="14" t="s">
        <v>138</v>
      </c>
      <c r="H6" s="6"/>
    </row>
    <row r="7" spans="2:10" x14ac:dyDescent="0.25">
      <c r="B7" s="7" t="s">
        <v>1004</v>
      </c>
      <c r="C7" s="1">
        <v>75219</v>
      </c>
      <c r="D7" s="1">
        <v>3411</v>
      </c>
      <c r="E7" s="1">
        <v>8487</v>
      </c>
      <c r="F7" s="10">
        <v>87117</v>
      </c>
      <c r="H7"/>
      <c r="J7" s="1">
        <f>SUM(G7:I7)</f>
        <v>0</v>
      </c>
    </row>
    <row r="8" spans="2:10" x14ac:dyDescent="0.25">
      <c r="B8" s="7" t="s">
        <v>1005</v>
      </c>
      <c r="C8" s="1">
        <v>0</v>
      </c>
      <c r="D8" s="1">
        <v>0</v>
      </c>
      <c r="E8" s="1">
        <v>0</v>
      </c>
      <c r="F8" s="10">
        <v>0</v>
      </c>
      <c r="H8"/>
      <c r="J8" s="1">
        <f t="shared" ref="J8:J20" si="0">SUM(G8:I8)</f>
        <v>0</v>
      </c>
    </row>
    <row r="9" spans="2:10" x14ac:dyDescent="0.25">
      <c r="B9" s="7" t="s">
        <v>1006</v>
      </c>
      <c r="C9" s="1">
        <v>4768789</v>
      </c>
      <c r="D9" s="1">
        <v>12612</v>
      </c>
      <c r="E9" s="1">
        <v>-128612</v>
      </c>
      <c r="F9" s="10">
        <v>4652789</v>
      </c>
      <c r="H9"/>
      <c r="J9" s="1">
        <f t="shared" si="0"/>
        <v>0</v>
      </c>
    </row>
    <row r="10" spans="2:10" x14ac:dyDescent="0.25">
      <c r="B10" s="7" t="s">
        <v>1007</v>
      </c>
      <c r="C10" s="1">
        <v>0</v>
      </c>
      <c r="D10" s="1">
        <v>0</v>
      </c>
      <c r="E10" s="1">
        <v>0</v>
      </c>
      <c r="F10" s="10">
        <v>0</v>
      </c>
      <c r="H10"/>
      <c r="J10" s="1">
        <f t="shared" si="0"/>
        <v>0</v>
      </c>
    </row>
    <row r="11" spans="2:10" x14ac:dyDescent="0.25">
      <c r="B11" s="7" t="s">
        <v>1008</v>
      </c>
      <c r="C11" s="1">
        <v>0</v>
      </c>
      <c r="D11" s="1">
        <v>0</v>
      </c>
      <c r="E11" s="1">
        <v>0</v>
      </c>
      <c r="F11" s="10">
        <v>0</v>
      </c>
      <c r="H11"/>
      <c r="J11" s="1">
        <f t="shared" si="0"/>
        <v>0</v>
      </c>
    </row>
    <row r="12" spans="2:10" x14ac:dyDescent="0.25">
      <c r="B12" s="7" t="s">
        <v>1009</v>
      </c>
      <c r="C12" s="1">
        <v>465588</v>
      </c>
      <c r="D12" s="1">
        <v>655714</v>
      </c>
      <c r="E12" s="1">
        <v>668036</v>
      </c>
      <c r="F12" s="10">
        <v>1789338</v>
      </c>
      <c r="H12"/>
      <c r="J12" s="1">
        <f t="shared" si="0"/>
        <v>0</v>
      </c>
    </row>
    <row r="13" spans="2:10" x14ac:dyDescent="0.25">
      <c r="B13" s="7" t="s">
        <v>1010</v>
      </c>
      <c r="C13" s="1">
        <v>0</v>
      </c>
      <c r="D13" s="1">
        <v>0</v>
      </c>
      <c r="E13" s="1">
        <v>0</v>
      </c>
      <c r="F13" s="10">
        <v>0</v>
      </c>
      <c r="H13"/>
      <c r="J13" s="1">
        <f t="shared" si="0"/>
        <v>0</v>
      </c>
    </row>
    <row r="14" spans="2:10" x14ac:dyDescent="0.25">
      <c r="B14" s="7" t="s">
        <v>1011</v>
      </c>
      <c r="C14" s="1">
        <v>0</v>
      </c>
      <c r="D14" s="1">
        <v>0</v>
      </c>
      <c r="E14" s="1">
        <v>0</v>
      </c>
      <c r="F14" s="10">
        <v>0</v>
      </c>
      <c r="H14" s="1"/>
      <c r="J14" s="1">
        <f t="shared" si="0"/>
        <v>0</v>
      </c>
    </row>
    <row r="15" spans="2:10" x14ac:dyDescent="0.25">
      <c r="B15" s="7" t="s">
        <v>1012</v>
      </c>
      <c r="C15" s="1">
        <v>0</v>
      </c>
      <c r="D15" s="1">
        <v>0</v>
      </c>
      <c r="E15" s="1">
        <v>0</v>
      </c>
      <c r="F15" s="10">
        <v>0</v>
      </c>
      <c r="H15"/>
      <c r="J15" s="1">
        <f t="shared" si="0"/>
        <v>0</v>
      </c>
    </row>
    <row r="16" spans="2:10" x14ac:dyDescent="0.25">
      <c r="B16" s="7" t="s">
        <v>1013</v>
      </c>
      <c r="C16" s="1">
        <v>0</v>
      </c>
      <c r="D16" s="1">
        <v>0</v>
      </c>
      <c r="E16" s="1">
        <v>0</v>
      </c>
      <c r="F16" s="10">
        <v>0</v>
      </c>
      <c r="H16"/>
      <c r="J16" s="1">
        <f t="shared" si="0"/>
        <v>0</v>
      </c>
    </row>
    <row r="17" spans="2:11" x14ac:dyDescent="0.25">
      <c r="B17" s="7" t="s">
        <v>1014</v>
      </c>
      <c r="C17" s="1">
        <v>0</v>
      </c>
      <c r="D17" s="1">
        <v>0</v>
      </c>
      <c r="E17" s="1">
        <v>0</v>
      </c>
      <c r="F17" s="10">
        <v>0</v>
      </c>
      <c r="H17"/>
      <c r="J17" s="1">
        <f t="shared" si="0"/>
        <v>0</v>
      </c>
    </row>
    <row r="18" spans="2:11" x14ac:dyDescent="0.25">
      <c r="B18" s="7" t="s">
        <v>1015</v>
      </c>
      <c r="C18" s="1">
        <v>0</v>
      </c>
      <c r="D18" s="1">
        <v>0</v>
      </c>
      <c r="E18" s="1">
        <v>0</v>
      </c>
      <c r="F18" s="10">
        <v>0</v>
      </c>
      <c r="H18"/>
      <c r="J18" s="1">
        <f t="shared" si="0"/>
        <v>0</v>
      </c>
    </row>
    <row r="19" spans="2:11" x14ac:dyDescent="0.25">
      <c r="B19" s="7" t="s">
        <v>1016</v>
      </c>
      <c r="C19" s="1">
        <v>0</v>
      </c>
      <c r="D19" s="1">
        <v>0</v>
      </c>
      <c r="E19" s="1">
        <v>0</v>
      </c>
      <c r="F19" s="10">
        <v>0</v>
      </c>
      <c r="H19"/>
      <c r="J19" s="1">
        <f t="shared" si="0"/>
        <v>0</v>
      </c>
      <c r="K19" t="s">
        <v>281</v>
      </c>
    </row>
    <row r="20" spans="2:11" x14ac:dyDescent="0.25">
      <c r="B20" s="7" t="s">
        <v>1017</v>
      </c>
      <c r="C20" s="1">
        <v>0</v>
      </c>
      <c r="D20" s="1">
        <v>0</v>
      </c>
      <c r="E20" s="1">
        <v>0</v>
      </c>
      <c r="F20" s="10">
        <v>0</v>
      </c>
      <c r="H20" t="e">
        <f>GETPIVOTDATA("[Measures].[Sum of Проценета вредност на набавка со ДДВ (денари)]",#REF!,"[Calendar].[Месец]","[Calendar].[Месец].&amp;[Dec]","[Calendar].[Година]","[Calendar].[Година].&amp;[2019]")</f>
        <v>#REF!</v>
      </c>
      <c r="I20" t="e">
        <f>-GETPIVOTDATA("[Measures].[Sum of Износ 2]",Amortizacija!$A$3,"[Calendar].[Date Hierarchy]","[Calendar].[Date Hierarchy].[Year].&amp;[2019].&amp;[Dec]")</f>
        <v>#REF!</v>
      </c>
      <c r="J20" s="1" t="e">
        <f t="shared" si="0"/>
        <v>#REF!</v>
      </c>
    </row>
    <row r="21" spans="2:11" x14ac:dyDescent="0.25">
      <c r="H21"/>
    </row>
    <row r="22" spans="2:11" x14ac:dyDescent="0.25">
      <c r="H22"/>
    </row>
    <row r="23" spans="2:11" x14ac:dyDescent="0.25">
      <c r="H23"/>
    </row>
    <row r="24" spans="2:11" x14ac:dyDescent="0.25">
      <c r="H24"/>
    </row>
    <row r="25" spans="2:11" x14ac:dyDescent="0.25">
      <c r="B25" s="4" t="s">
        <v>244</v>
      </c>
      <c r="C25" t="s" vm="122">
        <v>274</v>
      </c>
      <c r="H25"/>
    </row>
    <row r="26" spans="2:11" x14ac:dyDescent="0.25">
      <c r="H26"/>
    </row>
    <row r="27" spans="2:11" x14ac:dyDescent="0.25">
      <c r="B27" s="4" t="s">
        <v>136</v>
      </c>
      <c r="C27" s="4" t="s">
        <v>137</v>
      </c>
      <c r="H27"/>
    </row>
    <row r="28" spans="2:11" x14ac:dyDescent="0.25">
      <c r="C28" t="s">
        <v>248</v>
      </c>
      <c r="D28" t="s">
        <v>239</v>
      </c>
      <c r="E28" t="s">
        <v>303</v>
      </c>
      <c r="F28" s="14" t="s">
        <v>138</v>
      </c>
      <c r="H28" s="4"/>
      <c r="I28" s="4"/>
      <c r="J28" s="4"/>
      <c r="K28" s="4"/>
    </row>
    <row r="29" spans="2:11" x14ac:dyDescent="0.25">
      <c r="B29" s="4" t="s">
        <v>242</v>
      </c>
      <c r="C29">
        <v>2019</v>
      </c>
      <c r="D29">
        <v>2019</v>
      </c>
      <c r="E29">
        <v>2019</v>
      </c>
      <c r="F29" s="14"/>
      <c r="H29"/>
    </row>
    <row r="30" spans="2:11" x14ac:dyDescent="0.25">
      <c r="B30" s="7" t="s">
        <v>1004</v>
      </c>
      <c r="C30" s="1"/>
      <c r="D30" s="1"/>
      <c r="E30" s="1"/>
      <c r="F30" s="10"/>
      <c r="H30"/>
    </row>
    <row r="31" spans="2:11" x14ac:dyDescent="0.25">
      <c r="B31" s="8" t="s">
        <v>882</v>
      </c>
      <c r="C31" s="1">
        <v>0</v>
      </c>
      <c r="D31" s="1">
        <v>0</v>
      </c>
      <c r="E31" s="1">
        <v>10740948</v>
      </c>
      <c r="F31" s="10">
        <v>10740948</v>
      </c>
      <c r="H31"/>
    </row>
    <row r="32" spans="2:11" x14ac:dyDescent="0.25">
      <c r="B32" s="8" t="s">
        <v>883</v>
      </c>
      <c r="C32" s="1">
        <v>0</v>
      </c>
      <c r="D32" s="1"/>
      <c r="E32" s="1">
        <v>2567710</v>
      </c>
      <c r="F32" s="10">
        <v>2567710</v>
      </c>
      <c r="H32"/>
    </row>
    <row r="33" spans="2:8" x14ac:dyDescent="0.25">
      <c r="B33" s="8" t="s">
        <v>884</v>
      </c>
      <c r="C33" s="1">
        <v>0</v>
      </c>
      <c r="D33" s="1"/>
      <c r="E33" s="1">
        <v>0</v>
      </c>
      <c r="F33" s="10">
        <v>0</v>
      </c>
      <c r="H33"/>
    </row>
    <row r="34" spans="2:8" x14ac:dyDescent="0.25">
      <c r="B34" s="8" t="s">
        <v>885</v>
      </c>
      <c r="C34" s="1">
        <v>0</v>
      </c>
      <c r="D34" s="1"/>
      <c r="E34" s="1">
        <v>953610</v>
      </c>
      <c r="F34" s="10">
        <v>953610</v>
      </c>
      <c r="H34"/>
    </row>
    <row r="35" spans="2:8" x14ac:dyDescent="0.25">
      <c r="B35" s="8" t="s">
        <v>886</v>
      </c>
      <c r="C35" s="1">
        <v>0</v>
      </c>
      <c r="D35" s="1"/>
      <c r="E35" s="1">
        <v>5251656</v>
      </c>
      <c r="F35" s="10">
        <v>5251656</v>
      </c>
      <c r="H35"/>
    </row>
    <row r="36" spans="2:8" x14ac:dyDescent="0.25">
      <c r="B36" s="8" t="s">
        <v>887</v>
      </c>
      <c r="C36" s="1">
        <v>0</v>
      </c>
      <c r="D36" s="1"/>
      <c r="E36" s="1">
        <v>1745316</v>
      </c>
      <c r="F36" s="10">
        <v>1745316</v>
      </c>
      <c r="H36"/>
    </row>
    <row r="37" spans="2:8" x14ac:dyDescent="0.25">
      <c r="B37" s="8" t="s">
        <v>888</v>
      </c>
      <c r="C37" s="1">
        <v>0</v>
      </c>
      <c r="D37" s="1"/>
      <c r="E37" s="1">
        <v>4298222</v>
      </c>
      <c r="F37" s="10">
        <v>4298222</v>
      </c>
      <c r="H37"/>
    </row>
    <row r="38" spans="2:8" x14ac:dyDescent="0.25">
      <c r="B38" s="8" t="s">
        <v>889</v>
      </c>
      <c r="C38" s="1">
        <v>0</v>
      </c>
      <c r="D38" s="1"/>
      <c r="E38" s="1">
        <v>98253943</v>
      </c>
      <c r="F38" s="10">
        <v>98253943</v>
      </c>
      <c r="H38"/>
    </row>
    <row r="39" spans="2:8" x14ac:dyDescent="0.25">
      <c r="B39" s="8" t="s">
        <v>890</v>
      </c>
      <c r="C39" s="1">
        <v>0</v>
      </c>
      <c r="D39" s="1"/>
      <c r="E39" s="1">
        <v>0</v>
      </c>
      <c r="F39" s="10">
        <v>0</v>
      </c>
      <c r="H39"/>
    </row>
    <row r="40" spans="2:8" x14ac:dyDescent="0.25">
      <c r="B40" s="8" t="s">
        <v>891</v>
      </c>
      <c r="C40" s="1">
        <v>87117</v>
      </c>
      <c r="D40" s="1"/>
      <c r="E40" s="1">
        <v>2942</v>
      </c>
      <c r="F40" s="10">
        <v>90059</v>
      </c>
      <c r="H40"/>
    </row>
    <row r="41" spans="2:8" x14ac:dyDescent="0.25">
      <c r="B41" s="8" t="s">
        <v>892</v>
      </c>
      <c r="C41" s="1">
        <v>0</v>
      </c>
      <c r="D41" s="1"/>
      <c r="E41" s="1">
        <v>118504</v>
      </c>
      <c r="F41" s="10">
        <v>118504</v>
      </c>
      <c r="H41"/>
    </row>
    <row r="42" spans="2:8" x14ac:dyDescent="0.25">
      <c r="B42" s="8" t="s">
        <v>893</v>
      </c>
      <c r="C42" s="1">
        <v>0</v>
      </c>
      <c r="D42" s="1"/>
      <c r="E42" s="1">
        <v>0</v>
      </c>
      <c r="F42" s="10">
        <v>0</v>
      </c>
      <c r="H42"/>
    </row>
    <row r="43" spans="2:8" x14ac:dyDescent="0.25">
      <c r="B43" s="8" t="s">
        <v>894</v>
      </c>
      <c r="C43" s="1">
        <v>0</v>
      </c>
      <c r="D43" s="1"/>
      <c r="E43" s="1">
        <v>0</v>
      </c>
      <c r="F43" s="10">
        <v>0</v>
      </c>
      <c r="H43"/>
    </row>
    <row r="44" spans="2:8" x14ac:dyDescent="0.25">
      <c r="B44" s="7" t="s">
        <v>1005</v>
      </c>
      <c r="C44" s="1"/>
      <c r="D44" s="1"/>
      <c r="E44" s="1"/>
      <c r="F44" s="10"/>
      <c r="H44"/>
    </row>
    <row r="45" spans="2:8" x14ac:dyDescent="0.25">
      <c r="B45" s="8" t="s">
        <v>1002</v>
      </c>
      <c r="C45" s="1">
        <v>0</v>
      </c>
      <c r="D45" s="1"/>
      <c r="E45" s="1">
        <v>0</v>
      </c>
      <c r="F45" s="10">
        <v>0</v>
      </c>
      <c r="H45"/>
    </row>
    <row r="46" spans="2:8" x14ac:dyDescent="0.25">
      <c r="B46" s="7" t="s">
        <v>1006</v>
      </c>
      <c r="C46" s="1"/>
      <c r="D46" s="1"/>
      <c r="E46" s="1"/>
      <c r="F46" s="10"/>
      <c r="H46"/>
    </row>
    <row r="47" spans="2:8" x14ac:dyDescent="0.25">
      <c r="B47" s="8" t="s">
        <v>915</v>
      </c>
      <c r="C47" s="1">
        <v>-966</v>
      </c>
      <c r="D47" s="1"/>
      <c r="E47" s="1">
        <v>7973667</v>
      </c>
      <c r="F47" s="10">
        <v>7972701</v>
      </c>
      <c r="H47"/>
    </row>
    <row r="48" spans="2:8" x14ac:dyDescent="0.25">
      <c r="B48" s="8" t="s">
        <v>916</v>
      </c>
      <c r="C48" s="1">
        <v>0</v>
      </c>
      <c r="D48" s="1"/>
      <c r="E48" s="1">
        <v>0</v>
      </c>
      <c r="F48" s="10">
        <v>0</v>
      </c>
      <c r="H48"/>
    </row>
    <row r="49" spans="2:8" x14ac:dyDescent="0.25">
      <c r="B49" s="8" t="s">
        <v>917</v>
      </c>
      <c r="C49" s="1">
        <v>0</v>
      </c>
      <c r="D49" s="1"/>
      <c r="E49" s="1">
        <v>0</v>
      </c>
      <c r="F49" s="10">
        <v>0</v>
      </c>
      <c r="H49"/>
    </row>
    <row r="50" spans="2:8" x14ac:dyDescent="0.25">
      <c r="B50" s="8" t="s">
        <v>918</v>
      </c>
      <c r="C50" s="1">
        <v>0</v>
      </c>
      <c r="D50" s="1"/>
      <c r="E50" s="1">
        <v>0</v>
      </c>
      <c r="F50" s="10">
        <v>0</v>
      </c>
      <c r="H50"/>
    </row>
    <row r="51" spans="2:8" x14ac:dyDescent="0.25">
      <c r="B51" s="8" t="s">
        <v>919</v>
      </c>
      <c r="C51" s="1">
        <v>0</v>
      </c>
      <c r="D51" s="1"/>
      <c r="E51" s="1">
        <v>0</v>
      </c>
      <c r="F51" s="10">
        <v>0</v>
      </c>
      <c r="H51"/>
    </row>
    <row r="52" spans="2:8" x14ac:dyDescent="0.25">
      <c r="B52" s="8" t="s">
        <v>920</v>
      </c>
      <c r="C52" s="1">
        <v>0</v>
      </c>
      <c r="D52" s="1"/>
      <c r="E52" s="1">
        <v>0</v>
      </c>
      <c r="F52" s="10">
        <v>0</v>
      </c>
      <c r="H52"/>
    </row>
    <row r="53" spans="2:8" x14ac:dyDescent="0.25">
      <c r="B53" s="8" t="s">
        <v>921</v>
      </c>
      <c r="C53" s="1">
        <v>0</v>
      </c>
      <c r="D53" s="1"/>
      <c r="E53" s="1">
        <v>0</v>
      </c>
      <c r="F53" s="10">
        <v>0</v>
      </c>
      <c r="H53"/>
    </row>
    <row r="54" spans="2:8" x14ac:dyDescent="0.25">
      <c r="B54" s="8" t="s">
        <v>922</v>
      </c>
      <c r="C54" s="1">
        <v>0</v>
      </c>
      <c r="D54" s="1"/>
      <c r="E54" s="1">
        <v>0</v>
      </c>
      <c r="F54" s="10">
        <v>0</v>
      </c>
      <c r="H54"/>
    </row>
    <row r="55" spans="2:8" x14ac:dyDescent="0.25">
      <c r="B55" s="8" t="s">
        <v>923</v>
      </c>
      <c r="C55" s="1">
        <v>0</v>
      </c>
      <c r="D55" s="1"/>
      <c r="E55" s="1">
        <v>0</v>
      </c>
      <c r="F55" s="10">
        <v>0</v>
      </c>
      <c r="H55"/>
    </row>
    <row r="56" spans="2:8" x14ac:dyDescent="0.25">
      <c r="B56" s="8" t="s">
        <v>924</v>
      </c>
      <c r="C56" s="1">
        <v>0</v>
      </c>
      <c r="D56" s="1"/>
      <c r="E56" s="1">
        <v>0</v>
      </c>
      <c r="F56" s="10">
        <v>0</v>
      </c>
      <c r="H56"/>
    </row>
    <row r="57" spans="2:8" x14ac:dyDescent="0.25">
      <c r="B57" s="8" t="s">
        <v>925</v>
      </c>
      <c r="C57" s="1">
        <v>0</v>
      </c>
      <c r="D57" s="1"/>
      <c r="E57" s="1">
        <v>0</v>
      </c>
      <c r="F57" s="10">
        <v>0</v>
      </c>
      <c r="H57"/>
    </row>
    <row r="58" spans="2:8" x14ac:dyDescent="0.25">
      <c r="B58" s="8" t="s">
        <v>926</v>
      </c>
      <c r="C58" s="1">
        <v>0</v>
      </c>
      <c r="D58" s="1"/>
      <c r="E58" s="1">
        <v>244148</v>
      </c>
      <c r="F58" s="10">
        <v>244148</v>
      </c>
      <c r="H58"/>
    </row>
    <row r="59" spans="2:8" x14ac:dyDescent="0.25">
      <c r="B59" s="8" t="s">
        <v>927</v>
      </c>
      <c r="C59" s="1">
        <v>1063995</v>
      </c>
      <c r="D59" s="1"/>
      <c r="E59" s="1">
        <v>-74681</v>
      </c>
      <c r="F59" s="10">
        <v>989314</v>
      </c>
      <c r="H59"/>
    </row>
    <row r="60" spans="2:8" x14ac:dyDescent="0.25">
      <c r="B60" s="8" t="s">
        <v>928</v>
      </c>
      <c r="C60" s="1">
        <v>3369972</v>
      </c>
      <c r="D60" s="1"/>
      <c r="E60" s="1">
        <v>-180111</v>
      </c>
      <c r="F60" s="10">
        <v>3189861</v>
      </c>
      <c r="H60"/>
    </row>
    <row r="61" spans="2:8" x14ac:dyDescent="0.25">
      <c r="B61" s="8" t="s">
        <v>929</v>
      </c>
      <c r="C61" s="1">
        <v>0</v>
      </c>
      <c r="D61" s="1"/>
      <c r="E61" s="1">
        <v>-72425</v>
      </c>
      <c r="F61" s="10">
        <v>-72425</v>
      </c>
      <c r="H61"/>
    </row>
    <row r="62" spans="2:8" s="148" customFormat="1" x14ac:dyDescent="0.25">
      <c r="B62" s="8" t="s">
        <v>930</v>
      </c>
      <c r="C62" s="1">
        <v>0</v>
      </c>
      <c r="D62" s="1"/>
      <c r="E62" s="1">
        <v>-4898</v>
      </c>
      <c r="F62" s="10">
        <v>-4898</v>
      </c>
      <c r="G62"/>
      <c r="H62"/>
    </row>
    <row r="63" spans="2:8" x14ac:dyDescent="0.25">
      <c r="B63" s="8" t="s">
        <v>931</v>
      </c>
      <c r="C63" s="1">
        <v>219788</v>
      </c>
      <c r="D63" s="1"/>
      <c r="E63" s="1">
        <v>-11736</v>
      </c>
      <c r="F63" s="10">
        <v>208052</v>
      </c>
      <c r="H63"/>
    </row>
    <row r="64" spans="2:8" x14ac:dyDescent="0.25">
      <c r="B64" s="8" t="s">
        <v>932</v>
      </c>
      <c r="C64" s="1">
        <v>0</v>
      </c>
      <c r="D64" s="1"/>
      <c r="E64" s="1">
        <v>0</v>
      </c>
      <c r="F64" s="10">
        <v>0</v>
      </c>
      <c r="H64"/>
    </row>
    <row r="65" spans="2:8" x14ac:dyDescent="0.25">
      <c r="B65" s="8" t="s">
        <v>933</v>
      </c>
      <c r="C65" s="1">
        <v>0</v>
      </c>
      <c r="D65" s="1"/>
      <c r="E65" s="1">
        <v>0</v>
      </c>
      <c r="F65" s="10">
        <v>0</v>
      </c>
      <c r="H65"/>
    </row>
    <row r="66" spans="2:8" x14ac:dyDescent="0.25">
      <c r="B66" s="8" t="s">
        <v>934</v>
      </c>
      <c r="C66" s="1">
        <v>0</v>
      </c>
      <c r="D66" s="1"/>
      <c r="E66" s="1">
        <v>0</v>
      </c>
      <c r="F66" s="10">
        <v>0</v>
      </c>
      <c r="H66"/>
    </row>
    <row r="67" spans="2:8" x14ac:dyDescent="0.25">
      <c r="B67" s="8" t="s">
        <v>935</v>
      </c>
      <c r="C67" s="1">
        <v>0</v>
      </c>
      <c r="D67" s="1"/>
      <c r="E67" s="1">
        <v>0</v>
      </c>
      <c r="F67" s="10">
        <v>0</v>
      </c>
      <c r="H67"/>
    </row>
    <row r="68" spans="2:8" x14ac:dyDescent="0.25">
      <c r="B68" s="8" t="s">
        <v>936</v>
      </c>
      <c r="C68" s="1">
        <v>0</v>
      </c>
      <c r="D68" s="1"/>
      <c r="E68" s="1">
        <v>0</v>
      </c>
      <c r="F68" s="10">
        <v>0</v>
      </c>
      <c r="H68"/>
    </row>
    <row r="69" spans="2:8" x14ac:dyDescent="0.25">
      <c r="B69" s="8" t="s">
        <v>937</v>
      </c>
      <c r="C69" s="1"/>
      <c r="D69" s="1"/>
      <c r="E69" s="1">
        <v>0</v>
      </c>
      <c r="F69" s="10">
        <v>0</v>
      </c>
      <c r="H69"/>
    </row>
    <row r="70" spans="2:8" x14ac:dyDescent="0.25">
      <c r="B70" s="8" t="s">
        <v>938</v>
      </c>
      <c r="C70" s="1">
        <v>0</v>
      </c>
      <c r="D70" s="1"/>
      <c r="E70" s="1">
        <v>0</v>
      </c>
      <c r="F70" s="10">
        <v>0</v>
      </c>
      <c r="H70"/>
    </row>
    <row r="71" spans="2:8" x14ac:dyDescent="0.25">
      <c r="B71" s="8" t="s">
        <v>939</v>
      </c>
      <c r="C71" s="1">
        <v>0</v>
      </c>
      <c r="D71" s="1">
        <v>0</v>
      </c>
      <c r="E71" s="1">
        <v>-575672</v>
      </c>
      <c r="F71" s="10">
        <v>-575672</v>
      </c>
      <c r="H71"/>
    </row>
    <row r="72" spans="2:8" x14ac:dyDescent="0.25">
      <c r="B72" s="8" t="s">
        <v>940</v>
      </c>
      <c r="C72" s="1"/>
      <c r="D72" s="1"/>
      <c r="E72" s="1">
        <v>203432</v>
      </c>
      <c r="F72" s="10">
        <v>203432</v>
      </c>
      <c r="H72"/>
    </row>
    <row r="73" spans="2:8" x14ac:dyDescent="0.25">
      <c r="B73" s="8" t="s">
        <v>941</v>
      </c>
      <c r="C73" s="1">
        <v>0</v>
      </c>
      <c r="D73" s="1"/>
      <c r="E73" s="1">
        <v>0</v>
      </c>
      <c r="F73" s="10">
        <v>0</v>
      </c>
      <c r="H73"/>
    </row>
    <row r="74" spans="2:8" x14ac:dyDescent="0.25">
      <c r="B74" s="8" t="s">
        <v>942</v>
      </c>
      <c r="C74" s="1">
        <v>0</v>
      </c>
      <c r="D74" s="1"/>
      <c r="E74" s="1">
        <v>-49115</v>
      </c>
      <c r="F74" s="10">
        <v>-49115</v>
      </c>
      <c r="H74"/>
    </row>
    <row r="75" spans="2:8" x14ac:dyDescent="0.25">
      <c r="B75" s="8" t="s">
        <v>943</v>
      </c>
      <c r="C75" s="1">
        <v>0</v>
      </c>
      <c r="D75" s="1"/>
      <c r="E75" s="1">
        <v>-3878</v>
      </c>
      <c r="F75" s="10">
        <v>-3878</v>
      </c>
      <c r="H75"/>
    </row>
    <row r="76" spans="2:8" x14ac:dyDescent="0.25">
      <c r="B76" s="8" t="s">
        <v>944</v>
      </c>
      <c r="C76" s="1"/>
      <c r="D76" s="1"/>
      <c r="E76" s="1">
        <v>0</v>
      </c>
      <c r="F76" s="10">
        <v>0</v>
      </c>
      <c r="H76"/>
    </row>
    <row r="77" spans="2:8" x14ac:dyDescent="0.25">
      <c r="B77" s="8" t="s">
        <v>945</v>
      </c>
      <c r="C77" s="1">
        <v>0</v>
      </c>
      <c r="D77" s="1"/>
      <c r="E77" s="1">
        <v>0</v>
      </c>
      <c r="F77" s="10">
        <v>0</v>
      </c>
      <c r="H77"/>
    </row>
    <row r="78" spans="2:8" x14ac:dyDescent="0.25">
      <c r="B78" s="7" t="s">
        <v>1007</v>
      </c>
      <c r="C78" s="1"/>
      <c r="D78" s="1"/>
      <c r="E78" s="1"/>
      <c r="F78" s="10"/>
      <c r="H78"/>
    </row>
    <row r="79" spans="2:8" x14ac:dyDescent="0.25">
      <c r="B79" s="8" t="s">
        <v>947</v>
      </c>
      <c r="C79" s="1">
        <v>0</v>
      </c>
      <c r="D79" s="1">
        <v>0</v>
      </c>
      <c r="E79" s="1">
        <v>108467551</v>
      </c>
      <c r="F79" s="10">
        <v>108467551</v>
      </c>
      <c r="H79"/>
    </row>
    <row r="80" spans="2:8" x14ac:dyDescent="0.25">
      <c r="B80" s="7" t="s">
        <v>1008</v>
      </c>
      <c r="C80" s="1"/>
      <c r="D80" s="1"/>
      <c r="E80" s="1"/>
      <c r="F80" s="10"/>
      <c r="H80"/>
    </row>
    <row r="81" spans="2:8" x14ac:dyDescent="0.25">
      <c r="B81" s="8" t="s">
        <v>946</v>
      </c>
      <c r="C81" s="1">
        <v>0</v>
      </c>
      <c r="D81" s="1">
        <v>0</v>
      </c>
      <c r="E81" s="1">
        <v>86079840</v>
      </c>
      <c r="F81" s="10">
        <v>86079840</v>
      </c>
      <c r="H81"/>
    </row>
    <row r="82" spans="2:8" x14ac:dyDescent="0.25">
      <c r="B82" s="7" t="s">
        <v>1009</v>
      </c>
      <c r="C82" s="1"/>
      <c r="D82" s="1"/>
      <c r="E82" s="1"/>
      <c r="F82" s="10"/>
      <c r="H82"/>
    </row>
    <row r="83" spans="2:8" x14ac:dyDescent="0.25">
      <c r="B83" s="8" t="s">
        <v>895</v>
      </c>
      <c r="C83" s="1">
        <v>0</v>
      </c>
      <c r="D83" s="1">
        <v>0</v>
      </c>
      <c r="E83" s="1">
        <v>0</v>
      </c>
      <c r="F83" s="10">
        <v>0</v>
      </c>
      <c r="H83"/>
    </row>
    <row r="84" spans="2:8" x14ac:dyDescent="0.25">
      <c r="B84" s="8" t="s">
        <v>896</v>
      </c>
      <c r="C84" s="1">
        <v>0</v>
      </c>
      <c r="D84" s="1"/>
      <c r="E84" s="1">
        <v>0</v>
      </c>
      <c r="F84" s="10">
        <v>0</v>
      </c>
      <c r="H84"/>
    </row>
    <row r="85" spans="2:8" x14ac:dyDescent="0.25">
      <c r="B85" s="8" t="s">
        <v>899</v>
      </c>
      <c r="C85" s="1">
        <v>1710552</v>
      </c>
      <c r="D85" s="1"/>
      <c r="E85" s="1">
        <v>2860922</v>
      </c>
      <c r="F85" s="10">
        <v>4571474</v>
      </c>
      <c r="H85"/>
    </row>
    <row r="86" spans="2:8" x14ac:dyDescent="0.25">
      <c r="B86" s="8" t="s">
        <v>900</v>
      </c>
      <c r="C86" s="1">
        <v>3048</v>
      </c>
      <c r="D86" s="1"/>
      <c r="E86" s="1">
        <v>6465</v>
      </c>
      <c r="F86" s="10">
        <v>9513</v>
      </c>
      <c r="H86"/>
    </row>
    <row r="87" spans="2:8" x14ac:dyDescent="0.25">
      <c r="B87" s="8" t="s">
        <v>901</v>
      </c>
      <c r="C87" s="1">
        <v>9355</v>
      </c>
      <c r="D87" s="1"/>
      <c r="E87" s="1">
        <v>20150</v>
      </c>
      <c r="F87" s="10">
        <v>29505</v>
      </c>
      <c r="H87"/>
    </row>
    <row r="88" spans="2:8" x14ac:dyDescent="0.25">
      <c r="B88" s="8" t="s">
        <v>902</v>
      </c>
      <c r="C88" s="1">
        <v>3794</v>
      </c>
      <c r="D88" s="1"/>
      <c r="E88" s="1">
        <v>8136</v>
      </c>
      <c r="F88" s="10">
        <v>11930</v>
      </c>
      <c r="H88"/>
    </row>
    <row r="89" spans="2:8" x14ac:dyDescent="0.25">
      <c r="B89" s="8" t="s">
        <v>903</v>
      </c>
      <c r="C89" s="1">
        <v>260</v>
      </c>
      <c r="D89" s="1"/>
      <c r="E89" s="1">
        <v>554</v>
      </c>
      <c r="F89" s="10">
        <v>814</v>
      </c>
      <c r="H89"/>
    </row>
    <row r="90" spans="2:8" x14ac:dyDescent="0.25">
      <c r="B90" s="8" t="s">
        <v>904</v>
      </c>
      <c r="C90" s="1">
        <v>689</v>
      </c>
      <c r="D90" s="1"/>
      <c r="E90" s="1">
        <v>1393</v>
      </c>
      <c r="F90" s="10">
        <v>2082</v>
      </c>
      <c r="H90"/>
    </row>
    <row r="91" spans="2:8" x14ac:dyDescent="0.25">
      <c r="B91" s="8" t="s">
        <v>905</v>
      </c>
      <c r="C91" s="1"/>
      <c r="D91" s="1"/>
      <c r="E91" s="1">
        <v>0</v>
      </c>
      <c r="F91" s="10">
        <v>0</v>
      </c>
      <c r="H91"/>
    </row>
    <row r="92" spans="2:8" x14ac:dyDescent="0.25">
      <c r="B92" s="8" t="s">
        <v>906</v>
      </c>
      <c r="C92" s="1">
        <v>546</v>
      </c>
      <c r="D92" s="1"/>
      <c r="E92" s="1">
        <v>546</v>
      </c>
      <c r="F92" s="10">
        <v>1092</v>
      </c>
      <c r="H92"/>
    </row>
    <row r="93" spans="2:8" x14ac:dyDescent="0.25">
      <c r="B93" s="8" t="s">
        <v>907</v>
      </c>
      <c r="C93" s="1">
        <v>0</v>
      </c>
      <c r="D93" s="1"/>
      <c r="E93" s="1">
        <v>0</v>
      </c>
      <c r="F93" s="10">
        <v>0</v>
      </c>
      <c r="H93"/>
    </row>
    <row r="94" spans="2:8" x14ac:dyDescent="0.25">
      <c r="B94" s="8" t="s">
        <v>908</v>
      </c>
      <c r="C94" s="1">
        <v>0</v>
      </c>
      <c r="D94" s="1"/>
      <c r="E94" s="1">
        <v>132573</v>
      </c>
      <c r="F94" s="10">
        <v>132573</v>
      </c>
      <c r="H94"/>
    </row>
    <row r="95" spans="2:8" x14ac:dyDescent="0.25">
      <c r="B95" s="8" t="s">
        <v>909</v>
      </c>
      <c r="C95" s="1">
        <v>0</v>
      </c>
      <c r="D95" s="1"/>
      <c r="E95" s="1">
        <v>0</v>
      </c>
      <c r="F95" s="10">
        <v>0</v>
      </c>
      <c r="H95"/>
    </row>
    <row r="96" spans="2:8" x14ac:dyDescent="0.25">
      <c r="B96" s="8" t="s">
        <v>910</v>
      </c>
      <c r="C96" s="1">
        <v>0</v>
      </c>
      <c r="D96" s="1"/>
      <c r="E96" s="1">
        <v>1</v>
      </c>
      <c r="F96" s="10">
        <v>1</v>
      </c>
      <c r="H96"/>
    </row>
    <row r="97" spans="2:8" x14ac:dyDescent="0.25">
      <c r="B97" s="8" t="s">
        <v>911</v>
      </c>
      <c r="C97" s="1">
        <v>0</v>
      </c>
      <c r="D97" s="1"/>
      <c r="E97" s="1">
        <v>752756</v>
      </c>
      <c r="F97" s="10">
        <v>752756</v>
      </c>
      <c r="H97"/>
    </row>
    <row r="98" spans="2:8" x14ac:dyDescent="0.25">
      <c r="B98" s="8" t="s">
        <v>912</v>
      </c>
      <c r="C98" s="1">
        <v>0</v>
      </c>
      <c r="D98" s="1"/>
      <c r="E98" s="1">
        <v>0</v>
      </c>
      <c r="F98" s="10">
        <v>0</v>
      </c>
      <c r="H98"/>
    </row>
    <row r="99" spans="2:8" x14ac:dyDescent="0.25">
      <c r="B99" s="8" t="s">
        <v>913</v>
      </c>
      <c r="C99" s="1">
        <v>203030</v>
      </c>
      <c r="D99" s="1"/>
      <c r="E99" s="1">
        <v>203030</v>
      </c>
      <c r="F99" s="10">
        <v>406060</v>
      </c>
      <c r="H99"/>
    </row>
    <row r="100" spans="2:8" x14ac:dyDescent="0.25">
      <c r="B100" s="8" t="s">
        <v>914</v>
      </c>
      <c r="C100" s="1">
        <v>-141936</v>
      </c>
      <c r="D100" s="1"/>
      <c r="E100" s="1">
        <v>-58675</v>
      </c>
      <c r="F100" s="10">
        <v>-200611</v>
      </c>
      <c r="H100"/>
    </row>
    <row r="101" spans="2:8" x14ac:dyDescent="0.25">
      <c r="B101" s="7" t="s">
        <v>1010</v>
      </c>
      <c r="C101" s="1"/>
      <c r="D101" s="1"/>
      <c r="E101" s="1"/>
      <c r="F101" s="10"/>
      <c r="H101"/>
    </row>
    <row r="102" spans="2:8" x14ac:dyDescent="0.25">
      <c r="B102" s="8" t="s">
        <v>993</v>
      </c>
      <c r="C102" s="1">
        <v>0</v>
      </c>
      <c r="D102" s="1">
        <v>0</v>
      </c>
      <c r="E102" s="1">
        <v>126859046</v>
      </c>
      <c r="F102" s="10">
        <v>126859046</v>
      </c>
      <c r="H102"/>
    </row>
    <row r="103" spans="2:8" x14ac:dyDescent="0.25">
      <c r="B103" s="8" t="s">
        <v>994</v>
      </c>
      <c r="C103" s="1">
        <v>0</v>
      </c>
      <c r="D103" s="1"/>
      <c r="E103" s="1">
        <v>0</v>
      </c>
      <c r="F103" s="10">
        <v>0</v>
      </c>
      <c r="H103"/>
    </row>
    <row r="104" spans="2:8" x14ac:dyDescent="0.25">
      <c r="B104" s="7" t="s">
        <v>1011</v>
      </c>
      <c r="C104" s="1"/>
      <c r="D104" s="1"/>
      <c r="E104" s="1"/>
      <c r="F104" s="10"/>
      <c r="H104"/>
    </row>
    <row r="105" spans="2:8" x14ac:dyDescent="0.25">
      <c r="B105" s="8" t="s">
        <v>1000</v>
      </c>
      <c r="C105" s="1">
        <v>0</v>
      </c>
      <c r="D105" s="1">
        <v>0</v>
      </c>
      <c r="E105" s="1">
        <v>287367650</v>
      </c>
      <c r="F105" s="10">
        <v>287367650</v>
      </c>
      <c r="H105"/>
    </row>
    <row r="106" spans="2:8" x14ac:dyDescent="0.25">
      <c r="B106" s="7" t="s">
        <v>1012</v>
      </c>
      <c r="C106" s="1"/>
      <c r="D106" s="1"/>
      <c r="E106" s="1"/>
      <c r="F106" s="10"/>
      <c r="H106"/>
    </row>
    <row r="107" spans="2:8" x14ac:dyDescent="0.25">
      <c r="B107" s="8" t="s">
        <v>995</v>
      </c>
      <c r="C107" s="1">
        <v>0</v>
      </c>
      <c r="D107" s="1">
        <v>0</v>
      </c>
      <c r="E107" s="1">
        <v>9788760</v>
      </c>
      <c r="F107" s="10">
        <v>9788760</v>
      </c>
      <c r="H107"/>
    </row>
    <row r="108" spans="2:8" x14ac:dyDescent="0.25">
      <c r="B108" s="8" t="s">
        <v>996</v>
      </c>
      <c r="C108" s="1">
        <v>0</v>
      </c>
      <c r="D108" s="1"/>
      <c r="E108" s="1">
        <v>22740042</v>
      </c>
      <c r="F108" s="10">
        <v>22740042</v>
      </c>
      <c r="H108"/>
    </row>
    <row r="109" spans="2:8" x14ac:dyDescent="0.25">
      <c r="B109" s="8" t="s">
        <v>997</v>
      </c>
      <c r="C109" s="1">
        <v>0</v>
      </c>
      <c r="D109" s="1"/>
      <c r="E109" s="1">
        <v>38081796</v>
      </c>
      <c r="F109" s="10">
        <v>38081796</v>
      </c>
      <c r="H109"/>
    </row>
    <row r="110" spans="2:8" x14ac:dyDescent="0.25">
      <c r="B110" s="8" t="s">
        <v>998</v>
      </c>
      <c r="C110" s="1"/>
      <c r="D110" s="1"/>
      <c r="E110" s="1">
        <v>49142848</v>
      </c>
      <c r="F110" s="10">
        <v>49142848</v>
      </c>
      <c r="H110"/>
    </row>
    <row r="111" spans="2:8" x14ac:dyDescent="0.25">
      <c r="B111" s="8" t="s">
        <v>999</v>
      </c>
      <c r="C111" s="1"/>
      <c r="D111" s="1"/>
      <c r="E111" s="1">
        <v>0</v>
      </c>
      <c r="F111" s="10">
        <v>0</v>
      </c>
    </row>
    <row r="112" spans="2:8" x14ac:dyDescent="0.25">
      <c r="B112" s="7" t="s">
        <v>1013</v>
      </c>
      <c r="C112" s="1"/>
      <c r="D112" s="1"/>
      <c r="E112" s="1"/>
      <c r="F112" s="10"/>
    </row>
    <row r="113" spans="2:6" x14ac:dyDescent="0.25">
      <c r="B113" s="8" t="s">
        <v>1001</v>
      </c>
      <c r="C113" s="1">
        <v>0</v>
      </c>
      <c r="D113" s="1">
        <v>0</v>
      </c>
      <c r="E113" s="1">
        <v>0</v>
      </c>
      <c r="F113" s="10">
        <v>0</v>
      </c>
    </row>
    <row r="114" spans="2:6" x14ac:dyDescent="0.25">
      <c r="B114" s="7" t="s">
        <v>1014</v>
      </c>
      <c r="C114" s="1"/>
      <c r="D114" s="1"/>
      <c r="E114" s="1"/>
      <c r="F114" s="10"/>
    </row>
    <row r="115" spans="2:6" x14ac:dyDescent="0.25">
      <c r="B115" s="8" t="s">
        <v>1003</v>
      </c>
      <c r="C115" s="1">
        <v>0</v>
      </c>
      <c r="D115" s="1"/>
      <c r="E115" s="1">
        <v>0</v>
      </c>
      <c r="F115" s="10">
        <v>0</v>
      </c>
    </row>
    <row r="116" spans="2:6" x14ac:dyDescent="0.25">
      <c r="B116" s="7" t="s">
        <v>1015</v>
      </c>
      <c r="C116" s="1"/>
      <c r="D116" s="1"/>
      <c r="E116" s="1"/>
      <c r="F116" s="10"/>
    </row>
    <row r="117" spans="2:6" x14ac:dyDescent="0.25">
      <c r="B117" s="8" t="s">
        <v>948</v>
      </c>
      <c r="C117" s="1">
        <v>0</v>
      </c>
      <c r="D117" s="1"/>
      <c r="E117" s="1">
        <v>0</v>
      </c>
      <c r="F117" s="10">
        <v>0</v>
      </c>
    </row>
    <row r="118" spans="2:6" x14ac:dyDescent="0.25">
      <c r="B118" s="8" t="s">
        <v>949</v>
      </c>
      <c r="C118" s="1">
        <v>0</v>
      </c>
      <c r="D118" s="1">
        <v>0</v>
      </c>
      <c r="E118" s="1">
        <v>565117</v>
      </c>
      <c r="F118" s="10">
        <v>565117</v>
      </c>
    </row>
    <row r="119" spans="2:6" x14ac:dyDescent="0.25">
      <c r="B119" s="8" t="s">
        <v>950</v>
      </c>
      <c r="C119" s="1">
        <v>0</v>
      </c>
      <c r="D119" s="1"/>
      <c r="E119" s="1">
        <v>91931</v>
      </c>
      <c r="F119" s="10">
        <v>91931</v>
      </c>
    </row>
    <row r="120" spans="2:6" x14ac:dyDescent="0.25">
      <c r="B120" s="8" t="s">
        <v>951</v>
      </c>
      <c r="C120" s="1">
        <v>0</v>
      </c>
      <c r="D120" s="1"/>
      <c r="E120" s="1">
        <v>175515</v>
      </c>
      <c r="F120" s="10">
        <v>175515</v>
      </c>
    </row>
    <row r="121" spans="2:6" x14ac:dyDescent="0.25">
      <c r="B121" s="8" t="s">
        <v>952</v>
      </c>
      <c r="C121" s="1">
        <v>0</v>
      </c>
      <c r="D121" s="1"/>
      <c r="E121" s="1">
        <v>9578195</v>
      </c>
      <c r="F121" s="10">
        <v>9578195</v>
      </c>
    </row>
    <row r="122" spans="2:6" x14ac:dyDescent="0.25">
      <c r="B122" s="8" t="s">
        <v>953</v>
      </c>
      <c r="C122" s="1">
        <v>0</v>
      </c>
      <c r="D122" s="1"/>
      <c r="E122" s="1">
        <v>0</v>
      </c>
      <c r="F122" s="10">
        <v>0</v>
      </c>
    </row>
    <row r="123" spans="2:6" x14ac:dyDescent="0.25">
      <c r="B123" s="8" t="s">
        <v>954</v>
      </c>
      <c r="C123" s="1">
        <v>0</v>
      </c>
      <c r="D123" s="1"/>
      <c r="E123" s="1">
        <v>458474</v>
      </c>
      <c r="F123" s="10">
        <v>458474</v>
      </c>
    </row>
    <row r="124" spans="2:6" x14ac:dyDescent="0.25">
      <c r="B124" s="8" t="s">
        <v>955</v>
      </c>
      <c r="C124" s="1">
        <v>0</v>
      </c>
      <c r="D124" s="1"/>
      <c r="E124" s="1">
        <v>-9578195</v>
      </c>
      <c r="F124" s="10">
        <v>-9578195</v>
      </c>
    </row>
    <row r="125" spans="2:6" x14ac:dyDescent="0.25">
      <c r="B125" s="8" t="s">
        <v>956</v>
      </c>
      <c r="C125" s="1">
        <v>0</v>
      </c>
      <c r="D125" s="1"/>
      <c r="E125" s="1">
        <v>-458474</v>
      </c>
      <c r="F125" s="10">
        <v>-458474</v>
      </c>
    </row>
    <row r="126" spans="2:6" x14ac:dyDescent="0.25">
      <c r="B126" s="7" t="s">
        <v>1016</v>
      </c>
      <c r="C126" s="1"/>
      <c r="D126" s="1"/>
      <c r="E126" s="1"/>
      <c r="F126" s="10"/>
    </row>
    <row r="127" spans="2:6" x14ac:dyDescent="0.25">
      <c r="B127" s="8" t="s">
        <v>854</v>
      </c>
      <c r="C127" s="1">
        <v>0</v>
      </c>
      <c r="D127" s="1">
        <v>0</v>
      </c>
      <c r="E127" s="1">
        <v>0</v>
      </c>
      <c r="F127" s="10">
        <v>0</v>
      </c>
    </row>
    <row r="128" spans="2:6" x14ac:dyDescent="0.25">
      <c r="B128" s="8" t="s">
        <v>855</v>
      </c>
      <c r="C128" s="1">
        <v>0</v>
      </c>
      <c r="D128" s="1"/>
      <c r="E128" s="1">
        <v>42788647</v>
      </c>
      <c r="F128" s="10">
        <v>42788647</v>
      </c>
    </row>
    <row r="129" spans="2:6" x14ac:dyDescent="0.25">
      <c r="B129" s="8" t="s">
        <v>856</v>
      </c>
      <c r="C129" s="1">
        <v>0</v>
      </c>
      <c r="D129" s="1"/>
      <c r="E129" s="1">
        <v>186634896</v>
      </c>
      <c r="F129" s="10">
        <v>186634896</v>
      </c>
    </row>
    <row r="130" spans="2:6" x14ac:dyDescent="0.25">
      <c r="B130" s="8" t="s">
        <v>857</v>
      </c>
      <c r="C130" s="1"/>
      <c r="D130" s="1"/>
      <c r="E130" s="1">
        <v>495600</v>
      </c>
      <c r="F130" s="10">
        <v>495600</v>
      </c>
    </row>
    <row r="131" spans="2:6" x14ac:dyDescent="0.25">
      <c r="B131" s="8" t="s">
        <v>858</v>
      </c>
      <c r="C131" s="1"/>
      <c r="D131" s="1"/>
      <c r="E131" s="1">
        <v>203009684</v>
      </c>
      <c r="F131" s="10">
        <v>203009684</v>
      </c>
    </row>
    <row r="132" spans="2:6" x14ac:dyDescent="0.25">
      <c r="B132" s="8" t="s">
        <v>859</v>
      </c>
      <c r="C132" s="1"/>
      <c r="D132" s="1"/>
      <c r="E132" s="1">
        <v>949895</v>
      </c>
      <c r="F132" s="10">
        <v>949895</v>
      </c>
    </row>
    <row r="133" spans="2:6" x14ac:dyDescent="0.25">
      <c r="B133" s="8" t="s">
        <v>860</v>
      </c>
      <c r="C133" s="1">
        <v>0</v>
      </c>
      <c r="D133" s="1"/>
      <c r="E133" s="1">
        <v>13442163</v>
      </c>
      <c r="F133" s="10">
        <v>13442163</v>
      </c>
    </row>
    <row r="134" spans="2:6" x14ac:dyDescent="0.25">
      <c r="B134" s="8" t="s">
        <v>861</v>
      </c>
      <c r="C134" s="1">
        <v>0</v>
      </c>
      <c r="D134" s="1"/>
      <c r="E134" s="1"/>
      <c r="F134" s="10">
        <v>0</v>
      </c>
    </row>
    <row r="135" spans="2:6" x14ac:dyDescent="0.25">
      <c r="B135" s="8" t="s">
        <v>293</v>
      </c>
      <c r="C135" s="1">
        <v>0</v>
      </c>
      <c r="D135" s="1"/>
      <c r="E135" s="1"/>
      <c r="F135" s="10">
        <v>0</v>
      </c>
    </row>
    <row r="136" spans="2:6" x14ac:dyDescent="0.25">
      <c r="B136" s="8" t="s">
        <v>862</v>
      </c>
      <c r="C136" s="1"/>
      <c r="D136" s="1"/>
      <c r="E136" s="1">
        <v>35931</v>
      </c>
      <c r="F136" s="10">
        <v>35931</v>
      </c>
    </row>
    <row r="137" spans="2:6" x14ac:dyDescent="0.25">
      <c r="B137" s="8" t="s">
        <v>863</v>
      </c>
      <c r="C137" s="1"/>
      <c r="D137" s="1"/>
      <c r="E137" s="1">
        <v>12805956</v>
      </c>
      <c r="F137" s="10">
        <v>12805956</v>
      </c>
    </row>
    <row r="138" spans="2:6" x14ac:dyDescent="0.25">
      <c r="B138" s="8" t="s">
        <v>294</v>
      </c>
      <c r="C138" s="1">
        <v>0</v>
      </c>
      <c r="D138" s="1"/>
      <c r="E138" s="1"/>
      <c r="F138" s="10">
        <v>0</v>
      </c>
    </row>
    <row r="139" spans="2:6" x14ac:dyDescent="0.25">
      <c r="B139" s="8" t="s">
        <v>864</v>
      </c>
      <c r="C139" s="1">
        <v>0</v>
      </c>
      <c r="D139" s="1"/>
      <c r="E139" s="1"/>
      <c r="F139" s="10">
        <v>0</v>
      </c>
    </row>
    <row r="140" spans="2:6" x14ac:dyDescent="0.25">
      <c r="B140" s="8" t="s">
        <v>865</v>
      </c>
      <c r="C140" s="1">
        <v>0</v>
      </c>
      <c r="D140" s="1"/>
      <c r="E140" s="1"/>
      <c r="F140" s="10">
        <v>0</v>
      </c>
    </row>
    <row r="141" spans="2:6" x14ac:dyDescent="0.25">
      <c r="B141" s="8" t="s">
        <v>866</v>
      </c>
      <c r="C141" s="1">
        <v>0</v>
      </c>
      <c r="D141" s="1"/>
      <c r="E141" s="1">
        <v>4160</v>
      </c>
      <c r="F141" s="10">
        <v>4160</v>
      </c>
    </row>
    <row r="142" spans="2:6" x14ac:dyDescent="0.25">
      <c r="B142" s="8" t="s">
        <v>867</v>
      </c>
      <c r="C142" s="1">
        <v>0</v>
      </c>
      <c r="D142" s="1"/>
      <c r="E142" s="1"/>
      <c r="F142" s="10">
        <v>0</v>
      </c>
    </row>
    <row r="143" spans="2:6" x14ac:dyDescent="0.25">
      <c r="B143" s="8" t="s">
        <v>868</v>
      </c>
      <c r="C143" s="1"/>
      <c r="D143" s="1"/>
      <c r="E143" s="1">
        <v>733374</v>
      </c>
      <c r="F143" s="10">
        <v>733374</v>
      </c>
    </row>
    <row r="144" spans="2:6" x14ac:dyDescent="0.25">
      <c r="B144" s="8" t="s">
        <v>869</v>
      </c>
      <c r="C144" s="1">
        <v>0</v>
      </c>
      <c r="D144" s="1"/>
      <c r="E144" s="1">
        <v>384994680</v>
      </c>
      <c r="F144" s="10">
        <v>384994680</v>
      </c>
    </row>
    <row r="145" spans="2:6" x14ac:dyDescent="0.25">
      <c r="B145" s="8" t="s">
        <v>870</v>
      </c>
      <c r="C145" s="1">
        <v>0</v>
      </c>
      <c r="D145" s="1"/>
      <c r="E145" s="1">
        <v>8239573</v>
      </c>
      <c r="F145" s="10">
        <v>8239573</v>
      </c>
    </row>
    <row r="146" spans="2:6" x14ac:dyDescent="0.25">
      <c r="B146" s="8" t="s">
        <v>871</v>
      </c>
      <c r="C146" s="1">
        <v>0</v>
      </c>
      <c r="D146" s="1"/>
      <c r="E146" s="1">
        <v>0</v>
      </c>
      <c r="F146" s="10">
        <v>0</v>
      </c>
    </row>
    <row r="147" spans="2:6" x14ac:dyDescent="0.25">
      <c r="B147" s="8" t="s">
        <v>872</v>
      </c>
      <c r="C147" s="1">
        <v>0</v>
      </c>
      <c r="D147" s="1"/>
      <c r="E147" s="1">
        <v>0</v>
      </c>
      <c r="F147" s="10">
        <v>0</v>
      </c>
    </row>
    <row r="148" spans="2:6" x14ac:dyDescent="0.25">
      <c r="B148" s="8" t="s">
        <v>873</v>
      </c>
      <c r="C148" s="1">
        <v>0</v>
      </c>
      <c r="D148" s="1"/>
      <c r="E148" s="1">
        <v>0</v>
      </c>
      <c r="F148" s="10">
        <v>0</v>
      </c>
    </row>
    <row r="149" spans="2:6" x14ac:dyDescent="0.25">
      <c r="B149" s="8" t="s">
        <v>301</v>
      </c>
      <c r="C149" s="1">
        <v>0</v>
      </c>
      <c r="D149" s="1"/>
      <c r="E149" s="1">
        <v>-15574559</v>
      </c>
      <c r="F149" s="10">
        <v>-15574559</v>
      </c>
    </row>
    <row r="150" spans="2:6" x14ac:dyDescent="0.25">
      <c r="B150" s="8" t="s">
        <v>874</v>
      </c>
      <c r="C150" s="1">
        <v>0</v>
      </c>
      <c r="D150" s="1"/>
      <c r="E150" s="1">
        <v>-78167345</v>
      </c>
      <c r="F150" s="10">
        <v>-78167345</v>
      </c>
    </row>
    <row r="151" spans="2:6" x14ac:dyDescent="0.25">
      <c r="B151" s="8" t="s">
        <v>875</v>
      </c>
      <c r="C151" s="1">
        <v>0</v>
      </c>
      <c r="D151" s="1"/>
      <c r="E151" s="1">
        <v>-7242674</v>
      </c>
      <c r="F151" s="10">
        <v>-7242674</v>
      </c>
    </row>
    <row r="152" spans="2:6" x14ac:dyDescent="0.25">
      <c r="B152" s="8" t="s">
        <v>876</v>
      </c>
      <c r="C152" s="1">
        <v>0</v>
      </c>
      <c r="D152" s="1"/>
      <c r="E152" s="1">
        <v>-237475</v>
      </c>
      <c r="F152" s="10">
        <v>-237475</v>
      </c>
    </row>
    <row r="153" spans="2:6" x14ac:dyDescent="0.25">
      <c r="B153" s="8" t="s">
        <v>877</v>
      </c>
      <c r="C153" s="1">
        <v>0</v>
      </c>
      <c r="D153" s="1"/>
      <c r="E153" s="1">
        <v>-164352150</v>
      </c>
      <c r="F153" s="10">
        <v>-164352150</v>
      </c>
    </row>
    <row r="154" spans="2:6" x14ac:dyDescent="0.25">
      <c r="B154" s="8" t="s">
        <v>878</v>
      </c>
      <c r="C154" s="1">
        <v>0</v>
      </c>
      <c r="D154" s="1"/>
      <c r="E154" s="1">
        <v>-9170221</v>
      </c>
      <c r="F154" s="10">
        <v>-9170221</v>
      </c>
    </row>
    <row r="155" spans="2:6" x14ac:dyDescent="0.25">
      <c r="B155" s="8" t="s">
        <v>879</v>
      </c>
      <c r="C155" s="1">
        <v>0</v>
      </c>
      <c r="D155" s="1"/>
      <c r="E155" s="1">
        <v>-386612</v>
      </c>
      <c r="F155" s="10">
        <v>-386612</v>
      </c>
    </row>
    <row r="156" spans="2:6" x14ac:dyDescent="0.25">
      <c r="B156" s="8" t="s">
        <v>880</v>
      </c>
      <c r="C156" s="1">
        <v>0</v>
      </c>
      <c r="D156" s="1"/>
      <c r="E156" s="1">
        <v>-18336</v>
      </c>
      <c r="F156" s="10">
        <v>-18336</v>
      </c>
    </row>
    <row r="157" spans="2:6" x14ac:dyDescent="0.25">
      <c r="B157" s="8" t="s">
        <v>881</v>
      </c>
      <c r="C157" s="1">
        <v>0</v>
      </c>
      <c r="D157" s="1"/>
      <c r="E157" s="1">
        <v>0</v>
      </c>
      <c r="F157" s="10">
        <v>0</v>
      </c>
    </row>
    <row r="158" spans="2:6" x14ac:dyDescent="0.25">
      <c r="B158" s="8" t="s">
        <v>897</v>
      </c>
      <c r="C158" s="1"/>
      <c r="D158" s="1"/>
      <c r="E158" s="1">
        <v>2617618</v>
      </c>
      <c r="F158" s="10">
        <v>2617618</v>
      </c>
    </row>
    <row r="159" spans="2:6" x14ac:dyDescent="0.25">
      <c r="B159" s="8" t="s">
        <v>898</v>
      </c>
      <c r="C159" s="1"/>
      <c r="D159" s="1"/>
      <c r="E159" s="1">
        <v>47477</v>
      </c>
      <c r="F159" s="10">
        <v>47477</v>
      </c>
    </row>
    <row r="160" spans="2:6" x14ac:dyDescent="0.25">
      <c r="B160" s="7" t="s">
        <v>1017</v>
      </c>
      <c r="C160" s="1"/>
      <c r="D160" s="1"/>
      <c r="E160" s="1"/>
      <c r="F160" s="10"/>
    </row>
    <row r="161" spans="2:6" x14ac:dyDescent="0.25">
      <c r="B161" s="8" t="s">
        <v>849</v>
      </c>
      <c r="C161" s="1">
        <v>0</v>
      </c>
      <c r="D161" s="1"/>
      <c r="E161" s="1">
        <v>11194633</v>
      </c>
      <c r="F161" s="10">
        <v>11194633</v>
      </c>
    </row>
    <row r="162" spans="2:6" x14ac:dyDescent="0.25">
      <c r="B162" s="8" t="s">
        <v>292</v>
      </c>
      <c r="C162" s="1">
        <v>0</v>
      </c>
      <c r="D162" s="1"/>
      <c r="E162" s="1">
        <v>83691916</v>
      </c>
      <c r="F162" s="10">
        <v>83691916</v>
      </c>
    </row>
    <row r="163" spans="2:6" x14ac:dyDescent="0.25">
      <c r="B163" s="8" t="s">
        <v>302</v>
      </c>
      <c r="C163" s="1">
        <v>0</v>
      </c>
      <c r="D163" s="1">
        <v>0</v>
      </c>
      <c r="E163" s="1">
        <v>14785023</v>
      </c>
      <c r="F163" s="10">
        <v>14785023</v>
      </c>
    </row>
    <row r="164" spans="2:6" x14ac:dyDescent="0.25">
      <c r="B164" s="8" t="s">
        <v>850</v>
      </c>
      <c r="C164" s="1"/>
      <c r="D164" s="1"/>
      <c r="E164" s="1">
        <v>14095050</v>
      </c>
      <c r="F164" s="10">
        <v>14095050</v>
      </c>
    </row>
    <row r="165" spans="2:6" x14ac:dyDescent="0.25">
      <c r="B165" s="8" t="s">
        <v>851</v>
      </c>
      <c r="C165" s="1">
        <v>0</v>
      </c>
      <c r="D165" s="1"/>
      <c r="E165" s="1">
        <v>-11194633</v>
      </c>
      <c r="F165" s="10">
        <v>-11194633</v>
      </c>
    </row>
    <row r="166" spans="2:6" x14ac:dyDescent="0.25">
      <c r="B166" s="8" t="s">
        <v>852</v>
      </c>
      <c r="C166" s="1">
        <v>0</v>
      </c>
      <c r="D166" s="1"/>
      <c r="E166" s="1">
        <v>-62647072</v>
      </c>
      <c r="F166" s="10">
        <v>-62647072</v>
      </c>
    </row>
    <row r="167" spans="2:6" x14ac:dyDescent="0.25">
      <c r="B167" s="8" t="s">
        <v>853</v>
      </c>
      <c r="C167" s="1">
        <v>0</v>
      </c>
      <c r="D167" s="1"/>
      <c r="E167" s="1">
        <v>-14050489</v>
      </c>
      <c r="F167" s="10">
        <v>-14050489</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A P E X _ L i s t _ a 1 9 1 4 1 8 a - e a 5 7 - 4 8 f 4 - 8 e 5 5 - 1 0 2 3 9 f 7 c 0 e 0 d " > < C u s t o m C o n t e n t > < ! [ C D A T A [ < T a b l e W i d g e t G r i d S e r i a l i z a t i o n   x m l n s : x s i = " h t t p : / / w w w . w 3 . o r g / 2 0 0 1 / X M L S c h e m a - i n s t a n c e "   x m l n s : x s d = " h t t p : / / w w w . w 3 . o r g / 2 0 0 1 / X M L S c h e m a " > < C o l u m n S u g g e s t e d T y p e   / > < C o l u m n F o r m a t   / > < C o l u m n A c c u r a c y   / > < C o l u m n C u r r e n c y S y m b o l   / > < C o l u m n P o s i t i v e P a t t e r n   / > < C o l u m n N e g a t i v e P a t t e r n   / > < C o l u m n W i d t h s > < i t e m > < k e y > < s t r i n g > @>5:B  < / s t r i n g > < / k e y > < v a l u e > < i n t > 1 2 8 < / i n t > < / v a l u e > < / i t e m > < i t e m > < k e y > < s t r i n g > @>5:B< / s t r i n g > < / k e y > < v a l u e > < i n t > 1 0 0 < / i n t > < / v a l u e > < / i t e m > < i t e m > < k e y > < s t r i n g > 0B53>@8X0  ?@>5:B  < / s t r i n g > < / k e y > < v a l u e > < i n t > 2 1 6 < / i n t > < / v a l u e > < / i t e m > < i t e m > < k e y > < s t r i n g > 0B53>@8X0  @>5:B< / s t r i n g > < / k e y > < v a l u e > < i n t > 1 9 0 < / i n t > < / v a l u e > < / i t e m > < i t e m > < k e y > < s t r i n g > ><5=B0;=0  A>AB>X10  ( 2:;CGC20X\8  ?@>1;5<8) < / s t r i n g > < / k e y > < v a l u e > < i n t > 4 1 6 < / i n t > < / v a l u e > < / i t e m > < i t e m > < k e y > < s t r i n g > ;8X0=8X0  8  >G5:C20=8  @57C;B0B8< / s t r i n g > < / k e y > < v a l u e > < i n t > 3 0 5 < / i n t > < / v a l u e > < / i t e m > < i t e m > < k e y > < s t r i n g > @54;030G  =0  8=25AB8F8X0< / s t r i n g > < / k e y > < v a l u e > < i n t > 2 5 3 < / i n t > < / v a l u e > < / i t e m > < i t e m > < k e y > < s t r i n g >  >:  =0  70?>G=C20Z5< / s t r i n g > < / k e y > < v a l u e > < i n t > 2 0 6 < / i n t > < / v a l u e > < / i t e m > < i t e m > < k e y > < s t r i n g >  >:  70  702@HC20Z5< / s t r i n g > < / k e y > < v a l u e > < i n t > 1 9 8 < / i n t > < / v a l u e > < / i t e m > < i t e m > < k e y > < s t r i n g >  >:  =0  AB020Z5  =0  C?>B@510< / s t r i n g > < / k e y > < v a l u e > < i n t > 2 6 6 < / i n t > < / v a l u e > < / i t e m > < i t e m > < k e y > < s t r i n g > :C?5=  87=>A< / s t r i n g > < / k e y > < v a l u e > < i n t > 1 5 0 < / i n t > < / v a l u e > < / i t e m > < i t e m > < k e y > < s t r i n g > !B0?:0  =0  0<>@B870F8X0< / s t r i n g > < / k e y > < v a l u e > < i n t > 2 3 4 < / i n t > < / v a l u e > < / i t e m > < i t e m > < k e y > < s t r i n g > 5A5G5=  87=>A  =0  0<>@B870F8X0< / s t r i n g > < / k e y > < v a l u e > < i n t > 3 0 0 < / i n t > < / v a l u e > < / i t e m > < i t e m > < k e y > < s t r i n g > @>X  =0  <5A5F8  70  0<>@B870F8X0< / s t r i n g > < / k e y > < v a l u e > < i n t > 2 9 9 < / i n t > < / v a l u e > < / i t e m > < i t e m > < k e y > < s t r i n g > >=B>< / s t r i n g > < / k e y > < v a l u e > < i n t > 9 0 < / i n t > < / v a l u e > < / i t e m > < i t e m > < k e y > < s t r i n g > ;0=8@0=  2>< / s t r i n g > < / k e y > < v a l u e > < i n t > 1 4 6 < / i n t > < / v a l u e > < / i t e m > < i t e m > < k e y > < s t r i n g > ;0=8@0=  87=>A< / s t r i n g > < / k e y > < v a l u e > < i n t > 1 7 3 < / i n t > < / v a l u e > < / i t e m > < i t e m > < k e y > < s t r i n g > !B0BCA< / s t r i n g > < / k e y > < v a l u e > < i n t > 9 3 < / i n t > < / v a l u e > < / i t e m > < i t e m > < k e y > < s t r i n g > >B@>H5=  87=>A  70:;CG=>  4>  1 1 . 2 0 1 8 < / s t r i n g > < / k e y > < v a l u e > < i n t > 3 4 7 < / i n t > < / v a l u e > < / i t e m > < i t e m > < k e y > < s t r i n g > ;0=8@0=  87=>A  70  1 2 . 2 0 1 8 < / s t r i n g > < / k e y > < v a l u e > < i n t > 2 6 3 < / i n t > < / v a l u e > < / i t e m > < i t e m > < k e y > < s t r i n g > :C?=>  ?>B@>H5=>  2 0 1 8 < / s t r i n g > < / k e y > < v a l u e > < i n t > 2 3 9 < / i n t > < / v a l u e > < / i t e m > < i t e m > < k e y > < s t r i n g > 5?>B@>H5=  87=>A  2 0 1 8 < / s t r i n g > < / k e y > < v a l u e > < i n t > 2 3 8 < / i n t > < / v a l u e > < / i t e m > < i t e m > < k e y > < s t r i n g > 1571545=  A>  4>=0F8X0< / s t r i n g > < / k e y > < v a l u e > < i n t > 2 3 2 < / i n t > < / v a l u e > < / i t e m > < / C o l u m n W i d t h s > < C o l u m n D i s p l a y I n d e x > < i t e m > < k e y > < s t r i n g > @>5:B  < / s t r i n g > < / k e y > < v a l u e > < i n t > 0 < / i n t > < / v a l u e > < / i t e m > < i t e m > < k e y > < s t r i n g > @>5:B< / s t r i n g > < / k e y > < v a l u e > < i n t > 1 < / i n t > < / v a l u e > < / i t e m > < i t e m > < k e y > < s t r i n g > 0B53>@8X0  ?@>5:B  < / s t r i n g > < / k e y > < v a l u e > < i n t > 2 < / i n t > < / v a l u e > < / i t e m > < i t e m > < k e y > < s t r i n g > 0B53>@8X0  @>5:B< / s t r i n g > < / k e y > < v a l u e > < i n t > 3 < / i n t > < / v a l u e > < / i t e m > < i t e m > < k e y > < s t r i n g > ><5=B0;=0  A>AB>X10  ( 2:;CGC20X\8  ?@>1;5<8) < / s t r i n g > < / k e y > < v a l u e > < i n t > 4 < / i n t > < / v a l u e > < / i t e m > < i t e m > < k e y > < s t r i n g > ;8X0=8X0  8  >G5:C20=8  @57C;B0B8< / s t r i n g > < / k e y > < v a l u e > < i n t > 5 < / i n t > < / v a l u e > < / i t e m > < i t e m > < k e y > < s t r i n g > @54;030G  =0  8=25AB8F8X0< / s t r i n g > < / k e y > < v a l u e > < i n t > 6 < / i n t > < / v a l u e > < / i t e m > < i t e m > < k e y > < s t r i n g >  >:  =0  70?>G=C20Z5< / s t r i n g > < / k e y > < v a l u e > < i n t > 7 < / i n t > < / v a l u e > < / i t e m > < i t e m > < k e y > < s t r i n g >  >:  70  702@HC20Z5< / s t r i n g > < / k e y > < v a l u e > < i n t > 8 < / i n t > < / v a l u e > < / i t e m > < i t e m > < k e y > < s t r i n g >  >:  =0  AB020Z5  =0  C?>B@510< / s t r i n g > < / k e y > < v a l u e > < i n t > 9 < / i n t > < / v a l u e > < / i t e m > < i t e m > < k e y > < s t r i n g > :C?5=  87=>A< / s t r i n g > < / k e y > < v a l u e > < i n t > 1 0 < / i n t > < / v a l u e > < / i t e m > < i t e m > < k e y > < s t r i n g > !B0?:0  =0  0<>@B870F8X0< / s t r i n g > < / k e y > < v a l u e > < i n t > 1 1 < / i n t > < / v a l u e > < / i t e m > < i t e m > < k e y > < s t r i n g > 5A5G5=  87=>A  =0  0<>@B870F8X0< / s t r i n g > < / k e y > < v a l u e > < i n t > 1 2 < / i n t > < / v a l u e > < / i t e m > < i t e m > < k e y > < s t r i n g > @>X  =0  <5A5F8  70  0<>@B870F8X0< / s t r i n g > < / k e y > < v a l u e > < i n t > 1 3 < / i n t > < / v a l u e > < / i t e m > < i t e m > < k e y > < s t r i n g > >=B>< / s t r i n g > < / k e y > < v a l u e > < i n t > 1 4 < / i n t > < / v a l u e > < / i t e m > < i t e m > < k e y > < s t r i n g > ;0=8@0=  2>< / s t r i n g > < / k e y > < v a l u e > < i n t > 1 5 < / i n t > < / v a l u e > < / i t e m > < i t e m > < k e y > < s t r i n g > ;0=8@0=  87=>A< / s t r i n g > < / k e y > < v a l u e > < i n t > 1 6 < / i n t > < / v a l u e > < / i t e m > < i t e m > < k e y > < s t r i n g > !B0BCA< / s t r i n g > < / k e y > < v a l u e > < i n t > 1 7 < / i n t > < / v a l u e > < / i t e m > < i t e m > < k e y > < s t r i n g > >B@>H5=  87=>A  70:;CG=>  4>  1 1 . 2 0 1 8 < / s t r i n g > < / k e y > < v a l u e > < i n t > 1 8 < / i n t > < / v a l u e > < / i t e m > < i t e m > < k e y > < s t r i n g > ;0=8@0=  87=>A  70  1 2 . 2 0 1 8 < / s t r i n g > < / k e y > < v a l u e > < i n t > 1 9 < / i n t > < / v a l u e > < / i t e m > < i t e m > < k e y > < s t r i n g > :C?=>  ?>B@>H5=>  2 0 1 8 < / s t r i n g > < / k e y > < v a l u e > < i n t > 2 0 < / i n t > < / v a l u e > < / i t e m > < i t e m > < k e y > < s t r i n g > 5?>B@>H5=  87=>A  2 0 1 8 < / s t r i n g > < / k e y > < v a l u e > < i n t > 2 1 < / i n t > < / v a l u e > < / i t e m > < i t e m > < k e y > < s t r i n g > 1571545=  A>  4>=0F8X0< / s t r i n g > < / k e y > < v a l u e > < i n t > 2 2 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f A c t u a l A n d B u d g e t _ c b 0 4 4 c 2 e - 8 3 e e - 4 6 3 4 - a 0 f 0 - a 2 d 5 4 d d 9 3 7 b f " > < 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 !B02:0< / s t r i n g > < / k e y > < v a l u e > < i n t > 3 0 5 < / i n t > < / v a l u e > < / i t e m > < i t e m > < k e y > < s t r i n g > 5@8>4< / s t r i n g > < / k e y > < v a l u e > < i n t > 1 0 4 < / i n t > < / v a l u e > < / i t e m > < i t e m > < k e y > < s t r i n g > 7=>A1 < / s t r i n g > < / k e y > < v a l u e > < i n t > 1 0 1 < / i n t > < / v a l u e > < / i t e m > < i t e m > < k e y > < s t r i n g > -   D8=0=A8A:8  ?;0=< / s t r i n g > < / k e y > < v a l u e > < i n t > 2 1 6 < / i n t > < / v a l u e > < / i t e m > < i t e m > < k e y > < s t r i n g > - D8=0=A8A:8  8725HB0X< / s t r i n g > < / k e y > < v a l u e > < i n t > 2 4 4 < / i n t > < / v a l u e > < / i t e m > < i t e m > < k e y > < s t r i n g > - $  =>2< / s t r i n g > < / k e y > < v a l u e > < i n t > 1 3 1 < / i n t > < / v a l u e > < / i t e m > < i t e m > < k e y > < s t r i n g > - >48H=8  A<5B:8< / s t r i n g > < / k e y > < v a l u e > < i n t > 2 0 3 < / i n t > < / v a l u e > < / i t e m > < i t e m > < k e y > < s t r i n g > - < / s t r i n g > < / k e y > < v a l u e > < i n t > 9 4 < / i n t > < / v a l u e > < / i t e m > < i t e m > < k e y > < s t r i n g > 7=>A< / s t r i n g > < / k e y > < v a l u e > < i n t > 1 0 3 < / i n t > < / v a l u e > < / i t e m > < i t e m > < k e y > < s t r i n g > R e p o r t T y p e < / s t r i n g > < / k e y > < v a l u e > < i n t > 1 3 1 < / i n t > < / v a l u e > < / i t e m > < i t e m > < k e y > < s t r i n g > 0B53>@8X0  @B8:;< / s t r i n g > < / k e y > < v a l u e > < i n t > 1 9 0 < / i n t > < / v a l u e > < / i t e m > < i t e m > < k e y > < s t r i n g > "8?  =0  0@B8:;< / s t r i n g > < / k e y > < v a l u e > < i n t > 1 5 3 < / i n t > < / v a l u e > < / i t e m > < i t e m > < k e y > < s t r i n g > "8?  =0  =0102:0< / s t r i n g > < / k e y > < v a l u e > < i n t > 1 6 3 < / i n t > < / v a l u e > < / i t e m > < i t e m > < k e y > < s t r i n g > 0B53>@8X0  @>5:B< / s t r i n g > < / k e y > < v a l u e > < i n t > 1 9 0 < / i n t > < / v a l u e > < / i t e m > < i t e m > < k e y > < s t r i n g > @>5:B< / s t r i n g > < / k e y > < v a l u e > < i n t > 1 0 0 < / i n t > < / v a l u e > < / i t e m > < i t e m > < k e y > < s t r i n g > ;0=8@0=  ?@8;82/ ( >4;82) < / s t r i n g > < / k e y > < v a l u e > < i n t > 2 5 4 < / i n t > < / v a l u e > < / i t e m > < i t e m > < k e y > < s t r i n g > 1571545=  A>  4>=0F8X0< / s t r i n g > < / k e y > < v a l u e > < i n t > 2 3 2 < / i n t > < / v a l u e > < / i t e m > < i t e m > < k e y > < s t r i n g > >=0B>@< / s t r i n g > < / k e y > < v a l u e > < i n t > 1 1 1 < / i n t > < / v a l u e > < / i t e m > < i t e m > < k e y > < s t r i n g > >=0F8X0  87=>A< / s t r i n g > < / k e y > < v a l u e > < i n t > 1 6 8 < / i n t > < / v a l u e > < / i t e m > < i t e m > < k e y > < s t r i n g > C o l u m n 1 7 < / s t r i n g > < / k e y > < v a l u e > < i n t > 1 2 2 < / i n t > < / v a l u e > < / i t e m > < i t e m > < k e y > < s t r i n g > C o l u m n 1 8 < / s t r i n g > < / k e y > < v a l u e > < i n t > 1 2 2 < / i n t > < / v a l u e > < / i t e m > < i t e m > < k e y > < s t r i n g > C o l u m n 1 9 < / s t r i n g > < / k e y > < v a l u e > < i n t > 1 2 2 < / i n t > < / v a l u e > < / i t e m > < i t e m > < k e y > < s t r i n g > - $  2 0 1 9 < / s t r i n g > < / k e y > < v a l u e > < i n t > 1 4 2 < / i n t > < / v a l u e > < / i t e m > < i t e m > < k e y > < s t r i n g > 5@8>4  ( M o n t h   I n d e x ) < / s t r i n g > < / k e y > < v a l u e > < i n t > 2 1 9 < / i n t > < / v a l u e > < / i t e m > < i t e m > < k e y > < s t r i n g > 5@8>4  ( M o n t h ) < / s t r i n g > < / k e y > < v a l u e > < i n t > 1 7 2 < / i n t > < / v a l u e > < / i t e m > < / C o l u m n W i d t h s > < C o l u m n D i s p l a y I n d e x > < i t e m > < k e y > < s t r i n g > >=B>< / s t r i n g > < / k e y > < v a l u e > < i n t > 0 < / i n t > < / v a l u e > < / i t e m > < i t e m > < k e y > < s t r i n g > !B02:0< / s t r i n g > < / k e y > < v a l u e > < i n t > 1 < / i n t > < / v a l u e > < / i t e m > < i t e m > < k e y > < s t r i n g > 5@8>4< / s t r i n g > < / k e y > < v a l u e > < i n t > 2 < / i n t > < / v a l u e > < / i t e m > < i t e m > < k e y > < s t r i n g > 7=>A1 < / s t r i n g > < / k e y > < v a l u e > < i n t > 3 < / i n t > < / v a l u e > < / i t e m > < i t e m > < k e y > < s t r i n g > -   D8=0=A8A:8  ?;0=< / s t r i n g > < / k e y > < v a l u e > < i n t > 4 < / i n t > < / v a l u e > < / i t e m > < i t e m > < k e y > < s t r i n g > - D8=0=A8A:8  8725HB0X< / s t r i n g > < / k e y > < v a l u e > < i n t > 5 < / i n t > < / v a l u e > < / i t e m > < i t e m > < k e y > < s t r i n g > - $  =>2< / s t r i n g > < / k e y > < v a l u e > < i n t > 6 < / i n t > < / v a l u e > < / i t e m > < i t e m > < k e y > < s t r i n g > - >48H=8  A<5B:8< / s t r i n g > < / k e y > < v a l u e > < i n t > 7 < / i n t > < / v a l u e > < / i t e m > < i t e m > < k e y > < s t r i n g > - < / s t r i n g > < / k e y > < v a l u e > < i n t > 8 < / i n t > < / v a l u e > < / i t e m > < i t e m > < k e y > < s t r i n g > 7=>A< / s t r i n g > < / k e y > < v a l u e > < i n t > 9 < / i n t > < / v a l u e > < / i t e m > < i t e m > < k e y > < s t r i n g > R e p o r t T y p e < / s t r i n g > < / k e y > < v a l u e > < i n t > 1 0 < / i n t > < / v a l u e > < / i t e m > < i t e m > < k e y > < s t r i n g > 0B53>@8X0  @B8:;< / s t r i n g > < / k e y > < v a l u e > < i n t > 1 1 < / i n t > < / v a l u e > < / i t e m > < i t e m > < k e y > < s t r i n g > "8?  =0  0@B8:;< / s t r i n g > < / k e y > < v a l u e > < i n t > 1 2 < / i n t > < / v a l u e > < / i t e m > < i t e m > < k e y > < s t r i n g > "8?  =0  =0102:0< / s t r i n g > < / k e y > < v a l u e > < i n t > 1 3 < / i n t > < / v a l u e > < / i t e m > < i t e m > < k e y > < s t r i n g > 0B53>@8X0  @>5:B< / s t r i n g > < / k e y > < v a l u e > < i n t > 1 4 < / i n t > < / v a l u e > < / i t e m > < i t e m > < k e y > < s t r i n g > @>5:B< / s t r i n g > < / k e y > < v a l u e > < i n t > 1 5 < / i n t > < / v a l u e > < / i t e m > < i t e m > < k e y > < s t r i n g > ;0=8@0=  ?@8;82/ ( >4;82) < / s t r i n g > < / k e y > < v a l u e > < i n t > 1 6 < / i n t > < / v a l u e > < / i t e m > < i t e m > < k e y > < s t r i n g > 1571545=  A>  4>=0F8X0< / s t r i n g > < / k e y > < v a l u e > < i n t > 1 7 < / i n t > < / v a l u e > < / i t e m > < i t e m > < k e y > < s t r i n g > >=0B>@< / s t r i n g > < / k e y > < v a l u e > < i n t > 1 8 < / i n t > < / v a l u e > < / i t e m > < i t e m > < k e y > < s t r i n g > >=0F8X0  87=>A< / s t r i n g > < / k e y > < v a l u e > < i n t > 1 9 < / i n t > < / v a l u e > < / i t e m > < i t e m > < k e y > < s t r i n g > C o l u m n 1 7 < / s t r i n g > < / k e y > < v a l u e > < i n t > 2 0 < / i n t > < / v a l u e > < / i t e m > < i t e m > < k e y > < s t r i n g > C o l u m n 1 8 < / s t r i n g > < / k e y > < v a l u e > < i n t > 2 1 < / i n t > < / v a l u e > < / i t e m > < i t e m > < k e y > < s t r i n g > C o l u m n 1 9 < / s t r i n g > < / k e y > < v a l u e > < i n t > 2 2 < / i n t > < / v a l u e > < / i t e m > < i t e m > < k e y > < s t r i n g > - $  2 0 1 9 < / s t r i n g > < / k e y > < v a l u e > < i n t > 2 3 < / i n t > < / v a l u e > < / i t e m > < i t e m > < k e y > < s t r i n g > 5@8>4  ( M o n t h   I n d e x ) < / s t r i n g > < / k e y > < v a l u e > < i n t > 2 4 < / i n t > < / v a l u e > < / i t e m > < i t e m > < k e y > < s t r i n g > 5@8>4  ( M o n t h ) < / s t r i n g > < / k e y > < v a l u e > < i n t > 2 5 < / i n t > < / v a l u e > < / i t e m > < / C o l u m n D i s p l a y I n d e x > < C o l u m n F r o z e n   / > < C o l u m n C h e c k e d   / > < C o l u m n F i l t e r > < i t e m > < k e y > < s t r i n g > 5@8>4< / s t r i n g > < / k e y > < v a l u e > < F i l t e r E x p r e s s i o n   x s i : n i l = " t r u e "   / > < / v a l u e > < / i t e m > < i t e m > < k e y > < s t r i n g > -   D8=0=A8A:8  ?;0=< / s t r i n g > < / k e y > < v a l u e > < F i l t e r E x p r e s s i o n   x s i : n i l = " t r u e "   / > < / v a l u e > < / i t e m > < i t e m > < k e y > < s t r i n g > R e p o r t T y p e < / s t r i n g > < / k e y > < v a l u e > < F i l t e r E x p r e s s i o n   x s i : n i l = " t r u e "   / > < / v a l u e > < / i t e m > < i t e m > < k e y > < s t r i n g > >=B>< / s t r i n g > < / k e y > < v a l u e > < F i l t e r E x p r e s s i o n   x s i : n i l = " t r u e "   / > < / v a l u e > < / i t e m > < i t e m > < k e y > < s t r i n g > - $  2 0 1 9 < / s t r i n g > < / k e y > < v a l u e > < F i l t e r E x p r e s s i o n   x s i : n i l = " t r u e "   / > < / v a l u e > < / i t e m > < / C o l u m n F i l t e r > < S e l e c t i o n F i l t e r > < i t e m > < k e y > < s t r i n g > 5@8>4< / s t r i n g > < / k e y > < v a l u e > < S e l e c t i o n F i l t e r   x s i : n i l = " t r u e "   / > < / v a l u e > < / i t e m > < i t e m > < k e y > < s t r i n g > -   D8=0=A8A:8  ?;0=< / s t r i n g > < / k e y > < v a l u e > < S e l e c t i o n F i l t e r   x s i : n i l = " t r u e "   / > < / v a l u e > < / i t e m > < i t e m > < k e y > < s t r i n g > R e p o r t T y p e < / s t r i n g > < / k e y > < v a l u e > < S e l e c t i o n F i l t e r > < S e l e c t i o n T y p e > S e l e c t < / S e l e c t i o n T y p e > < I t e m s > < a n y T y p e   x s i : t y p e = " x s d : s t r i n g " > ;0=< / a n y T y p e > < / I t e m s > < / S e l e c t i o n F i l t e r > < / v a l u e > < / i t e m > < i t e m > < k e y > < s t r i n g > >=B>< / s t r i n g > < / k e y > < v a l u e > < S e l e c t i o n F i l t e r   x s i : n i l = " t r u e "   / > < / v a l u e > < / i t e m > < i t e m > < k e y > < s t r i n g > - $  2 0 1 9 < / s t r i n g > < / k e y > < v a l u e > < S e l e c t i o n F i l t e r   x s i : n i l = " t r u e "   / > < / v a l u e > < / i t e m > < / S e l e c t i o n F i l t e r > < F i l t e r P a r a m e t e r s > < i t e m > < k e y > < s t r i n g > 5@8>4< / s t r i n g > < / k e y > < v a l u e > < C o m m a n d P a r a m e t e r s   / > < / v a l u e > < / i t e m > < i t e m > < k e y > < s t r i n g > -   D8=0=A8A:8  ?;0=< / s t r i n g > < / k e y > < v a l u e > < C o m m a n d P a r a m e t e r s   / > < / v a l u e > < / i t e m > < i t e m > < k e y > < s t r i n g > R e p o r t T y p e < / s t r i n g > < / k e y > < v a l u e > < C o m m a n d P a r a m e t e r s   / > < / v a l u e > < / i t e m > < i t e m > < k e y > < s t r i n g > >=B>< / s t r i n g > < / k e y > < v a l u e > < C o m m a n d P a r a m e t e r s   / > < / v a l u e > < / i t e m > < i t e m > < k e y > < s t r i n g > - $  2 0 1 9 < / s t r i n g > < / k e y > < v a l u e > < C o m m a n d P a r a m e t e r s   / > < / v a l u e > < / i t e m > < / F i l t e r P a r a m e t e r s > < I s S o r t D e s c e n d i n g > f a l s e < / I s S o r t D e s c e n d i n g > < / T a b l e W i d g e t G r i d S e r i a l i z a t i o n > ] ] > < / C u s t o m C o n t e n t > < / G e m i n i > 
</file>

<file path=customXml/item11.xml><?xml version="1.0" encoding="utf-8"?>
<p:properties xmlns:p="http://schemas.microsoft.com/office/2006/metadata/properties" xmlns:xsi="http://www.w3.org/2001/XMLSchema-instance" xmlns:pc="http://schemas.microsoft.com/office/infopath/2007/PartnerControls">
  <documentManagement>
    <SharedWithUsers xmlns="8678cf70-7d2a-425d-8915-fdf73a3b7ea8">
      <UserInfo>
        <DisplayName>angela.s.doneva@crm.org.mk</DisplayName>
        <AccountId>30</AccountId>
        <AccountType/>
      </UserInfo>
    </SharedWithUsers>
  </documentManagement>
</p:properties>
</file>

<file path=customXml/item12.xml>��< ? x m l   v e r s i o n = " 1 . 0 "   e n c o d i n g = " U T F - 1 6 " ? > < G e m i n i   x m l n s = " h t t p : / / g e m i n i / p i v o t c u s t o m i z a t i o n / T a b l e X M L _ C A P E X _ L i s t _ 5 3 e 8 b f 2 e - f c 6 1 - 4 f 5 8 - 9 b 9 4 - c 7 4 c 4 c 3 6 8 0 d 0 " > < C u s t o m C o n t e n t > < ! [ C D A T A [ < T a b l e W i d g e t G r i d S e r i a l i z a t i o n   x m l n s : x s i = " h t t p : / / w w w . w 3 . o r g / 2 0 0 1 / X M L S c h e m a - i n s t a n c e "   x m l n s : x s d = " h t t p : / / w w w . w 3 . o r g / 2 0 0 1 / X M L S c h e m a " > < C o l u m n S u g g e s t e d T y p e   / > < C o l u m n F o r m a t   / > < C o l u m n A c c u r a c y   / > < C o l u m n C u r r e n c y S y m b o l   / > < C o l u m n P o s i t i v e P a t t e r n   / > < C o l u m n N e g a t i v e P a t t e r n   / > < C o l u m n W i d t h s > < i t e m > < k e y > < s t r i n g > @>5:B  < / s t r i n g > < / k e y > < v a l u e > < i n t > 1 2 8 < / i n t > < / v a l u e > < / i t e m > < i t e m > < k e y > < s t r i n g > @>5:B< / s t r i n g > < / k e y > < v a l u e > < i n t > 1 0 0 < / i n t > < / v a l u e > < / i t e m > < i t e m > < k e y > < s t r i n g > 0B53>@8X0  ?@>5:B  < / s t r i n g > < / k e y > < v a l u e > < i n t > 2 1 6 < / i n t > < / v a l u e > < / i t e m > < i t e m > < k e y > < s t r i n g > 0B53>@8X0  @>5:B< / s t r i n g > < / k e y > < v a l u e > < i n t > 1 9 0 < / i n t > < / v a l u e > < / i t e m > < i t e m > < k e y > < s t r i n g > ><5=B0;=0  A>AB>X10  ( 2:;CGC20X\8  ?@>1;5<8) < / s t r i n g > < / k e y > < v a l u e > < i n t > 4 1 6 < / i n t > < / v a l u e > < / i t e m > < i t e m > < k e y > < s t r i n g > ;8X0=8X0  8  >G5:C20=8  @57C;B0B8< / s t r i n g > < / k e y > < v a l u e > < i n t > 3 0 5 < / i n t > < / v a l u e > < / i t e m > < i t e m > < k e y > < s t r i n g > @54;030G  =0  8=25AB8F8X0< / s t r i n g > < / k e y > < v a l u e > < i n t > 2 5 3 < / i n t > < / v a l u e > < / i t e m > < i t e m > < k e y > < s t r i n g >  >:  =0  70?>G=C20Z5< / s t r i n g > < / k e y > < v a l u e > < i n t > 2 0 6 < / i n t > < / v a l u e > < / i t e m > < i t e m > < k e y > < s t r i n g >  >:  70  702@HC20Z5< / s t r i n g > < / k e y > < v a l u e > < i n t > 1 9 8 < / i n t > < / v a l u e > < / i t e m > < i t e m > < k e y > < s t r i n g >  >:  =0  AB020Z5  =0  C?>B@510< / s t r i n g > < / k e y > < v a l u e > < i n t > 2 6 6 < / i n t > < / v a l u e > < / i t e m > < i t e m > < k e y > < s t r i n g > :C?5=  87=>A< / s t r i n g > < / k e y > < v a l u e > < i n t > 1 5 0 < / i n t > < / v a l u e > < / i t e m > < i t e m > < k e y > < s t r i n g > !B0?:0  =0  0<>@B870F8X0< / s t r i n g > < / k e y > < v a l u e > < i n t > 2 3 4 < / i n t > < / v a l u e > < / i t e m > < i t e m > < k e y > < s t r i n g > 5A5G5=  87=>A  =0  0<>@B870F8X0< / s t r i n g > < / k e y > < v a l u e > < i n t > 3 0 0 < / i n t > < / v a l u e > < / i t e m > < i t e m > < k e y > < s t r i n g > @>X  =0  <5A5F8  70  0<>@B870F8X0< / s t r i n g > < / k e y > < v a l u e > < i n t > 2 9 9 < / i n t > < / v a l u e > < / i t e m > < i t e m > < k e y > < s t r i n g > >=B>< / s t r i n g > < / k e y > < v a l u e > < i n t > 9 0 < / i n t > < / v a l u e > < / i t e m > < / C o l u m n W i d t h s > < C o l u m n D i s p l a y I n d e x > < i t e m > < k e y > < s t r i n g > @>5:B  < / s t r i n g > < / k e y > < v a l u e > < i n t > 0 < / i n t > < / v a l u e > < / i t e m > < i t e m > < k e y > < s t r i n g > @>5:B< / s t r i n g > < / k e y > < v a l u e > < i n t > 1 < / i n t > < / v a l u e > < / i t e m > < i t e m > < k e y > < s t r i n g > 0B53>@8X0  ?@>5:B  < / s t r i n g > < / k e y > < v a l u e > < i n t > 2 < / i n t > < / v a l u e > < / i t e m > < i t e m > < k e y > < s t r i n g > 0B53>@8X0  @>5:B< / s t r i n g > < / k e y > < v a l u e > < i n t > 3 < / i n t > < / v a l u e > < / i t e m > < i t e m > < k e y > < s t r i n g > ><5=B0;=0  A>AB>X10  ( 2:;CGC20X\8  ?@>1;5<8) < / s t r i n g > < / k e y > < v a l u e > < i n t > 4 < / i n t > < / v a l u e > < / i t e m > < i t e m > < k e y > < s t r i n g > ;8X0=8X0  8  >G5:C20=8  @57C;B0B8< / s t r i n g > < / k e y > < v a l u e > < i n t > 5 < / i n t > < / v a l u e > < / i t e m > < i t e m > < k e y > < s t r i n g > @54;030G  =0  8=25AB8F8X0< / s t r i n g > < / k e y > < v a l u e > < i n t > 6 < / i n t > < / v a l u e > < / i t e m > < i t e m > < k e y > < s t r i n g >  >:  =0  70?>G=C20Z5< / s t r i n g > < / k e y > < v a l u e > < i n t > 7 < / i n t > < / v a l u e > < / i t e m > < i t e m > < k e y > < s t r i n g >  >:  70  702@HC20Z5< / s t r i n g > < / k e y > < v a l u e > < i n t > 8 < / i n t > < / v a l u e > < / i t e m > < i t e m > < k e y > < s t r i n g >  >:  =0  AB020Z5  =0  C?>B@510< / s t r i n g > < / k e y > < v a l u e > < i n t > 9 < / i n t > < / v a l u e > < / i t e m > < i t e m > < k e y > < s t r i n g > :C?5=  87=>A< / s t r i n g > < / k e y > < v a l u e > < i n t > 1 0 < / i n t > < / v a l u e > < / i t e m > < i t e m > < k e y > < s t r i n g > !B0?:0  =0  0<>@B870F8X0< / s t r i n g > < / k e y > < v a l u e > < i n t > 1 1 < / i n t > < / v a l u e > < / i t e m > < i t e m > < k e y > < s t r i n g > 5A5G5=  87=>A  =0  0<>@B870F8X0< / s t r i n g > < / k e y > < v a l u e > < i n t > 1 2 < / i n t > < / v a l u e > < / i t e m > < i t e m > < k e y > < s t r i n g > @>X  =0  <5A5F8  70  0<>@B870F8X0< / s t r i n g > < / k e y > < v a l u e > < i n t > 1 3 < / i n t > < / v a l u e > < / i t e m > < i t e m > < k e y > < s t r i n g > >=B>< / s t r i n g > < / k e y > < v a l u e > < i n t > 1 4 < / 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f A c c o u n t i n g D a t a _ 2 4 6 b d 1 f c - 1 d 2 a - 4 a 6 9 - 9 9 0 3 - 5 2 1 b c 0 1 c 1 a 5 1 " > < C u s t o m C o n t e n t > < ! [ C D A T A [ < T a b l e W i d g e t G r i d S e r i a l i z a t i o n   x m l n s : x s i = " h t t p : / / w w w . w 3 . o r g / 2 0 0 1 / X M L S c h e m a - i n s t a n c e "   x m l n s : x s d = " h t t p : / / w w w . w 3 . o r g / 2 0 0 1 / X M L S c h e m a " > < C o l u m n S u g g e s t e d T y p e   / > < C o l u m n F o r m a t   / > < C o l u m n A c c u r a c y   / > < C o l u m n C u r r e n c y S y m b o l   / > < C o l u m n P o s i t i v e P a t t e r n   / > < C o l u m n N e g a t i v e P a t t e r n   / > < C o l u m n W i d t h s > < i t e m > < k e y > < s t r i n g > 7=>A< / s t r i n g > < / k e y > < v a l u e > < i n t > 9 1 < / i n t > < / v a l u e > < / i t e m > < i t e m > < k e y > < s t r i n g > 5@8>4< / s t r i n g > < / k e y > < v a l u e > < i n t > 1 0 4 < / i n t > < / v a l u e > < / i t e m > < i t e m > < k e y > < s t r i n g > >=B>< / s t r i n g > < / k e y > < v a l u e > < i n t > 9 0 < / i n t > < / v a l u e > < / i t e m > < / C o l u m n W i d t h s > < C o l u m n D i s p l a y I n d e x > < i t e m > < k e y > < s t r i n g > 7=>A< / s t r i n g > < / k e y > < v a l u e > < i n t > 2 < / i n t > < / v a l u e > < / i t e m > < i t e m > < k e y > < s t r i n g > 5@8>4< / s t r i n g > < / k e y > < v a l u e > < i n t > 1 < / i n t > < / v a l u e > < / i t e m > < i t e m > < k e y > < s t r i n g > >=B>< / s t r i n g > < / k e y > < v a l u e > < i n t > 0 < / 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d O b r a z e c F i n a n s i s k i P l a n _ 3 7 1 5 9 9 8 1 - a 0 9 1 - 4 5 5 d - 9 5 1 3 - 4 6 6 5 9 2 7 b 0 3 6 4 " > < C u s t o m C o n t e n t > < ! [ C D A T A [ < T a b l e W i d g e t G r i d S e r i a l i z a t i o n   x m l n s : x s i = " h t t p : / / w w w . w 3 . o r g / 2 0 0 1 / X M L S c h e m a - i n s t a n c e "   x m l n s : x s d = " h t t p : / / w w w . w 3 . o r g / 2 0 0 1 / X M L S c h e m a " > < C o l u m n S u g g e s t e d T y p e   / > < C o l u m n F o r m a t   / > < C o l u m n A c c u r a c y   / > < C o l u m n C u r r e n c y S y m b o l   / > < C o l u m n P o s i t i v e P a t t e r n   / > < C o l u m n N e g a t i v e P a t t e r n   / > < C o l u m n W i d t h s > < i t e m > < k e y > < s t r i n g > -   D8=0=A8A:8  ?;0=< / s t r i n g > < / k e y > < v a l u e > < i n t > 1 7 3 < / i n t > < / v a l u e > < / i t e m > < i t e m > < k e y > < s t r i n g > $- AB02:0< / s t r i n g > < / k e y > < v a l u e > < i n t > 1 0 0 < / i n t > < / v a l u e > < / i t e m > < i t e m > < k e y > < s t r i n g > $- @C?0< / s t r i n g > < / k e y > < v a l u e > < i n t > 9 5 < / i n t > < / v a l u e > < / i t e m > < i t e m > < k e y > < s t r i n g > $- 0B53>@8X0< / s t r i n g > < / k e y > < v a l u e > < i n t > 1 2 9 < / i n t > < / v a l u e > < / i t e m > < i t e m > < k e y > < s t r i n g > T o t a l i n g < / s t r i n g > < / k e y > < v a l u e > < i n t > 8 5 < / i n t > < / v a l u e > < / i t e m > < i t e m > < k e y > < s t r i n g > $  !B02:0  =0782< / s t r i n g > < / k e y > < v a l u e > < i n t > 8 8 2 < / i n t > < / v a l u e > < / i t e m > < / C o l u m n W i d t h s > < C o l u m n D i s p l a y I n d e x > < i t e m > < k e y > < s t r i n g > -   D8=0=A8A:8  ?;0=< / s t r i n g > < / k e y > < v a l u e > < i n t > 0 < / i n t > < / v a l u e > < / i t e m > < i t e m > < k e y > < s t r i n g > $- AB02:0< / s t r i n g > < / k e y > < v a l u e > < i n t > 1 < / i n t > < / v a l u e > < / i t e m > < i t e m > < k e y > < s t r i n g > $- @C?0< / s t r i n g > < / k e y > < v a l u e > < i n t > 2 < / i n t > < / v a l u e > < / i t e m > < i t e m > < k e y > < s t r i n g > $- 0B53>@8X0< / s t r i n g > < / k e y > < v a l u e > < i n t > 3 < / i n t > < / v a l u e > < / i t e m > < i t e m > < k e y > < s t r i n g > T o t a l i n g < / s t r i n g > < / k e y > < v a l u e > < i n t > 4 < / i n t > < / v a l u e > < / i t e m > < i t e m > < k e y > < s t r i n g > $  !B02:0  =0782< / s t r i n g > < / k e y > < v a l u e > < i n t > 5 < / i n t > < / v a l u e > < / i t e m > < / C o l u m n D i s p l a y I n d e x > < C o l u m n F r o z e n   / > < C o l u m n C h e c k e d   / > < C o l u m n F i l t e r > < i t e m > < k e y > < s t r i n g > -   D8=0=A8A:8  ?;0=< / s t r i n g > < / k e y > < v a l u e > < F i l t e r E x p r e s s i o n   x s i : n i l = " t r u e "   / > < / v a l u e > < / i t e m > < / C o l u m n F i l t e r > < S e l e c t i o n F i l t e r > < i t e m > < k e y > < s t r i n g > -   D8=0=A8A:8  ?;0=< / s t r i n g > < / k e y > < v a l u e > < S e l e c t i o n F i l t e r   x s i : n i l = " t r u e "   / > < / v a l u e > < / i t e m > < / S e l e c t i o n F i l t e r > < F i l t e r P a r a m e t e r s > < i t e m > < k e y > < s t r i n g > -   D8=0=A8A:8  ?;0=< / s t r i n g > < / k e y > < v a l u e > < C o m m a n d P a r a m e t e r s   / > < / v a l u e > < / i t e m > < / F i l t e r P a r a m e t e r s > < I s S o r t D e s c e n d i n g > f a l s e < / I s S o r t D e s c e n d i n g > < / T a b l e W i d g e t G r i d S e r i a l i z a t i o n > ] ] > < / C u s t o m C o n t e n t > < / G e m i n i > 
</file>

<file path=customXml/item15.xml>��< ? x m l   v e r s i o n = " 1 . 0 "   e n c o d i n g = " U T F - 1 6 " ? > < G e m i n i   x m l n s = " h t t p : / / g e m i n i / p i v o t c u s t o m i z a t i o n / T a b l e X M L _ A c t u a l A n d B u d g e t _ b c d d 1 0 3 d - c 6 0 4 - 4 9 b b - 8 7 f c - c 5 8 4 e c 0 1 5 2 b 8 " > < 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 5@8>4< / s t r i n g > < / k e y > < v a l u e > < i n t > 1 0 4 < / i n t > < / v a l u e > < / i t e m > < i t e m > < k e y > < s t r i n g > V r e d n o s t < / s t r i n g > < / k e y > < v a l u e > < i n t > 1 1 4 < / i n t > < / v a l u e > < / i t e m > < i t e m > < k e y > < s t r i n g > 7=>A< / s t r i n g > < / k e y > < v a l u e > < i n t > 1 9 9 < / i n t > < / v a l u e > < / i t e m > < i t e m > < k e y > < s t r i n g > !B02:0< / s t r i n g > < / k e y > < v a l u e > < i n t > 9 6 < / i n t > < / v a l u e > < / i t e m > < / C o l u m n W i d t h s > < C o l u m n D i s p l a y I n d e x > < i t e m > < k e y > < s t r i n g > >=B>< / s t r i n g > < / k e y > < v a l u e > < i n t > 0 < / i n t > < / v a l u e > < / i t e m > < i t e m > < k e y > < s t r i n g > 5@8>4< / s t r i n g > < / k e y > < v a l u e > < i n t > 1 < / i n t > < / v a l u e > < / i t e m > < i t e m > < k e y > < s t r i n g > V r e d n o s t < / s t r i n g > < / k e y > < v a l u e > < i n t > 2 < / i n t > < / v a l u e > < / i t e m > < i t e m > < k e y > < s t r i n g > 7=>A< / s t r i n g > < / k e y > < v a l u e > < i n t > 4 < / i n t > < / v a l u e > < / i t e m > < i t e m > < k e y > < s t r i n g > !B02:0< / 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N a b a v k i _ 8 e a 6 5 c 4 2 - c 0 f f - 4 d 2 6 - b b 6 a - c e 8 c c 3 6 f 0 8 2 2 " > < C u s t o m C o n t e n t > < ! [ C D A T A [ < T a b l e W i d g e t G r i d S e r i a l i z a t i o n   x m l n s : x s i = " h t t p : / / w w w . w 3 . o r g / 2 0 0 1 / X M L S c h e m a - i n s t a n c e "   x m l n s : x s d = " h t t p : / / w w w . w 3 . o r g / 2 0 0 1 / X M L S c h e m a " > < C o l u m n S u g g e s t e d T y p e   / > < C o l u m n F o r m a t   / > < C o l u m n A c c u r a c y   / > < C o l u m n C u r r e n c y S y m b o l   / > < C o l u m n P o s i t i v e P a t t e r n   / > < C o l u m n N e g a t i v e P a t t e r n   / > < C o l u m n W i d t h s > < i t e m > < k e y > < s t r i n g > @B8:;  =0782< / s t r i n g > < / k e y > < v a l u e > < i n t > 1 5 0 < / i n t > < / v a l u e > < / i t e m > < i t e m > < k e y > < s t r i n g > 5@8>4  =0  =0102:0< / s t r i n g > < / k e y > < v a l u e > < i n t > 1 9 6 < / i n t > < / v a l u e > < / i t e m > < i t e m > < k e y > < s t r i n g > >;8G8=0< / s t r i n g > < / k e y > < v a l u e > < i n t > 1 2 1 < / i n t > < / v a l u e > < / i t e m > < i t e m > < k e y > < s t r i n g > &5=0< / s t r i n g > < / k e y > < v a l u e > < i n t > 8 3 < / i n t > < / v a l u e > < / i t e m > < i t e m > < k e y > < s t r i n g > >=B>< / s t r i n g > < / k e y > < v a l u e > < i n t > 9 0 < / i n t > < / v a l u e > < / i t e m > < i t e m > < k e y > < s t r i n g > ><>H5=  87=>A< / s t r i n g > < / k e y > < v a l u e > < i n t > 1 7 1 < / i n t > < / v a l u e > < / i t e m > < i t e m > < k e y > < s t r i n g > 7=>A< / s t r i n g > < / k e y > < v a l u e > < i n t > 9 1 < / i n t > < / v a l u e > < / i t e m > < / C o l u m n W i d t h s > < C o l u m n D i s p l a y I n d e x > < i t e m > < k e y > < s t r i n g > @B8:;  =0782< / s t r i n g > < / k e y > < v a l u e > < i n t > 0 < / i n t > < / v a l u e > < / i t e m > < i t e m > < k e y > < s t r i n g > 5@8>4  =0  =0102:0< / s t r i n g > < / k e y > < v a l u e > < i n t > 1 < / i n t > < / v a l u e > < / i t e m > < i t e m > < k e y > < s t r i n g > >;8G8=0< / s t r i n g > < / k e y > < v a l u e > < i n t > 2 < / i n t > < / v a l u e > < / i t e m > < i t e m > < k e y > < s t r i n g > &5=0< / s t r i n g > < / k e y > < v a l u e > < i n t > 3 < / i n t > < / v a l u e > < / i t e m > < i t e m > < k e y > < s t r i n g > >=B>< / s t r i n g > < / k e y > < v a l u e > < i n t > 4 < / i n t > < / v a l u e > < / i t e m > < i t e m > < k e y > < s t r i n g > ><>H5=  87=>A< / s t r i n g > < / k e y > < v a l u e > < i n t > 5 < / i n t > < / v a l u e > < / i t e m > < i t e m > < k e y > < s t r i n g > 7=>A< / s t r i n g > < / k e y > < v a l u e > < i n t > 6 < / 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M a n u a l C a l c M o d e " > < C u s t o m C o n t e n t > < ! [ C D A T A [ F a l s e ] ] > < / C u s t o m C o n t e n t > < / G e m i n i > 
</file>

<file path=customXml/item18.xml>��< ? x m l   v e r s i o n = " 1 . 0 "   e n c o d i n g = " U T F - 1 6 " ? > < G e m i n i   x m l n s = " h t t p : / / g e m i n i / p i v o t c u s t o m i z a t i o n / T a b l e X M L _ A m o r t i z a c i j a _ 6 9 3 8 3 0 1 b - 4 8 3 8 - 4 3 7 0 - 8 a 7 c - 3 f b 1 3 8 0 e 5 4 d 7 " > < C u s t o m C o n t e n t > < ! [ C D A T A [ < T a b l e W i d g e t G r i d S e r i a l i z a t i o n   x m l n s : x s i = " h t t p : / / w w w . w 3 . o r g / 2 0 0 1 / X M L S c h e m a - i n s t a n c e "   x m l n s : x s d = " h t t p : / / w w w . w 3 . o r g / 2 0 0 1 / X M L S c h e m a " > < C o l u m n S u g g e s t e d T y p e   / > < C o l u m n F o r m a t   / > < C o l u m n A c c u r a c y   / > < C o l u m n C u r r e n c y S y m b o l   / > < C o l u m n P o s i t i v e P a t t e r n   / > < C o l u m n N e g a t i v e P a t t e r n   / > < C o l u m n W i d t h s > < i t e m > < k e y > < s t r i n g > 7=>A< / s t r i n g > < / k e y > < v a l u e > < i n t > 9 1 < / i n t > < / v a l u e > < / i t e m > < i t e m > < k e y > < s t r i n g > >=B>< / s t r i n g > < / k e y > < v a l u e > < i n t > 9 0 < / i n t > < / v a l u e > < / i t e m > < i t e m > < k e y > < s t r i n g > R e p o r t T y p e < / s t r i n g > < / k e y > < v a l u e > < i n t > 1 3 1 < / i n t > < / v a l u e > < / i t e m > < i t e m > < k e y > < s t r i n g > @>X  =0  X02=0  =0102:0  ( ?;0=) < / s t r i n g > < / k e y > < v a l u e > < i n t > 2 7 1 < / i n t > < / v a l u e > < / i t e m > < i t e m > < k e y > < s t r i n g > !B02:0< / s t r i n g > < / k e y > < v a l u e > < i n t > 9 6 < / i n t > < / v a l u e > < / i t e m > < i t e m > < k e y > < s t r i n g > 5@8>4< / s t r i n g > < / k e y > < v a l u e > < i n t > 1 0 4 < / i n t > < / v a l u e > < / i t e m > < / C o l u m n W i d t h s > < C o l u m n D i s p l a y I n d e x > < i t e m > < k e y > < s t r i n g > 7=>A< / s t r i n g > < / k e y > < v a l u e > < i n t > 3 < / i n t > < / v a l u e > < / i t e m > < i t e m > < k e y > < s t r i n g > >=B>< / s t r i n g > < / k e y > < v a l u e > < i n t > 0 < / i n t > < / v a l u e > < / i t e m > < i t e m > < k e y > < s t r i n g > R e p o r t T y p e < / s t r i n g > < / k e y > < v a l u e > < i n t > 1 < / i n t > < / v a l u e > < / i t e m > < i t e m > < k e y > < s t r i n g > @>X  =0  X02=0  =0102:0  ( ?;0=) < / s t r i n g > < / k e y > < v a l u e > < i n t > 2 < / i n t > < / v a l u e > < / i t e m > < i t e m > < k e y > < s t r i n g > !B02:0< / s t r i n g > < / k e y > < v a l u e > < i n t > 4 < / i n t > < / v a l u e > < / i t e m > < i t e m > < k e y > < s t r i n g > 5@8>4< / s t r i n g > < / k e y > < v a l u e > < i n t > 5 < / 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f A c t u a l A n d B u d g e t _ 5 c 6 4 6 e a 0 - 5 1 7 5 - 4 9 4 3 - 8 c 6 b - b 8 5 7 4 f 5 b 2 f b 7 " > < C u s t o m C o n t e n t > < ! [ C D A T A [ < T a b l e W i d g e t G r i d S e r i a l i z a t i o n   x m l n s : x s d = " h t t p : / / w w w . w 3 . o r g / 2 0 0 1 / X M L S c h e m a "   x m l n s : x s i = " h t t p : / / w w w . w 3 . o r g / 2 0 0 1 / X M L S c h e m a - i n s t a n c e " > < C o l u m n S u g g e s t e d T y p e   / > < C o l u m n F o r m a t   / > < C o l u m n A c c u r a c y   / > < C o l u m n C u r r e n c y S y m b o l   / > < C o l u m n P o s i t i v e P a t t e r n   / > < C o l u m n N e g a t i v e P a t t e r n   / > < C o l u m n W i d t h s > < i t e m > < k e y > < s t r i n g > >=B>< / s t r i n g > < / k e y > < v a l u e > < i n t > 9 0 < / i n t > < / v a l u e > < / i t e m > < i t e m > < k e y > < s t r i n g > !B02:0< / s t r i n g > < / k e y > < v a l u e > < i n t > 2 2 4 < / i n t > < / v a l u e > < / i t e m > < i t e m > < k e y > < s t r i n g > 5@8>4< / s t r i n g > < / k e y > < v a l u e > < i n t > 2 0 2 < / i n t > < / v a l u e > < / i t e m > < i t e m > < k e y > < s t r i n g > 7=>A1 < / s t r i n g > < / k e y > < v a l u e > < i n t > 1 0 1 < / i n t > < / v a l u e > < / i t e m > < i t e m > < k e y > < s t r i n g > R e p o r t T y p e < / s t r i n g > < / k e y > < v a l u e > < i n t > 1 3 1 < / i n t > < / v a l u e > < / i t e m > < i t e m > < k e y > < s t r i n g > S t a v k a G r u p a < / s t r i n g > < / k e y > < v a l u e > < i n t > 1 4 2 < / i n t > < / v a l u e > < / i t e m > < i t e m > < k e y > < s t r i n g > S t a v k a I m e M K < / s t r i n g > < / k e y > < v a l u e > < i n t > 1 5 0 < / i n t > < / v a l u e > < / i t e m > < i t e m > < k e y > < s t r i n g > S t a v k a I D < / s t r i n g > < / k e y > < v a l u e > < i n t > 1 1 2 < / i n t > < / v a l u e > < / i t e m > < i t e m > < k e y > < s t r i n g > 7=>A< / s t r i n g > < / k e y > < v a l u e > < i n t > 1 9 9 < / i n t > < / v a l u e > < / i t e m > < i t e m > < k e y > < s t r i n g > 7=>A  ( 8;X048) < / s t r i n g > < / k e y > < v a l u e > < i n t > 1 9 9 < / i n t > < / v a l u e > < / i t e m > < i t e m > < k e y > < s t r i n g > Z n a k I z v e s t a j < / s t r i n g > < / k e y > < v a l u e > < i n t > 1 4 0 < / i n t > < / v a l u e > < / i t e m > < i t e m > < k e y > < s t r i n g > S t a v k a K a t e g o r i j a < / s t r i n g > < / k e y > < v a l u e > < i n t > 1 7 2 < / i n t > < / v a l u e > < / i t e m > < i t e m > < k e y > < s t r i n g > O b r a z e c I D < / s t r i n g > < / k e y > < v a l u e > < i n t > 1 2 5 < / i n t > < / v a l u e > < / i t e m > < i t e m > < k e y > < s t r i n g > O b r a z e c I m e < / s t r i n g > < / k e y > < v a l u e > < i n t > 1 3 7 < / i n t > < / v a l u e > < / i t e m > < i t e m > < k e y > < s t r i n g > @>X  =0  X02=0  =0102:0  ( ?;0=) < / s t r i n g > < / k e y > < v a l u e > < i n t > 2 7 1 < / i n t > < / v a l u e > < / i t e m > < i t e m > < k e y > < s t r i n g > S t a v k a I m e A O P < / s t r i n g > < / k e y > < v a l u e > < i n t > 1 9 9 < / i n t > < / v a l u e > < / i t e m > < i t e m > < k e y > < s t r i n g > S t a v k a A O P < / s t r i n g > < / k e y > < v a l u e > < i n t > 1 2 8 < / i n t > < / v a l u e > < / i t e m > < i t e m > < k e y > < s t r i n g > >=B>  !B02:0< / s t r i n g > < / k e y > < v a l u e > < i n t > 4 8 2 < / i n t > < / v a l u e > < / i t e m > < i t e m > < k e y > < s t r i n g > 0782  =0  :>=B>< / s t r i n g > < / k e y > < v a l u e > < i n t > 1 3 1 < / i n t > < / v a l u e > < / i t e m > < / C o l u m n W i d t h s > < C o l u m n D i s p l a y I n d e x > < i t e m > < k e y > < s t r i n g > >=B>< / s t r i n g > < / k e y > < v a l u e > < i n t > 0 < / i n t > < / v a l u e > < / i t e m > < i t e m > < k e y > < s t r i n g > !B02:0< / s t r i n g > < / k e y > < v a l u e > < i n t > 1 < / i n t > < / v a l u e > < / i t e m > < i t e m > < k e y > < s t r i n g > 5@8>4< / s t r i n g > < / k e y > < v a l u e > < i n t > 2 < / i n t > < / v a l u e > < / i t e m > < i t e m > < k e y > < s t r i n g > 7=>A1 < / s t r i n g > < / k e y > < v a l u e > < i n t > 3 < / i n t > < / v a l u e > < / i t e m > < i t e m > < k e y > < s t r i n g > R e p o r t T y p e < / s t r i n g > < / k e y > < v a l u e > < i n t > 4 < / i n t > < / v a l u e > < / i t e m > < i t e m > < k e y > < s t r i n g > S t a v k a G r u p a < / s t r i n g > < / k e y > < v a l u e > < i n t > 1 1 < / i n t > < / v a l u e > < / i t e m > < i t e m > < k e y > < s t r i n g > S t a v k a I m e M K < / s t r i n g > < / k e y > < v a l u e > < i n t > 1 0 < / i n t > < / v a l u e > < / i t e m > < i t e m > < k e y > < s t r i n g > S t a v k a I D < / s t r i n g > < / k e y > < v a l u e > < i n t > 9 < / i n t > < / v a l u e > < / i t e m > < i t e m > < k e y > < s t r i n g > 7=>A< / s t r i n g > < / k e y > < v a l u e > < i n t > 5 < / i n t > < / v a l u e > < / i t e m > < i t e m > < k e y > < s t r i n g > 7=>A  ( 8;X048) < / s t r i n g > < / k e y > < v a l u e > < i n t > 6 < / i n t > < / v a l u e > < / i t e m > < i t e m > < k e y > < s t r i n g > Z n a k I z v e s t a j < / s t r i n g > < / k e y > < v a l u e > < i n t > 7 < / i n t > < / v a l u e > < / i t e m > < i t e m > < k e y > < s t r i n g > S t a v k a K a t e g o r i j a < / s t r i n g > < / k e y > < v a l u e > < i n t > 8 < / i n t > < / v a l u e > < / i t e m > < i t e m > < k e y > < s t r i n g > O b r a z e c I D < / s t r i n g > < / k e y > < v a l u e > < i n t > 1 2 < / i n t > < / v a l u e > < / i t e m > < i t e m > < k e y > < s t r i n g > O b r a z e c I m e < / s t r i n g > < / k e y > < v a l u e > < i n t > 1 3 < / i n t > < / v a l u e > < / i t e m > < i t e m > < k e y > < s t r i n g > @>X  =0  X02=0  =0102:0  ( ?;0=) < / s t r i n g > < / k e y > < v a l u e > < i n t > 1 5 < / i n t > < / v a l u e > < / i t e m > < i t e m > < k e y > < s t r i n g > S t a v k a I m e A O P < / s t r i n g > < / k e y > < v a l u e > < i n t > 1 6 < / i n t > < / v a l u e > < / i t e m > < i t e m > < k e y > < s t r i n g > S t a v k a A O P < / s t r i n g > < / k e y > < v a l u e > < i n t > 1 4 < / i n t > < / v a l u e > < / i t e m > < i t e m > < k e y > < s t r i n g > >=B>  !B02:0< / s t r i n g > < / k e y > < v a l u e > < i n t > 1 7 < / i n t > < / v a l u e > < / i t e m > < i t e m > < k e y > < s t r i n g > 0782  =0  :>=B>< / s t r i n g > < / k e y > < v a l u e > < i n t > 1 8 < / i n t > < / v a l u e > < / i t e m > < / C o l u m n D i s p l a y I n d e x > < C o l u m n F r o z e n   / > < C o l u m n C h e c k e d   / > < C o l u m n F i l t e r > < i t e m > < k e y > < s t r i n g > 5@8>4< / s t r i n g > < / k e y > < v a l u e > < F i l t e r E x p r e s s i o n   x s i : n i l = " t r u e "   / > < / v a l u e > < / i t e m > < i t e m > < k e y > < s t r i n g > >=B>< / s t r i n g > < / k e y > < v a l u e > < F i l t e r E x p r e s s i o n   x s i : n i l = " t r u e "   / > < / v a l u e > < / i t e m > < i t e m > < k e y > < s t r i n g > 7=>A1 < / s t r i n g > < / k e y > < v a l u e > < F i l t e r E x p r e s s i o n   x s i : n i l = " t r u e "   / > < / v a l u e > < / i t e m > < i t e m > < k e y > < s t r i n g > R e p o r t T y p e < / s t r i n g > < / k e y > < v a l u e > < F i l t e r E x p r e s s i o n   x s i : n i l = " t r u e "   / > < / v a l u e > < / i t e m > < / C o l u m n F i l t e r > < S e l e c t i o n F i l t e r > < i t e m > < k e y > < s t r i n g > 5@8>4< / s t r i n g > < / k e y > < v a l u e > < S e l e c t i o n F i l t e r   x s i : n i l = " t r u e "   / > < / v a l u e > < / i t e m > < i t e m > < k e y > < s t r i n g > >=B>< / s t r i n g > < / k e y > < v a l u e > < S e l e c t i o n F i l t e r   x s i : n i l = " t r u e "   / > < / v a l u e > < / i t e m > < i t e m > < k e y > < s t r i n g > 7=>A1 < / s t r i n g > < / k e y > < v a l u e > < S e l e c t i o n F i l t e r   x s i : n i l = " t r u e "   / > < / v a l u e > < / i t e m > < i t e m > < k e y > < s t r i n g > R e p o r t T y p e < / s t r i n g > < / k e y > < v a l u e > < S e l e c t i o n F i l t e r   x s i : n i l = " t r u e "   / > < / v a l u e > < / i t e m > < / S e l e c t i o n F i l t e r > < F i l t e r P a r a m e t e r s > < i t e m > < k e y > < s t r i n g > 5@8>4< / s t r i n g > < / k e y > < v a l u e > < C o m m a n d P a r a m e t e r s   / > < / v a l u e > < / i t e m > < i t e m > < k e y > < s t r i n g > >=B>< / s t r i n g > < / k e y > < v a l u e > < C o m m a n d P a r a m e t e r s   / > < / v a l u e > < / i t e m > < i t e m > < k e y > < s t r i n g > 7=>A1 < / s t r i n g > < / k e y > < v a l u e > < C o m m a n d P a r a m e t e r s   / > < / v a l u e > < / i t e m > < i t e m > < k e y > < s t r i n g > R e p o r t T y p e < / s t r i n g > < / k e y > < v a l u e > < C o m m a n d P a r a m e t e r s   / > < / v a l u e > < / i t e m > < / F i l t e r P a r a m e t e r s > < I s S o r t D e s c e n d i n g > f a l s e < / I s S o r t D e s c e n d i n g > < / T a b l e W i d g e t G r i d S e r i a l i z a t i o n > ] ] > < / 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 f P r i h o d i R a s h o d i 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 f P r i h o d i R a s h o d i 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 2 < / K e y > < / D i a g r a m O b j e c t K e y > < D i a g r a m O b j e c t K e y > < K e y > M e a s u r e s \ S u m   o f   7=>A  2 \ T a g I n f o \ F o r m u l a < / K e y > < / D i a g r a m O b j e c t K e y > < D i a g r a m O b j e c t K e y > < K e y > M e a s u r e s \ S u m   o f   7=>A  2 \ T a g I n f o \ V a l u e < / K e y > < / D i a g r a m O b j e c t K e y > < D i a g r a m O b j e c t K e y > < K e y > C o l u m n s \ !B02:0< / K e y > < / D i a g r a m O b j e c t K e y > < D i a g r a m O b j e c t K e y > < K e y > C o l u m n s \ 5@8>4< / K e y > < / D i a g r a m O b j e c t K e y > < D i a g r a m O b j e c t K e y > < K e y > C o l u m n s \ 7=>A< / K e y > < / D i a g r a m O b j e c t K e y > < D i a g r a m O b j e c t K e y > < K e y > C o l u m n s \ >=B>< / K e y > < / D i a g r a m O b j e c t K e y > < D i a g r a m O b j e c t K e y > < K e y > C o l u m n s \ 5@8>4  ( M o n t h   I n d e x ) < / K e y > < / D i a g r a m O b j e c t K e y > < D i a g r a m O b j e c t K e y > < K e y > C o l u m n s \ 5@8>4  ( M o n t h ) < / K e y > < / D i a g r a m O b j e c t K e y > < D i a g r a m O b j e c t K e y > < K e y > L i n k s \ & l t ; C o l u m n s \ S u m   o f   7=>A  2 & g t ; - & l t ; M e a s u r e s \ 7=>A& g t ; < / K e y > < / D i a g r a m O b j e c t K e y > < D i a g r a m O b j e c t K e y > < K e y > L i n k s \ & l t ; C o l u m n s \ S u m   o f   7=>A  2 & g t ; - & l t ; M e a s u r e s \ 7=>A& g t ; \ C O L U M N < / K e y > < / D i a g r a m O b j e c t K e y > < D i a g r a m O b j e c t K e y > < K e y > L i n k s \ & l t ; C o l u m n s \ S u m   o f   7=>A  2 & g t ; - & l t ; M e a s u r e s \ 7=>A& g t ; \ M E A S U R E 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 2 < / K e y > < / a : K e y > < a : V a l u e   i : t y p e = " M e a s u r e G r i d N o d e V i e w S t a t e " > < C o l u m n > 2 < / C o l u m n > < L a y e d O u t > t r u e < / L a y e d O u t > < W a s U I I n v i s i b l e > t r u e < / W a s U I I n v i s i b l e > < / a : V a l u e > < / a : K e y V a l u e O f D i a g r a m O b j e c t K e y a n y T y p e z b w N T n L X > < a : K e y V a l u e O f D i a g r a m O b j e c t K e y a n y T y p e z b w N T n L X > < a : K e y > < K e y > M e a s u r e s \ S u m   o f   7=>A  2 \ T a g I n f o \ F o r m u l a < / K e y > < / a : K e y > < a : V a l u e   i : t y p e = " M e a s u r e G r i d V i e w S t a t e I D i a g r a m T a g A d d i t i o n a l I n f o " / > < / a : K e y V a l u e O f D i a g r a m O b j e c t K e y a n y T y p e z b w N T n L X > < a : K e y V a l u e O f D i a g r a m O b j e c t K e y a n y T y p e z b w N T n L X > < a : K e y > < K e y > M e a s u r e s \ S u m   o f   7=>A  2 \ T a g I n f o \ V a l u e < / K e y > < / a : K e y > < a : V a l u e   i : t y p e = " M e a s u r e G r i d V i e w S t a t e I D i a g r a m T a g A d d i t i o n a l I n f o " / > < / a : K e y V a l u e O f D i a g r a m O b j e c t K e y a n y T y p e z b w N T n L X > < a : K e y V a l u e O f D i a g r a m O b j e c t K e y a n y T y p e z b w N T n L X > < a : K e y > < K e y > C o l u m n s \ !B02:0< / K e y > < / a : K e y > < a : V a l u e   i : t y p e = " M e a s u r e G r i d N o d e V i e w S t a t e " > < L a y e d O u t > t r u e < / L a y e d O u t > < / a : V a l u e > < / a : K e y V a l u e O f D i a g r a m O b j e c t K e y a n y T y p e z b w N T n L X > < a : K e y V a l u e O f D i a g r a m O b j e c t K e y a n y T y p e z b w N T n L X > < a : K e y > < K e y > C o l u m n s \ 5@8>4< / K e y > < / a : K e y > < a : V a l u e   i : t y p e = " M e a s u r e G r i d N o d e V i e w S t a t e " > < C o l u m n > 1 < / C o l u m n > < L a y e d O u t > t r u e < / L a y e d O u t > < / a : V a l u e > < / a : K e y V a l u e O f D i a g r a m O b j e c t K e y a n y T y p e z b w N T n L X > < a : K e y V a l u e O f D i a g r a m O b j e c t K e y a n y T y p e z b w N T n L X > < a : K e y > < K e y > C o l u m n s \ 7=>A< / K e y > < / a : K e y > < a : V a l u e   i : t y p e = " M e a s u r e G r i d N o d e V i e w S t a t e " > < C o l u m n > 2 < / C o l u m n > < L a y e d O u t > t r u e < / L a y e d O u t > < / a : V a l u e > < / a : K e y V a l u e O f D i a g r a m O b j e c t K e y a n y T y p e z b w N T n L X > < a : K e y V a l u e O f D i a g r a m O b j e c t K e y a n y T y p e z b w N T n L X > < a : K e y > < K e y > C o l u m n s \ >=B>< / K e y > < / a : K e y > < a : V a l u e   i : t y p e = " M e a s u r e G r i d N o d e V i e w S t a t e " > < C o l u m n > 3 < / C o l u m n > < L a y e d O u t > t r u e < / L a y e d O u t > < / a : V a l u e > < / a : K e y V a l u e O f D i a g r a m O b j e c t K e y a n y T y p e z b w N T n L X > < a : K e y V a l u e O f D i a g r a m O b j e c t K e y a n y T y p e z b w N T n L X > < a : K e y > < K e y > C o l u m n s \ 5@8>4  ( M o n t h   I n d e x ) < / K e y > < / a : K e y > < a : V a l u e   i : t y p e = " M e a s u r e G r i d N o d e V i e w S t a t e " > < C o l u m n > 4 < / C o l u m n > < L a y e d O u t > t r u e < / L a y e d O u t > < / a : V a l u e > < / a : K e y V a l u e O f D i a g r a m O b j e c t K e y a n y T y p e z b w N T n L X > < a : K e y V a l u e O f D i a g r a m O b j e c t K e y a n y T y p e z b w N T n L X > < a : K e y > < K e y > C o l u m n s \ 5@8>4  ( M o n t h ) < / K e y > < / a : K e y > < a : V a l u e   i : t y p e = " M e a s u r e G r i d N o d e V i e w S t a t e " > < C o l u m n > 5 < / C o l u m n > < L a y e d O u t > t r u e < / L a y e d O u t > < / a : V a l u e > < / a : K e y V a l u e O f D i a g r a m O b j e c t K e y a n y T y p e z b w N T n L X > < a : K e y V a l u e O f D i a g r a m O b j e c t K e y a n y T y p e z b w N T n L X > < a : K e y > < K e y > L i n k s \ & l t ; C o l u m n s \ S u m   o f   7=>A  2 & g t ; - & l t ; M e a s u r e s \ 7=>A& g t ; < / K e y > < / a : K e y > < a : V a l u e   i : t y p e = " M e a s u r e G r i d V i e w S t a t e I D i a g r a m L i n k " / > < / a : K e y V a l u e O f D i a g r a m O b j e c t K e y a n y T y p e z b w N T n L X > < a : K e y V a l u e O f D i a g r a m O b j e c t K e y a n y T y p e z b w N T n L X > < a : K e y > < K e y > L i n k s \ & l t ; C o l u m n s \ S u m   o f   7=>A  2 & g t ; - & l t ; M e a s u r e s \ 7=>A& g t ; \ C O L U M N < / K e y > < / a : K e y > < a : V a l u e   i : t y p e = " M e a s u r e G r i d V i e w S t a t e I D i a g r a m L i n k E n d p o i n t " / > < / a : K e y V a l u e O f D i a g r a m O b j e c t K e y a n y T y p e z b w N T n L X > < a : K e y V a l u e O f D i a g r a m O b j e c t K e y a n y T y p e z b w N T n L X > < a : K e y > < K e y > L i n k s \ & l t ; C o l u m n s \ S u m   o f   7=>A  2 & g t ; - & l t ; M e a s u r e s \ 7=>A& g t ; \ M E A S U R E < / K e y > < / a : K e y > < a : V a l u e   i : t y p e = " M e a s u r e G r i d V i e w S t a t e I D i a g r a m L i n k E n d p o i n t " / > < / a : K e y V a l u e O f D i a g r a m O b j e c t K e y a n y T y p e z b w N T n L X > < / V i e w S t a t e s > < / D i a g r a m M a n a g e r . S e r i a l i z a b l e D i a g r a m > < D i a g r a m M a n a g e r . S e r i a l i z a b l e D i a g r a m > < A d a p t e r   i : t y p e = " M e a s u r e D i a g r a m S a n d b o x A d a p t e r " > < T a b l e N a m e > M a p p i n g 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K e y > < / D i a g r a m O b j e c t K e y > < D i a g r a m O b j e c t K e y > < K e y > C o l u m n s \ ?8A< / K e y > < / D i a g r a m O b j e c t K e y > < D i a g r a m O b j e c t K e y > < K e y > C o l u m n s \ -   D8=0=A8A:8  ?;0=< / K e y > < / D i a g r a m O b j e c t K e y > < D i a g r a m O b j e c t K e y > < K e y > C o l u m n s \ - D8=0=A8A:8  8725HB0X< / K e y > < / D i a g r a m O b j e c t K e y > < D i a g r a m O b j e c t K e y > < K e y > C o l u m n s \ - $  =>2< / K e y > < / D i a g r a m O b j e c t K e y > < D i a g r a m O b j e c t K e y > < K e y > C o l u m n s \ - >48H=8  A<5B:8< / K e y > < / D i a g r a m O b j e c t K e y > < D i a g r a m O b j e c t K e y > < K e y > C o l u m n s \ - 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K e y > < / a : K e y > < a : V a l u e   i : t y p e = " M e a s u r e G r i d N o d e V i e w S t a t e " > < L a y e d O u t > t r u e < / L a y e d O u t > < / a : V a l u e > < / a : K e y V a l u e O f D i a g r a m O b j e c t K e y a n y T y p e z b w N T n L X > < a : K e y V a l u e O f D i a g r a m O b j e c t K e y a n y T y p e z b w N T n L X > < a : K e y > < K e y > C o l u m n s \ ?8A< / K e y > < / a : K e y > < a : V a l u e   i : t y p e = " M e a s u r e G r i d N o d e V i e w S t a t e " > < C o l u m n > 1 < / C o l u m n > < L a y e d O u t > t r u e < / L a y e d O u t > < / a : V a l u e > < / a : K e y V a l u e O f D i a g r a m O b j e c t K e y a n y T y p e z b w N T n L X > < a : K e y V a l u e O f D i a g r a m O b j e c t K e y a n y T y p e z b w N T n L X > < a : K e y > < K e y > C o l u m n s \ -   D8=0=A8A:8  ?;0=< / K e y > < / a : K e y > < a : V a l u e   i : t y p e = " M e a s u r e G r i d N o d e V i e w S t a t e " > < C o l u m n > 2 < / C o l u m n > < L a y e d O u t > t r u e < / L a y e d O u t > < / a : V a l u e > < / a : K e y V a l u e O f D i a g r a m O b j e c t K e y a n y T y p e z b w N T n L X > < a : K e y V a l u e O f D i a g r a m O b j e c t K e y a n y T y p e z b w N T n L X > < a : K e y > < K e y > C o l u m n s \ - D8=0=A8A:8  8725HB0X< / K e y > < / a : K e y > < a : V a l u e   i : t y p e = " M e a s u r e G r i d N o d e V i e w S t a t e " > < C o l u m n > 3 < / C o l u m n > < L a y e d O u t > t r u e < / L a y e d O u t > < / a : V a l u e > < / a : K e y V a l u e O f D i a g r a m O b j e c t K e y a n y T y p e z b w N T n L X > < a : K e y V a l u e O f D i a g r a m O b j e c t K e y a n y T y p e z b w N T n L X > < a : K e y > < K e y > C o l u m n s \ - $  =>2< / K e y > < / a : K e y > < a : V a l u e   i : t y p e = " M e a s u r e G r i d N o d e V i e w S t a t e " > < C o l u m n > 4 < / C o l u m n > < L a y e d O u t > t r u e < / L a y e d O u t > < / a : V a l u e > < / a : K e y V a l u e O f D i a g r a m O b j e c t K e y a n y T y p e z b w N T n L X > < a : K e y V a l u e O f D i a g r a m O b j e c t K e y a n y T y p e z b w N T n L X > < a : K e y > < K e y > C o l u m n s \ - >48H=8  A<5B:8< / K e y > < / a : K e y > < a : V a l u e   i : t y p e = " M e a s u r e G r i d N o d e V i e w S t a t e " > < C o l u m n > 5 < / C o l u m n > < L a y e d O u t > t r u e < / L a y e d O u t > < / a : V a l u e > < / a : K e y V a l u e O f D i a g r a m O b j e c t K e y a n y T y p e z b w N T n L X > < a : K e y V a l u e O f D i a g r a m O b j e c t K e y a n y T y p e z b w N T n L X > < a : K e y > < K e y > C o l u m n s \ - < / K e y > < / a : K e y > < a : V a l u e   i : t y p e = " M e a s u r e G r i d N o d e V i e w S t a t e " > < C o l u m n > 6 < / C o l u m n > < L a y e d O u t > t r u e < / L a y e d O u t > < / a : V a l u e > < / a : K e y V a l u e O f D i a g r a m O b j e c t K e y a n y T y p e z b w N T n L X > < / V i e w S t a t e s > < / D i a g r a m M a n a g e r . S e r i a l i z a b l e D i a g r a m > < D i a g r a m M a n a g e r . S e r i a l i z a b l e D i a g r a m > < A d a p t e r   i : t y p e = " M e a s u r e D i a g r a m S a n d b o x A d a p t e r " > < T a b l e N a m e > f V k u p n i P r i h o d i 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 f V k u p n i P r i h o d i 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 C o l u m n s \ !B02:0< / K e y > < / D i a g r a m O b j e c t K e y > < D i a g r a m O b j e c t K e y > < K e y > C o l u m n s \ 5@8>4< / K e y > < / D i a g r a m O b j e c t K e y > < D i a g r a m O b j e c t K e y > < K e y > C o l u m n s \ 7=>A< / K e y > < / D i a g r a m O b j e c t K e y > < D i a g r a m O b j e c t K e y > < K e y > C o l u m n s \ >=B>< / 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 C o l u m n s \ !B02:0< / K e y > < / a : K e y > < a : V a l u e   i : t y p e = " M e a s u r e G r i d N o d e V i e w S t a t e " > < C o l u m n > 2 < / C o l u m n > < L a y e d O u t > t r u e < / L a y e d O u t > < / a : V a l u e > < / a : K e y V a l u e O f D i a g r a m O b j e c t K e y a n y T y p e z b w N T n L X > < a : K e y V a l u e O f D i a g r a m O b j e c t K e y a n y T y p e z b w N T n L X > < a : K e y > < K e y > C o l u m n s \ 5@8>4< / K e y > < / a : K e y > < a : V a l u e   i : t y p e = " M e a s u r e G r i d N o d e V i e w S t a t e " > < L a y e d O u t > t r u e < / L a y e d O u t > < / a : V a l u e > < / a : K e y V a l u e O f D i a g r a m O b j e c t K e y a n y T y p e z b w N T n L X > < a : K e y V a l u e O f D i a g r a m O b j e c t K e y a n y T y p e z b w N T n L X > < a : K e y > < K e y > C o l u m n s \ 7=>A< / K e y > < / a : K e y > < a : V a l u e   i : t y p e = " M e a s u r e G r i d N o d e V i e w S t a t e " > < C o l u m n > 3 < / C o l u m n > < L a y e d O u t > t r u e < / L a y e d O u t > < / a : V a l u e > < / a : K e y V a l u e O f D i a g r a m O b j e c t K e y a n y T y p e z b w N T n L X > < a : K e y V a l u e O f D i a g r a m O b j e c t K e y a n y T y p e z b w N T n L X > < a : K e y > < K e y > C o l u m n s \ >=B>< / K e y > < / a : K e y > < a : V a l u e   i : t y p e = " M e a s u r e G r i d N o d e V i e w S t a t e " > < C o l u m n > 1 < / C o l u m n > < L a y e d O u t > t r u e < / L a y e d O u t > < / a : V a l u e > < / a : K e y V a l u e O f D i a g r a m O b j e c t K e y a n y T y p e z b w N T n L X > < / V i e w S t a t e s > < / D i a g r a m M a n a g e r . S e r i a l i z a b l e D i a g r a m > < D i a g r a m M a n a g e r . S e r i a l i z a b l e D i a g r a m > < A d a p t e r   i : t y p e = " M e a s u r e D i a g r a m S a n d b o x A d a p t e r " > < T a b l e N a m e > A c t u a l A n d B u d g e t 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 A c t u a l A n d B u d g e t 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K e y > < / D i a g r a m O b j e c t K e y > < D i a g r a m O b j e c t K e y > < K e y > C o l u m n s \ 5@8>4< / K e y > < / D i a g r a m O b j e c t K e y > < D i a g r a m O b j e c t K e y > < K e y > C o l u m n s \ V r e d n o s t < / K e y > < / D i a g r a m O b j e c t K e y > < D i a g r a m O b j e c t K e y > < K e y > C o l u m n s \ !B02:0< / K e y > < / D i a g r a m O b j e c t K e y > < D i a g r a m O b j e c t K e y > < K e y > C o l u m n s \ 7=>A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K e y > < / a : K e y > < a : V a l u e   i : t y p e = " M e a s u r e G r i d N o d e V i e w S t a t e " > < L a y e d O u t > t r u e < / L a y e d O u t > < / a : V a l u e > < / a : K e y V a l u e O f D i a g r a m O b j e c t K e y a n y T y p e z b w N T n L X > < a : K e y V a l u e O f D i a g r a m O b j e c t K e y a n y T y p e z b w N T n L X > < a : K e y > < K e y > C o l u m n s \ 5@8>4< / K e y > < / a : K e y > < a : V a l u e   i : t y p e = " M e a s u r e G r i d N o d e V i e w S t a t e " > < C o l u m n > 1 < / C o l u m n > < L a y e d O u t > t r u e < / L a y e d O u t > < / a : V a l u e > < / a : K e y V a l u e O f D i a g r a m O b j e c t K e y a n y T y p e z b w N T n L X > < a : K e y V a l u e O f D i a g r a m O b j e c t K e y a n y T y p e z b w N T n L X > < a : K e y > < K e y > C o l u m n s \ V r e d n o s t < / K e y > < / a : K e y > < a : V a l u e   i : t y p e = " M e a s u r e G r i d N o d e V i e w S t a t e " > < C o l u m n > 2 < / C o l u m n > < L a y e d O u t > t r u e < / L a y e d O u t > < / a : V a l u e > < / a : K e y V a l u e O f D i a g r a m O b j e c t K e y a n y T y p e z b w N T n L X > < a : K e y V a l u e O f D i a g r a m O b j e c t K e y a n y T y p e z b w N T n L X > < a : K e y > < K e y > C o l u m n s \ !B02:0< / K e y > < / a : K e y > < a : V a l u e   i : t y p e = " M e a s u r e G r i d N o d e V i e w S t a t e " > < C o l u m n > 3 < / C o l u m n > < L a y e d O u t > t r u e < / L a y e d O u t > < / a : V a l u e > < / a : K e y V a l u e O f D i a g r a m O b j e c t K e y a n y T y p e z b w N T n L X > < a : K e y V a l u e O f D i a g r a m O b j e c t K e y a n y T y p e z b w N T n L X > < a : K e y > < K e y > C o l u m n s \ 7=>A< / K e y > < / a : K e y > < a : V a l u e   i : t y p e = " M e a s u r e G r i d N o d e V i e w S t a t e " > < C o l u m n > 4 < / C o l u m n > < L a y e d O u t > t r u e < / L a y e d O u t > < / a : V a l u e > < / a : K e y V a l u e O f D i a g r a m O b j e c t K e y a n y T y p e z b w N T n L X > < / V i e w S t a t e s > < / D i a g r a m M a n a g e r . S e r i a l i z a b l e D i a g r a m > < D i a g r a m M a n a g e r . S e r i a l i z a b l e D i a g r a m > < A d a p t e r   i : t y p e = " M e a s u r e D i a g r a m S a n d b o x A d a p t e r " > < T a b l e N a m e > r O b r a z e c F i n a n s i s k i P l a n 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 r O b r a z e c F i n a n s i s k i P l a n 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  D8=0=A8A:8  ?;0=< / K e y > < / D i a g r a m O b j e c t K e y > < D i a g r a m O b j e c t K e y > < K e y > C o l u m n s \ $- AB02:0< / K e y > < / D i a g r a m O b j e c t K e y > < D i a g r a m O b j e c t K e y > < K e y > C o l u m n s \ $- @C?0< / K e y > < / D i a g r a m O b j e c t K e y > < D i a g r a m O b j e c t K e y > < K e y > C o l u m n s \ $- 0B53>@8X0< / K e y > < / D i a g r a m O b j e c t K e y > < D i a g r a m O b j e c t K e y > < K e y > C o l u m n s \ T o t a l i n g 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  D8=0=A8A:8  ?;0=< / K e y > < / a : K e y > < a : V a l u e   i : t y p e = " M e a s u r e G r i d N o d e V i e w S t a t e " > < L a y e d O u t > t r u e < / L a y e d O u t > < / a : V a l u e > < / a : K e y V a l u e O f D i a g r a m O b j e c t K e y a n y T y p e z b w N T n L X > < a : K e y V a l u e O f D i a g r a m O b j e c t K e y a n y T y p e z b w N T n L X > < a : K e y > < K e y > C o l u m n s \ $- AB02:0< / K e y > < / a : K e y > < a : V a l u e   i : t y p e = " M e a s u r e G r i d N o d e V i e w S t a t e " > < C o l u m n > 1 < / C o l u m n > < L a y e d O u t > t r u e < / L a y e d O u t > < / a : V a l u e > < / a : K e y V a l u e O f D i a g r a m O b j e c t K e y a n y T y p e z b w N T n L X > < a : K e y V a l u e O f D i a g r a m O b j e c t K e y a n y T y p e z b w N T n L X > < a : K e y > < K e y > C o l u m n s \ $- @C?0< / K e y > < / a : K e y > < a : V a l u e   i : t y p e = " M e a s u r e G r i d N o d e V i e w S t a t e " > < C o l u m n > 2 < / C o l u m n > < L a y e d O u t > t r u e < / L a y e d O u t > < / a : V a l u e > < / a : K e y V a l u e O f D i a g r a m O b j e c t K e y a n y T y p e z b w N T n L X > < a : K e y V a l u e O f D i a g r a m O b j e c t K e y a n y T y p e z b w N T n L X > < a : K e y > < K e y > C o l u m n s \ $- 0B53>@8X0< / K e y > < / a : K e y > < a : V a l u e   i : t y p e = " M e a s u r e G r i d N o d e V i e w S t a t e " > < C o l u m n > 3 < / C o l u m n > < L a y e d O u t > t r u e < / L a y e d O u t > < / a : V a l u e > < / a : K e y V a l u e O f D i a g r a m O b j e c t K e y a n y T y p e z b w N T n L X > < a : K e y V a l u e O f D i a g r a m O b j e c t K e y a n y T y p e z b w N T n L X > < a : K e y > < K e y > C o l u m n s \ T o t a l i n g < / K e y > < / a : K e y > < a : V a l u e   i : t y p e = " M e a s u r e G r i d N o d e V i e w S t a t e " > < C o l u m n > 4 < / C o l u m n > < L a y e d O u t > t r u e < / L a y e d O u t > < / a : V a l u e > < / a : K e y V a l u e O f D i a g r a m O b j e c t K e y a n y T y p e z b w N T n L X > < / V i e w S t a t e s > < / D i a g r a m M a n a g e r . S e r i a l i z a b l e D i a g r a m > < D i a g r a m M a n a g e r . S e r i a l i z a b l e D i a g r a m > < A d a p t e r   i : t y p e = " M e a s u r e D i a g r a m S a n d b o x A d a p t e r " > < T a b l e N a m e > d O b r a z e c F i n a n s i s k i P l a n 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 d O b r a z e c F i n a n s i s k i P l a n 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  D8=0=A8A:8  ?;0=< / K e y > < / D i a g r a m O b j e c t K e y > < D i a g r a m O b j e c t K e y > < K e y > C o l u m n s \ $- AB02:0< / K e y > < / D i a g r a m O b j e c t K e y > < D i a g r a m O b j e c t K e y > < K e y > C o l u m n s \ $- @C?0< / K e y > < / D i a g r a m O b j e c t K e y > < D i a g r a m O b j e c t K e y > < K e y > C o l u m n s \ $- 0B53>@8X0< / K e y > < / D i a g r a m O b j e c t K e y > < D i a g r a m O b j e c t K e y > < K e y > C o l u m n s \ T o t a l i n g < / K e y > < / D i a g r a m O b j e c t K e y > < D i a g r a m O b j e c t K e y > < K e y > C o l u m n s \ $  !B02:0  =0782< / 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  D8=0=A8A:8  ?;0=< / K e y > < / a : K e y > < a : V a l u e   i : t y p e = " M e a s u r e G r i d N o d e V i e w S t a t e " > < L a y e d O u t > t r u e < / L a y e d O u t > < / a : V a l u e > < / a : K e y V a l u e O f D i a g r a m O b j e c t K e y a n y T y p e z b w N T n L X > < a : K e y V a l u e O f D i a g r a m O b j e c t K e y a n y T y p e z b w N T n L X > < a : K e y > < K e y > C o l u m n s \ $- AB02:0< / K e y > < / a : K e y > < a : V a l u e   i : t y p e = " M e a s u r e G r i d N o d e V i e w S t a t e " > < C o l u m n > 1 < / C o l u m n > < L a y e d O u t > t r u e < / L a y e d O u t > < / a : V a l u e > < / a : K e y V a l u e O f D i a g r a m O b j e c t K e y a n y T y p e z b w N T n L X > < a : K e y V a l u e O f D i a g r a m O b j e c t K e y a n y T y p e z b w N T n L X > < a : K e y > < K e y > C o l u m n s \ $- @C?0< / K e y > < / a : K e y > < a : V a l u e   i : t y p e = " M e a s u r e G r i d N o d e V i e w S t a t e " > < C o l u m n > 2 < / C o l u m n > < L a y e d O u t > t r u e < / L a y e d O u t > < / a : V a l u e > < / a : K e y V a l u e O f D i a g r a m O b j e c t K e y a n y T y p e z b w N T n L X > < a : K e y V a l u e O f D i a g r a m O b j e c t K e y a n y T y p e z b w N T n L X > < a : K e y > < K e y > C o l u m n s \ $- 0B53>@8X0< / K e y > < / a : K e y > < a : V a l u e   i : t y p e = " M e a s u r e G r i d N o d e V i e w S t a t e " > < C o l u m n > 3 < / C o l u m n > < L a y e d O u t > t r u e < / L a y e d O u t > < / a : V a l u e > < / a : K e y V a l u e O f D i a g r a m O b j e c t K e y a n y T y p e z b w N T n L X > < a : K e y V a l u e O f D i a g r a m O b j e c t K e y a n y T y p e z b w N T n L X > < a : K e y > < K e y > C o l u m n s \ T o t a l i n g < / K e y > < / a : K e y > < a : V a l u e   i : t y p e = " M e a s u r e G r i d N o d e V i e w S t a t e " > < C o l u m n > 4 < / C o l u m n > < L a y e d O u t > t r u e < / L a y e d O u t > < / a : V a l u e > < / a : K e y V a l u e O f D i a g r a m O b j e c t K e y a n y T y p e z b w N T n L X > < a : K e y V a l u e O f D i a g r a m O b j e c t K e y a n y T y p e z b w N T n L X > < a : K e y > < K e y > C o l u m n s \ $  !B02:0  =0782< / K e y > < / a : K e y > < a : V a l u e   i : t y p e = " M e a s u r e G r i d N o d e V i e w S t a t e " > < C o l u m n > 5 < / C o l u m n > < L a y e d O u t > t r u e < / L a y e d O u t > < / a : V a l u e > < / a : K e y V a l u e O f D i a g r a m O b j e c t K e y a n y T y p e z b w N T n L X > < / V i e w S t a t e s > < / D i a g r a m M a n a g e r . S e r i a l i z a b l e D i a g r a m > < D i a g r a m M a n a g e r . S e r i a l i z a b l e D i a g r a m > < A d a p t e r   i : t y p e = " M e a s u r e D i a g r a m S a n d b o x A d a p t e r " > < T a b l e N a m e > C a l e n d a r 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V i e w S t a t e s > < / D i a g r a m M a n a g e r . S e r i a l i z a b l e D i a g r a m > < D i a g r a m M a n a g e r . S e r i a l i z a b l e D i a g r a m > < A d a p t e r   i : t y p e = " M e a s u r e D i a g r a m S a n d b o x A d a p t e r " > < T a b l e N a m e > d O b r a s c i 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 d O b r a s c i 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 C o l u m n s \ O b r a z e c I D < / K e y > < / D i a g r a m O b j e c t K e y > < D i a g r a m O b j e c t K e y > < K e y > C o l u m n s \ S t a v k a A O P < / K e y > < / D i a g r a m O b j e c t K e y > < D i a g r a m O b j e c t K e y > < K e y > C o l u m n s \ S t a v k a I D < / K e y > < / D i a g r a m O b j e c t K e y > < D i a g r a m O b j e c t K e y > < K e y > C o l u m n s \ S t a v k a I m e M K 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 C o l u m n s \ O b r a z e c I D < / K e y > < / a : K e y > < a : V a l u e   i : t y p e = " M e a s u r e G r i d N o d e V i e w S t a t e " > < L a y e d O u t > t r u e < / L a y e d O u t > < / a : V a l u e > < / a : K e y V a l u e O f D i a g r a m O b j e c t K e y a n y T y p e z b w N T n L X > < a : K e y V a l u e O f D i a g r a m O b j e c t K e y a n y T y p e z b w N T n L X > < a : K e y > < K e y > C o l u m n s \ S t a v k a A O P < / K e y > < / a : K e y > < a : V a l u e   i : t y p e = " M e a s u r e G r i d N o d e V i e w S t a t e " > < C o l u m n > 1 < / C o l u m n > < L a y e d O u t > t r u e < / L a y e d O u t > < / a : V a l u e > < / a : K e y V a l u e O f D i a g r a m O b j e c t K e y a n y T y p e z b w N T n L X > < a : K e y V a l u e O f D i a g r a m O b j e c t K e y a n y T y p e z b w N T n L X > < a : K e y > < K e y > C o l u m n s \ S t a v k a I D < / K e y > < / a : K e y > < a : V a l u e   i : t y p e = " M e a s u r e G r i d N o d e V i e w S t a t e " > < C o l u m n > 2 < / C o l u m n > < L a y e d O u t > t r u e < / L a y e d O u t > < / a : V a l u e > < / a : K e y V a l u e O f D i a g r a m O b j e c t K e y a n y T y p e z b w N T n L X > < a : K e y V a l u e O f D i a g r a m O b j e c t K e y a n y T y p e z b w N T n L X > < a : K e y > < K e y > C o l u m n s \ S t a v k a I m e M K < / K e y > < / a : K e y > < a : V a l u e   i : t y p e = " M e a s u r e G r i d N o d e V i e w S t a t e " > < C o l u m n > 3 < / C o l u m n > < L a y e d O u t > t r u e < / L a y e d O u t > < / a : V a l u e > < / a : K e y V a l u e O f D i a g r a m O b j e c t K e y a n y T y p e z b w N T n L X > < / V i e w S t a t e s > < / D i a g r a m M a n a g e r . S e r i a l i z a b l e D i a g r a m > < D i a g r a m M a n a g e r . S e r i a l i z a b l e D i a g r a m > < A d a p t e r   i : t y p e = " M e a s u r e D i a g r a m S a n d b o x A d a p t e r " > < T a b l e N a m e > d K o n t e n P l a n 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 d K o n t e n P l a n 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 C o l u m n s \ K o n t o < / K e y > < / D i a g r a m O b j e c t K e y > < D i a g r a m O b j e c t K e y > < K e y > C o l u m n s \ N a z i v   n a   k o n t o < / K e y > < / D i a g r a m O b j e c t K e y > < D i a g r a m O b j e c t K e y > < K e y > C o l u m n s \ T i p I z v e s t a j I D < / K e y > < / D i a g r a m O b j e c t K e y > < D i a g r a m O b j e c t K e y > < K e y > C o l u m n s \ O b r a z e c I D < / K e y > < / D i a g r a m O b j e c t K e y > < D i a g r a m O b j e c t K e y > < K e y > C o l u m n s \ S t a v k a I D < / K e y > < / D i a g r a m O b j e c t K e y > < D i a g r a m O b j e c t K e y > < K e y > C o l u m n s \ F P   s t a r < / K e y > < / D i a g r a m O b j e c t K e y > < D i a g r a m O b j e c t K e y > < K e y > C o l u m n s \ S t a v k a I m e M K 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 C o l u m n s \ K o n t o < / K e y > < / a : K e y > < a : V a l u e   i : t y p e = " M e a s u r e G r i d N o d e V i e w S t a t e " > < L a y e d O u t > t r u e < / L a y e d O u t > < / a : V a l u e > < / a : K e y V a l u e O f D i a g r a m O b j e c t K e y a n y T y p e z b w N T n L X > < a : K e y V a l u e O f D i a g r a m O b j e c t K e y a n y T y p e z b w N T n L X > < a : K e y > < K e y > C o l u m n s \ N a z i v   n a   k o n t o < / K e y > < / a : K e y > < a : V a l u e   i : t y p e = " M e a s u r e G r i d N o d e V i e w S t a t e " > < C o l u m n > 1 < / C o l u m n > < L a y e d O u t > t r u e < / L a y e d O u t > < / a : V a l u e > < / a : K e y V a l u e O f D i a g r a m O b j e c t K e y a n y T y p e z b w N T n L X > < a : K e y V a l u e O f D i a g r a m O b j e c t K e y a n y T y p e z b w N T n L X > < a : K e y > < K e y > C o l u m n s \ T i p I z v e s t a j I D < / K e y > < / a : K e y > < a : V a l u e   i : t y p e = " M e a s u r e G r i d N o d e V i e w S t a t e " > < C o l u m n > 2 < / C o l u m n > < L a y e d O u t > t r u e < / L a y e d O u t > < / a : V a l u e > < / a : K e y V a l u e O f D i a g r a m O b j e c t K e y a n y T y p e z b w N T n L X > < a : K e y V a l u e O f D i a g r a m O b j e c t K e y a n y T y p e z b w N T n L X > < a : K e y > < K e y > C o l u m n s \ O b r a z e c I D < / K e y > < / a : K e y > < a : V a l u e   i : t y p e = " M e a s u r e G r i d N o d e V i e w S t a t e " > < C o l u m n > 3 < / C o l u m n > < L a y e d O u t > t r u e < / L a y e d O u t > < / a : V a l u e > < / a : K e y V a l u e O f D i a g r a m O b j e c t K e y a n y T y p e z b w N T n L X > < a : K e y V a l u e O f D i a g r a m O b j e c t K e y a n y T y p e z b w N T n L X > < a : K e y > < K e y > C o l u m n s \ S t a v k a I D < / K e y > < / a : K e y > < a : V a l u e   i : t y p e = " M e a s u r e G r i d N o d e V i e w S t a t e " > < C o l u m n > 4 < / C o l u m n > < L a y e d O u t > t r u e < / L a y e d O u t > < / a : V a l u e > < / a : K e y V a l u e O f D i a g r a m O b j e c t K e y a n y T y p e z b w N T n L X > < a : K e y V a l u e O f D i a g r a m O b j e c t K e y a n y T y p e z b w N T n L X > < a : K e y > < K e y > C o l u m n s \ F P   s t a r < / K e y > < / a : K e y > < a : V a l u e   i : t y p e = " M e a s u r e G r i d N o d e V i e w S t a t e " > < C o l u m n > 5 < / C o l u m n > < L a y e d O u t > t r u e < / L a y e d O u t > < / a : V a l u e > < / a : K e y V a l u e O f D i a g r a m O b j e c t K e y a n y T y p e z b w N T n L X > < a : K e y V a l u e O f D i a g r a m O b j e c t K e y a n y T y p e z b w N T n L X > < a : K e y > < K e y > C o l u m n s \ S t a v k a I m e M K < / K e y > < / a : K e y > < a : V a l u e   i : t y p e = " M e a s u r e G r i d N o d e V i e w S t a t e " > < C o l u m n > 6 < / C o l u m n > < L a y e d O u t > t r u e < / L a y e d O u t > < / a : V a l u e > < / a : K e y V a l u e O f D i a g r a m O b j e c t K e y a n y T y p e z b w N T n L X > < / V i e w S t a t e s > < / D i a g r a m M a n a g e r . S e r i a l i z a b l e D i a g r a m > < D i a g r a m M a n a g e r . S e r i a l i z a b l e D i a g r a m > < A d a p t e r   i : t y p e = " M e a s u r e D i a g r a m S a n d b o x A d a p t e r " > < T a b l e N a m e > f N a b a v k i 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 f N a b a v k i 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 4 < / K e y > < / D i a g r a m O b j e c t K e y > < D i a g r a m O b j e c t K e y > < K e y > M e a s u r e s \ S u m   o f   7=>A  4 \ T a g I n f o \ F o r m u l a < / K e y > < / D i a g r a m O b j e c t K e y > < D i a g r a m O b j e c t K e y > < K e y > M e a s u r e s \ S u m   o f   7=>A  4 \ T a g I n f o \ V a l u e < / K e y > < / D i a g r a m O b j e c t K e y > < D i a g r a m O b j e c t K e y > < K e y > C o l u m n s \ @B8:;  < / K e y > < / D i a g r a m O b j e c t K e y > < D i a g r a m O b j e c t K e y > < K e y > C o l u m n s \ !B02:0< / K e y > < / D i a g r a m O b j e c t K e y > < D i a g r a m O b j e c t K e y > < K e y > C o l u m n s \ 5@8>4< / K e y > < / D i a g r a m O b j e c t K e y > < D i a g r a m O b j e c t K e y > < K e y > C o l u m n s \ >:0F8X0< / K e y > < / D i a g r a m O b j e c t K e y > < D i a g r a m O b j e c t K e y > < K e y > C o l u m n s \ 7=>A< / K e y > < / D i a g r a m O b j e c t K e y > < D i a g r a m O b j e c t K e y > < K e y > C o l u m n s \ R e p o r t T y p e < / K e y > < / D i a g r a m O b j e c t K e y > < D i a g r a m O b j e c t K e y > < K e y > C o l u m n s \ 0B53>@8X0  @B8:;  < / K e y > < / D i a g r a m O b j e c t K e y > < D i a g r a m O b j e c t K e y > < K e y > C o l u m n s \ 0B53>@8X0  @B8:;< / K e y > < / D i a g r a m O b j e c t K e y > < D i a g r a m O b j e c t K e y > < K e y > C o l u m n s \ >:0F8X0. 1 < / K e y > < / D i a g r a m O b j e c t K e y > < D i a g r a m O b j e c t K e y > < K e y > C o l u m n s \ "8?  =0  0@B8:;< / K e y > < / D i a g r a m O b j e c t K e y > < D i a g r a m O b j e c t K e y > < K e y > C o l u m n s \ "8?  =0  =0102:0< / K e y > < / D i a g r a m O b j e c t K e y > < D i a g r a m O b j e c t K e y > < K e y > C o l u m n s \ @30=870F8>=0  548=8F0  >43>2>@=0  70  =0102:0B0< / K e y > < / D i a g r a m O b j e c t K e y > < D i a g r a m O b j e c t K e y > < K e y > C o l u m n s \ >=B>< / K e y > < / D i a g r a m O b j e c t K e y > < D i a g r a m O b j e c t K e y > < K e y > L i n k s \ & l t ; C o l u m n s \ S u m   o f   7=>A  4 & g t ; - & l t ; M e a s u r e s \ 7=>A& g t ; < / K e y > < / D i a g r a m O b j e c t K e y > < D i a g r a m O b j e c t K e y > < K e y > L i n k s \ & l t ; C o l u m n s \ S u m   o f   7=>A  4 & g t ; - & l t ; M e a s u r e s \ 7=>A& g t ; \ C O L U M N < / K e y > < / D i a g r a m O b j e c t K e y > < D i a g r a m O b j e c t K e y > < K e y > L i n k s \ & l t ; C o l u m n s \ S u m   o f   7=>A  4 & g t ; - & l t ; M e a s u r e s \ 7=>A& g t ; \ M E A S U R E 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 4 < / K e y > < / a : K e y > < a : V a l u e   i : t y p e = " M e a s u r e G r i d N o d e V i e w S t a t e " > < C o l u m n > 1 < / C o l u m n > < L a y e d O u t > t r u e < / L a y e d O u t > < W a s U I I n v i s i b l e > t r u e < / W a s U I I n v i s i b l e > < / a : V a l u e > < / a : K e y V a l u e O f D i a g r a m O b j e c t K e y a n y T y p e z b w N T n L X > < a : K e y V a l u e O f D i a g r a m O b j e c t K e y a n y T y p e z b w N T n L X > < a : K e y > < K e y > M e a s u r e s \ S u m   o f   7=>A  4 \ T a g I n f o \ F o r m u l a < / K e y > < / a : K e y > < a : V a l u e   i : t y p e = " M e a s u r e G r i d V i e w S t a t e I D i a g r a m T a g A d d i t i o n a l I n f o " / > < / a : K e y V a l u e O f D i a g r a m O b j e c t K e y a n y T y p e z b w N T n L X > < a : K e y V a l u e O f D i a g r a m O b j e c t K e y a n y T y p e z b w N T n L X > < a : K e y > < K e y > M e a s u r e s \ S u m   o f   7=>A  4 \ T a g I n f o \ V a l u e < / K e y > < / a : K e y > < a : V a l u e   i : t y p e = " M e a s u r e G r i d V i e w S t a t e I D i a g r a m T a g A d d i t i o n a l I n f o " / > < / a : K e y V a l u e O f D i a g r a m O b j e c t K e y a n y T y p e z b w N T n L X > < a : K e y V a l u e O f D i a g r a m O b j e c t K e y a n y T y p e z b w N T n L X > < a : K e y > < K e y > C o l u m n s \ @B8:;  < / K e y > < / a : K e y > < a : V a l u e   i : t y p e = " M e a s u r e G r i d N o d e V i e w S t a t e " > < C o l u m n > 6 < / C o l u m n > < L a y e d O u t > t r u e < / L a y e d O u t > < / a : V a l u e > < / a : K e y V a l u e O f D i a g r a m O b j e c t K e y a n y T y p e z b w N T n L X > < a : K e y V a l u e O f D i a g r a m O b j e c t K e y a n y T y p e z b w N T n L X > < a : K e y > < K e y > C o l u m n s \ !B02:0< / K e y > < / a : K e y > < a : V a l u e   i : t y p e = " M e a s u r e G r i d N o d e V i e w S t a t e " > < C o l u m n > 1 1 < / C o l u m n > < L a y e d O u t > t r u e < / L a y e d O u t > < / a : V a l u e > < / a : K e y V a l u e O f D i a g r a m O b j e c t K e y a n y T y p e z b w N T n L X > < a : K e y V a l u e O f D i a g r a m O b j e c t K e y a n y T y p e z b w N T n L X > < a : K e y > < K e y > C o l u m n s \ 5@8>4< / K e y > < / a : K e y > < a : V a l u e   i : t y p e = " M e a s u r e G r i d N o d e V i e w S t a t e " > < C o l u m n > 1 2 < / C o l u m n > < L a y e d O u t > t r u e < / L a y e d O u t > < / a : V a l u e > < / a : K e y V a l u e O f D i a g r a m O b j e c t K e y a n y T y p e z b w N T n L X > < a : K e y V a l u e O f D i a g r a m O b j e c t K e y a n y T y p e z b w N T n L X > < a : K e y > < K e y > C o l u m n s \ >:0F8X0< / K e y > < / a : K e y > < a : V a l u e   i : t y p e = " M e a s u r e G r i d N o d e V i e w S t a t e " > < C o l u m n > 7 < / C o l u m n > < L a y e d O u t > t r u e < / L a y e d O u t > < / a : V a l u e > < / a : K e y V a l u e O f D i a g r a m O b j e c t K e y a n y T y p e z b w N T n L X > < a : K e y V a l u e O f D i a g r a m O b j e c t K e y a n y T y p e z b w N T n L X > < a : K e y > < K e y > C o l u m n s \ 7=>A< / K e y > < / a : K e y > < a : V a l u e   i : t y p e = " M e a s u r e G r i d N o d e V i e w S t a t e " > < C o l u m n > 1 < / C o l u m n > < L a y e d O u t > t r u e < / L a y e d O u t > < / a : V a l u e > < / a : K e y V a l u e O f D i a g r a m O b j e c t K e y a n y T y p e z b w N T n L X > < a : K e y V a l u e O f D i a g r a m O b j e c t K e y a n y T y p e z b w N T n L X > < a : K e y > < K e y > C o l u m n s \ R e p o r t T y p e < / K e y > < / a : K e y > < a : V a l u e   i : t y p e = " M e a s u r e G r i d N o d e V i e w S t a t e " > < C o l u m n > 2 < / C o l u m n > < L a y e d O u t > t r u e < / L a y e d O u t > < / a : V a l u e > < / a : K e y V a l u e O f D i a g r a m O b j e c t K e y a n y T y p e z b w N T n L X > < a : K e y V a l u e O f D i a g r a m O b j e c t K e y a n y T y p e z b w N T n L X > < a : K e y > < K e y > C o l u m n s \ 0B53>@8X0  @B8:;  < / K e y > < / a : K e y > < a : V a l u e   i : t y p e = " M e a s u r e G r i d N o d e V i e w S t a t e " > < C o l u m n > 8 < / C o l u m n > < L a y e d O u t > t r u e < / L a y e d O u t > < / a : V a l u e > < / a : K e y V a l u e O f D i a g r a m O b j e c t K e y a n y T y p e z b w N T n L X > < a : K e y V a l u e O f D i a g r a m O b j e c t K e y a n y T y p e z b w N T n L X > < a : K e y > < K e y > C o l u m n s \ 0B53>@8X0  @B8:;< / K e y > < / a : K e y > < a : V a l u e   i : t y p e = " M e a s u r e G r i d N o d e V i e w S t a t e " > < C o l u m n > 3 < / C o l u m n > < L a y e d O u t > t r u e < / L a y e d O u t > < / a : V a l u e > < / a : K e y V a l u e O f D i a g r a m O b j e c t K e y a n y T y p e z b w N T n L X > < a : K e y V a l u e O f D i a g r a m O b j e c t K e y a n y T y p e z b w N T n L X > < a : K e y > < K e y > C o l u m n s \ >:0F8X0. 1 < / K e y > < / a : K e y > < a : V a l u e   i : t y p e = " M e a s u r e G r i d N o d e V i e w S t a t e " > < C o l u m n > 9 < / C o l u m n > < L a y e d O u t > t r u e < / L a y e d O u t > < / a : V a l u e > < / a : K e y V a l u e O f D i a g r a m O b j e c t K e y a n y T y p e z b w N T n L X > < a : K e y V a l u e O f D i a g r a m O b j e c t K e y a n y T y p e z b w N T n L X > < a : K e y > < K e y > C o l u m n s \ "8?  =0  0@B8:;< / K e y > < / a : K e y > < a : V a l u e   i : t y p e = " M e a s u r e G r i d N o d e V i e w S t a t e " > < C o l u m n > 4 < / C o l u m n > < L a y e d O u t > t r u e < / L a y e d O u t > < / a : V a l u e > < / a : K e y V a l u e O f D i a g r a m O b j e c t K e y a n y T y p e z b w N T n L X > < a : K e y V a l u e O f D i a g r a m O b j e c t K e y a n y T y p e z b w N T n L X > < a : K e y > < K e y > C o l u m n s \ "8?  =0  =0102:0< / K e y > < / a : K e y > < a : V a l u e   i : t y p e = " M e a s u r e G r i d N o d e V i e w S t a t e " > < C o l u m n > 5 < / C o l u m n > < L a y e d O u t > t r u e < / L a y e d O u t > < / a : V a l u e > < / a : K e y V a l u e O f D i a g r a m O b j e c t K e y a n y T y p e z b w N T n L X > < a : K e y V a l u e O f D i a g r a m O b j e c t K e y a n y T y p e z b w N T n L X > < a : K e y > < K e y > C o l u m n s \ @30=870F8>=0  548=8F0  >43>2>@=0  70  =0102:0B0< / K e y > < / a : K e y > < a : V a l u e   i : t y p e = " M e a s u r e G r i d N o d e V i e w S t a t e " > < C o l u m n > 1 0 < / C o l u m n > < L a y e d O u t > t r u e < / L a y e d O u t > < / a : V a l u e > < / a : K e y V a l u e O f D i a g r a m O b j e c t K e y a n y T y p e z b w N T n L X > < a : K e y V a l u e O f D i a g r a m O b j e c t K e y a n y T y p e z b w N T n L X > < a : K e y > < K e y > C o l u m n s \ >=B>< / K e y > < / a : K e y > < a : V a l u e   i : t y p e = " M e a s u r e G r i d N o d e V i e w S t a t e " > < L a y e d O u t > t r u e < / L a y e d O u t > < / a : V a l u e > < / a : K e y V a l u e O f D i a g r a m O b j e c t K e y a n y T y p e z b w N T n L X > < a : K e y V a l u e O f D i a g r a m O b j e c t K e y a n y T y p e z b w N T n L X > < a : K e y > < K e y > L i n k s \ & l t ; C o l u m n s \ S u m   o f   7=>A  4 & g t ; - & l t ; M e a s u r e s \ 7=>A& g t ; < / K e y > < / a : K e y > < a : V a l u e   i : t y p e = " M e a s u r e G r i d V i e w S t a t e I D i a g r a m L i n k " / > < / a : K e y V a l u e O f D i a g r a m O b j e c t K e y a n y T y p e z b w N T n L X > < a : K e y V a l u e O f D i a g r a m O b j e c t K e y a n y T y p e z b w N T n L X > < a : K e y > < K e y > L i n k s \ & l t ; C o l u m n s \ S u m   o f   7=>A  4 & g t ; - & l t ; M e a s u r e s \ 7=>A& g t ; \ C O L U M N < / K e y > < / a : K e y > < a : V a l u e   i : t y p e = " M e a s u r e G r i d V i e w S t a t e I D i a g r a m L i n k E n d p o i n t " / > < / a : K e y V a l u e O f D i a g r a m O b j e c t K e y a n y T y p e z b w N T n L X > < a : K e y V a l u e O f D i a g r a m O b j e c t K e y a n y T y p e z b w N T n L X > < a : K e y > < K e y > L i n k s \ & l t ; C o l u m n s \ S u m   o f   7=>A  4 & g t ; - & l t ; M e a s u r e s \ 7=>A& g t ; \ M E A S U R E < / K e y > < / a : K e y > < a : V a l u e   i : t y p e = " M e a s u r e G r i d V i e w S t a t e I D i a g r a m L i n k E n d p o i n t " / > < / a : K e y V a l u e O f D i a g r a m O b j e c t K e y a n y T y p e z b w N T n L X > < / V i e w S t a t e s > < / D i a g r a m M a n a g e r . S e r i a l i z a b l e D i a g r a m > < D i a g r a m M a n a g e r . S e r i a l i z a b l e D i a g r a m > < A d a p t e r   i : t y p e = " M e a s u r e D i a g r a m S a n d b o x A d a p t e r " > < T a b l e N a m e > A m o r t i z a c i j a 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 A m o r t i z a c i j a 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 5 < / K e y > < / D i a g r a m O b j e c t K e y > < D i a g r a m O b j e c t K e y > < K e y > M e a s u r e s \ S u m   o f   7=>A  5 \ T a g I n f o \ F o r m u l a < / K e y > < / D i a g r a m O b j e c t K e y > < D i a g r a m O b j e c t K e y > < K e y > M e a s u r e s \ S u m   o f   7=>A  5 \ T a g I n f o \ V a l u e < / K e y > < / D i a g r a m O b j e c t K e y > < D i a g r a m O b j e c t K e y > < K e y > C o l u m n s \ @>5:B  < / K e y > < / D i a g r a m O b j e c t K e y > < D i a g r a m O b j e c t K e y > < K e y > C o l u m n s \ !B02:0< / K e y > < / D i a g r a m O b j e c t K e y > < D i a g r a m O b j e c t K e y > < K e y > C o l u m n s \ 5@8>4< / K e y > < / D i a g r a m O b j e c t K e y > < D i a g r a m O b j e c t K e y > < K e y > C o l u m n s \ 7=>A< / K e y > < / D i a g r a m O b j e c t K e y > < D i a g r a m O b j e c t K e y > < K e y > C o l u m n s \ @>X  =0  <5A5F8  70  0<>@B870F8X0< / K e y > < / D i a g r a m O b j e c t K e y > < D i a g r a m O b j e c t K e y > < K e y > C o l u m n s \ >=B>< / K e y > < / D i a g r a m O b j e c t K e y > < D i a g r a m O b j e c t K e y > < K e y > C o l u m n s \ R e p o r t T y p e < / K e y > < / D i a g r a m O b j e c t K e y > < D i a g r a m O b j e c t K e y > < K e y > C o l u m n s \ @>5:B< / K e y > < / D i a g r a m O b j e c t K e y > < D i a g r a m O b j e c t K e y > < K e y > C o l u m n s \ 0B53>@8X0  @>5:B< / K e y > < / D i a g r a m O b j e c t K e y > < D i a g r a m O b j e c t K e y > < K e y > L i n k s \ & l t ; C o l u m n s \ S u m   o f   7=>A  5 & g t ; - & l t ; M e a s u r e s \ 7=>A& g t ; < / K e y > < / D i a g r a m O b j e c t K e y > < D i a g r a m O b j e c t K e y > < K e y > L i n k s \ & l t ; C o l u m n s \ S u m   o f   7=>A  5 & g t ; - & l t ; M e a s u r e s \ 7=>A& g t ; \ C O L U M N < / K e y > < / D i a g r a m O b j e c t K e y > < D i a g r a m O b j e c t K e y > < K e y > L i n k s \ & l t ; C o l u m n s \ S u m   o f   7=>A  5 & g t ; - & l t ; M e a s u r e s \ 7=>A& g t ; \ M E A S U R E 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 5 < / K e y > < / a : K e y > < a : V a l u e   i : t y p e = " M e a s u r e G r i d N o d e V i e w S t a t e " > < C o l u m n > 3 < / C o l u m n > < L a y e d O u t > t r u e < / L a y e d O u t > < W a s U I I n v i s i b l e > t r u e < / W a s U I I n v i s i b l e > < / a : V a l u e > < / a : K e y V a l u e O f D i a g r a m O b j e c t K e y a n y T y p e z b w N T n L X > < a : K e y V a l u e O f D i a g r a m O b j e c t K e y a n y T y p e z b w N T n L X > < a : K e y > < K e y > M e a s u r e s \ S u m   o f   7=>A  5 \ T a g I n f o \ F o r m u l a < / K e y > < / a : K e y > < a : V a l u e   i : t y p e = " M e a s u r e G r i d V i e w S t a t e I D i a g r a m T a g A d d i t i o n a l I n f o " / > < / a : K e y V a l u e O f D i a g r a m O b j e c t K e y a n y T y p e z b w N T n L X > < a : K e y V a l u e O f D i a g r a m O b j e c t K e y a n y T y p e z b w N T n L X > < a : K e y > < K e y > M e a s u r e s \ S u m   o f   7=>A  5 \ T a g I n f o \ V a l u e < / K e y > < / a : K e y > < a : V a l u e   i : t y p e = " M e a s u r e G r i d V i e w S t a t e I D i a g r a m T a g A d d i t i o n a l I n f o " / > < / a : K e y V a l u e O f D i a g r a m O b j e c t K e y a n y T y p e z b w N T n L X > < a : K e y V a l u e O f D i a g r a m O b j e c t K e y a n y T y p e z b w N T n L X > < a : K e y > < K e y > C o l u m n s \ @>5:B  < / K e y > < / a : K e y > < a : V a l u e   i : t y p e = " M e a s u r e G r i d N o d e V i e w S t a t e " > < L a y e d O u t > t r u e < / L a y e d O u t > < / a : V a l u e > < / a : K e y V a l u e O f D i a g r a m O b j e c t K e y a n y T y p e z b w N T n L X > < a : K e y V a l u e O f D i a g r a m O b j e c t K e y a n y T y p e z b w N T n L X > < a : K e y > < K e y > C o l u m n s \ !B02:0< / K e y > < / a : K e y > < a : V a l u e   i : t y p e = " M e a s u r e G r i d N o d e V i e w S t a t e " > < C o l u m n > 1 < / C o l u m n > < L a y e d O u t > t r u e < / L a y e d O u t > < / a : V a l u e > < / a : K e y V a l u e O f D i a g r a m O b j e c t K e y a n y T y p e z b w N T n L X > < a : K e y V a l u e O f D i a g r a m O b j e c t K e y a n y T y p e z b w N T n L X > < a : K e y > < K e y > C o l u m n s \ 5@8>4< / K e y > < / a : K e y > < a : V a l u e   i : t y p e = " M e a s u r e G r i d N o d e V i e w S t a t e " > < C o l u m n > 2 < / C o l u m n > < L a y e d O u t > t r u e < / L a y e d O u t > < / a : V a l u e > < / a : K e y V a l u e O f D i a g r a m O b j e c t K e y a n y T y p e z b w N T n L X > < a : K e y V a l u e O f D i a g r a m O b j e c t K e y a n y T y p e z b w N T n L X > < a : K e y > < K e y > C o l u m n s \ 7=>A< / K e y > < / a : K e y > < a : V a l u e   i : t y p e = " M e a s u r e G r i d N o d e V i e w S t a t e " > < C o l u m n > 3 < / C o l u m n > < L a y e d O u t > t r u e < / L a y e d O u t > < / a : V a l u e > < / a : K e y V a l u e O f D i a g r a m O b j e c t K e y a n y T y p e z b w N T n L X > < a : K e y V a l u e O f D i a g r a m O b j e c t K e y a n y T y p e z b w N T n L X > < a : K e y > < K e y > C o l u m n s \ @>X  =0  <5A5F8  70  0<>@B870F8X0< / K e y > < / a : K e y > < a : V a l u e   i : t y p e = " M e a s u r e G r i d N o d e V i e w S t a t e " > < C o l u m n > 4 < / C o l u m n > < L a y e d O u t > t r u e < / L a y e d O u t > < / a : V a l u e > < / a : K e y V a l u e O f D i a g r a m O b j e c t K e y a n y T y p e z b w N T n L X > < a : K e y V a l u e O f D i a g r a m O b j e c t K e y a n y T y p e z b w N T n L X > < a : K e y > < K e y > C o l u m n s \ >=B>< / K e y > < / a : K e y > < a : V a l u e   i : t y p e = " M e a s u r e G r i d N o d e V i e w S t a t e " > < C o l u m n > 5 < / C o l u m n > < L a y e d O u t > t r u e < / L a y e d O u t > < / a : V a l u e > < / a : K e y V a l u e O f D i a g r a m O b j e c t K e y a n y T y p e z b w N T n L X > < a : K e y V a l u e O f D i a g r a m O b j e c t K e y a n y T y p e z b w N T n L X > < a : K e y > < K e y > C o l u m n s \ R e p o r t T y p e < / K e y > < / a : K e y > < a : V a l u e   i : t y p e = " M e a s u r e G r i d N o d e V i e w S t a t e " > < C o l u m n > 6 < / C o l u m n > < L a y e d O u t > t r u e < / L a y e d O u t > < / a : V a l u e > < / a : K e y V a l u e O f D i a g r a m O b j e c t K e y a n y T y p e z b w N T n L X > < a : K e y V a l u e O f D i a g r a m O b j e c t K e y a n y T y p e z b w N T n L X > < a : K e y > < K e y > C o l u m n s \ @>5:B< / K e y > < / a : K e y > < a : V a l u e   i : t y p e = " M e a s u r e G r i d N o d e V i e w S t a t e " > < C o l u m n > 7 < / C o l u m n > < L a y e d O u t > t r u e < / L a y e d O u t > < / a : V a l u e > < / a : K e y V a l u e O f D i a g r a m O b j e c t K e y a n y T y p e z b w N T n L X > < a : K e y V a l u e O f D i a g r a m O b j e c t K e y a n y T y p e z b w N T n L X > < a : K e y > < K e y > C o l u m n s \ 0B53>@8X0  @>5:B< / K e y > < / a : K e y > < a : V a l u e   i : t y p e = " M e a s u r e G r i d N o d e V i e w S t a t e " > < C o l u m n > 8 < / C o l u m n > < L a y e d O u t > t r u e < / L a y e d O u t > < / a : V a l u e > < / a : K e y V a l u e O f D i a g r a m O b j e c t K e y a n y T y p e z b w N T n L X > < a : K e y V a l u e O f D i a g r a m O b j e c t K e y a n y T y p e z b w N T n L X > < a : K e y > < K e y > L i n k s \ & l t ; C o l u m n s \ S u m   o f   7=>A  5 & g t ; - & l t ; M e a s u r e s \ 7=>A& g t ; < / K e y > < / a : K e y > < a : V a l u e   i : t y p e = " M e a s u r e G r i d V i e w S t a t e I D i a g r a m L i n k " / > < / a : K e y V a l u e O f D i a g r a m O b j e c t K e y a n y T y p e z b w N T n L X > < a : K e y V a l u e O f D i a g r a m O b j e c t K e y a n y T y p e z b w N T n L X > < a : K e y > < K e y > L i n k s \ & l t ; C o l u m n s \ S u m   o f   7=>A  5 & g t ; - & l t ; M e a s u r e s \ 7=>A& g t ; \ C O L U M N < / K e y > < / a : K e y > < a : V a l u e   i : t y p e = " M e a s u r e G r i d V i e w S t a t e I D i a g r a m L i n k E n d p o i n t " / > < / a : K e y V a l u e O f D i a g r a m O b j e c t K e y a n y T y p e z b w N T n L X > < a : K e y V a l u e O f D i a g r a m O b j e c t K e y a n y T y p e z b w N T n L X > < a : K e y > < K e y > L i n k s \ & l t ; C o l u m n s \ S u m   o f   7=>A  5 & g t ; - & l t ; M e a s u r e s \ 7=>A& g t ; \ M E A S U R E < / K e y > < / a : K e y > < a : V a l u e   i : t y p e = " M e a s u r e G r i d V i e w S t a t e I D i a g r a m L i n k E n d p o i n t " / > < / a : K e y V a l u e O f D i a g r a m O b j e c t K e y a n y T y p e z b w N T n L X > < / V i e w S t a t e s > < / D i a g r a m M a n a g e r . S e r i a l i z a b l e D i a g r a m > < D i a g r a m M a n a g e r . S e r i a l i z a b l e D i a g r a m > < A d a p t e r   i : t y p e = " M e a s u r e D i a g r a m S a n d b o x A d a p t e r " > < T a b l e N a m e > f O P E X < / 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 f O P E X < / 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K e y > < / D i a g r a m O b j e c t K e y > < D i a g r a m O b j e c t K e y > < K e y > C o l u m n s \ !B02:0< / K e y > < / D i a g r a m O b j e c t K e y > < D i a g r a m O b j e c t K e y > < K e y > C o l u m n s \ 5@8>4< / K e y > < / D i a g r a m O b j e c t K e y > < D i a g r a m O b j e c t K e y > < K e y > C o l u m n s \ 7=>A< / K e y > < / D i a g r a m O b j e c t K e y > < D i a g r a m O b j e c t K e y > < K e y > C o l u m n s \ R e p o r t T y p e 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K e y > < / a : K e y > < a : V a l u e   i : t y p e = " M e a s u r e G r i d N o d e V i e w S t a t e " > < L a y e d O u t > t r u e < / L a y e d O u t > < / a : V a l u e > < / a : K e y V a l u e O f D i a g r a m O b j e c t K e y a n y T y p e z b w N T n L X > < a : K e y V a l u e O f D i a g r a m O b j e c t K e y a n y T y p e z b w N T n L X > < a : K e y > < K e y > C o l u m n s \ !B02:0< / K e y > < / a : K e y > < a : V a l u e   i : t y p e = " M e a s u r e G r i d N o d e V i e w S t a t e " > < C o l u m n > 4 < / C o l u m n > < L a y e d O u t > t r u e < / L a y e d O u t > < / a : V a l u e > < / a : K e y V a l u e O f D i a g r a m O b j e c t K e y a n y T y p e z b w N T n L X > < a : K e y V a l u e O f D i a g r a m O b j e c t K e y a n y T y p e z b w N T n L X > < a : K e y > < K e y > C o l u m n s \ 5@8>4< / K e y > < / a : K e y > < a : V a l u e   i : t y p e = " M e a s u r e G r i d N o d e V i e w S t a t e " > < C o l u m n > 1 < / C o l u m n > < L a y e d O u t > t r u e < / L a y e d O u t > < / a : V a l u e > < / a : K e y V a l u e O f D i a g r a m O b j e c t K e y a n y T y p e z b w N T n L X > < a : K e y V a l u e O f D i a g r a m O b j e c t K e y a n y T y p e z b w N T n L X > < a : K e y > < K e y > C o l u m n s \ 7=>A< / K e y > < / a : K e y > < a : V a l u e   i : t y p e = " M e a s u r e G r i d N o d e V i e w S t a t e " > < C o l u m n > 2 < / C o l u m n > < L a y e d O u t > t r u e < / L a y e d O u t > < / a : V a l u e > < / a : K e y V a l u e O f D i a g r a m O b j e c t K e y a n y T y p e z b w N T n L X > < a : K e y V a l u e O f D i a g r a m O b j e c t K e y a n y T y p e z b w N T n L X > < a : K e y > < K e y > C o l u m n s \ R e p o r t T y p e < / K e y > < / a : K e y > < a : V a l u e   i : t y p e = " M e a s u r e G r i d N o d e V i e w S t a t e " > < C o l u m n > 3 < / C o l u m n > < L a y e d O u t > t r u e < / L a y e d O u t > < / a : V a l u e > < / a : K e y V a l u e O f D i a g r a m O b j e c t K e y a n y T y p e z b w N T n L X > < / V i e w S t a t e s > < / D i a g r a m M a n a g e r . S e r i a l i z a b l e D i a g r a m > < D i a g r a m M a n a g e r . S e r i a l i z a b l e D i a g r a m > < A d a p t e r   i : t y p e = " M e a s u r e D i a g r a m S a n d b o x A d a p t e r " > < T a b l e N a m e > C A P E X < / 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 C A P E X < / 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 @>F5=5B0  2@54=>AB  =0  =0102:0  A>    ( 45=0@8) < / K e y > < / D i a g r a m O b j e c t K e y > < D i a g r a m O b j e c t K e y > < K e y > M e a s u r e s \ C o u n t   o f   @>F5=5B0  2@54=>AB  =0  =0102:0  A>    ( 45=0@8) \ T a g I n f o \ F o r m u l a < / K e y > < / D i a g r a m O b j e c t K e y > < D i a g r a m O b j e c t K e y > < K e y > M e a s u r e s \ C o u n t   o f   @>F5=5B0  2@54=>AB  =0  =0102:0  A>    ( 45=0@8) \ T a g I n f o \ V a l u e < / K e y > < / D i a g r a m O b j e c t K e y > < D i a g r a m O b j e c t K e y > < K e y > M e a s u r e s \ S u m   o f   @>F5=5B0  2@54=>AB  =0  =0102:0  A>    ( 45=0@8) < / K e y > < / D i a g r a m O b j e c t K e y > < D i a g r a m O b j e c t K e y > < K e y > M e a s u r e s \ S u m   o f   @>F5=5B0  2@54=>AB  =0  =0102:0  A>    ( 45=0@8) \ T a g I n f o \ F o r m u l a < / K e y > < / D i a g r a m O b j e c t K e y > < D i a g r a m O b j e c t K e y > < K e y > M e a s u r e s \ S u m   o f   @>F5=5B0  2@54=>AB  =0  =0102:0  A>    ( 45=0@8) \ T a g I n f o \ V a l u e < / K e y > < / D i a g r a m O b j e c t K e y > < D i a g r a m O b j e c t K e y > < K e y > C o l u m n s \ >48=0  70  @50;870F8X0  =0  ?@>5:B< / K e y > < / D i a g r a m O b j e c t K e y > < D i a g r a m O b j e c t K e y > < K e y > C o l u m n s \ @>X  =0  X02=0  =0102:0  ( ?;0=) < / K e y > < / D i a g r a m O b j e c t K e y > < D i a g r a m O b j e c t K e y > < K e y > C o l u m n s \ @54<5B  =0  4>3>2>@>B  70  X02=0  =0102:0< / K e y > < / D i a g r a m O b j e c t K e y > < D i a g r a m O b j e c t K e y > < K e y > C o l u m n s \ G5:C20=  40BC<  =0  ?;0\0Z5< / K e y > < / D i a g r a m O b j e c t K e y > < D i a g r a m O b j e c t K e y > < K e y > C o l u m n s \ G5:C20=  40BC<  70  AB020Z5  2>  C?>B@510  ( <5A5F) < / K e y > < / D i a g r a m O b j e c t K e y > < D i a g r a m O b j e c t K e y > < K e y > C o l u m n s \ @>F5=5B0  2@54=>AB  =0  =0102:0  A>    ( 45=0@8) < / K e y > < / D i a g r a m O b j e c t K e y > < D i a g r a m O b j e c t K e y > < K e y > C o l u m n s \ !B0?:0  =0  0<>@B870F8X0< / K e y > < / D i a g r a m O b j e c t K e y > < D i a g r a m O b j e c t K e y > < K e y > C o l u m n s \ >=B>  !@54AB20< / K e y > < / D i a g r a m O b j e c t K e y > < D i a g r a m O b j e c t K e y > < K e y > C o l u m n s \ >=B>  <>@B870F8X0< / K e y > < / D i a g r a m O b j e c t K e y > < D i a g r a m O b j e c t K e y > < K e y > C o l u m n s \ 7=>A  4>=0F8X0< / K e y > < / D i a g r a m O b j e c t K e y > < D i a g r a m O b j e c t K e y > < K e y > L i n k s \ & l t ; C o l u m n s \ C o u n t   o f   @>F5=5B0  2@54=>AB  =0  =0102:0  A>    ( 45=0@8) & g t ; - & l t ; M e a s u r e s \ @>F5=5B0  2@54=>AB  =0  =0102:0  A>    ( 45=0@8) & g t ; < / K e y > < / D i a g r a m O b j e c t K e y > < D i a g r a m O b j e c t K e y > < K e y > L i n k s \ & l t ; C o l u m n s \ C o u n t   o f   @>F5=5B0  2@54=>AB  =0  =0102:0  A>    ( 45=0@8) & g t ; - & l t ; M e a s u r e s \ @>F5=5B0  2@54=>AB  =0  =0102:0  A>    ( 45=0@8) & g t ; \ C O L U M N < / K e y > < / D i a g r a m O b j e c t K e y > < D i a g r a m O b j e c t K e y > < K e y > L i n k s \ & l t ; C o l u m n s \ C o u n t   o f   @>F5=5B0  2@54=>AB  =0  =0102:0  A>    ( 45=0@8) & g t ; - & l t ; M e a s u r e s \ @>F5=5B0  2@54=>AB  =0  =0102:0  A>    ( 45=0@8) & g t ; \ M E A S U R E < / K e y > < / D i a g r a m O b j e c t K e y > < D i a g r a m O b j e c t K e y > < K e y > L i n k s \ & l t ; C o l u m n s \ S u m   o f   @>F5=5B0  2@54=>AB  =0  =0102:0  A>    ( 45=0@8) & g t ; - & l t ; M e a s u r e s \ @>F5=5B0  2@54=>AB  =0  =0102:0  A>    ( 45=0@8) & g t ; < / K e y > < / D i a g r a m O b j e c t K e y > < D i a g r a m O b j e c t K e y > < K e y > L i n k s \ & l t ; C o l u m n s \ S u m   o f   @>F5=5B0  2@54=>AB  =0  =0102:0  A>    ( 45=0@8) & g t ; - & l t ; M e a s u r e s \ @>F5=5B0  2@54=>AB  =0  =0102:0  A>    ( 45=0@8) & g t ; \ C O L U M N < / K e y > < / D i a g r a m O b j e c t K e y > < D i a g r a m O b j e c t K e y > < K e y > L i n k s \ & l t ; C o l u m n s \ S u m   o f   @>F5=5B0  2@54=>AB  =0  =0102:0  A>    ( 45=0@8) & g t ; - & l t ; M e a s u r e s \ @>F5=5B0  2@54=>AB  =0  =0102:0  A>    ( 45=0@8) & g t ; \ M E A S U R E 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 @>F5=5B0  2@54=>AB  =0  =0102:0  A>    ( 45=0@8) < / K e y > < / a : K e y > < a : V a l u e   i : t y p e = " M e a s u r e G r i d N o d e V i e w S t a t e " > < C o l u m n > 4 < / C o l u m n > < L a y e d O u t > t r u e < / L a y e d O u t > < W a s U I I n v i s i b l e > t r u e < / W a s U I I n v i s i b l e > < / a : V a l u e > < / a : K e y V a l u e O f D i a g r a m O b j e c t K e y a n y T y p e z b w N T n L X > < a : K e y V a l u e O f D i a g r a m O b j e c t K e y a n y T y p e z b w N T n L X > < a : K e y > < K e y > M e a s u r e s \ C o u n t   o f   @>F5=5B0  2@54=>AB  =0  =0102:0  A>    ( 45=0@8) \ T a g I n f o \ F o r m u l a < / K e y > < / a : K e y > < a : V a l u e   i : t y p e = " M e a s u r e G r i d V i e w S t a t e I D i a g r a m T a g A d d i t i o n a l I n f o " / > < / a : K e y V a l u e O f D i a g r a m O b j e c t K e y a n y T y p e z b w N T n L X > < a : K e y V a l u e O f D i a g r a m O b j e c t K e y a n y T y p e z b w N T n L X > < a : K e y > < K e y > M e a s u r e s \ C o u n t   o f   @>F5=5B0  2@54=>AB  =0  =0102:0  A>    ( 45=0@8) \ T a g I n f o \ V a l u e < / K e y > < / a : K e y > < a : V a l u e   i : t y p e = " M e a s u r e G r i d V i e w S t a t e I D i a g r a m T a g A d d i t i o n a l I n f o " / > < / a : K e y V a l u e O f D i a g r a m O b j e c t K e y a n y T y p e z b w N T n L X > < a : K e y V a l u e O f D i a g r a m O b j e c t K e y a n y T y p e z b w N T n L X > < a : K e y > < K e y > M e a s u r e s \ S u m   o f   @>F5=5B0  2@54=>AB  =0  =0102:0  A>    ( 45=0@8) < / K e y > < / a : K e y > < a : V a l u e   i : t y p e = " M e a s u r e G r i d N o d e V i e w S t a t e " > < C o l u m n > 4 < / C o l u m n > < L a y e d O u t > t r u e < / L a y e d O u t > < W a s U I I n v i s i b l e > t r u e < / W a s U I I n v i s i b l e > < / a : V a l u e > < / a : K e y V a l u e O f D i a g r a m O b j e c t K e y a n y T y p e z b w N T n L X > < a : K e y V a l u e O f D i a g r a m O b j e c t K e y a n y T y p e z b w N T n L X > < a : K e y > < K e y > M e a s u r e s \ S u m   o f   @>F5=5B0  2@54=>AB  =0  =0102:0  A>    ( 45=0@8) \ T a g I n f o \ F o r m u l a < / K e y > < / a : K e y > < a : V a l u e   i : t y p e = " M e a s u r e G r i d V i e w S t a t e I D i a g r a m T a g A d d i t i o n a l I n f o " / > < / a : K e y V a l u e O f D i a g r a m O b j e c t K e y a n y T y p e z b w N T n L X > < a : K e y V a l u e O f D i a g r a m O b j e c t K e y a n y T y p e z b w N T n L X > < a : K e y > < K e y > M e a s u r e s \ S u m   o f   @>F5=5B0  2@54=>AB  =0  =0102:0  A>    ( 45=0@8) \ T a g I n f o \ V a l u e < / K e y > < / a : K e y > < a : V a l u e   i : t y p e = " M e a s u r e G r i d V i e w S t a t e I D i a g r a m T a g A d d i t i o n a l I n f o " / > < / a : K e y V a l u e O f D i a g r a m O b j e c t K e y a n y T y p e z b w N T n L X > < a : K e y V a l u e O f D i a g r a m O b j e c t K e y a n y T y p e z b w N T n L X > < a : K e y > < K e y > C o l u m n s \ >48=0  70  @50;870F8X0  =0  ?@>5:B< / K e y > < / a : K e y > < a : V a l u e   i : t y p e = " M e a s u r e G r i d N o d e V i e w S t a t e " > < L a y e d O u t > t r u e < / L a y e d O u t > < / a : V a l u e > < / a : K e y V a l u e O f D i a g r a m O b j e c t K e y a n y T y p e z b w N T n L X > < a : K e y V a l u e O f D i a g r a m O b j e c t K e y a n y T y p e z b w N T n L X > < a : K e y > < K e y > C o l u m n s \ @>X  =0  X02=0  =0102:0  ( ?;0=) < / K e y > < / a : K e y > < a : V a l u e   i : t y p e = " M e a s u r e G r i d N o d e V i e w S t a t e " > < C o l u m n > 1 < / C o l u m n > < L a y e d O u t > t r u e < / L a y e d O u t > < / a : V a l u e > < / a : K e y V a l u e O f D i a g r a m O b j e c t K e y a n y T y p e z b w N T n L X > < a : K e y V a l u e O f D i a g r a m O b j e c t K e y a n y T y p e z b w N T n L X > < a : K e y > < K e y > C o l u m n s \ @54<5B  =0  4>3>2>@>B  70  X02=0  =0102:0< / K e y > < / a : K e y > < a : V a l u e   i : t y p e = " M e a s u r e G r i d N o d e V i e w S t a t e " > < C o l u m n > 2 < / C o l u m n > < L a y e d O u t > t r u e < / L a y e d O u t > < / a : V a l u e > < / a : K e y V a l u e O f D i a g r a m O b j e c t K e y a n y T y p e z b w N T n L X > < a : K e y V a l u e O f D i a g r a m O b j e c t K e y a n y T y p e z b w N T n L X > < a : K e y > < K e y > C o l u m n s \ G5:C20=  40BC<  =0  ?;0\0Z5< / K e y > < / a : K e y > < a : V a l u e   i : t y p e = " M e a s u r e G r i d N o d e V i e w S t a t e " > < C o l u m n > 8 < / C o l u m n > < L a y e d O u t > t r u e < / L a y e d O u t > < / a : V a l u e > < / a : K e y V a l u e O f D i a g r a m O b j e c t K e y a n y T y p e z b w N T n L X > < a : K e y V a l u e O f D i a g r a m O b j e c t K e y a n y T y p e z b w N T n L X > < a : K e y > < K e y > C o l u m n s \ G5:C20=  40BC<  70  AB020Z5  2>  C?>B@510  ( <5A5F) < / K e y > < / a : K e y > < a : V a l u e   i : t y p e = " M e a s u r e G r i d N o d e V i e w S t a t e " > < C o l u m n > 3 < / C o l u m n > < L a y e d O u t > t r u e < / L a y e d O u t > < / a : V a l u e > < / a : K e y V a l u e O f D i a g r a m O b j e c t K e y a n y T y p e z b w N T n L X > < a : K e y V a l u e O f D i a g r a m O b j e c t K e y a n y T y p e z b w N T n L X > < a : K e y > < K e y > C o l u m n s \ @>F5=5B0  2@54=>AB  =0  =0102:0  A>    ( 45=0@8) < / K e y > < / a : K e y > < a : V a l u e   i : t y p e = " M e a s u r e G r i d N o d e V i e w S t a t e " > < C o l u m n > 4 < / C o l u m n > < L a y e d O u t > t r u e < / L a y e d O u t > < / a : V a l u e > < / a : K e y V a l u e O f D i a g r a m O b j e c t K e y a n y T y p e z b w N T n L X > < a : K e y V a l u e O f D i a g r a m O b j e c t K e y a n y T y p e z b w N T n L X > < a : K e y > < K e y > C o l u m n s \ !B0?:0  =0  0<>@B870F8X0< / K e y > < / a : K e y > < a : V a l u e   i : t y p e = " M e a s u r e G r i d N o d e V i e w S t a t e " > < C o l u m n > 9 < / C o l u m n > < L a y e d O u t > t r u e < / L a y e d O u t > < / a : V a l u e > < / a : K e y V a l u e O f D i a g r a m O b j e c t K e y a n y T y p e z b w N T n L X > < a : K e y V a l u e O f D i a g r a m O b j e c t K e y a n y T y p e z b w N T n L X > < a : K e y > < K e y > C o l u m n s \ >=B>  !@54AB20< / K e y > < / a : K e y > < a : V a l u e   i : t y p e = " M e a s u r e G r i d N o d e V i e w S t a t e " > < C o l u m n > 5 < / C o l u m n > < L a y e d O u t > t r u e < / L a y e d O u t > < / a : V a l u e > < / a : K e y V a l u e O f D i a g r a m O b j e c t K e y a n y T y p e z b w N T n L X > < a : K e y V a l u e O f D i a g r a m O b j e c t K e y a n y T y p e z b w N T n L X > < a : K e y > < K e y > C o l u m n s \ >=B>  <>@B870F8X0< / K e y > < / a : K e y > < a : V a l u e   i : t y p e = " M e a s u r e G r i d N o d e V i e w S t a t e " > < C o l u m n > 6 < / C o l u m n > < L a y e d O u t > t r u e < / L a y e d O u t > < / a : V a l u e > < / a : K e y V a l u e O f D i a g r a m O b j e c t K e y a n y T y p e z b w N T n L X > < a : K e y V a l u e O f D i a g r a m O b j e c t K e y a n y T y p e z b w N T n L X > < a : K e y > < K e y > C o l u m n s \ 7=>A  4>=0F8X0< / K e y > < / a : K e y > < a : V a l u e   i : t y p e = " M e a s u r e G r i d N o d e V i e w S t a t e " > < C o l u m n > 7 < / C o l u m n > < L a y e d O u t > t r u e < / L a y e d O u t > < / a : V a l u e > < / a : K e y V a l u e O f D i a g r a m O b j e c t K e y a n y T y p e z b w N T n L X > < a : K e y V a l u e O f D i a g r a m O b j e c t K e y a n y T y p e z b w N T n L X > < a : K e y > < K e y > L i n k s \ & l t ; C o l u m n s \ C o u n t   o f   @>F5=5B0  2@54=>AB  =0  =0102:0  A>    ( 45=0@8) & g t ; - & l t ; M e a s u r e s \ @>F5=5B0  2@54=>AB  =0  =0102:0  A>    ( 45=0@8) & g t ; < / K e y > < / a : K e y > < a : V a l u e   i : t y p e = " M e a s u r e G r i d V i e w S t a t e I D i a g r a m L i n k " / > < / a : K e y V a l u e O f D i a g r a m O b j e c t K e y a n y T y p e z b w N T n L X > < a : K e y V a l u e O f D i a g r a m O b j e c t K e y a n y T y p e z b w N T n L X > < a : K e y > < K e y > L i n k s \ & l t ; C o l u m n s \ C o u n t   o f   @>F5=5B0  2@54=>AB  =0  =0102:0  A>    ( 45=0@8) & g t ; - & l t ; M e a s u r e s \ @>F5=5B0  2@54=>AB  =0  =0102:0  A>    ( 45=0@8) & g t ; \ C O L U M N < / K e y > < / a : K e y > < a : V a l u e   i : t y p e = " M e a s u r e G r i d V i e w S t a t e I D i a g r a m L i n k E n d p o i n t " / > < / a : K e y V a l u e O f D i a g r a m O b j e c t K e y a n y T y p e z b w N T n L X > < a : K e y V a l u e O f D i a g r a m O b j e c t K e y a n y T y p e z b w N T n L X > < a : K e y > < K e y > L i n k s \ & l t ; C o l u m n s \ C o u n t   o f   @>F5=5B0  2@54=>AB  =0  =0102:0  A>    ( 45=0@8) & g t ; - & l t ; M e a s u r e s \ @>F5=5B0  2@54=>AB  =0  =0102:0  A>    ( 45=0@8) & g t ; \ M E A S U R E < / K e y > < / a : K e y > < a : V a l u e   i : t y p e = " M e a s u r e G r i d V i e w S t a t e I D i a g r a m L i n k E n d p o i n t " / > < / a : K e y V a l u e O f D i a g r a m O b j e c t K e y a n y T y p e z b w N T n L X > < a : K e y V a l u e O f D i a g r a m O b j e c t K e y a n y T y p e z b w N T n L X > < a : K e y > < K e y > L i n k s \ & l t ; C o l u m n s \ S u m   o f   @>F5=5B0  2@54=>AB  =0  =0102:0  A>    ( 45=0@8) & g t ; - & l t ; M e a s u r e s \ @>F5=5B0  2@54=>AB  =0  =0102:0  A>    ( 45=0@8) & g t ; < / K e y > < / a : K e y > < a : V a l u e   i : t y p e = " M e a s u r e G r i d V i e w S t a t e I D i a g r a m L i n k " / > < / a : K e y V a l u e O f D i a g r a m O b j e c t K e y a n y T y p e z b w N T n L X > < a : K e y V a l u e O f D i a g r a m O b j e c t K e y a n y T y p e z b w N T n L X > < a : K e y > < K e y > L i n k s \ & l t ; C o l u m n s \ S u m   o f   @>F5=5B0  2@54=>AB  =0  =0102:0  A>    ( 45=0@8) & g t ; - & l t ; M e a s u r e s \ @>F5=5B0  2@54=>AB  =0  =0102:0  A>    ( 45=0@8) & g t ; \ C O L U M N < / K e y > < / a : K e y > < a : V a l u e   i : t y p e = " M e a s u r e G r i d V i e w S t a t e I D i a g r a m L i n k E n d p o i n t " / > < / a : K e y V a l u e O f D i a g r a m O b j e c t K e y a n y T y p e z b w N T n L X > < a : K e y V a l u e O f D i a g r a m O b j e c t K e y a n y T y p e z b w N T n L X > < a : K e y > < K e y > L i n k s \ & l t ; C o l u m n s \ S u m   o f   @>F5=5B0  2@54=>AB  =0  =0102:0  A>    ( 45=0@8) & g t ; - & l t ; M e a s u r e s \ @>F5=5B0  2@54=>AB  =0  =0102:0  A>    ( 45=0@8) & g t ; \ M E A S U R E < / K e y > < / a : K e y > < a : V a l u e   i : t y p e = " M e a s u r e G r i d V i e w S t a t e I D i a g r a m L i n k E n d p o i n t " / > < / a : K e y V a l u e O f D i a g r a m O b j e c t K e y a n y T y p e z b w N T n L X > < / V i e w S t a t e s > < / D i a g r a m M a n a g e r . S e r i a l i z a b l e D i a g r a m > < D i a g r a m M a n a g e r . S e r i a l i z a b l e D i a g r a m > < A d a p t e r   i : t y p e = " M e a s u r e D i a g r a m S a n d b o x A d a p t e r " > < T a b l e N a m e > O P E X A n a l i z a 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 O P E X A n a l i z a 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 4 < / K e y > < / D i a g r a m O b j e c t K e y > < D i a g r a m O b j e c t K e y > < K e y > M e a s u r e s \ S u m   o f   7=>A  4 \ T a g I n f o \ F o r m u l a < / K e y > < / D i a g r a m O b j e c t K e y > < D i a g r a m O b j e c t K e y > < K e y > M e a s u r e s \ S u m   o f   7=>A  4 \ T a g I n f o \ V a l u e < / K e y > < / D i a g r a m O b j e c t K e y > < D i a g r a m O b j e c t K e y > < K e y > C o l u m n s \ !B02:0< / K e y > < / D i a g r a m O b j e c t K e y > < D i a g r a m O b j e c t K e y > < K e y > C o l u m n s \ 7=>A< / K e y > < / D i a g r a m O b j e c t K e y > < D i a g r a m O b j e c t K e y > < K e y > C o l u m n s \ >=B>< / K e y > < / D i a g r a m O b j e c t K e y > < D i a g r a m O b j e c t K e y > < K e y > C o l u m n s \ S t a v k a I m e M K < / K e y > < / D i a g r a m O b j e c t K e y > < D i a g r a m O b j e c t K e y > < K e y > C o l u m n s \ S t a v k a A O P < / K e y > < / D i a g r a m O b j e c t K e y > < D i a g r a m O b j e c t K e y > < K e y > C o l u m n s \ S t a v k a G r u p a < / K e y > < / D i a g r a m O b j e c t K e y > < D i a g r a m O b j e c t K e y > < K e y > C o l u m n s \ S t a v k a K a t e g o r i j a < / K e y > < / D i a g r a m O b j e c t K e y > < D i a g r a m O b j e c t K e y > < K e y > C o l u m n s \ O b r a z e c I m e < / K e y > < / D i a g r a m O b j e c t K e y > < D i a g r a m O b j e c t K e y > < K e y > C o l u m n s \ R e p o r t T y p e < / K e y > < / D i a g r a m O b j e c t K e y > < D i a g r a m O b j e c t K e y > < K e y > C o l u m n s \ S t a v k a I m e A O P < / K e y > < / D i a g r a m O b j e c t K e y > < D i a g r a m O b j e c t K e y > < K e y > L i n k s \ & l t ; C o l u m n s \ S u m   o f   7=>A  4 & g t ; - & l t ; M e a s u r e s \ 7=>A& g t ; < / K e y > < / D i a g r a m O b j e c t K e y > < D i a g r a m O b j e c t K e y > < K e y > L i n k s \ & l t ; C o l u m n s \ S u m   o f   7=>A  4 & g t ; - & l t ; M e a s u r e s \ 7=>A& g t ; \ C O L U M N < / K e y > < / D i a g r a m O b j e c t K e y > < D i a g r a m O b j e c t K e y > < K e y > L i n k s \ & l t ; C o l u m n s \ S u m   o f   7=>A  4 & g t ; - & l t ; M e a s u r e s \ 7=>A& g t ; \ M E A S U R E 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 4 < / K e y > < / a : K e y > < a : V a l u e   i : t y p e = " M e a s u r e G r i d N o d e V i e w S t a t e " > < C o l u m n > 1 < / C o l u m n > < L a y e d O u t > t r u e < / L a y e d O u t > < W a s U I I n v i s i b l e > t r u e < / W a s U I I n v i s i b l e > < / a : V a l u e > < / a : K e y V a l u e O f D i a g r a m O b j e c t K e y a n y T y p e z b w N T n L X > < a : K e y V a l u e O f D i a g r a m O b j e c t K e y a n y T y p e z b w N T n L X > < a : K e y > < K e y > M e a s u r e s \ S u m   o f   7=>A  4 \ T a g I n f o \ F o r m u l a < / K e y > < / a : K e y > < a : V a l u e   i : t y p e = " M e a s u r e G r i d V i e w S t a t e I D i a g r a m T a g A d d i t i o n a l I n f o " / > < / a : K e y V a l u e O f D i a g r a m O b j e c t K e y a n y T y p e z b w N T n L X > < a : K e y V a l u e O f D i a g r a m O b j e c t K e y a n y T y p e z b w N T n L X > < a : K e y > < K e y > M e a s u r e s \ S u m   o f   7=>A  4 \ T a g I n f o \ V a l u e < / K e y > < / a : K e y > < a : V a l u e   i : t y p e = " M e a s u r e G r i d V i e w S t a t e I D i a g r a m T a g A d d i t i o n a l I n f o " / > < / a : K e y V a l u e O f D i a g r a m O b j e c t K e y a n y T y p e z b w N T n L X > < a : K e y V a l u e O f D i a g r a m O b j e c t K e y a n y T y p e z b w N T n L X > < a : K e y > < K e y > C o l u m n s \ !B02:0< / K e y > < / a : K e y > < a : V a l u e   i : t y p e = " M e a s u r e G r i d N o d e V i e w S t a t e " > < L a y e d O u t > t r u e < / L a y e d O u t > < / a : V a l u e > < / a : K e y V a l u e O f D i a g r a m O b j e c t K e y a n y T y p e z b w N T n L X > < a : K e y V a l u e O f D i a g r a m O b j e c t K e y a n y T y p e z b w N T n L X > < a : K e y > < K e y > C o l u m n s \ 7=>A< / K e y > < / a : K e y > < a : V a l u e   i : t y p e = " M e a s u r e G r i d N o d e V i e w S t a t e " > < C o l u m n > 1 < / C o l u m n > < L a y e d O u t > t r u e < / L a y e d O u t > < / a : V a l u e > < / a : K e y V a l u e O f D i a g r a m O b j e c t K e y a n y T y p e z b w N T n L X > < a : K e y V a l u e O f D i a g r a m O b j e c t K e y a n y T y p e z b w N T n L X > < a : K e y > < K e y > C o l u m n s \ >=B>< / K e y > < / a : K e y > < a : V a l u e   i : t y p e = " M e a s u r e G r i d N o d e V i e w S t a t e " > < C o l u m n > 2 < / C o l u m n > < L a y e d O u t > t r u e < / L a y e d O u t > < / a : V a l u e > < / a : K e y V a l u e O f D i a g r a m O b j e c t K e y a n y T y p e z b w N T n L X > < a : K e y V a l u e O f D i a g r a m O b j e c t K e y a n y T y p e z b w N T n L X > < a : K e y > < K e y > C o l u m n s \ S t a v k a I m e M K < / K e y > < / a : K e y > < a : V a l u e   i : t y p e = " M e a s u r e G r i d N o d e V i e w S t a t e " > < C o l u m n > 3 < / C o l u m n > < L a y e d O u t > t r u e < / L a y e d O u t > < / a : V a l u e > < / a : K e y V a l u e O f D i a g r a m O b j e c t K e y a n y T y p e z b w N T n L X > < a : K e y V a l u e O f D i a g r a m O b j e c t K e y a n y T y p e z b w N T n L X > < a : K e y > < K e y > C o l u m n s \ S t a v k a A O P < / K e y > < / a : K e y > < a : V a l u e   i : t y p e = " M e a s u r e G r i d N o d e V i e w S t a t e " > < C o l u m n > 4 < / C o l u m n > < L a y e d O u t > t r u e < / L a y e d O u t > < / a : V a l u e > < / a : K e y V a l u e O f D i a g r a m O b j e c t K e y a n y T y p e z b w N T n L X > < a : K e y V a l u e O f D i a g r a m O b j e c t K e y a n y T y p e z b w N T n L X > < a : K e y > < K e y > C o l u m n s \ S t a v k a G r u p a < / K e y > < / a : K e y > < a : V a l u e   i : t y p e = " M e a s u r e G r i d N o d e V i e w S t a t e " > < C o l u m n > 5 < / C o l u m n > < L a y e d O u t > t r u e < / L a y e d O u t > < / a : V a l u e > < / a : K e y V a l u e O f D i a g r a m O b j e c t K e y a n y T y p e z b w N T n L X > < a : K e y V a l u e O f D i a g r a m O b j e c t K e y a n y T y p e z b w N T n L X > < a : K e y > < K e y > C o l u m n s \ S t a v k a K a t e g o r i j a < / K e y > < / a : K e y > < a : V a l u e   i : t y p e = " M e a s u r e G r i d N o d e V i e w S t a t e " > < C o l u m n > 6 < / C o l u m n > < L a y e d O u t > t r u e < / L a y e d O u t > < / a : V a l u e > < / a : K e y V a l u e O f D i a g r a m O b j e c t K e y a n y T y p e z b w N T n L X > < a : K e y V a l u e O f D i a g r a m O b j e c t K e y a n y T y p e z b w N T n L X > < a : K e y > < K e y > C o l u m n s \ O b r a z e c I m e < / K e y > < / a : K e y > < a : V a l u e   i : t y p e = " M e a s u r e G r i d N o d e V i e w S t a t e " > < C o l u m n > 7 < / C o l u m n > < L a y e d O u t > t r u e < / L a y e d O u t > < / a : V a l u e > < / a : K e y V a l u e O f D i a g r a m O b j e c t K e y a n y T y p e z b w N T n L X > < a : K e y V a l u e O f D i a g r a m O b j e c t K e y a n y T y p e z b w N T n L X > < a : K e y > < K e y > C o l u m n s \ R e p o r t T y p e < / K e y > < / a : K e y > < a : V a l u e   i : t y p e = " M e a s u r e G r i d N o d e V i e w S t a t e " > < C o l u m n > 8 < / C o l u m n > < L a y e d O u t > t r u e < / L a y e d O u t > < / a : V a l u e > < / a : K e y V a l u e O f D i a g r a m O b j e c t K e y a n y T y p e z b w N T n L X > < a : K e y V a l u e O f D i a g r a m O b j e c t K e y a n y T y p e z b w N T n L X > < a : K e y > < K e y > C o l u m n s \ S t a v k a I m e A O P < / K e y > < / a : K e y > < a : V a l u e   i : t y p e = " M e a s u r e G r i d N o d e V i e w S t a t e " > < C o l u m n > 9 < / C o l u m n > < L a y e d O u t > t r u e < / L a y e d O u t > < / a : V a l u e > < / a : K e y V a l u e O f D i a g r a m O b j e c t K e y a n y T y p e z b w N T n L X > < a : K e y V a l u e O f D i a g r a m O b j e c t K e y a n y T y p e z b w N T n L X > < a : K e y > < K e y > L i n k s \ & l t ; C o l u m n s \ S u m   o f   7=>A  4 & g t ; - & l t ; M e a s u r e s \ 7=>A& g t ; < / K e y > < / a : K e y > < a : V a l u e   i : t y p e = " M e a s u r e G r i d V i e w S t a t e I D i a g r a m L i n k " / > < / a : K e y V a l u e O f D i a g r a m O b j e c t K e y a n y T y p e z b w N T n L X > < a : K e y V a l u e O f D i a g r a m O b j e c t K e y a n y T y p e z b w N T n L X > < a : K e y > < K e y > L i n k s \ & l t ; C o l u m n s \ S u m   o f   7=>A  4 & g t ; - & l t ; M e a s u r e s \ 7=>A& g t ; \ C O L U M N < / K e y > < / a : K e y > < a : V a l u e   i : t y p e = " M e a s u r e G r i d V i e w S t a t e I D i a g r a m L i n k E n d p o i n t " / > < / a : K e y V a l u e O f D i a g r a m O b j e c t K e y a n y T y p e z b w N T n L X > < a : K e y V a l u e O f D i a g r a m O b j e c t K e y a n y T y p e z b w N T n L X > < a : K e y > < K e y > L i n k s \ & l t ; C o l u m n s \ S u m   o f   7=>A  4 & g t ; - & l t ; M e a s u r e s \ 7=>A& g t ; \ M E A S U R E < / K e y > < / a : K e y > < a : V a l u e   i : t y p e = " M e a s u r e G r i d V i e w S t a t e I D i a g r a m L i n k E n d p o i n t " / > < / a : K e y V a l u e O f D i a g r a m O b j e c t K e y a n y T y p e z b w N T n L X > < / V i e w S t a t e s > < / D i a g r a m M a n a g e r . S e r i a l i z a b l e D i a g r a m > < D i a g r a m M a n a g e r . S e r i a l i z a b l e D i a g r a m > < A d a p t e r   i : t y p e = " M e a s u r e D i a g r a m S a n d b o x A d a p t e r " > < T a b l e N a m e > r A r t i k l i _ H R _ A n a l i z a 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 r A r t i k l i _ H R _ A n a l i z a 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;8G8=0  2 < / K e y > < / D i a g r a m O b j e c t K e y > < D i a g r a m O b j e c t K e y > < K e y > M e a s u r e s \ S u m   o f   >;8G8=0  2 \ T a g I n f o \ F o r m u l a < / K e y > < / D i a g r a m O b j e c t K e y > < D i a g r a m O b j e c t K e y > < K e y > M e a s u r e s \ S u m   o f   >;8G8=0  2 \ T a g I n f o \ V a l u e < / K e y > < / D i a g r a m O b j e c t K e y > < D i a g r a m O b j e c t K e y > < K e y > M e a s u r e s \ S u m   o f   48=5G=0  F5=0  2 < / K e y > < / D i a g r a m O b j e c t K e y > < D i a g r a m O b j e c t K e y > < K e y > M e a s u r e s \ S u m   o f   48=5G=0  F5=0  2 \ T a g I n f o \ F o r m u l a < / K e y > < / D i a g r a m O b j e c t K e y > < D i a g r a m O b j e c t K e y > < K e y > M e a s u r e s \ S u m   o f   48=5G=0  F5=0  2 \ T a g I n f o \ V a l u e < / K e y > < / D i a g r a m O b j e c t K e y > < D i a g r a m O b j e c t K e y > < K e y > M e a s u r e s \ S u m   o f   :C?=>  B@>H>:  2 < / K e y > < / D i a g r a m O b j e c t K e y > < D i a g r a m O b j e c t K e y > < K e y > M e a s u r e s \ S u m   o f   :C?=>  B@>H>:  2 \ T a g I n f o \ F o r m u l a < / K e y > < / D i a g r a m O b j e c t K e y > < D i a g r a m O b j e c t K e y > < K e y > M e a s u r e s \ S u m   o f   :C?=>  B@>H>:  2 \ T a g I n f o \ V a l u e < / K e y > < / D i a g r a m O b j e c t K e y > < D i a g r a m O b j e c t K e y > < K e y > M e a s u r e s \ S u m   o f     2 < / K e y > < / D i a g r a m O b j e c t K e y > < D i a g r a m O b j e c t K e y > < K e y > M e a s u r e s \ S u m   o f     2 \ T a g I n f o \ F o r m u l a < / K e y > < / D i a g r a m O b j e c t K e y > < D i a g r a m O b j e c t K e y > < K e y > M e a s u r e s \ S u m   o f     2 \ T a g I n f o \ V a l u e < / K e y > < / D i a g r a m O b j e c t K e y > < D i a g r a m O b j e c t K e y > < K e y > M e a s u r e s \ S u m   o f   7=>A  7 < / K e y > < / D i a g r a m O b j e c t K e y > < D i a g r a m O b j e c t K e y > < K e y > M e a s u r e s \ S u m   o f   7=>A  7 \ T a g I n f o \ F o r m u l a < / K e y > < / D i a g r a m O b j e c t K e y > < D i a g r a m O b j e c t K e y > < K e y > M e a s u r e s \ S u m   o f   7=>A  7 \ T a g I n f o \ V a l u e < / K e y > < / D i a g r a m O b j e c t K e y > < D i a g r a m O b j e c t K e y > < K e y > C o l u m n s \ !B02:0< / K e y > < / D i a g r a m O b j e c t K e y > < D i a g r a m O b j e c t K e y > < K e y > C o l u m n s \ 0B53>@8X0  @B8:;< / K e y > < / D i a g r a m O b j e c t K e y > < D i a g r a m O b j e c t K e y > < K e y > C o l u m n s \ "8?  =0  0@B8:;< / K e y > < / D i a g r a m O b j e c t K e y > < D i a g r a m O b j e c t K e y > < K e y > C o l u m n s \ 48=5G=0  <5@:0< / K e y > < / D i a g r a m O b j e c t K e y > < D i a g r a m O b j e c t K e y > < K e y > C o l u m n s \ >;8G8=0< / K e y > < / D i a g r a m O b j e c t K e y > < D i a g r a m O b j e c t K e y > < K e y > C o l u m n s \ 48=5G=0  F5=0< / K e y > < / D i a g r a m O b j e c t K e y > < D i a g r a m O b j e c t K e y > < K e y > C o l u m n s \ :C?=>  B@>H>:< / K e y > < / D i a g r a m O b j e c t K e y > < D i a g r a m O b j e c t K e y > < K e y > C o l u m n s \ < / K e y > < / D i a g r a m O b j e c t K e y > < D i a g r a m O b j e c t K e y > < K e y > C o l u m n s \ 7=>A< / K e y > < / D i a g r a m O b j e c t K e y > < D i a g r a m O b j e c t K e y > < K e y > C o l u m n s \ >=B>< / K e y > < / D i a g r a m O b j e c t K e y > < D i a g r a m O b j e c t K e y > < K e y > C o l u m n s \ R e p o r t T y p e < / K e y > < / D i a g r a m O b j e c t K e y > < D i a g r a m O b j e c t K e y > < K e y > C o l u m n s \ 5@8>4< / K e y > < / D i a g r a m O b j e c t K e y > < D i a g r a m O b j e c t K e y > < K e y > C o l u m n s \ S t a v k a I m e M K < / K e y > < / D i a g r a m O b j e c t K e y > < D i a g r a m O b j e c t K e y > < K e y > C o l u m n s \ S t a v k a A O P < / K e y > < / D i a g r a m O b j e c t K e y > < D i a g r a m O b j e c t K e y > < K e y > C o l u m n s \ S t a v k a G r u p a < / K e y > < / D i a g r a m O b j e c t K e y > < D i a g r a m O b j e c t K e y > < K e y > C o l u m n s \ S t a v k a K a t e g o r i j a < / K e y > < / D i a g r a m O b j e c t K e y > < D i a g r a m O b j e c t K e y > < K e y > C o l u m n s \ O b r a z e c I m e < / K e y > < / D i a g r a m O b j e c t K e y > < D i a g r a m O b j e c t K e y > < K e y > C o l u m n s \ "8?  =0  2@01>BC20Z5< / K e y > < / D i a g r a m O b j e c t K e y > < D i a g r a m O b j e c t K e y > < K e y > C o l u m n s \ ;0=8@0=  ?@8;82/ ( >4;82) < / K e y > < / D i a g r a m O b j e c t K e y > < D i a g r a m O b j e c t K e y > < K e y > C o l u m n s \ @0X=0  A>AB>X10  2@01>B5=8< / K e y > < / D i a g r a m O b j e c t K e y > < D i a g r a m O b j e c t K e y > < K e y > L i n k s \ & l t ; C o l u m n s \ S u m   o f   >;8G8=0  2 & g t ; - & l t ; M e a s u r e s \ >;8G8=0& g t ; < / K e y > < / D i a g r a m O b j e c t K e y > < D i a g r a m O b j e c t K e y > < K e y > L i n k s \ & l t ; C o l u m n s \ S u m   o f   >;8G8=0  2 & g t ; - & l t ; M e a s u r e s \ >;8G8=0& g t ; \ C O L U M N < / K e y > < / D i a g r a m O b j e c t K e y > < D i a g r a m O b j e c t K e y > < K e y > L i n k s \ & l t ; C o l u m n s \ S u m   o f   >;8G8=0  2 & g t ; - & l t ; M e a s u r e s \ >;8G8=0& g t ; \ M E A S U R E < / K e y > < / D i a g r a m O b j e c t K e y > < D i a g r a m O b j e c t K e y > < K e y > L i n k s \ & l t ; C o l u m n s \ S u m   o f   48=5G=0  F5=0  2 & g t ; - & l t ; M e a s u r e s \ 48=5G=0  F5=0& g t ; < / K e y > < / D i a g r a m O b j e c t K e y > < D i a g r a m O b j e c t K e y > < K e y > L i n k s \ & l t ; C o l u m n s \ S u m   o f   48=5G=0  F5=0  2 & g t ; - & l t ; M e a s u r e s \ 48=5G=0  F5=0& g t ; \ C O L U M N < / K e y > < / D i a g r a m O b j e c t K e y > < D i a g r a m O b j e c t K e y > < K e y > L i n k s \ & l t ; C o l u m n s \ S u m   o f   48=5G=0  F5=0  2 & g t ; - & l t ; M e a s u r e s \ 48=5G=0  F5=0& g t ; \ M E A S U R E < / K e y > < / D i a g r a m O b j e c t K e y > < D i a g r a m O b j e c t K e y > < K e y > L i n k s \ & l t ; C o l u m n s \ S u m   o f   :C?=>  B@>H>:  2 & g t ; - & l t ; M e a s u r e s \ :C?=>  B@>H>:& g t ; < / K e y > < / D i a g r a m O b j e c t K e y > < D i a g r a m O b j e c t K e y > < K e y > L i n k s \ & l t ; C o l u m n s \ S u m   o f   :C?=>  B@>H>:  2 & g t ; - & l t ; M e a s u r e s \ :C?=>  B@>H>:& g t ; \ C O L U M N < / K e y > < / D i a g r a m O b j e c t K e y > < D i a g r a m O b j e c t K e y > < K e y > L i n k s \ & l t ; C o l u m n s \ S u m   o f   :C?=>  B@>H>:  2 & g t ; - & l t ; M e a s u r e s \ :C?=>  B@>H>:& g t ; \ M E A S U R E < / K e y > < / D i a g r a m O b j e c t K e y > < D i a g r a m O b j e c t K e y > < K e y > L i n k s \ & l t ; C o l u m n s \ S u m   o f     2 & g t ; - & l t ; M e a s u r e s \ & g t ; < / K e y > < / D i a g r a m O b j e c t K e y > < D i a g r a m O b j e c t K e y > < K e y > L i n k s \ & l t ; C o l u m n s \ S u m   o f     2 & g t ; - & l t ; M e a s u r e s \ & g t ; \ C O L U M N < / K e y > < / D i a g r a m O b j e c t K e y > < D i a g r a m O b j e c t K e y > < K e y > L i n k s \ & l t ; C o l u m n s \ S u m   o f     2 & g t ; - & l t ; M e a s u r e s \ & g t ; \ M E A S U R E < / K e y > < / D i a g r a m O b j e c t K e y > < D i a g r a m O b j e c t K e y > < K e y > L i n k s \ & l t ; C o l u m n s \ S u m   o f   7=>A  7 & g t ; - & l t ; M e a s u r e s \ 7=>A& g t ; < / K e y > < / D i a g r a m O b j e c t K e y > < D i a g r a m O b j e c t K e y > < K e y > L i n k s \ & l t ; C o l u m n s \ S u m   o f   7=>A  7 & g t ; - & l t ; M e a s u r e s \ 7=>A& g t ; \ C O L U M N < / K e y > < / D i a g r a m O b j e c t K e y > < D i a g r a m O b j e c t K e y > < K e y > L i n k s \ & l t ; C o l u m n s \ S u m   o f   7=>A  7 & g t ; - & l t ; M e a s u r e s \ 7=>A& g t ; \ M E A S U R E 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;8G8=0  2 < / K e y > < / a : K e y > < a : V a l u e   i : t y p e = " M e a s u r e G r i d N o d e V i e w S t a t e " > < C o l u m n > 4 < / C o l u m n > < L a y e d O u t > t r u e < / L a y e d O u t > < W a s U I I n v i s i b l e > t r u e < / W a s U I I n v i s i b l e > < / a : V a l u e > < / a : K e y V a l u e O f D i a g r a m O b j e c t K e y a n y T y p e z b w N T n L X > < a : K e y V a l u e O f D i a g r a m O b j e c t K e y a n y T y p e z b w N T n L X > < a : K e y > < K e y > M e a s u r e s \ S u m   o f   >;8G8=0  2 \ T a g I n f o \ F o r m u l a < / K e y > < / a : K e y > < a : V a l u e   i : t y p e = " M e a s u r e G r i d V i e w S t a t e I D i a g r a m T a g A d d i t i o n a l I n f o " / > < / a : K e y V a l u e O f D i a g r a m O b j e c t K e y a n y T y p e z b w N T n L X > < a : K e y V a l u e O f D i a g r a m O b j e c t K e y a n y T y p e z b w N T n L X > < a : K e y > < K e y > M e a s u r e s \ S u m   o f   >;8G8=0  2 \ T a g I n f o \ V a l u e < / K e y > < / a : K e y > < a : V a l u e   i : t y p e = " M e a s u r e G r i d V i e w S t a t e I D i a g r a m T a g A d d i t i o n a l I n f o " / > < / a : K e y V a l u e O f D i a g r a m O b j e c t K e y a n y T y p e z b w N T n L X > < a : K e y V a l u e O f D i a g r a m O b j e c t K e y a n y T y p e z b w N T n L X > < a : K e y > < K e y > M e a s u r e s \ S u m   o f   48=5G=0  F5=0  2 < / K e y > < / a : K e y > < a : V a l u e   i : t y p e = " M e a s u r e G r i d N o d e V i e w S t a t e " > < C o l u m n > 5 < / C o l u m n > < L a y e d O u t > t r u e < / L a y e d O u t > < W a s U I I n v i s i b l e > t r u e < / W a s U I I n v i s i b l e > < / a : V a l u e > < / a : K e y V a l u e O f D i a g r a m O b j e c t K e y a n y T y p e z b w N T n L X > < a : K e y V a l u e O f D i a g r a m O b j e c t K e y a n y T y p e z b w N T n L X > < a : K e y > < K e y > M e a s u r e s \ S u m   o f   48=5G=0  F5=0  2 \ T a g I n f o \ F o r m u l a < / K e y > < / a : K e y > < a : V a l u e   i : t y p e = " M e a s u r e G r i d V i e w S t a t e I D i a g r a m T a g A d d i t i o n a l I n f o " / > < / a : K e y V a l u e O f D i a g r a m O b j e c t K e y a n y T y p e z b w N T n L X > < a : K e y V a l u e O f D i a g r a m O b j e c t K e y a n y T y p e z b w N T n L X > < a : K e y > < K e y > M e a s u r e s \ S u m   o f   48=5G=0  F5=0  2 \ T a g I n f o \ V a l u e < / K e y > < / a : K e y > < a : V a l u e   i : t y p e = " M e a s u r e G r i d V i e w S t a t e I D i a g r a m T a g A d d i t i o n a l I n f o " / > < / a : K e y V a l u e O f D i a g r a m O b j e c t K e y a n y T y p e z b w N T n L X > < a : K e y V a l u e O f D i a g r a m O b j e c t K e y a n y T y p e z b w N T n L X > < a : K e y > < K e y > M e a s u r e s \ S u m   o f   :C?=>  B@>H>:  2 < / K e y > < / a : K e y > < a : V a l u e   i : t y p e = " M e a s u r e G r i d N o d e V i e w S t a t e " > < C o l u m n > 6 < / C o l u m n > < L a y e d O u t > t r u e < / L a y e d O u t > < W a s U I I n v i s i b l e > t r u e < / W a s U I I n v i s i b l e > < / a : V a l u e > < / a : K e y V a l u e O f D i a g r a m O b j e c t K e y a n y T y p e z b w N T n L X > < a : K e y V a l u e O f D i a g r a m O b j e c t K e y a n y T y p e z b w N T n L X > < a : K e y > < K e y > M e a s u r e s \ S u m   o f   :C?=>  B@>H>:  2 \ T a g I n f o \ F o r m u l a < / K e y > < / a : K e y > < a : V a l u e   i : t y p e = " M e a s u r e G r i d V i e w S t a t e I D i a g r a m T a g A d d i t i o n a l I n f o " / > < / a : K e y V a l u e O f D i a g r a m O b j e c t K e y a n y T y p e z b w N T n L X > < a : K e y V a l u e O f D i a g r a m O b j e c t K e y a n y T y p e z b w N T n L X > < a : K e y > < K e y > M e a s u r e s \ S u m   o f   :C?=>  B@>H>:  2 \ T a g I n f o \ V a l u e < / K e y > < / a : K e y > < a : V a l u e   i : t y p e = " M e a s u r e G r i d V i e w S t a t e I D i a g r a m T a g A d d i t i o n a l I n f o " / > < / a : K e y V a l u e O f D i a g r a m O b j e c t K e y a n y T y p e z b w N T n L X > < a : K e y V a l u e O f D i a g r a m O b j e c t K e y a n y T y p e z b w N T n L X > < a : K e y > < K e y > M e a s u r e s \ S u m   o f     2 < / K e y > < / a : K e y > < a : V a l u e   i : t y p e = " M e a s u r e G r i d N o d e V i e w S t a t e " > < C o l u m n > 7 < / C o l u m n > < L a y e d O u t > t r u e < / L a y e d O u t > < W a s U I I n v i s i b l e > t r u e < / W a s U I I n v i s i b l e > < / a : V a l u e > < / a : K e y V a l u e O f D i a g r a m O b j e c t K e y a n y T y p e z b w N T n L X > < a : K e y V a l u e O f D i a g r a m O b j e c t K e y a n y T y p e z b w N T n L X > < a : K e y > < K e y > M e a s u r e s \ S u m   o f     2 \ T a g I n f o \ F o r m u l a < / K e y > < / a : K e y > < a : V a l u e   i : t y p e = " M e a s u r e G r i d V i e w S t a t e I D i a g r a m T a g A d d i t i o n a l I n f o " / > < / a : K e y V a l u e O f D i a g r a m O b j e c t K e y a n y T y p e z b w N T n L X > < a : K e y V a l u e O f D i a g r a m O b j e c t K e y a n y T y p e z b w N T n L X > < a : K e y > < K e y > M e a s u r e s \ S u m   o f     2 \ T a g I n f o \ V a l u e < / K e y > < / a : K e y > < a : V a l u e   i : t y p e = " M e a s u r e G r i d V i e w S t a t e I D i a g r a m T a g A d d i t i o n a l I n f o " / > < / a : K e y V a l u e O f D i a g r a m O b j e c t K e y a n y T y p e z b w N T n L X > < a : K e y V a l u e O f D i a g r a m O b j e c t K e y a n y T y p e z b w N T n L X > < a : K e y > < K e y > M e a s u r e s \ S u m   o f   7=>A  7 < / K e y > < / a : K e y > < a : V a l u e   i : t y p e = " M e a s u r e G r i d N o d e V i e w S t a t e " > < C o l u m n > 8 < / C o l u m n > < L a y e d O u t > t r u e < / L a y e d O u t > < W a s U I I n v i s i b l e > t r u e < / W a s U I I n v i s i b l e > < / a : V a l u e > < / a : K e y V a l u e O f D i a g r a m O b j e c t K e y a n y T y p e z b w N T n L X > < a : K e y V a l u e O f D i a g r a m O b j e c t K e y a n y T y p e z b w N T n L X > < a : K e y > < K e y > M e a s u r e s \ S u m   o f   7=>A  7 \ T a g I n f o \ F o r m u l a < / K e y > < / a : K e y > < a : V a l u e   i : t y p e = " M e a s u r e G r i d V i e w S t a t e I D i a g r a m T a g A d d i t i o n a l I n f o " / > < / a : K e y V a l u e O f D i a g r a m O b j e c t K e y a n y T y p e z b w N T n L X > < a : K e y V a l u e O f D i a g r a m O b j e c t K e y a n y T y p e z b w N T n L X > < a : K e y > < K e y > M e a s u r e s \ S u m   o f   7=>A  7 \ T a g I n f o \ V a l u e < / K e y > < / a : K e y > < a : V a l u e   i : t y p e = " M e a s u r e G r i d V i e w S t a t e I D i a g r a m T a g A d d i t i o n a l I n f o " / > < / a : K e y V a l u e O f D i a g r a m O b j e c t K e y a n y T y p e z b w N T n L X > < a : K e y V a l u e O f D i a g r a m O b j e c t K e y a n y T y p e z b w N T n L X > < a : K e y > < K e y > C o l u m n s \ !B02:0< / K e y > < / a : K e y > < a : V a l u e   i : t y p e = " M e a s u r e G r i d N o d e V i e w S t a t e " > < L a y e d O u t > t r u e < / L a y e d O u t > < / a : V a l u e > < / a : K e y V a l u e O f D i a g r a m O b j e c t K e y a n y T y p e z b w N T n L X > < a : K e y V a l u e O f D i a g r a m O b j e c t K e y a n y T y p e z b w N T n L X > < a : K e y > < K e y > C o l u m n s \ 0B53>@8X0  @B8:;< / K e y > < / a : K e y > < a : V a l u e   i : t y p e = " M e a s u r e G r i d N o d e V i e w S t a t e " > < C o l u m n > 1 < / C o l u m n > < L a y e d O u t > t r u e < / L a y e d O u t > < / a : V a l u e > < / a : K e y V a l u e O f D i a g r a m O b j e c t K e y a n y T y p e z b w N T n L X > < a : K e y V a l u e O f D i a g r a m O b j e c t K e y a n y T y p e z b w N T n L X > < a : K e y > < K e y > C o l u m n s \ "8?  =0  0@B8:;< / K e y > < / a : K e y > < a : V a l u e   i : t y p e = " M e a s u r e G r i d N o d e V i e w S t a t e " > < C o l u m n > 2 < / C o l u m n > < L a y e d O u t > t r u e < / L a y e d O u t > < / a : V a l u e > < / a : K e y V a l u e O f D i a g r a m O b j e c t K e y a n y T y p e z b w N T n L X > < a : K e y V a l u e O f D i a g r a m O b j e c t K e y a n y T y p e z b w N T n L X > < a : K e y > < K e y > C o l u m n s \ 48=5G=0  <5@:0< / K e y > < / a : K e y > < a : V a l u e   i : t y p e = " M e a s u r e G r i d N o d e V i e w S t a t e " > < C o l u m n > 3 < / C o l u m n > < L a y e d O u t > t r u e < / L a y e d O u t > < / a : V a l u e > < / a : K e y V a l u e O f D i a g r a m O b j e c t K e y a n y T y p e z b w N T n L X > < a : K e y V a l u e O f D i a g r a m O b j e c t K e y a n y T y p e z b w N T n L X > < a : K e y > < K e y > C o l u m n s \ >;8G8=0< / K e y > < / a : K e y > < a : V a l u e   i : t y p e = " M e a s u r e G r i d N o d e V i e w S t a t e " > < C o l u m n > 4 < / C o l u m n > < L a y e d O u t > t r u e < / L a y e d O u t > < / a : V a l u e > < / a : K e y V a l u e O f D i a g r a m O b j e c t K e y a n y T y p e z b w N T n L X > < a : K e y V a l u e O f D i a g r a m O b j e c t K e y a n y T y p e z b w N T n L X > < a : K e y > < K e y > C o l u m n s \ 48=5G=0  F5=0< / K e y > < / a : K e y > < a : V a l u e   i : t y p e = " M e a s u r e G r i d N o d e V i e w S t a t e " > < C o l u m n > 5 < / C o l u m n > < L a y e d O u t > t r u e < / L a y e d O u t > < / a : V a l u e > < / a : K e y V a l u e O f D i a g r a m O b j e c t K e y a n y T y p e z b w N T n L X > < a : K e y V a l u e O f D i a g r a m O b j e c t K e y a n y T y p e z b w N T n L X > < a : K e y > < K e y > C o l u m n s \ :C?=>  B@>H>:< / K e y > < / a : K e y > < a : V a l u e   i : t y p e = " M e a s u r e G r i d N o d e V i e w S t a t e " > < C o l u m n > 6 < / C o l u m n > < L a y e d O u t > t r u e < / L a y e d O u t > < / a : V a l u e > < / a : K e y V a l u e O f D i a g r a m O b j e c t K e y a n y T y p e z b w N T n L X > < a : K e y V a l u e O f D i a g r a m O b j e c t K e y a n y T y p e z b w N T n L X > < a : K e y > < K e y > C o l u m n s \ < / K e y > < / a : K e y > < a : V a l u e   i : t y p e = " M e a s u r e G r i d N o d e V i e w S t a t e " > < C o l u m n > 7 < / C o l u m n > < L a y e d O u t > t r u e < / L a y e d O u t > < / a : V a l u e > < / a : K e y V a l u e O f D i a g r a m O b j e c t K e y a n y T y p e z b w N T n L X > < a : K e y V a l u e O f D i a g r a m O b j e c t K e y a n y T y p e z b w N T n L X > < a : K e y > < K e y > C o l u m n s \ 7=>A< / K e y > < / a : K e y > < a : V a l u e   i : t y p e = " M e a s u r e G r i d N o d e V i e w S t a t e " > < C o l u m n > 8 < / C o l u m n > < L a y e d O u t > t r u e < / L a y e d O u t > < / a : V a l u e > < / a : K e y V a l u e O f D i a g r a m O b j e c t K e y a n y T y p e z b w N T n L X > < a : K e y V a l u e O f D i a g r a m O b j e c t K e y a n y T y p e z b w N T n L X > < a : K e y > < K e y > C o l u m n s \ >=B>< / K e y > < / a : K e y > < a : V a l u e   i : t y p e = " M e a s u r e G r i d N o d e V i e w S t a t e " > < C o l u m n > 9 < / C o l u m n > < L a y e d O u t > t r u e < / L a y e d O u t > < / a : V a l u e > < / a : K e y V a l u e O f D i a g r a m O b j e c t K e y a n y T y p e z b w N T n L X > < a : K e y V a l u e O f D i a g r a m O b j e c t K e y a n y T y p e z b w N T n L X > < a : K e y > < K e y > C o l u m n s \ R e p o r t T y p e < / K e y > < / a : K e y > < a : V a l u e   i : t y p e = " M e a s u r e G r i d N o d e V i e w S t a t e " > < C o l u m n > 1 0 < / C o l u m n > < L a y e d O u t > t r u e < / L a y e d O u t > < / a : V a l u e > < / a : K e y V a l u e O f D i a g r a m O b j e c t K e y a n y T y p e z b w N T n L X > < a : K e y V a l u e O f D i a g r a m O b j e c t K e y a n y T y p e z b w N T n L X > < a : K e y > < K e y > C o l u m n s \ 5@8>4< / K e y > < / a : K e y > < a : V a l u e   i : t y p e = " M e a s u r e G r i d N o d e V i e w S t a t e " > < C o l u m n > 1 1 < / C o l u m n > < L a y e d O u t > t r u e < / L a y e d O u t > < / a : V a l u e > < / a : K e y V a l u e O f D i a g r a m O b j e c t K e y a n y T y p e z b w N T n L X > < a : K e y V a l u e O f D i a g r a m O b j e c t K e y a n y T y p e z b w N T n L X > < a : K e y > < K e y > C o l u m n s \ S t a v k a I m e M K < / K e y > < / a : K e y > < a : V a l u e   i : t y p e = " M e a s u r e G r i d N o d e V i e w S t a t e " > < C o l u m n > 1 2 < / C o l u m n > < L a y e d O u t > t r u e < / L a y e d O u t > < / a : V a l u e > < / a : K e y V a l u e O f D i a g r a m O b j e c t K e y a n y T y p e z b w N T n L X > < a : K e y V a l u e O f D i a g r a m O b j e c t K e y a n y T y p e z b w N T n L X > < a : K e y > < K e y > C o l u m n s \ S t a v k a A O P < / K e y > < / a : K e y > < a : V a l u e   i : t y p e = " M e a s u r e G r i d N o d e V i e w S t a t e " > < C o l u m n > 1 3 < / C o l u m n > < L a y e d O u t > t r u e < / L a y e d O u t > < / a : V a l u e > < / a : K e y V a l u e O f D i a g r a m O b j e c t K e y a n y T y p e z b w N T n L X > < a : K e y V a l u e O f D i a g r a m O b j e c t K e y a n y T y p e z b w N T n L X > < a : K e y > < K e y > C o l u m n s \ S t a v k a G r u p a < / K e y > < / a : K e y > < a : V a l u e   i : t y p e = " M e a s u r e G r i d N o d e V i e w S t a t e " > < C o l u m n > 1 4 < / C o l u m n > < L a y e d O u t > t r u e < / L a y e d O u t > < / a : V a l u e > < / a : K e y V a l u e O f D i a g r a m O b j e c t K e y a n y T y p e z b w N T n L X > < a : K e y V a l u e O f D i a g r a m O b j e c t K e y a n y T y p e z b w N T n L X > < a : K e y > < K e y > C o l u m n s \ S t a v k a K a t e g o r i j a < / K e y > < / a : K e y > < a : V a l u e   i : t y p e = " M e a s u r e G r i d N o d e V i e w S t a t e " > < C o l u m n > 1 5 < / C o l u m n > < L a y e d O u t > t r u e < / L a y e d O u t > < / a : V a l u e > < / a : K e y V a l u e O f D i a g r a m O b j e c t K e y a n y T y p e z b w N T n L X > < a : K e y V a l u e O f D i a g r a m O b j e c t K e y a n y T y p e z b w N T n L X > < a : K e y > < K e y > C o l u m n s \ O b r a z e c I m e < / K e y > < / a : K e y > < a : V a l u e   i : t y p e = " M e a s u r e G r i d N o d e V i e w S t a t e " > < C o l u m n > 1 6 < / C o l u m n > < L a y e d O u t > t r u e < / L a y e d O u t > < / a : V a l u e > < / a : K e y V a l u e O f D i a g r a m O b j e c t K e y a n y T y p e z b w N T n L X > < a : K e y V a l u e O f D i a g r a m O b j e c t K e y a n y T y p e z b w N T n L X > < a : K e y > < K e y > C o l u m n s \ "8?  =0  2@01>BC20Z5< / K e y > < / a : K e y > < a : V a l u e   i : t y p e = " M e a s u r e G r i d N o d e V i e w S t a t e " > < C o l u m n > 1 7 < / C o l u m n > < L a y e d O u t > t r u e < / L a y e d O u t > < / a : V a l u e > < / a : K e y V a l u e O f D i a g r a m O b j e c t K e y a n y T y p e z b w N T n L X > < a : K e y V a l u e O f D i a g r a m O b j e c t K e y a n y T y p e z b w N T n L X > < a : K e y > < K e y > C o l u m n s \ ;0=8@0=  ?@8;82/ ( >4;82) < / K e y > < / a : K e y > < a : V a l u e   i : t y p e = " M e a s u r e G r i d N o d e V i e w S t a t e " > < C o l u m n > 1 8 < / C o l u m n > < L a y e d O u t > t r u e < / L a y e d O u t > < / a : V a l u e > < / a : K e y V a l u e O f D i a g r a m O b j e c t K e y a n y T y p e z b w N T n L X > < a : K e y V a l u e O f D i a g r a m O b j e c t K e y a n y T y p e z b w N T n L X > < a : K e y > < K e y > C o l u m n s \ @0X=0  A>AB>X10  2@01>B5=8< / K e y > < / a : K e y > < a : V a l u e   i : t y p e = " M e a s u r e G r i d N o d e V i e w S t a t e " > < C o l u m n > 1 9 < / C o l u m n > < L a y e d O u t > t r u e < / L a y e d O u t > < / a : V a l u e > < / a : K e y V a l u e O f D i a g r a m O b j e c t K e y a n y T y p e z b w N T n L X > < a : K e y V a l u e O f D i a g r a m O b j e c t K e y a n y T y p e z b w N T n L X > < a : K e y > < K e y > L i n k s \ & l t ; C o l u m n s \ S u m   o f   >;8G8=0  2 & g t ; - & l t ; M e a s u r e s \ >;8G8=0& g t ; < / K e y > < / a : K e y > < a : V a l u e   i : t y p e = " M e a s u r e G r i d V i e w S t a t e I D i a g r a m L i n k " / > < / a : K e y V a l u e O f D i a g r a m O b j e c t K e y a n y T y p e z b w N T n L X > < a : K e y V a l u e O f D i a g r a m O b j e c t K e y a n y T y p e z b w N T n L X > < a : K e y > < K e y > L i n k s \ & l t ; C o l u m n s \ S u m   o f   >;8G8=0  2 & g t ; - & l t ; M e a s u r e s \ >;8G8=0& g t ; \ C O L U M N < / K e y > < / a : K e y > < a : V a l u e   i : t y p e = " M e a s u r e G r i d V i e w S t a t e I D i a g r a m L i n k E n d p o i n t " / > < / a : K e y V a l u e O f D i a g r a m O b j e c t K e y a n y T y p e z b w N T n L X > < a : K e y V a l u e O f D i a g r a m O b j e c t K e y a n y T y p e z b w N T n L X > < a : K e y > < K e y > L i n k s \ & l t ; C o l u m n s \ S u m   o f   >;8G8=0  2 & g t ; - & l t ; M e a s u r e s \ >;8G8=0& g t ; \ M E A S U R E < / K e y > < / a : K e y > < a : V a l u e   i : t y p e = " M e a s u r e G r i d V i e w S t a t e I D i a g r a m L i n k E n d p o i n t " / > < / a : K e y V a l u e O f D i a g r a m O b j e c t K e y a n y T y p e z b w N T n L X > < a : K e y V a l u e O f D i a g r a m O b j e c t K e y a n y T y p e z b w N T n L X > < a : K e y > < K e y > L i n k s \ & l t ; C o l u m n s \ S u m   o f   48=5G=0  F5=0  2 & g t ; - & l t ; M e a s u r e s \ 48=5G=0  F5=0& g t ; < / K e y > < / a : K e y > < a : V a l u e   i : t y p e = " M e a s u r e G r i d V i e w S t a t e I D i a g r a m L i n k " / > < / a : K e y V a l u e O f D i a g r a m O b j e c t K e y a n y T y p e z b w N T n L X > < a : K e y V a l u e O f D i a g r a m O b j e c t K e y a n y T y p e z b w N T n L X > < a : K e y > < K e y > L i n k s \ & l t ; C o l u m n s \ S u m   o f   48=5G=0  F5=0  2 & g t ; - & l t ; M e a s u r e s \ 48=5G=0  F5=0& g t ; \ C O L U M N < / K e y > < / a : K e y > < a : V a l u e   i : t y p e = " M e a s u r e G r i d V i e w S t a t e I D i a g r a m L i n k E n d p o i n t " / > < / a : K e y V a l u e O f D i a g r a m O b j e c t K e y a n y T y p e z b w N T n L X > < a : K e y V a l u e O f D i a g r a m O b j e c t K e y a n y T y p e z b w N T n L X > < a : K e y > < K e y > L i n k s \ & l t ; C o l u m n s \ S u m   o f   48=5G=0  F5=0  2 & g t ; - & l t ; M e a s u r e s \ 48=5G=0  F5=0& g t ; \ M E A S U R E < / K e y > < / a : K e y > < a : V a l u e   i : t y p e = " M e a s u r e G r i d V i e w S t a t e I D i a g r a m L i n k E n d p o i n t " / > < / a : K e y V a l u e O f D i a g r a m O b j e c t K e y a n y T y p e z b w N T n L X > < a : K e y V a l u e O f D i a g r a m O b j e c t K e y a n y T y p e z b w N T n L X > < a : K e y > < K e y > L i n k s \ & l t ; C o l u m n s \ S u m   o f   :C?=>  B@>H>:  2 & g t ; - & l t ; M e a s u r e s \ :C?=>  B@>H>:& g t ; < / K e y > < / a : K e y > < a : V a l u e   i : t y p e = " M e a s u r e G r i d V i e w S t a t e I D i a g r a m L i n k " / > < / a : K e y V a l u e O f D i a g r a m O b j e c t K e y a n y T y p e z b w N T n L X > < a : K e y V a l u e O f D i a g r a m O b j e c t K e y a n y T y p e z b w N T n L X > < a : K e y > < K e y > L i n k s \ & l t ; C o l u m n s \ S u m   o f   :C?=>  B@>H>:  2 & g t ; - & l t ; M e a s u r e s \ :C?=>  B@>H>:& g t ; \ C O L U M N < / K e y > < / a : K e y > < a : V a l u e   i : t y p e = " M e a s u r e G r i d V i e w S t a t e I D i a g r a m L i n k E n d p o i n t " / > < / a : K e y V a l u e O f D i a g r a m O b j e c t K e y a n y T y p e z b w N T n L X > < a : K e y V a l u e O f D i a g r a m O b j e c t K e y a n y T y p e z b w N T n L X > < a : K e y > < K e y > L i n k s \ & l t ; C o l u m n s \ S u m   o f   :C?=>  B@>H>:  2 & g t ; - & l t ; M e a s u r e s \ :C?=>  B@>H>:& g t ; \ M E A S U R E < / K e y > < / a : K e y > < a : V a l u e   i : t y p e = " M e a s u r e G r i d V i e w S t a t e I D i a g r a m L i n k E n d p o i n t " / > < / a : K e y V a l u e O f D i a g r a m O b j e c t K e y a n y T y p e z b w N T n L X > < a : K e y V a l u e O f D i a g r a m O b j e c t K e y a n y T y p e z b w N T n L X > < a : K e y > < K e y > L i n k s \ & l t ; C o l u m n s \ S u m   o f     2 & g t ; - & l t ; M e a s u r e s \ & g t ; < / K e y > < / a : K e y > < a : V a l u e   i : t y p e = " M e a s u r e G r i d V i e w S t a t e I D i a g r a m L i n k " / > < / a : K e y V a l u e O f D i a g r a m O b j e c t K e y a n y T y p e z b w N T n L X > < a : K e y V a l u e O f D i a g r a m O b j e c t K e y a n y T y p e z b w N T n L X > < a : K e y > < K e y > L i n k s \ & l t ; C o l u m n s \ S u m   o f     2 & g t ; - & l t ; M e a s u r e s \ & g t ; \ C O L U M N < / K e y > < / a : K e y > < a : V a l u e   i : t y p e = " M e a s u r e G r i d V i e w S t a t e I D i a g r a m L i n k E n d p o i n t " / > < / a : K e y V a l u e O f D i a g r a m O b j e c t K e y a n y T y p e z b w N T n L X > < a : K e y V a l u e O f D i a g r a m O b j e c t K e y a n y T y p e z b w N T n L X > < a : K e y > < K e y > L i n k s \ & l t ; C o l u m n s \ S u m   o f     2 & g t ; - & l t ; M e a s u r e s \ & g t ; \ M E A S U R E < / K e y > < / a : K e y > < a : V a l u e   i : t y p e = " M e a s u r e G r i d V i e w S t a t e I D i a g r a m L i n k E n d p o i n t " / > < / a : K e y V a l u e O f D i a g r a m O b j e c t K e y a n y T y p e z b w N T n L X > < a : K e y V a l u e O f D i a g r a m O b j e c t K e y a n y T y p e z b w N T n L X > < a : K e y > < K e y > L i n k s \ & l t ; C o l u m n s \ S u m   o f   7=>A  7 & g t ; - & l t ; M e a s u r e s \ 7=>A& g t ; < / K e y > < / a : K e y > < a : V a l u e   i : t y p e = " M e a s u r e G r i d V i e w S t a t e I D i a g r a m L i n k " / > < / a : K e y V a l u e O f D i a g r a m O b j e c t K e y a n y T y p e z b w N T n L X > < a : K e y V a l u e O f D i a g r a m O b j e c t K e y a n y T y p e z b w N T n L X > < a : K e y > < K e y > L i n k s \ & l t ; C o l u m n s \ S u m   o f   7=>A  7 & g t ; - & l t ; M e a s u r e s \ 7=>A& g t ; \ C O L U M N < / K e y > < / a : K e y > < a : V a l u e   i : t y p e = " M e a s u r e G r i d V i e w S t a t e I D i a g r a m L i n k E n d p o i n t " / > < / a : K e y V a l u e O f D i a g r a m O b j e c t K e y a n y T y p e z b w N T n L X > < a : K e y V a l u e O f D i a g r a m O b j e c t K e y a n y T y p e z b w N T n L X > < a : K e y > < K e y > L i n k s \ & l t ; C o l u m n s \ S u m   o f   7=>A  7 & g t ; - & l t ; M e a s u r e s \ 7=>A& g t ; \ M E A S U R E < / K e y > < / a : K e y > < a : V a l u e   i : t y p e = " M e a s u r e G r i d V i e w S t a t e I D i a g r a m L i n k E n d p o i n t " / > < / a : K e y V a l u e O f D i a g r a m O b j e c t K e y a n y T y p e z b w N T n L X > < / V i e w S t a t e s > < / D i a g r a m M a n a g e r . S e r i a l i z a b l e D i a g r a m > < D i a g r a m M a n a g e r . S e r i a l i z a b l e D i a g r a m > < A d a p t e r   i : t y p e = " M e a s u r e D i a g r a m S a n d b o x A d a p t e r " > < T a b l e N a m e > f A r t i k l i C e n i 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 f A r t i k l i C e n i 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  B@>H>:< / K e y > < / D i a g r a m O b j e c t K e y > < D i a g r a m O b j e c t K e y > < K e y > M e a s u r e s \ S u m   o f   :C?=>  B@>H>:\ T a g I n f o \ F o r m u l a < / K e y > < / D i a g r a m O b j e c t K e y > < D i a g r a m O b j e c t K e y > < K e y > M e a s u r e s \ S u m   o f   :C?=>  B@>H>:\ T a g I n f o \ V a l u e < / K e y > < / D i a g r a m O b j e c t K e y > < D i a g r a m O b j e c t K e y > < K e y > M e a s u r e s \ S u m   o f   >;8G8=0< / K e y > < / D i a g r a m O b j e c t K e y > < D i a g r a m O b j e c t K e y > < K e y > M e a s u r e s \ S u m   o f   >;8G8=0\ T a g I n f o \ F o r m u l a < / K e y > < / D i a g r a m O b j e c t K e y > < D i a g r a m O b j e c t K e y > < K e y > M e a s u r e s \ S u m   o f   >;8G8=0\ T a g I n f o \ V a l u e < / K e y > < / D i a g r a m O b j e c t K e y > < D i a g r a m O b j e c t K e y > < K e y > M e a s u r e s \ S u m   o f   48=5G=0  F5=0< / K e y > < / D i a g r a m O b j e c t K e y > < D i a g r a m O b j e c t K e y > < K e y > M e a s u r e s \ S u m   o f   48=5G=0  F5=0\ T a g I n f o \ F o r m u l a < / K e y > < / D i a g r a m O b j e c t K e y > < D i a g r a m O b j e c t K e y > < K e y > M e a s u r e s \ S u m   o f   48=5G=0  F5=0\ T a g I n f o \ V a l u e < / K e y > < / D i a g r a m O b j e c t K e y > < D i a g r a m O b j e c t K e y > < K e y > M e a s u r e s \ S u m   o f   < / K e y > < / D i a g r a m O b j e c t K e y > < D i a g r a m O b j e c t K e y > < K e y > M e a s u r e s \ S u m   o f   \ T a g I n f o \ F o r m u l a < / K e y > < / D i a g r a m O b j e c t K e y > < D i a g r a m O b j e c t K e y > < K e y > M e a s u r e s \ S u m   o f   \ T a g I n f o \ V a l u e < / K e y > < / D i a g r a m O b j e c t K e y > < D i a g r a m O b j e c t K e y > < K e y > C o l u m n s \ !B02:0< / K e y > < / D i a g r a m O b j e c t K e y > < D i a g r a m O b j e c t K e y > < K e y > C o l u m n s \ 0B53>@8X0  @B8:;< / K e y > < / D i a g r a m O b j e c t K e y > < D i a g r a m O b j e c t K e y > < K e y > C o l u m n s \ "8?  =0  0@B8:;< / K e y > < / D i a g r a m O b j e c t K e y > < D i a g r a m O b j e c t K e y > < K e y > C o l u m n s \ 48=5G=0  <5@:0< / K e y > < / D i a g r a m O b j e c t K e y > < D i a g r a m O b j e c t K e y > < K e y > C o l u m n s \ >;8G8=0< / K e y > < / D i a g r a m O b j e c t K e y > < D i a g r a m O b j e c t K e y > < K e y > C o l u m n s \ 48=5G=0  F5=0< / K e y > < / D i a g r a m O b j e c t K e y > < D i a g r a m O b j e c t K e y > < K e y > C o l u m n s \ :C?=>  B@>H>:< / K e y > < / D i a g r a m O b j e c t K e y > < D i a g r a m O b j e c t K e y > < K e y > C o l u m n s \ < / K e y > < / D i a g r a m O b j e c t K e y > < D i a g r a m O b j e c t K e y > < K e y > C o l u m n s \ 7=>A< / K e y > < / D i a g r a m O b j e c t K e y > < D i a g r a m O b j e c t K e y > < K e y > C o l u m n s \ >=B>< / K e y > < / D i a g r a m O b j e c t K e y > < D i a g r a m O b j e c t K e y > < K e y > C o l u m n s \ R e p o r t T y p e < / K e y > < / D i a g r a m O b j e c t K e y > < D i a g r a m O b j e c t K e y > < K e y > C o l u m n s \ 5@8>4< / K e y > < / D i a g r a m O b j e c t K e y > < D i a g r a m O b j e c t K e y > < K e y > C o l u m n s \ S t a v k a I m e M K < / K e y > < / D i a g r a m O b j e c t K e y > < D i a g r a m O b j e c t K e y > < K e y > C o l u m n s \ S t a v k a A O P < / K e y > < / D i a g r a m O b j e c t K e y > < D i a g r a m O b j e c t K e y > < K e y > C o l u m n s \ S t a v k a G r u p a < / K e y > < / D i a g r a m O b j e c t K e y > < D i a g r a m O b j e c t K e y > < K e y > C o l u m n s \ S t a v k a K a t e g o r i j a < / K e y > < / D i a g r a m O b j e c t K e y > < D i a g r a m O b j e c t K e y > < K e y > C o l u m n s \ O b r a z e c I m e < / K e y > < / D i a g r a m O b j e c t K e y > < D i a g r a m O b j e c t K e y > < K e y > L i n k s \ & l t ; C o l u m n s \ S u m   o f   :C?=>  B@>H>:& g t ; - & l t ; M e a s u r e s \ :C?=>  B@>H>:& g t ; < / K e y > < / D i a g r a m O b j e c t K e y > < D i a g r a m O b j e c t K e y > < K e y > L i n k s \ & l t ; C o l u m n s \ S u m   o f   :C?=>  B@>H>:& g t ; - & l t ; M e a s u r e s \ :C?=>  B@>H>:& g t ; \ C O L U M N < / K e y > < / D i a g r a m O b j e c t K e y > < D i a g r a m O b j e c t K e y > < K e y > L i n k s \ & l t ; C o l u m n s \ S u m   o f   :C?=>  B@>H>:& g t ; - & l t ; M e a s u r e s \ :C?=>  B@>H>:& g t ; \ M E A S U R E < / K e y > < / D i a g r a m O b j e c t K e y > < D i a g r a m O b j e c t K e y > < K e y > L i n k s \ & l t ; C o l u m n s \ S u m   o f   >;8G8=0& g t ; - & l t ; M e a s u r e s \ >;8G8=0& g t ; < / K e y > < / D i a g r a m O b j e c t K e y > < D i a g r a m O b j e c t K e y > < K e y > L i n k s \ & l t ; C o l u m n s \ S u m   o f   >;8G8=0& g t ; - & l t ; M e a s u r e s \ >;8G8=0& g t ; \ C O L U M N < / K e y > < / D i a g r a m O b j e c t K e y > < D i a g r a m O b j e c t K e y > < K e y > L i n k s \ & l t ; C o l u m n s \ S u m   o f   >;8G8=0& g t ; - & l t ; M e a s u r e s \ >;8G8=0& g t ; \ M E A S U R E < / K e y > < / D i a g r a m O b j e c t K e y > < D i a g r a m O b j e c t K e y > < K e y > L i n k s \ & l t ; C o l u m n s \ S u m   o f   48=5G=0  F5=0& g t ; - & l t ; M e a s u r e s \ 48=5G=0  F5=0& g t ; < / K e y > < / D i a g r a m O b j e c t K e y > < D i a g r a m O b j e c t K e y > < K e y > L i n k s \ & l t ; C o l u m n s \ S u m   o f   48=5G=0  F5=0& g t ; - & l t ; M e a s u r e s \ 48=5G=0  F5=0& g t ; \ C O L U M N < / K e y > < / D i a g r a m O b j e c t K e y > < D i a g r a m O b j e c t K e y > < K e y > L i n k s \ & l t ; C o l u m n s \ S u m   o f   48=5G=0  F5=0& g t ; - & l t ; M e a s u r e s \ 48=5G=0  F5=0& g t ; \ M E A S U R E < / K e y > < / D i a g r a m O b j e c t K e y > < D i a g r a m O b j e c t K e y > < K e y > L i n k s \ & l t ; C o l u m n s \ S u m   o f   & g t ; - & l t ; M e a s u r e s \ & g t ; < / K e y > < / D i a g r a m O b j e c t K e y > < D i a g r a m O b j e c t K e y > < K e y > L i n k s \ & l t ; C o l u m n s \ S u m   o f   & g t ; - & l t ; M e a s u r e s \ & g t ; \ C O L U M N < / K e y > < / D i a g r a m O b j e c t K e y > < D i a g r a m O b j e c t K e y > < K e y > L i n k s \ & l t ; C o l u m n s \ S u m   o f   & g t ; - & l t ; M e a s u r e s \ & g t ; \ M E A S U R E 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  B@>H>:< / K e y > < / a : K e y > < a : V a l u e   i : t y p e = " M e a s u r e G r i d N o d e V i e w S t a t e " > < C o l u m n > 5 < / C o l u m n > < L a y e d O u t > t r u e < / L a y e d O u t > < W a s U I I n v i s i b l e > t r u e < / W a s U I I n v i s i b l e > < / a : V a l u e > < / a : K e y V a l u e O f D i a g r a m O b j e c t K e y a n y T y p e z b w N T n L X > < a : K e y V a l u e O f D i a g r a m O b j e c t K e y a n y T y p e z b w N T n L X > < a : K e y > < K e y > M e a s u r e s \ S u m   o f   :C?=>  B@>H>:\ T a g I n f o \ F o r m u l a < / K e y > < / a : K e y > < a : V a l u e   i : t y p e = " M e a s u r e G r i d V i e w S t a t e I D i a g r a m T a g A d d i t i o n a l I n f o " / > < / a : K e y V a l u e O f D i a g r a m O b j e c t K e y a n y T y p e z b w N T n L X > < a : K e y V a l u e O f D i a g r a m O b j e c t K e y a n y T y p e z b w N T n L X > < a : K e y > < K e y > M e a s u r e s \ S u m   o f   :C?=>  B@>H>:\ T a g I n f o \ V a l u e < / K e y > < / a : K e y > < a : V a l u e   i : t y p e = " M e a s u r e G r i d V i e w S t a t e I D i a g r a m T a g A d d i t i o n a l I n f o " / > < / a : K e y V a l u e O f D i a g r a m O b j e c t K e y a n y T y p e z b w N T n L X > < a : K e y V a l u e O f D i a g r a m O b j e c t K e y a n y T y p e z b w N T n L X > < a : K e y > < K e y > M e a s u r e s \ S u m   o f   >;8G8=0< / K e y > < / a : K e y > < a : V a l u e   i : t y p e = " M e a s u r e G r i d N o d e V i e w S t a t e " > < C o l u m n > 3 < / C o l u m n > < L a y e d O u t > t r u e < / L a y e d O u t > < W a s U I I n v i s i b l e > t r u e < / W a s U I I n v i s i b l e > < / a : V a l u e > < / a : K e y V a l u e O f D i a g r a m O b j e c t K e y a n y T y p e z b w N T n L X > < a : K e y V a l u e O f D i a g r a m O b j e c t K e y a n y T y p e z b w N T n L X > < a : K e y > < K e y > M e a s u r e s \ S u m   o f   >;8G8=0\ T a g I n f o \ F o r m u l a < / K e y > < / a : K e y > < a : V a l u e   i : t y p e = " M e a s u r e G r i d V i e w S t a t e I D i a g r a m T a g A d d i t i o n a l I n f o " / > < / a : K e y V a l u e O f D i a g r a m O b j e c t K e y a n y T y p e z b w N T n L X > < a : K e y V a l u e O f D i a g r a m O b j e c t K e y a n y T y p e z b w N T n L X > < a : K e y > < K e y > M e a s u r e s \ S u m   o f   >;8G8=0\ T a g I n f o \ V a l u e < / K e y > < / a : K e y > < a : V a l u e   i : t y p e = " M e a s u r e G r i d V i e w S t a t e I D i a g r a m T a g A d d i t i o n a l I n f o " / > < / a : K e y V a l u e O f D i a g r a m O b j e c t K e y a n y T y p e z b w N T n L X > < a : K e y V a l u e O f D i a g r a m O b j e c t K e y a n y T y p e z b w N T n L X > < a : K e y > < K e y > M e a s u r e s \ S u m   o f   48=5G=0  F5=0< / K e y > < / a : K e y > < a : V a l u e   i : t y p e = " M e a s u r e G r i d N o d e V i e w S t a t e " > < C o l u m n > 4 < / C o l u m n > < L a y e d O u t > t r u e < / L a y e d O u t > < W a s U I I n v i s i b l e > t r u e < / W a s U I I n v i s i b l e > < / a : V a l u e > < / a : K e y V a l u e O f D i a g r a m O b j e c t K e y a n y T y p e z b w N T n L X > < a : K e y V a l u e O f D i a g r a m O b j e c t K e y a n y T y p e z b w N T n L X > < a : K e y > < K e y > M e a s u r e s \ S u m   o f   48=5G=0  F5=0\ T a g I n f o \ F o r m u l a < / K e y > < / a : K e y > < a : V a l u e   i : t y p e = " M e a s u r e G r i d V i e w S t a t e I D i a g r a m T a g A d d i t i o n a l I n f o " / > < / a : K e y V a l u e O f D i a g r a m O b j e c t K e y a n y T y p e z b w N T n L X > < a : K e y V a l u e O f D i a g r a m O b j e c t K e y a n y T y p e z b w N T n L X > < a : K e y > < K e y > M e a s u r e s \ S u m   o f   48=5G=0  F5=0\ T a g I n f o \ V a l u e < / K e y > < / a : K e y > < a : V a l u e   i : t y p e = " M e a s u r e G r i d V i e w S t a t e I D i a g r a m T a g A d d i t i o n a l I n f o " / > < / a : K e y V a l u e O f D i a g r a m O b j e c t K e y a n y T y p e z b w N T n L X > < a : K e y V a l u e O f D i a g r a m O b j e c t K e y a n y T y p e z b w N T n L X > < a : K e y > < K e y > M e a s u r e s \ S u m   o f   < / K e y > < / a : K e y > < a : V a l u e   i : t y p e = " M e a s u r e G r i d N o d e V i e w S t a t e " > < C o l u m n > 6 < / C o l u m n > < L a y e d O u t > t r u e < / L a y e d O u t > < W a s U I I n v i s i b l e > t r u e < / W a s U I I n v i s i b l e > < / a : V a l u e > < / a : K e y V a l u e O f D i a g r a m O b j e c t K e y a n y T y p e z b w N T n L X > < a : K e y V a l u e O f D i a g r a m O b j e c t K e y a n y T y p e z b w N T n L X > < a : K e y > < K e y > M e a s u r e s \ S u m   o f   \ T a g I n f o \ F o r m u l a < / K e y > < / a : K e y > < a : V a l u e   i : t y p e = " M e a s u r e G r i d V i e w S t a t e I D i a g r a m T a g A d d i t i o n a l I n f o " / > < / a : K e y V a l u e O f D i a g r a m O b j e c t K e y a n y T y p e z b w N T n L X > < a : K e y V a l u e O f D i a g r a m O b j e c t K e y a n y T y p e z b w N T n L X > < a : K e y > < K e y > M e a s u r e s \ S u m   o f   \ T a g I n f o \ V a l u e < / K e y > < / a : K e y > < a : V a l u e   i : t y p e = " M e a s u r e G r i d V i e w S t a t e I D i a g r a m T a g A d d i t i o n a l I n f o " / > < / a : K e y V a l u e O f D i a g r a m O b j e c t K e y a n y T y p e z b w N T n L X > < a : K e y V a l u e O f D i a g r a m O b j e c t K e y a n y T y p e z b w N T n L X > < a : K e y > < K e y > C o l u m n s \ !B02:0< / K e y > < / a : K e y > < a : V a l u e   i : t y p e = " M e a s u r e G r i d N o d e V i e w S t a t e " > < C o l u m n > 1 5 < / C o l u m n > < L a y e d O u t > t r u e < / L a y e d O u t > < / a : V a l u e > < / a : K e y V a l u e O f D i a g r a m O b j e c t K e y a n y T y p e z b w N T n L X > < a : K e y V a l u e O f D i a g r a m O b j e c t K e y a n y T y p e z b w N T n L X > < a : K e y > < K e y > C o l u m n s \ 0B53>@8X0  @B8:;< / K e y > < / a : K e y > < a : V a l u e   i : t y p e = " M e a s u r e G r i d N o d e V i e w S t a t e " > < L a y e d O u t > t r u e < / L a y e d O u t > < / a : V a l u e > < / a : K e y V a l u e O f D i a g r a m O b j e c t K e y a n y T y p e z b w N T n L X > < a : K e y V a l u e O f D i a g r a m O b j e c t K e y a n y T y p e z b w N T n L X > < a : K e y > < K e y > C o l u m n s \ "8?  =0  0@B8:;< / K e y > < / a : K e y > < a : V a l u e   i : t y p e = " M e a s u r e G r i d N o d e V i e w S t a t e " > < C o l u m n > 1 < / C o l u m n > < L a y e d O u t > t r u e < / L a y e d O u t > < / a : V a l u e > < / a : K e y V a l u e O f D i a g r a m O b j e c t K e y a n y T y p e z b w N T n L X > < a : K e y V a l u e O f D i a g r a m O b j e c t K e y a n y T y p e z b w N T n L X > < a : K e y > < K e y > C o l u m n s \ 48=5G=0  <5@:0< / K e y > < / a : K e y > < a : V a l u e   i : t y p e = " M e a s u r e G r i d N o d e V i e w S t a t e " > < C o l u m n > 2 < / C o l u m n > < L a y e d O u t > t r u e < / L a y e d O u t > < / a : V a l u e > < / a : K e y V a l u e O f D i a g r a m O b j e c t K e y a n y T y p e z b w N T n L X > < a : K e y V a l u e O f D i a g r a m O b j e c t K e y a n y T y p e z b w N T n L X > < a : K e y > < K e y > C o l u m n s \ >;8G8=0< / K e y > < / a : K e y > < a : V a l u e   i : t y p e = " M e a s u r e G r i d N o d e V i e w S t a t e " > < C o l u m n > 3 < / C o l u m n > < L a y e d O u t > t r u e < / L a y e d O u t > < / a : V a l u e > < / a : K e y V a l u e O f D i a g r a m O b j e c t K e y a n y T y p e z b w N T n L X > < a : K e y V a l u e O f D i a g r a m O b j e c t K e y a n y T y p e z b w N T n L X > < a : K e y > < K e y > C o l u m n s \ 48=5G=0  F5=0< / K e y > < / a : K e y > < a : V a l u e   i : t y p e = " M e a s u r e G r i d N o d e V i e w S t a t e " > < C o l u m n > 4 < / C o l u m n > < L a y e d O u t > t r u e < / L a y e d O u t > < / a : V a l u e > < / a : K e y V a l u e O f D i a g r a m O b j e c t K e y a n y T y p e z b w N T n L X > < a : K e y V a l u e O f D i a g r a m O b j e c t K e y a n y T y p e z b w N T n L X > < a : K e y > < K e y > C o l u m n s \ :C?=>  B@>H>:< / K e y > < / a : K e y > < a : V a l u e   i : t y p e = " M e a s u r e G r i d N o d e V i e w S t a t e " > < C o l u m n > 5 < / C o l u m n > < L a y e d O u t > t r u e < / L a y e d O u t > < / a : V a l u e > < / a : K e y V a l u e O f D i a g r a m O b j e c t K e y a n y T y p e z b w N T n L X > < a : K e y V a l u e O f D i a g r a m O b j e c t K e y a n y T y p e z b w N T n L X > < a : K e y > < K e y > C o l u m n s \ < / K e y > < / a : K e y > < a : V a l u e   i : t y p e = " M e a s u r e G r i d N o d e V i e w S t a t e " > < C o l u m n > 6 < / C o l u m n > < L a y e d O u t > t r u e < / L a y e d O u t > < / a : V a l u e > < / a : K e y V a l u e O f D i a g r a m O b j e c t K e y a n y T y p e z b w N T n L X > < a : K e y V a l u e O f D i a g r a m O b j e c t K e y a n y T y p e z b w N T n L X > < a : K e y > < K e y > C o l u m n s \ 7=>A< / K e y > < / a : K e y > < a : V a l u e   i : t y p e = " M e a s u r e G r i d N o d e V i e w S t a t e " > < C o l u m n > 1 6 < / C o l u m n > < L a y e d O u t > t r u e < / L a y e d O u t > < / a : V a l u e > < / a : K e y V a l u e O f D i a g r a m O b j e c t K e y a n y T y p e z b w N T n L X > < a : K e y V a l u e O f D i a g r a m O b j e c t K e y a n y T y p e z b w N T n L X > < a : K e y > < K e y > C o l u m n s \ >=B>< / K e y > < / a : K e y > < a : V a l u e   i : t y p e = " M e a s u r e G r i d N o d e V i e w S t a t e " > < C o l u m n > 7 < / C o l u m n > < L a y e d O u t > t r u e < / L a y e d O u t > < / a : V a l u e > < / a : K e y V a l u e O f D i a g r a m O b j e c t K e y a n y T y p e z b w N T n L X > < a : K e y V a l u e O f D i a g r a m O b j e c t K e y a n y T y p e z b w N T n L X > < a : K e y > < K e y > C o l u m n s \ R e p o r t T y p e < / K e y > < / a : K e y > < a : V a l u e   i : t y p e = " M e a s u r e G r i d N o d e V i e w S t a t e " > < C o l u m n > 8 < / C o l u m n > < L a y e d O u t > t r u e < / L a y e d O u t > < / a : V a l u e > < / a : K e y V a l u e O f D i a g r a m O b j e c t K e y a n y T y p e z b w N T n L X > < a : K e y V a l u e O f D i a g r a m O b j e c t K e y a n y T y p e z b w N T n L X > < a : K e y > < K e y > C o l u m n s \ 5@8>4< / K e y > < / a : K e y > < a : V a l u e   i : t y p e = " M e a s u r e G r i d N o d e V i e w S t a t e " > < C o l u m n > 9 < / C o l u m n > < L a y e d O u t > t r u e < / L a y e d O u t > < / a : V a l u e > < / a : K e y V a l u e O f D i a g r a m O b j e c t K e y a n y T y p e z b w N T n L X > < a : K e y V a l u e O f D i a g r a m O b j e c t K e y a n y T y p e z b w N T n L X > < a : K e y > < K e y > C o l u m n s \ S t a v k a I m e M K < / K e y > < / a : K e y > < a : V a l u e   i : t y p e = " M e a s u r e G r i d N o d e V i e w S t a t e " > < C o l u m n > 1 0 < / C o l u m n > < L a y e d O u t > t r u e < / L a y e d O u t > < / a : V a l u e > < / a : K e y V a l u e O f D i a g r a m O b j e c t K e y a n y T y p e z b w N T n L X > < a : K e y V a l u e O f D i a g r a m O b j e c t K e y a n y T y p e z b w N T n L X > < a : K e y > < K e y > C o l u m n s \ S t a v k a A O P < / K e y > < / a : K e y > < a : V a l u e   i : t y p e = " M e a s u r e G r i d N o d e V i e w S t a t e " > < C o l u m n > 1 1 < / C o l u m n > < L a y e d O u t > t r u e < / L a y e d O u t > < / a : V a l u e > < / a : K e y V a l u e O f D i a g r a m O b j e c t K e y a n y T y p e z b w N T n L X > < a : K e y V a l u e O f D i a g r a m O b j e c t K e y a n y T y p e z b w N T n L X > < a : K e y > < K e y > C o l u m n s \ S t a v k a G r u p a < / K e y > < / a : K e y > < a : V a l u e   i : t y p e = " M e a s u r e G r i d N o d e V i e w S t a t e " > < C o l u m n > 1 2 < / C o l u m n > < L a y e d O u t > t r u e < / L a y e d O u t > < / a : V a l u e > < / a : K e y V a l u e O f D i a g r a m O b j e c t K e y a n y T y p e z b w N T n L X > < a : K e y V a l u e O f D i a g r a m O b j e c t K e y a n y T y p e z b w N T n L X > < a : K e y > < K e y > C o l u m n s \ S t a v k a K a t e g o r i j a < / K e y > < / a : K e y > < a : V a l u e   i : t y p e = " M e a s u r e G r i d N o d e V i e w S t a t e " > < C o l u m n > 1 3 < / C o l u m n > < L a y e d O u t > t r u e < / L a y e d O u t > < / a : V a l u e > < / a : K e y V a l u e O f D i a g r a m O b j e c t K e y a n y T y p e z b w N T n L X > < a : K e y V a l u e O f D i a g r a m O b j e c t K e y a n y T y p e z b w N T n L X > < a : K e y > < K e y > C o l u m n s \ O b r a z e c I m e < / K e y > < / a : K e y > < a : V a l u e   i : t y p e = " M e a s u r e G r i d N o d e V i e w S t a t e " > < C o l u m n > 1 4 < / C o l u m n > < L a y e d O u t > t r u e < / L a y e d O u t > < / a : V a l u e > < / a : K e y V a l u e O f D i a g r a m O b j e c t K e y a n y T y p e z b w N T n L X > < a : K e y V a l u e O f D i a g r a m O b j e c t K e y a n y T y p e z b w N T n L X > < a : K e y > < K e y > L i n k s \ & l t ; C o l u m n s \ S u m   o f   :C?=>  B@>H>:& g t ; - & l t ; M e a s u r e s \ :C?=>  B@>H>:& g t ; < / K e y > < / a : K e y > < a : V a l u e   i : t y p e = " M e a s u r e G r i d V i e w S t a t e I D i a g r a m L i n k " / > < / a : K e y V a l u e O f D i a g r a m O b j e c t K e y a n y T y p e z b w N T n L X > < a : K e y V a l u e O f D i a g r a m O b j e c t K e y a n y T y p e z b w N T n L X > < a : K e y > < K e y > L i n k s \ & l t ; C o l u m n s \ S u m   o f   :C?=>  B@>H>:& g t ; - & l t ; M e a s u r e s \ :C?=>  B@>H>:& g t ; \ C O L U M N < / K e y > < / a : K e y > < a : V a l u e   i : t y p e = " M e a s u r e G r i d V i e w S t a t e I D i a g r a m L i n k E n d p o i n t " / > < / a : K e y V a l u e O f D i a g r a m O b j e c t K e y a n y T y p e z b w N T n L X > < a : K e y V a l u e O f D i a g r a m O b j e c t K e y a n y T y p e z b w N T n L X > < a : K e y > < K e y > L i n k s \ & l t ; C o l u m n s \ S u m   o f   :C?=>  B@>H>:& g t ; - & l t ; M e a s u r e s \ :C?=>  B@>H>:& g t ; \ M E A S U R E < / K e y > < / a : K e y > < a : V a l u e   i : t y p e = " M e a s u r e G r i d V i e w S t a t e I D i a g r a m L i n k E n d p o i n t " / > < / a : K e y V a l u e O f D i a g r a m O b j e c t K e y a n y T y p e z b w N T n L X > < a : K e y V a l u e O f D i a g r a m O b j e c t K e y a n y T y p e z b w N T n L X > < a : K e y > < K e y > L i n k s \ & l t ; C o l u m n s \ S u m   o f   >;8G8=0& g t ; - & l t ; M e a s u r e s \ >;8G8=0& g t ; < / K e y > < / a : K e y > < a : V a l u e   i : t y p e = " M e a s u r e G r i d V i e w S t a t e I D i a g r a m L i n k " / > < / a : K e y V a l u e O f D i a g r a m O b j e c t K e y a n y T y p e z b w N T n L X > < a : K e y V a l u e O f D i a g r a m O b j e c t K e y a n y T y p e z b w N T n L X > < a : K e y > < K e y > L i n k s \ & l t ; C o l u m n s \ S u m   o f   >;8G8=0& g t ; - & l t ; M e a s u r e s \ >;8G8=0& g t ; \ C O L U M N < / K e y > < / a : K e y > < a : V a l u e   i : t y p e = " M e a s u r e G r i d V i e w S t a t e I D i a g r a m L i n k E n d p o i n t " / > < / a : K e y V a l u e O f D i a g r a m O b j e c t K e y a n y T y p e z b w N T n L X > < a : K e y V a l u e O f D i a g r a m O b j e c t K e y a n y T y p e z b w N T n L X > < a : K e y > < K e y > L i n k s \ & l t ; C o l u m n s \ S u m   o f   >;8G8=0& g t ; - & l t ; M e a s u r e s \ >;8G8=0& g t ; \ M E A S U R E < / K e y > < / a : K e y > < a : V a l u e   i : t y p e = " M e a s u r e G r i d V i e w S t a t e I D i a g r a m L i n k E n d p o i n t " / > < / a : K e y V a l u e O f D i a g r a m O b j e c t K e y a n y T y p e z b w N T n L X > < a : K e y V a l u e O f D i a g r a m O b j e c t K e y a n y T y p e z b w N T n L X > < a : K e y > < K e y > L i n k s \ & l t ; C o l u m n s \ S u m   o f   48=5G=0  F5=0& g t ; - & l t ; M e a s u r e s \ 48=5G=0  F5=0& g t ; < / K e y > < / a : K e y > < a : V a l u e   i : t y p e = " M e a s u r e G r i d V i e w S t a t e I D i a g r a m L i n k " / > < / a : K e y V a l u e O f D i a g r a m O b j e c t K e y a n y T y p e z b w N T n L X > < a : K e y V a l u e O f D i a g r a m O b j e c t K e y a n y T y p e z b w N T n L X > < a : K e y > < K e y > L i n k s \ & l t ; C o l u m n s \ S u m   o f   48=5G=0  F5=0& g t ; - & l t ; M e a s u r e s \ 48=5G=0  F5=0& g t ; \ C O L U M N < / K e y > < / a : K e y > < a : V a l u e   i : t y p e = " M e a s u r e G r i d V i e w S t a t e I D i a g r a m L i n k E n d p o i n t " / > < / a : K e y V a l u e O f D i a g r a m O b j e c t K e y a n y T y p e z b w N T n L X > < a : K e y V a l u e O f D i a g r a m O b j e c t K e y a n y T y p e z b w N T n L X > < a : K e y > < K e y > L i n k s \ & l t ; C o l u m n s \ S u m   o f   48=5G=0  F5=0& g t ; - & l t ; M e a s u r e s \ 48=5G=0  F5=0& g t ; \ M E A S U R E < / K e y > < / a : K e y > < a : V a l u e   i : t y p e = " M e a s u r e G r i d V i e w S t a t e I D i a g r a m L i n k E n d p o i n t " / > < / a : K e y V a l u e O f D i a g r a m O b j e c t K e y a n y T y p e z b w N T n L X > < a : K e y V a l u e O f D i a g r a m O b j e c t K e y a n y T y p e z b w N T n L X > < a : K e y > < K e y > L i n k s \ & l t ; C o l u m n s \ S u m   o f   & g t ; - & l t ; M e a s u r e s \ & g t ; < / K e y > < / a : K e y > < a : V a l u e   i : t y p e = " M e a s u r e G r i d V i e w S t a t e I D i a g r a m L i n k " / > < / a : K e y V a l u e O f D i a g r a m O b j e c t K e y a n y T y p e z b w N T n L X > < a : K e y V a l u e O f D i a g r a m O b j e c t K e y a n y T y p e z b w N T n L X > < a : K e y > < K e y > L i n k s \ & l t ; C o l u m n s \ S u m   o f   & g t ; - & l t ; M e a s u r e s \ & g t ; \ C O L U M N < / K e y > < / a : K e y > < a : V a l u e   i : t y p e = " M e a s u r e G r i d V i e w S t a t e I D i a g r a m L i n k E n d p o i n t " / > < / a : K e y V a l u e O f D i a g r a m O b j e c t K e y a n y T y p e z b w N T n L X > < a : K e y V a l u e O f D i a g r a m O b j e c t K e y a n y T y p e z b w N T n L X > < a : K e y > < K e y > L i n k s \ & l t ; C o l u m n s \ S u m   o f   & g t ; - & l t ; M e a s u r e s \ & g t ; \ M E A S U R E < / K e y > < / a : K e y > < a : V a l u e   i : t y p e = " M e a s u r e G r i d V i e w S t a t e I D i a g r a m L i n k E n d p o i n t " / > < / a : K e y V a l u e O f D i a g r a m O b j e c t K e y a n y T y p e z b w N T n L X > < / V i e w S t a t e s > < / D i a g r a m M a n a g e r . S e r i a l i z a b l e D i a g r a m > < D i a g r a m M a n a g e r . S e r i a l i z a b l e D i a g r a m > < A d a p t e r   i : t y p e = " M e a s u r e D i a g r a m S a n d b o x A d a p t e r " > < T a b l e N a m e > f C o v e c k i R e s u r s i 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 f C o v e c k i R e s u r s i 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  3 < / K e y > < / D i a g r a m O b j e c t K e y > < D i a g r a m O b j e c t K e y > < K e y > M e a s u r e s \ S u m   o f   7=>A  3 \ T a g I n f o \ F o r m u l a < / K e y > < / D i a g r a m O b j e c t K e y > < D i a g r a m O b j e c t K e y > < K e y > M e a s u r e s \ S u m   o f   7=>A  3 \ T a g I n f o \ V a l u e < / K e y > < / D i a g r a m O b j e c t K e y > < D i a g r a m O b j e c t K e y > < K e y > M e a s u r e s \ S u m   o f   @0X=0  A>AB>X10  2@01>B5=8< / K e y > < / D i a g r a m O b j e c t K e y > < D i a g r a m O b j e c t K e y > < K e y > M e a s u r e s \ S u m   o f   @0X=0  A>AB>X10  2@01>B5=8\ T a g I n f o \ F o r m u l a < / K e y > < / D i a g r a m O b j e c t K e y > < D i a g r a m O b j e c t K e y > < K e y > M e a s u r e s \ S u m   o f   @0X=0  A>AB>X10  2@01>B5=8\ T a g I n f o \ V a l u e < / K e y > < / D i a g r a m O b j e c t K e y > < D i a g r a m O b j e c t K e y > < K e y > M e a s u r e s \ S u m   o f   ;0=8@0=  ?@8;82/ ( >4;82) < / K e y > < / D i a g r a m O b j e c t K e y > < D i a g r a m O b j e c t K e y > < K e y > M e a s u r e s \ S u m   o f   ;0=8@0=  ?@8;82/ ( >4;82) \ T a g I n f o \ F o r m u l a < / K e y > < / D i a g r a m O b j e c t K e y > < D i a g r a m O b j e c t K e y > < K e y > M e a s u r e s \ S u m   o f   ;0=8@0=  ?@8;82/ ( >4;82) \ T a g I n f o \ V a l u e < / K e y > < / D i a g r a m O b j e c t K e y > < D i a g r a m O b j e c t K e y > < K e y > C o l u m n s \ !B02:0< / K e y > < / D i a g r a m O b j e c t K e y > < D i a g r a m O b j e c t K e y > < K e y > C o l u m n s \ "8?  =0  2@01>BC20Z5< / K e y > < / D i a g r a m O b j e c t K e y > < D i a g r a m O b j e c t K e y > < K e y > C o l u m n s \ ;0=8@0=  ?@8;82/ ( >4;82) < / K e y > < / D i a g r a m O b j e c t K e y > < D i a g r a m O b j e c t K e y > < K e y > C o l u m n s \ 5@8>4< / K e y > < / D i a g r a m O b j e c t K e y > < D i a g r a m O b j e c t K e y > < K e y > C o l u m n s \ @0X=0  A>AB>X10  2@01>B5=8< / K e y > < / D i a g r a m O b j e c t K e y > < D i a g r a m O b j e c t K e y > < K e y > C o l u m n s \ 7=>A< / K e y > < / D i a g r a m O b j e c t K e y > < D i a g r a m O b j e c t K e y > < K e y > C o l u m n s \ >=B>< / K e y > < / D i a g r a m O b j e c t K e y > < D i a g r a m O b j e c t K e y > < K e y > C o l u m n s \ R e p o r t T y p e < / K e y > < / D i a g r a m O b j e c t K e y > < D i a g r a m O b j e c t K e y > < K e y > C o l u m n s \ 5@8>4  ( Y e a r ) < / K e y > < / D i a g r a m O b j e c t K e y > < D i a g r a m O b j e c t K e y > < K e y > C o l u m n s \ 5@8>4  ( Q u a r t e r ) < / K e y > < / D i a g r a m O b j e c t K e y > < D i a g r a m O b j e c t K e y > < K e y > C o l u m n s \ 5@8>4  ( M o n t h   I n d e x ) < / K e y > < / D i a g r a m O b j e c t K e y > < D i a g r a m O b j e c t K e y > < K e y > C o l u m n s \ 5@8>4  ( M o n t h ) < / K e y > < / D i a g r a m O b j e c t K e y > < D i a g r a m O b j e c t K e y > < K e y > C o l u m n s \ 5@8>4  ( Y e a r )   1 < / K e y > < / D i a g r a m O b j e c t K e y > < D i a g r a m O b j e c t K e y > < K e y > C o l u m n s \ 5@8>4  ( Q u a r t e r )   1 < / K e y > < / D i a g r a m O b j e c t K e y > < D i a g r a m O b j e c t K e y > < K e y > C o l u m n s \ 5@8>4  ( M o n t h   I n d e x )   1 < / K e y > < / D i a g r a m O b j e c t K e y > < D i a g r a m O b j e c t K e y > < K e y > C o l u m n s \ 5@8>4  ( M o n t h )   1 < / K e y > < / D i a g r a m O b j e c t K e y > < D i a g r a m O b j e c t K e y > < K e y > L i n k s \ & l t ; C o l u m n s \ S u m   o f   7=>A  3 & g t ; - & l t ; M e a s u r e s \ 7=>A& g t ; < / K e y > < / D i a g r a m O b j e c t K e y > < D i a g r a m O b j e c t K e y > < K e y > L i n k s \ & l t ; C o l u m n s \ S u m   o f   7=>A  3 & g t ; - & l t ; M e a s u r e s \ 7=>A& g t ; \ C O L U M N < / K e y > < / D i a g r a m O b j e c t K e y > < D i a g r a m O b j e c t K e y > < K e y > L i n k s \ & l t ; C o l u m n s \ S u m   o f   7=>A  3 & g t ; - & l t ; M e a s u r e s \ 7=>A& g t ; \ M E A S U R E < / K e y > < / D i a g r a m O b j e c t K e y > < D i a g r a m O b j e c t K e y > < K e y > L i n k s \ & l t ; C o l u m n s \ S u m   o f   @0X=0  A>AB>X10  2@01>B5=8& g t ; - & l t ; M e a s u r e s \ @0X=0  A>AB>X10  2@01>B5=8& g t ; < / K e y > < / D i a g r a m O b j e c t K e y > < D i a g r a m O b j e c t K e y > < K e y > L i n k s \ & l t ; C o l u m n s \ S u m   o f   @0X=0  A>AB>X10  2@01>B5=8& g t ; - & l t ; M e a s u r e s \ @0X=0  A>AB>X10  2@01>B5=8& g t ; \ C O L U M N < / K e y > < / D i a g r a m O b j e c t K e y > < D i a g r a m O b j e c t K e y > < K e y > L i n k s \ & l t ; C o l u m n s \ S u m   o f   @0X=0  A>AB>X10  2@01>B5=8& g t ; - & l t ; M e a s u r e s \ @0X=0  A>AB>X10  2@01>B5=8& g t ; \ M E A S U R E < / K e y > < / D i a g r a m O b j e c t K e y > < D i a g r a m O b j e c t K e y > < K e y > L i n k s \ & l t ; C o l u m n s \ S u m   o f   ;0=8@0=  ?@8;82/ ( >4;82) & g t ; - & l t ; M e a s u r e s \ ;0=8@0=  ?@8;82/ ( >4;82) & g t ; < / K e y > < / D i a g r a m O b j e c t K e y > < D i a g r a m O b j e c t K e y > < K e y > L i n k s \ & l t ; C o l u m n s \ S u m   o f   ;0=8@0=  ?@8;82/ ( >4;82) & g t ; - & l t ; M e a s u r e s \ ;0=8@0=  ?@8;82/ ( >4;82) & g t ; \ C O L U M N < / K e y > < / D i a g r a m O b j e c t K e y > < D i a g r a m O b j e c t K e y > < K e y > L i n k s \ & l t ; C o l u m n s \ S u m   o f   ;0=8@0=  ?@8;82/ ( >4;82) & g t ; - & l t ; M e a s u r e s \ ;0=8@0=  ?@8;82/ ( >4;82) & g t ; \ M E A S U R E 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  3 < / K e y > < / a : K e y > < a : V a l u e   i : t y p e = " M e a s u r e G r i d N o d e V i e w S t a t e " > < C o l u m n > 3 < / C o l u m n > < L a y e d O u t > t r u e < / L a y e d O u t > < W a s U I I n v i s i b l e > t r u e < / W a s U I I n v i s i b l e > < / a : V a l u e > < / a : K e y V a l u e O f D i a g r a m O b j e c t K e y a n y T y p e z b w N T n L X > < a : K e y V a l u e O f D i a g r a m O b j e c t K e y a n y T y p e z b w N T n L X > < a : K e y > < K e y > M e a s u r e s \ S u m   o f   7=>A  3 \ T a g I n f o \ F o r m u l a < / K e y > < / a : K e y > < a : V a l u e   i : t y p e = " M e a s u r e G r i d V i e w S t a t e I D i a g r a m T a g A d d i t i o n a l I n f o " / > < / a : K e y V a l u e O f D i a g r a m O b j e c t K e y a n y T y p e z b w N T n L X > < a : K e y V a l u e O f D i a g r a m O b j e c t K e y a n y T y p e z b w N T n L X > < a : K e y > < K e y > M e a s u r e s \ S u m   o f   7=>A  3 \ T a g I n f o \ V a l u e < / K e y > < / a : K e y > < a : V a l u e   i : t y p e = " M e a s u r e G r i d V i e w S t a t e I D i a g r a m T a g A d d i t i o n a l I n f o " / > < / a : K e y V a l u e O f D i a g r a m O b j e c t K e y a n y T y p e z b w N T n L X > < a : K e y V a l u e O f D i a g r a m O b j e c t K e y a n y T y p e z b w N T n L X > < a : K e y > < K e y > M e a s u r e s \ S u m   o f   @0X=0  A>AB>X10  2@01>B5=8< / K e y > < / a : K e y > < a : V a l u e   i : t y p e = " M e a s u r e G r i d N o d e V i e w S t a t e " > < C o l u m n > 6 < / C o l u m n > < L a y e d O u t > t r u e < / L a y e d O u t > < W a s U I I n v i s i b l e > t r u e < / W a s U I I n v i s i b l e > < / a : V a l u e > < / a : K e y V a l u e O f D i a g r a m O b j e c t K e y a n y T y p e z b w N T n L X > < a : K e y V a l u e O f D i a g r a m O b j e c t K e y a n y T y p e z b w N T n L X > < a : K e y > < K e y > M e a s u r e s \ S u m   o f   @0X=0  A>AB>X10  2@01>B5=8\ T a g I n f o \ F o r m u l a < / K e y > < / a : K e y > < a : V a l u e   i : t y p e = " M e a s u r e G r i d V i e w S t a t e I D i a g r a m T a g A d d i t i o n a l I n f o " / > < / a : K e y V a l u e O f D i a g r a m O b j e c t K e y a n y T y p e z b w N T n L X > < a : K e y V a l u e O f D i a g r a m O b j e c t K e y a n y T y p e z b w N T n L X > < a : K e y > < K e y > M e a s u r e s \ S u m   o f   @0X=0  A>AB>X10  2@01>B5=8\ T a g I n f o \ V a l u e < / K e y > < / a : K e y > < a : V a l u e   i : t y p e = " M e a s u r e G r i d V i e w S t a t e I D i a g r a m T a g A d d i t i o n a l I n f o " / > < / a : K e y V a l u e O f D i a g r a m O b j e c t K e y a n y T y p e z b w N T n L X > < a : K e y V a l u e O f D i a g r a m O b j e c t K e y a n y T y p e z b w N T n L X > < a : K e y > < K e y > M e a s u r e s \ S u m   o f   ;0=8@0=  ?@8;82/ ( >4;82) < / K e y > < / a : K e y > < a : V a l u e   i : t y p e = " M e a s u r e G r i d N o d e V i e w S t a t e " > < C o l u m n > 7 < / C o l u m n > < L a y e d O u t > t r u e < / L a y e d O u t > < W a s U I I n v i s i b l e > t r u e < / W a s U I I n v i s i b l e > < / a : V a l u e > < / a : K e y V a l u e O f D i a g r a m O b j e c t K e y a n y T y p e z b w N T n L X > < a : K e y V a l u e O f D i a g r a m O b j e c t K e y a n y T y p e z b w N T n L X > < a : K e y > < K e y > M e a s u r e s \ S u m   o f   ;0=8@0=  ?@8;82/ ( >4;82) \ T a g I n f o \ F o r m u l a < / K e y > < / a : K e y > < a : V a l u e   i : t y p e = " M e a s u r e G r i d V i e w S t a t e I D i a g r a m T a g A d d i t i o n a l I n f o " / > < / a : K e y V a l u e O f D i a g r a m O b j e c t K e y a n y T y p e z b w N T n L X > < a : K e y V a l u e O f D i a g r a m O b j e c t K e y a n y T y p e z b w N T n L X > < a : K e y > < K e y > M e a s u r e s \ S u m   o f   ;0=8@0=  ?@8;82/ ( >4;82) \ T a g I n f o \ V a l u e < / K e y > < / a : K e y > < a : V a l u e   i : t y p e = " M e a s u r e G r i d V i e w S t a t e I D i a g r a m T a g A d d i t i o n a l I n f o " / > < / a : K e y V a l u e O f D i a g r a m O b j e c t K e y a n y T y p e z b w N T n L X > < a : K e y V a l u e O f D i a g r a m O b j e c t K e y a n y T y p e z b w N T n L X > < a : K e y > < K e y > C o l u m n s \ !B02:0< / K e y > < / a : K e y > < a : V a l u e   i : t y p e = " M e a s u r e G r i d N o d e V i e w S t a t e " > < L a y e d O u t > t r u e < / L a y e d O u t > < / a : V a l u e > < / a : K e y V a l u e O f D i a g r a m O b j e c t K e y a n y T y p e z b w N T n L X > < a : K e y V a l u e O f D i a g r a m O b j e c t K e y a n y T y p e z b w N T n L X > < a : K e y > < K e y > C o l u m n s \ "8?  =0  2@01>BC20Z5< / K e y > < / a : K e y > < a : V a l u e   i : t y p e = " M e a s u r e G r i d N o d e V i e w S t a t e " > < C o l u m n > 1 < / C o l u m n > < L a y e d O u t > t r u e < / L a y e d O u t > < / a : V a l u e > < / a : K e y V a l u e O f D i a g r a m O b j e c t K e y a n y T y p e z b w N T n L X > < a : K e y V a l u e O f D i a g r a m O b j e c t K e y a n y T y p e z b w N T n L X > < a : K e y > < K e y > C o l u m n s \ ;0=8@0=  ?@8;82/ ( >4;82) < / K e y > < / a : K e y > < a : V a l u e   i : t y p e = " M e a s u r e G r i d N o d e V i e w S t a t e " > < C o l u m n > 7 < / C o l u m n > < L a y e d O u t > t r u e < / L a y e d O u t > < / a : V a l u e > < / a : K e y V a l u e O f D i a g r a m O b j e c t K e y a n y T y p e z b w N T n L X > < a : K e y V a l u e O f D i a g r a m O b j e c t K e y a n y T y p e z b w N T n L X > < a : K e y > < K e y > C o l u m n s \ 5@8>4< / K e y > < / a : K e y > < a : V a l u e   i : t y p e = " M e a s u r e G r i d N o d e V i e w S t a t e " > < C o l u m n > 2 < / C o l u m n > < L a y e d O u t > t r u e < / L a y e d O u t > < / a : V a l u e > < / a : K e y V a l u e O f D i a g r a m O b j e c t K e y a n y T y p e z b w N T n L X > < a : K e y V a l u e O f D i a g r a m O b j e c t K e y a n y T y p e z b w N T n L X > < a : K e y > < K e y > C o l u m n s \ @0X=0  A>AB>X10  2@01>B5=8< / K e y > < / a : K e y > < a : V a l u e   i : t y p e = " M e a s u r e G r i d N o d e V i e w S t a t e " > < C o l u m n > 6 < / C o l u m n > < L a y e d O u t > t r u e < / L a y e d O u t > < / a : V a l u e > < / a : K e y V a l u e O f D i a g r a m O b j e c t K e y a n y T y p e z b w N T n L X > < a : K e y V a l u e O f D i a g r a m O b j e c t K e y a n y T y p e z b w N T n L X > < a : K e y > < K e y > C o l u m n s \ 7=>A< / K e y > < / a : K e y > < a : V a l u e   i : t y p e = " M e a s u r e G r i d N o d e V i e w S t a t e " > < C o l u m n > 3 < / C o l u m n > < L a y e d O u t > t r u e < / L a y e d O u t > < / a : V a l u e > < / a : K e y V a l u e O f D i a g r a m O b j e c t K e y a n y T y p e z b w N T n L X > < a : K e y V a l u e O f D i a g r a m O b j e c t K e y a n y T y p e z b w N T n L X > < a : K e y > < K e y > C o l u m n s \ >=B>< / K e y > < / a : K e y > < a : V a l u e   i : t y p e = " M e a s u r e G r i d N o d e V i e w S t a t e " > < C o l u m n > 4 < / C o l u m n > < L a y e d O u t > t r u e < / L a y e d O u t > < / a : V a l u e > < / a : K e y V a l u e O f D i a g r a m O b j e c t K e y a n y T y p e z b w N T n L X > < a : K e y V a l u e O f D i a g r a m O b j e c t K e y a n y T y p e z b w N T n L X > < a : K e y > < K e y > C o l u m n s \ R e p o r t T y p e < / K e y > < / a : K e y > < a : V a l u e   i : t y p e = " M e a s u r e G r i d N o d e V i e w S t a t e " > < C o l u m n > 5 < / C o l u m n > < L a y e d O u t > t r u e < / L a y e d O u t > < / a : V a l u e > < / a : K e y V a l u e O f D i a g r a m O b j e c t K e y a n y T y p e z b w N T n L X > < a : K e y V a l u e O f D i a g r a m O b j e c t K e y a n y T y p e z b w N T n L X > < a : K e y > < K e y > C o l u m n s \ 5@8>4  ( Y e a r ) < / K e y > < / a : K e y > < a : V a l u e   i : t y p e = " M e a s u r e G r i d N o d e V i e w S t a t e " > < C o l u m n > 8 < / C o l u m n > < L a y e d O u t > t r u e < / L a y e d O u t > < / a : V a l u e > < / a : K e y V a l u e O f D i a g r a m O b j e c t K e y a n y T y p e z b w N T n L X > < a : K e y V a l u e O f D i a g r a m O b j e c t K e y a n y T y p e z b w N T n L X > < a : K e y > < K e y > C o l u m n s \ 5@8>4  ( Q u a r t e r ) < / K e y > < / a : K e y > < a : V a l u e   i : t y p e = " M e a s u r e G r i d N o d e V i e w S t a t e " > < C o l u m n > 9 < / C o l u m n > < L a y e d O u t > t r u e < / L a y e d O u t > < / a : V a l u e > < / a : K e y V a l u e O f D i a g r a m O b j e c t K e y a n y T y p e z b w N T n L X > < a : K e y V a l u e O f D i a g r a m O b j e c t K e y a n y T y p e z b w N T n L X > < a : K e y > < K e y > C o l u m n s \ 5@8>4  ( M o n t h   I n d e x ) < / K e y > < / a : K e y > < a : V a l u e   i : t y p e = " M e a s u r e G r i d N o d e V i e w S t a t e " > < C o l u m n > 1 0 < / C o l u m n > < L a y e d O u t > t r u e < / L a y e d O u t > < / a : V a l u e > < / a : K e y V a l u e O f D i a g r a m O b j e c t K e y a n y T y p e z b w N T n L X > < a : K e y V a l u e O f D i a g r a m O b j e c t K e y a n y T y p e z b w N T n L X > < a : K e y > < K e y > C o l u m n s \ 5@8>4  ( M o n t h ) < / K e y > < / a : K e y > < a : V a l u e   i : t y p e = " M e a s u r e G r i d N o d e V i e w S t a t e " > < C o l u m n > 1 1 < / C o l u m n > < L a y e d O u t > t r u e < / L a y e d O u t > < / a : V a l u e > < / a : K e y V a l u e O f D i a g r a m O b j e c t K e y a n y T y p e z b w N T n L X > < a : K e y V a l u e O f D i a g r a m O b j e c t K e y a n y T y p e z b w N T n L X > < a : K e y > < K e y > C o l u m n s \ 5@8>4  ( Y e a r )   1 < / K e y > < / a : K e y > < a : V a l u e   i : t y p e = " M e a s u r e G r i d N o d e V i e w S t a t e " > < C o l u m n > 1 2 < / C o l u m n > < L a y e d O u t > t r u e < / L a y e d O u t > < / a : V a l u e > < / a : K e y V a l u e O f D i a g r a m O b j e c t K e y a n y T y p e z b w N T n L X > < a : K e y V a l u e O f D i a g r a m O b j e c t K e y a n y T y p e z b w N T n L X > < a : K e y > < K e y > C o l u m n s \ 5@8>4  ( Q u a r t e r )   1 < / K e y > < / a : K e y > < a : V a l u e   i : t y p e = " M e a s u r e G r i d N o d e V i e w S t a t e " > < C o l u m n > 1 3 < / C o l u m n > < L a y e d O u t > t r u e < / L a y e d O u t > < / a : V a l u e > < / a : K e y V a l u e O f D i a g r a m O b j e c t K e y a n y T y p e z b w N T n L X > < a : K e y V a l u e O f D i a g r a m O b j e c t K e y a n y T y p e z b w N T n L X > < a : K e y > < K e y > C o l u m n s \ 5@8>4  ( M o n t h   I n d e x )   1 < / K e y > < / a : K e y > < a : V a l u e   i : t y p e = " M e a s u r e G r i d N o d e V i e w S t a t e " > < C o l u m n > 1 4 < / C o l u m n > < L a y e d O u t > t r u e < / L a y e d O u t > < / a : V a l u e > < / a : K e y V a l u e O f D i a g r a m O b j e c t K e y a n y T y p e z b w N T n L X > < a : K e y V a l u e O f D i a g r a m O b j e c t K e y a n y T y p e z b w N T n L X > < a : K e y > < K e y > C o l u m n s \ 5@8>4  ( M o n t h )   1 < / K e y > < / a : K e y > < a : V a l u e   i : t y p e = " M e a s u r e G r i d N o d e V i e w S t a t e " > < C o l u m n > 1 5 < / C o l u m n > < L a y e d O u t > t r u e < / L a y e d O u t > < / a : V a l u e > < / a : K e y V a l u e O f D i a g r a m O b j e c t K e y a n y T y p e z b w N T n L X > < a : K e y V a l u e O f D i a g r a m O b j e c t K e y a n y T y p e z b w N T n L X > < a : K e y > < K e y > L i n k s \ & l t ; C o l u m n s \ S u m   o f   7=>A  3 & g t ; - & l t ; M e a s u r e s \ 7=>A& g t ; < / K e y > < / a : K e y > < a : V a l u e   i : t y p e = " M e a s u r e G r i d V i e w S t a t e I D i a g r a m L i n k " / > < / a : K e y V a l u e O f D i a g r a m O b j e c t K e y a n y T y p e z b w N T n L X > < a : K e y V a l u e O f D i a g r a m O b j e c t K e y a n y T y p e z b w N T n L X > < a : K e y > < K e y > L i n k s \ & l t ; C o l u m n s \ S u m   o f   7=>A  3 & g t ; - & l t ; M e a s u r e s \ 7=>A& g t ; \ C O L U M N < / K e y > < / a : K e y > < a : V a l u e   i : t y p e = " M e a s u r e G r i d V i e w S t a t e I D i a g r a m L i n k E n d p o i n t " / > < / a : K e y V a l u e O f D i a g r a m O b j e c t K e y a n y T y p e z b w N T n L X > < a : K e y V a l u e O f D i a g r a m O b j e c t K e y a n y T y p e z b w N T n L X > < a : K e y > < K e y > L i n k s \ & l t ; C o l u m n s \ S u m   o f   7=>A  3 & g t ; - & l t ; M e a s u r e s \ 7=>A& g t ; \ M E A S U R E < / K e y > < / a : K e y > < a : V a l u e   i : t y p e = " M e a s u r e G r i d V i e w S t a t e I D i a g r a m L i n k E n d p o i n t " / > < / a : K e y V a l u e O f D i a g r a m O b j e c t K e y a n y T y p e z b w N T n L X > < a : K e y V a l u e O f D i a g r a m O b j e c t K e y a n y T y p e z b w N T n L X > < a : K e y > < K e y > L i n k s \ & l t ; C o l u m n s \ S u m   o f   @0X=0  A>AB>X10  2@01>B5=8& g t ; - & l t ; M e a s u r e s \ @0X=0  A>AB>X10  2@01>B5=8& g t ; < / K e y > < / a : K e y > < a : V a l u e   i : t y p e = " M e a s u r e G r i d V i e w S t a t e I D i a g r a m L i n k " / > < / a : K e y V a l u e O f D i a g r a m O b j e c t K e y a n y T y p e z b w N T n L X > < a : K e y V a l u e O f D i a g r a m O b j e c t K e y a n y T y p e z b w N T n L X > < a : K e y > < K e y > L i n k s \ & l t ; C o l u m n s \ S u m   o f   @0X=0  A>AB>X10  2@01>B5=8& g t ; - & l t ; M e a s u r e s \ @0X=0  A>AB>X10  2@01>B5=8& g t ; \ C O L U M N < / K e y > < / a : K e y > < a : V a l u e   i : t y p e = " M e a s u r e G r i d V i e w S t a t e I D i a g r a m L i n k E n d p o i n t " / > < / a : K e y V a l u e O f D i a g r a m O b j e c t K e y a n y T y p e z b w N T n L X > < a : K e y V a l u e O f D i a g r a m O b j e c t K e y a n y T y p e z b w N T n L X > < a : K e y > < K e y > L i n k s \ & l t ; C o l u m n s \ S u m   o f   @0X=0  A>AB>X10  2@01>B5=8& g t ; - & l t ; M e a s u r e s \ @0X=0  A>AB>X10  2@01>B5=8& g t ; \ M E A S U R E < / K e y > < / a : K e y > < a : V a l u e   i : t y p e = " M e a s u r e G r i d V i e w S t a t e I D i a g r a m L i n k E n d p o i n t " / > < / a : K e y V a l u e O f D i a g r a m O b j e c t K e y a n y T y p e z b w N T n L X > < a : K e y V a l u e O f D i a g r a m O b j e c t K e y a n y T y p e z b w N T n L X > < a : K e y > < K e y > L i n k s \ & l t ; C o l u m n s \ S u m   o f   ;0=8@0=  ?@8;82/ ( >4;82) & g t ; - & l t ; M e a s u r e s \ ;0=8@0=  ?@8;82/ ( >4;82) & g t ; < / K e y > < / a : K e y > < a : V a l u e   i : t y p e = " M e a s u r e G r i d V i e w S t a t e I D i a g r a m L i n k " / > < / a : K e y V a l u e O f D i a g r a m O b j e c t K e y a n y T y p e z b w N T n L X > < a : K e y V a l u e O f D i a g r a m O b j e c t K e y a n y T y p e z b w N T n L X > < a : K e y > < K e y > L i n k s \ & l t ; C o l u m n s \ S u m   o f   ;0=8@0=  ?@8;82/ ( >4;82) & g t ; - & l t ; M e a s u r e s \ ;0=8@0=  ?@8;82/ ( >4;82) & g t ; \ C O L U M N < / K e y > < / a : K e y > < a : V a l u e   i : t y p e = " M e a s u r e G r i d V i e w S t a t e I D i a g r a m L i n k E n d p o i n t " / > < / a : K e y V a l u e O f D i a g r a m O b j e c t K e y a n y T y p e z b w N T n L X > < a : K e y V a l u e O f D i a g r a m O b j e c t K e y a n y T y p e z b w N T n L X > < a : K e y > < K e y > L i n k s \ & l t ; C o l u m n s \ S u m   o f   ;0=8@0=  ?@8;82/ ( >4;82) & g t ; - & l t ; M e a s u r e s \ ;0=8@0=  ?@8;82/ ( >4;82) & g t ; \ M E A S U R E < / K e y > < / a : K e y > < a : V a l u e   i : t y p e = " M e a s u r e G r i d V i e w S t a t e I D i a g r a m L i n k E n d p o i n t " / > < / a : K e y V a l u e O f D i a g r a m O b j e c t K e y a n y T y p e z b w N T n L X > < / V i e w S t a t e s > < / D i a g r a m M a n a g e r . S e r i a l i z a b l e D i a g r a m > < D i a g r a m M a n a g e r . S e r i a l i z a b l e D i a g r a m > < A d a p t e r   i : t y p e = " M e a s u r e D i a g r a m S a n d b o x A d a p t e r " > < T a b l e N a m e > f O P E X   -   < / 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 f O P E X   -   < / 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K e y > < / D i a g r a m O b j e c t K e y > < D i a g r a m O b j e c t K e y > < K e y > C o l u m n s \ @54<5B  =0  X02=0  =0102:0< / K e y > < / D i a g r a m O b j e c t K e y > < D i a g r a m O b j e c t K e y > < K e y > C o l u m n s \ @542845=  40BC<  =0  =0102:0< / K e y > < / D i a g r a m O b j e c t K e y > < D i a g r a m O b j e c t K e y > < K e y > C o l u m n s \ @>F5=5B0  2@54=>AB  =0  =0102:0  A>    ( 45=0@8) < / K e y > < / D i a g r a m O b j e c t K e y > < D i a g r a m O b j e c t K e y > < K e y > C o l u m n s \ R e p o r t T y p e 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K e y > < / a : K e y > < a : V a l u e   i : t y p e = " M e a s u r e G r i d N o d e V i e w S t a t e " > < L a y e d O u t > t r u e < / L a y e d O u t > < / a : V a l u e > < / a : K e y V a l u e O f D i a g r a m O b j e c t K e y a n y T y p e z b w N T n L X > < a : K e y V a l u e O f D i a g r a m O b j e c t K e y a n y T y p e z b w N T n L X > < a : K e y > < K e y > C o l u m n s \ @54<5B  =0  X02=0  =0102:0< / K e y > < / a : K e y > < a : V a l u e   i : t y p e = " M e a s u r e G r i d N o d e V i e w S t a t e " > < C o l u m n > 1 < / C o l u m n > < L a y e d O u t > t r u e < / L a y e d O u t > < / a : V a l u e > < / a : K e y V a l u e O f D i a g r a m O b j e c t K e y a n y T y p e z b w N T n L X > < a : K e y V a l u e O f D i a g r a m O b j e c t K e y a n y T y p e z b w N T n L X > < a : K e y > < K e y > C o l u m n s \ @542845=  40BC<  =0  =0102:0< / K e y > < / a : K e y > < a : V a l u e   i : t y p e = " M e a s u r e G r i d N o d e V i e w S t a t e " > < C o l u m n > 2 < / C o l u m n > < L a y e d O u t > t r u e < / L a y e d O u t > < / a : V a l u e > < / a : K e y V a l u e O f D i a g r a m O b j e c t K e y a n y T y p e z b w N T n L X > < a : K e y V a l u e O f D i a g r a m O b j e c t K e y a n y T y p e z b w N T n L X > < a : K e y > < K e y > C o l u m n s \ @>F5=5B0  2@54=>AB  =0  =0102:0  A>    ( 45=0@8) < / K e y > < / a : K e y > < a : V a l u e   i : t y p e = " M e a s u r e G r i d N o d e V i e w S t a t e " > < C o l u m n > 3 < / C o l u m n > < L a y e d O u t > t r u e < / L a y e d O u t > < / a : V a l u e > < / a : K e y V a l u e O f D i a g r a m O b j e c t K e y a n y T y p e z b w N T n L X > < a : K e y V a l u e O f D i a g r a m O b j e c t K e y a n y T y p e z b w N T n L X > < a : K e y > < K e y > C o l u m n s \ R e p o r t T y p e < / K e y > < / a : K e y > < a : V a l u e   i : t y p e = " M e a s u r e G r i d N o d e V i e w S t a t e " > < C o l u m n > 4 < / 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 T a g s \ T a b l e s \ & l t ; T a b l e s \ C a l e n d a r & g t ; < / K e y > < / D i a g r a m O b j e c t K e y > < D i a g r a m O b j e c t K e y > < K e y > D y n a m i c   T a g s \ H i e r a r c h i e s \ & l t ; T a b l e s \ C a l e n d a r \ H i e r a r c h i e s \ D a t e   H i e r a r c h y & g t ; < / K e y > < / D i a g r a m O b j e c t K e y > < D i a g r a m O b j e c t K e y > < K e y > D y n a m i c   T a g s \ T a b l e s \ & l t ; T a b l e s \ C A P E X & g t ; < / K e y > < / D i a g r a m O b j e c t K e y > < D i a g r a m O b j e c t K e y > < K e y > D y n a m i c   T a g s \ T a b l e s \ & l t ; T a b l e s \ A m o r t i z a c i j a & g t ; < / K e y > < / D i a g r a m O b j e c t K e y > < D i a g r a m O b j e c t K e y > < K e y > D y n a m i c   T a g s \ T a b l e s \ & l t ; T a b l e s \ f C o v e c k i R e s u r s i & g t ; < / K e y > < / D i a g r a m O b j e c t K e y > < D i a g r a m O b j e c t K e y > < K e y > D y n a m i c   T a g s \ T a b l e s \ & l t ; T a b l e s \ f O P E X & g t ; < / K e y > < / D i a g r a m O b j e c t K e y > < D i a g r a m O b j e c t K e y > < K e y > D y n a m i c   T a g s \ T a b l e s \ & l t ; T a b l e s \ O P E X A n a l i z a & g t ; < / K e y > < / D i a g r a m O b j e c t K e y > < D i a g r a m O b j e c t K e y > < K e y > D y n a m i c   T a g s \ T a b l e s \ & l t ; T a b l e s \ f O P E X   -   & g t ; < / K e y > < / D i a g r a m O b j e c t K e y > < D i a g r a m O b j e c t K e y > < K e y > D y n a m i c   T a g s \ T a b l e s \ & l t ; T a b l e s \ r A r t i k l i A n a l i z a & g t ; < / K e y > < / D i a g r a m O b j e c t K e y > < D i a g r a m O b j e c t K e y > < K e y > D y n a m i c   T a g s \ T a b l e s \ & l t ; T a b l e s \ f A r t i k l i C e n i & g t ; < / K e y > < / D i a g r a m O b j e c t K e y > < D i a g r a m O b j e c t K e y > < K e y > D y n a m i c   T a g s \ T a b l e s \ & l t ; T a b l e s \ r A r t i k l i _ H R _ A n a l i z a & g t ; < / K e y > < / D i a g r a m O b j e c t K e y > < D i a g r a m O b j e c t K e y > < K e y > D y n a m i c   T a g s \ T a b l e s \ & l t ; T a b l e s \ f A c t u a l A n d B u d g e t & g t ; < / K e y > < / D i a g r a m O b j e c t K e y > < D i a g r a m O b j e c t K e y > < K e y > T a b l e s \ C a l e n d a r < / K e y > < / D i a g r a m O b j e c t K e y > < D i a g r a m O b j e c t K e y > < K e y > T a b l e s \ C a l e n d a r \ C o l u m n s \ D a t e < / K e y > < / D i a g r a m O b j e c t K e y > < D i a g r a m O b j e c t K e y > < K e y > T a b l e s \ C a l e n d a r \ C o l u m n s \ >48=0< / K e y > < / D i a g r a m O b j e c t K e y > < D i a g r a m O b j e c t K e y > < K e y > T a b l e s \ C a l e n d a r \ C o l u m n s \ M o n t h   N u m b e r < / K e y > < / D i a g r a m O b j e c t K e y > < D i a g r a m O b j e c t K e y > < K e y > T a b l e s \ C a l e n d a r \ C o l u m n s \ 5A5F< / K e y > < / D i a g r a m O b j e c t K e y > < D i a g r a m O b j e c t K e y > < K e y > T a b l e s \ C a l e n d a r \ C o l u m n s \ M M M - Y Y Y Y < / K e y > < / D i a g r a m O b j e c t K e y > < D i a g r a m O b j e c t K e y > < K e y > T a b l e s \ C a l e n d a r \ C o l u m n s \ D a y   O f   W e e k   N u m b e r < / K e y > < / D i a g r a m O b j e c t K e y > < D i a g r a m O b j e c t K e y > < K e y > T a b l e s \ C a l e n d a r \ C o l u m n s \ D a y   O f   W e e k < / K e y > < / D i a g r a m O b j e c t K e y > < D i a g r a m O b j e c t K e y > < K e y > T a b l e s \ C a l e n d a r \ C o l u m n s \ 20@B0;< / 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 T a b l e s \ C A P E X < / K e y > < / D i a g r a m O b j e c t K e y > < D i a g r a m O b j e c t K e y > < K e y > T a b l e s \ C A P E X \ C o l u m n s \ >48=0  70  @50;870F8X0  =0  ?@>5:B< / K e y > < / D i a g r a m O b j e c t K e y > < D i a g r a m O b j e c t K e y > < K e y > T a b l e s \ C A P E X \ C o l u m n s \ @>X  =0  X02=0  =0102:0  ( ?;0=) < / K e y > < / D i a g r a m O b j e c t K e y > < D i a g r a m O b j e c t K e y > < K e y > T a b l e s \ C A P E X \ C o l u m n s \ @54<5B  =0  4>3>2>@>B  70  X02=0  =0102:0< / K e y > < / D i a g r a m O b j e c t K e y > < D i a g r a m O b j e c t K e y > < K e y > T a b l e s \ C A P E X \ C o l u m n s \ G5:C20=  40BC<  =0  ?;0\0Z5< / K e y > < / D i a g r a m O b j e c t K e y > < D i a g r a m O b j e c t K e y > < K e y > T a b l e s \ C A P E X \ C o l u m n s \ G5:C20=  40BC<  70  AB020Z5  2>  C?>B@510  ( <5A5F) < / K e y > < / D i a g r a m O b j e c t K e y > < D i a g r a m O b j e c t K e y > < K e y > T a b l e s \ C A P E X \ C o l u m n s \ @>F5=5B0  2@54=>AB  =0  =0102:0  A>    ( 45=0@8) < / K e y > < / D i a g r a m O b j e c t K e y > < D i a g r a m O b j e c t K e y > < K e y > T a b l e s \ C A P E X \ C o l u m n s \ !B0?:0  =0  0<>@B870F8X0< / K e y > < / D i a g r a m O b j e c t K e y > < D i a g r a m O b j e c t K e y > < K e y > T a b l e s \ C A P E X \ C o l u m n s \ >=B>  !@54AB20< / K e y > < / D i a g r a m O b j e c t K e y > < D i a g r a m O b j e c t K e y > < K e y > T a b l e s \ C A P E X \ C o l u m n s \ >=B>  <>@B870F8X0< / K e y > < / D i a g r a m O b j e c t K e y > < D i a g r a m O b j e c t K e y > < K e y > T a b l e s \ C A P E X \ C o l u m n s \ 7=>A  4>=0F8X0< / K e y > < / D i a g r a m O b j e c t K e y > < D i a g r a m O b j e c t K e y > < K e y > T a b l e s \ C A P E X \ C o l u m n s \ G5:C20=  40BC<  =0  ?;0\0Z5  ( Y e a r ) < / K e y > < / D i a g r a m O b j e c t K e y > < D i a g r a m O b j e c t K e y > < K e y > T a b l e s \ C A P E X \ C o l u m n s \ G5:C20=  40BC<  =0  ?;0\0Z5  ( Q u a r t e r ) < / K e y > < / D i a g r a m O b j e c t K e y > < D i a g r a m O b j e c t K e y > < K e y > T a b l e s \ C A P E X \ C o l u m n s \ G5:C20=  40BC<  =0  ?;0\0Z5  ( M o n t h   I n d e x ) < / K e y > < / D i a g r a m O b j e c t K e y > < D i a g r a m O b j e c t K e y > < K e y > T a b l e s \ C A P E X \ C o l u m n s \ G5:C20=  40BC<  =0  ?;0\0Z5  ( M o n t h ) < / K e y > < / D i a g r a m O b j e c t K e y > < D i a g r a m O b j e c t K e y > < K e y > T a b l e s \ C A P E X \ M e a s u r e s \ C o u n t   o f   @>F5=5B0  2@54=>AB  =0  =0102:0  A>    ( 45=0@8) < / K e y > < / D i a g r a m O b j e c t K e y > < D i a g r a m O b j e c t K e y > < K e y > T a b l e s \ C A P E X \ C o u n t   o f   @>F5=5B0  2@54=>AB  =0  =0102:0  A>    ( 45=0@8) \ A d d i t i o n a l   I n f o \ I m p l i c i t   M e a s u r e < / K e y > < / D i a g r a m O b j e c t K e y > < D i a g r a m O b j e c t K e y > < K e y > T a b l e s \ C A P E X \ M e a s u r e s \ S u m   o f   @>F5=5B0  2@54=>AB  =0  =0102:0  A>    ( 45=0@8) < / K e y > < / D i a g r a m O b j e c t K e y > < D i a g r a m O b j e c t K e y > < K e y > T a b l e s \ C A P E X \ S u m   o f   @>F5=5B0  2@54=>AB  =0  =0102:0  A>    ( 45=0@8) \ A d d i t i o n a l   I n f o \ I m p l i c i t   M e a s u r e < / K e y > < / D i a g r a m O b j e c t K e y > < D i a g r a m O b j e c t K e y > < K e y > T a b l e s \ C A P E X \ M e a s u r e s \ S u m   o f   7=>A  4>=0F8X0< / K e y > < / D i a g r a m O b j e c t K e y > < D i a g r a m O b j e c t K e y > < K e y > T a b l e s \ C A P E X \ S u m   o f   7=>A  4>=0F8X0\ A d d i t i o n a l   I n f o \ I m p l i c i t   M e a s u r e < / K e y > < / D i a g r a m O b j e c t K e y > < D i a g r a m O b j e c t K e y > < K e y > T a b l e s \ A m o r t i z a c i j a < / K e y > < / D i a g r a m O b j e c t K e y > < D i a g r a m O b j e c t K e y > < K e y > T a b l e s \ A m o r t i z a c i j a \ C o l u m n s \ @>X  =0  X02=0  =0102:0  ( ?;0=) < / K e y > < / D i a g r a m O b j e c t K e y > < D i a g r a m O b j e c t K e y > < K e y > T a b l e s \ A m o r t i z a c i j a \ C o l u m n s \ !B02:0< / K e y > < / D i a g r a m O b j e c t K e y > < D i a g r a m O b j e c t K e y > < K e y > T a b l e s \ A m o r t i z a c i j a \ C o l u m n s \ 5@8>4< / K e y > < / D i a g r a m O b j e c t K e y > < D i a g r a m O b j e c t K e y > < K e y > T a b l e s \ A m o r t i z a c i j a \ C o l u m n s \ 7=>A< / K e y > < / D i a g r a m O b j e c t K e y > < D i a g r a m O b j e c t K e y > < K e y > T a b l e s \ A m o r t i z a c i j a \ C o l u m n s \ >=B>< / K e y > < / D i a g r a m O b j e c t K e y > < D i a g r a m O b j e c t K e y > < K e y > T a b l e s \ A m o r t i z a c i j a \ C o l u m n s \ R e p o r t T y p e < / K e y > < / D i a g r a m O b j e c t K e y > < D i a g r a m O b j e c t K e y > < K e y > T a b l e s \ A m o r t i z a c i j a \ M e a s u r e s \ S u m   o f   7=>A  2 < / K e y > < / D i a g r a m O b j e c t K e y > < D i a g r a m O b j e c t K e y > < K e y > T a b l e s \ A m o r t i z a c i j a \ S u m   o f   7=>A  2 \ A d d i t i o n a l   I n f o \ I m p l i c i t   M e a s u r e < / K e y > < / D i a g r a m O b j e c t K e y > < D i a g r a m O b j e c t K e y > < K e y > T a b l e s \ f C o v e c k i R e s u r s i < / K e y > < / D i a g r a m O b j e c t K e y > < D i a g r a m O b j e c t K e y > < K e y > T a b l e s \ f C o v e c k i R e s u r s i \ C o l u m n s \ !B02:0< / K e y > < / D i a g r a m O b j e c t K e y > < D i a g r a m O b j e c t K e y > < K e y > T a b l e s \ f C o v e c k i R e s u r s i \ C o l u m n s \ "8?  =0  2@01>BC20Z5< / K e y > < / D i a g r a m O b j e c t K e y > < D i a g r a m O b j e c t K e y > < K e y > T a b l e s \ f C o v e c k i R e s u r s i \ C o l u m n s \ ;0=8@0=  ?@8;82/ ( >4;82) < / K e y > < / D i a g r a m O b j e c t K e y > < D i a g r a m O b j e c t K e y > < K e y > T a b l e s \ f C o v e c k i R e s u r s i \ C o l u m n s \ 5@8>4< / K e y > < / D i a g r a m O b j e c t K e y > < D i a g r a m O b j e c t K e y > < K e y > T a b l e s \ f C o v e c k i R e s u r s i \ C o l u m n s \ @0X=0  A>AB>X10  2@01>B5=8< / K e y > < / D i a g r a m O b j e c t K e y > < D i a g r a m O b j e c t K e y > < K e y > T a b l e s \ f C o v e c k i R e s u r s i \ C o l u m n s \ 7=>A< / K e y > < / D i a g r a m O b j e c t K e y > < D i a g r a m O b j e c t K e y > < K e y > T a b l e s \ f C o v e c k i R e s u r s i \ C o l u m n s \ >=B>< / K e y > < / D i a g r a m O b j e c t K e y > < D i a g r a m O b j e c t K e y > < K e y > T a b l e s \ f C o v e c k i R e s u r s i \ C o l u m n s \ R e p o r t T y p e < / K e y > < / D i a g r a m O b j e c t K e y > < D i a g r a m O b j e c t K e y > < K e y > T a b l e s \ f C o v e c k i R e s u r s i \ C o l u m n s \ 5@8>4  ( Y e a r ) < / K e y > < / D i a g r a m O b j e c t K e y > < D i a g r a m O b j e c t K e y > < K e y > T a b l e s \ f C o v e c k i R e s u r s i \ C o l u m n s \ 5@8>4  ( Q u a r t e r ) < / K e y > < / D i a g r a m O b j e c t K e y > < D i a g r a m O b j e c t K e y > < K e y > T a b l e s \ f C o v e c k i R e s u r s i \ C o l u m n s \ 5@8>4  ( M o n t h   I n d e x ) < / K e y > < / D i a g r a m O b j e c t K e y > < D i a g r a m O b j e c t K e y > < K e y > T a b l e s \ f C o v e c k i R e s u r s i \ C o l u m n s \ 5@8>4  ( M o n t h ) < / K e y > < / D i a g r a m O b j e c t K e y > < D i a g r a m O b j e c t K e y > < K e y > T a b l e s \ f C o v e c k i R e s u r s i \ C o l u m n s \ 5@8>4  ( Y e a r )   1 < / K e y > < / D i a g r a m O b j e c t K e y > < D i a g r a m O b j e c t K e y > < K e y > T a b l e s \ f C o v e c k i R e s u r s i \ C o l u m n s \ 5@8>4  ( Q u a r t e r )   1 < / K e y > < / D i a g r a m O b j e c t K e y > < D i a g r a m O b j e c t K e y > < K e y > T a b l e s \ f C o v e c k i R e s u r s i \ C o l u m n s \ 5@8>4  ( M o n t h   I n d e x )   1 < / K e y > < / D i a g r a m O b j e c t K e y > < D i a g r a m O b j e c t K e y > < K e y > T a b l e s \ f C o v e c k i R e s u r s i \ C o l u m n s \ 5@8>4  ( M o n t h )   1 < / K e y > < / D i a g r a m O b j e c t K e y > < D i a g r a m O b j e c t K e y > < K e y > T a b l e s \ f C o v e c k i R e s u r s i \ M e a s u r e s \ S u m   o f   7=>A  3 < / K e y > < / D i a g r a m O b j e c t K e y > < D i a g r a m O b j e c t K e y > < K e y > T a b l e s \ f C o v e c k i R e s u r s i \ S u m   o f   7=>A  3 \ A d d i t i o n a l   I n f o \ I m p l i c i t   M e a s u r e < / K e y > < / D i a g r a m O b j e c t K e y > < D i a g r a m O b j e c t K e y > < K e y > T a b l e s \ f C o v e c k i R e s u r s i \ M e a s u r e s \ S u m   o f   @0X=0  A>AB>X10  2@01>B5=8< / K e y > < / D i a g r a m O b j e c t K e y > < D i a g r a m O b j e c t K e y > < K e y > T a b l e s \ f C o v e c k i R e s u r s i \ S u m   o f   @0X=0  A>AB>X10  2@01>B5=8\ A d d i t i o n a l   I n f o \ I m p l i c i t   M e a s u r e < / K e y > < / D i a g r a m O b j e c t K e y > < D i a g r a m O b j e c t K e y > < K e y > T a b l e s \ f C o v e c k i R e s u r s i \ M e a s u r e s \ S u m   o f   ;0=8@0=  ?@8;82/ ( >4;82) < / K e y > < / D i a g r a m O b j e c t K e y > < D i a g r a m O b j e c t K e y > < K e y > T a b l e s \ f C o v e c k i R e s u r s i \ S u m   o f   ;0=8@0=  ?@8;82/ ( >4;82) \ A d d i t i o n a l   I n f o \ I m p l i c i t   M e a s u r e < / K e y > < / D i a g r a m O b j e c t K e y > < D i a g r a m O b j e c t K e y > < K e y > T a b l e s \ f O P E X < / K e y > < / D i a g r a m O b j e c t K e y > < D i a g r a m O b j e c t K e y > < K e y > T a b l e s \ f O P E X \ C o l u m n s \ >=B>< / K e y > < / D i a g r a m O b j e c t K e y > < D i a g r a m O b j e c t K e y > < K e y > T a b l e s \ f O P E X \ C o l u m n s \ !B02:0< / K e y > < / D i a g r a m O b j e c t K e y > < D i a g r a m O b j e c t K e y > < K e y > T a b l e s \ f O P E X \ C o l u m n s \ 5@8>4< / K e y > < / D i a g r a m O b j e c t K e y > < D i a g r a m O b j e c t K e y > < K e y > T a b l e s \ f O P E X \ C o l u m n s \ 7=>A< / K e y > < / D i a g r a m O b j e c t K e y > < D i a g r a m O b j e c t K e y > < K e y > T a b l e s \ f O P E X \ C o l u m n s \ R e p o r t T y p e < / K e y > < / D i a g r a m O b j e c t K e y > < D i a g r a m O b j e c t K e y > < K e y > T a b l e s \ O P E X A n a l i z a < / K e y > < / D i a g r a m O b j e c t K e y > < D i a g r a m O b j e c t K e y > < K e y > T a b l e s \ O P E X A n a l i z a \ C o l u m n s \ !B02:0< / K e y > < / D i a g r a m O b j e c t K e y > < D i a g r a m O b j e c t K e y > < K e y > T a b l e s \ O P E X A n a l i z a \ C o l u m n s \ 7=>A< / K e y > < / D i a g r a m O b j e c t K e y > < D i a g r a m O b j e c t K e y > < K e y > T a b l e s \ O P E X A n a l i z a \ C o l u m n s \ >=B>< / K e y > < / D i a g r a m O b j e c t K e y > < D i a g r a m O b j e c t K e y > < K e y > T a b l e s \ O P E X A n a l i z a \ C o l u m n s \ S t a v k a I m e M K < / K e y > < / D i a g r a m O b j e c t K e y > < D i a g r a m O b j e c t K e y > < K e y > T a b l e s \ O P E X A n a l i z a \ C o l u m n s \ S t a v k a A O P < / K e y > < / D i a g r a m O b j e c t K e y > < D i a g r a m O b j e c t K e y > < K e y > T a b l e s \ O P E X A n a l i z a \ C o l u m n s \ S t a v k a G r u p a < / K e y > < / D i a g r a m O b j e c t K e y > < D i a g r a m O b j e c t K e y > < K e y > T a b l e s \ O P E X A n a l i z a \ C o l u m n s \ S t a v k a K a t e g o r i j a < / K e y > < / D i a g r a m O b j e c t K e y > < D i a g r a m O b j e c t K e y > < K e y > T a b l e s \ O P E X A n a l i z a \ C o l u m n s \ O b r a z e c I m e < / K e y > < / D i a g r a m O b j e c t K e y > < D i a g r a m O b j e c t K e y > < K e y > T a b l e s \ O P E X A n a l i z a \ C o l u m n s \ 5@8>4< / K e y > < / D i a g r a m O b j e c t K e y > < D i a g r a m O b j e c t K e y > < K e y > T a b l e s \ O P E X A n a l i z a \ C o l u m n s \ R e p o r t T y p e < / K e y > < / D i a g r a m O b j e c t K e y > < D i a g r a m O b j e c t K e y > < K e y > T a b l e s \ O P E X A n a l i z a \ C o l u m n s \ S t a v k a I m e A O P < / K e y > < / D i a g r a m O b j e c t K e y > < D i a g r a m O b j e c t K e y > < K e y > T a b l e s \ O P E X A n a l i z a \ C o l u m n s \ 5@8>4  ( Y e a r ) < / K e y > < / D i a g r a m O b j e c t K e y > < D i a g r a m O b j e c t K e y > < K e y > T a b l e s \ O P E X A n a l i z a \ C o l u m n s \ 5@8>4  ( Q u a r t e r ) < / K e y > < / D i a g r a m O b j e c t K e y > < D i a g r a m O b j e c t K e y > < K e y > T a b l e s \ O P E X A n a l i z a \ C o l u m n s \ 5@8>4  ( M o n t h   I n d e x ) < / K e y > < / D i a g r a m O b j e c t K e y > < D i a g r a m O b j e c t K e y > < K e y > T a b l e s \ O P E X A n a l i z a \ C o l u m n s \ 5@8>4  ( M o n t h ) < / K e y > < / D i a g r a m O b j e c t K e y > < D i a g r a m O b j e c t K e y > < K e y > T a b l e s \ O P E X A n a l i z a \ M e a s u r e s \ S u m   o f   7=>A  4 < / K e y > < / D i a g r a m O b j e c t K e y > < D i a g r a m O b j e c t K e y > < K e y > T a b l e s \ O P E X A n a l i z a \ S u m   o f   7=>A  4 \ A d d i t i o n a l   I n f o \ I m p l i c i t   M e a s u r e < / K e y > < / D i a g r a m O b j e c t K e y > < D i a g r a m O b j e c t K e y > < K e y > T a b l e s \ f O P E X   -   < / K e y > < / D i a g r a m O b j e c t K e y > < D i a g r a m O b j e c t K e y > < K e y > T a b l e s \ f O P E X   -   \ C o l u m n s \ >=B>< / K e y > < / D i a g r a m O b j e c t K e y > < D i a g r a m O b j e c t K e y > < K e y > T a b l e s \ f O P E X   -   \ C o l u m n s \ @54<5B  =0  X02=0  =0102:0< / K e y > < / D i a g r a m O b j e c t K e y > < D i a g r a m O b j e c t K e y > < K e y > T a b l e s \ f O P E X   -   \ C o l u m n s \ @542845=  40BC<  =0  =0102:0< / K e y > < / D i a g r a m O b j e c t K e y > < D i a g r a m O b j e c t K e y > < K e y > T a b l e s \ f O P E X   -   \ C o l u m n s \ @>F5=5B0  2@54=>AB  =0  =0102:0  A>    ( 45=0@8) < / K e y > < / D i a g r a m O b j e c t K e y > < D i a g r a m O b j e c t K e y > < K e y > T a b l e s \ f O P E X   -   \ C o l u m n s \ R e p o r t T y p e < / K e y > < / D i a g r a m O b j e c t K e y > < D i a g r a m O b j e c t K e y > < K e y > T a b l e s \ r A r t i k l i A n a l i z a < / K e y > < / D i a g r a m O b j e c t K e y > < D i a g r a m O b j e c t K e y > < K e y > T a b l e s \ r A r t i k l i A n a l i z a \ C o l u m n s \ !B02:0< / K e y > < / D i a g r a m O b j e c t K e y > < D i a g r a m O b j e c t K e y > < K e y > T a b l e s \ r A r t i k l i A n a l i z a \ C o l u m n s \ 7=>A< / K e y > < / D i a g r a m O b j e c t K e y > < D i a g r a m O b j e c t K e y > < K e y > T a b l e s \ r A r t i k l i A n a l i z a \ C o l u m n s \ >=B>< / K e y > < / D i a g r a m O b j e c t K e y > < D i a g r a m O b j e c t K e y > < K e y > T a b l e s \ r A r t i k l i A n a l i z a \ C o l u m n s \ S t a v k a I m e M K < / K e y > < / D i a g r a m O b j e c t K e y > < D i a g r a m O b j e c t K e y > < K e y > T a b l e s \ r A r t i k l i A n a l i z a \ C o l u m n s \ S t a v k a A O P < / K e y > < / D i a g r a m O b j e c t K e y > < D i a g r a m O b j e c t K e y > < K e y > T a b l e s \ r A r t i k l i A n a l i z a \ C o l u m n s \ S t a v k a G r u p a < / K e y > < / D i a g r a m O b j e c t K e y > < D i a g r a m O b j e c t K e y > < K e y > T a b l e s \ r A r t i k l i A n a l i z a \ C o l u m n s \ S t a v k a K a t e g o r i j a < / K e y > < / D i a g r a m O b j e c t K e y > < D i a g r a m O b j e c t K e y > < K e y > T a b l e s \ r A r t i k l i A n a l i z a \ C o l u m n s \ O b r a z e c I m e < / K e y > < / D i a g r a m O b j e c t K e y > < D i a g r a m O b j e c t K e y > < K e y > T a b l e s \ r A r t i k l i A n a l i z a \ C o l u m n s \ 5@8>4< / K e y > < / D i a g r a m O b j e c t K e y > < D i a g r a m O b j e c t K e y > < K e y > T a b l e s \ r A r t i k l i A n a l i z a \ C o l u m n s \ R e p o r t T y p e < / K e y > < / D i a g r a m O b j e c t K e y > < D i a g r a m O b j e c t K e y > < K e y > T a b l e s \ r A r t i k l i A n a l i z a \ C o l u m n s \ 5@8>4  ( Y e a r ) < / K e y > < / D i a g r a m O b j e c t K e y > < D i a g r a m O b j e c t K e y > < K e y > T a b l e s \ r A r t i k l i A n a l i z a \ C o l u m n s \ 5@8>4  ( Q u a r t e r ) < / K e y > < / D i a g r a m O b j e c t K e y > < D i a g r a m O b j e c t K e y > < K e y > T a b l e s \ r A r t i k l i A n a l i z a \ C o l u m n s \ 5@8>4  ( M o n t h   I n d e x ) < / K e y > < / D i a g r a m O b j e c t K e y > < D i a g r a m O b j e c t K e y > < K e y > T a b l e s \ r A r t i k l i A n a l i z a \ C o l u m n s \ 5@8>4  ( M o n t h ) < / K e y > < / D i a g r a m O b j e c t K e y > < D i a g r a m O b j e c t K e y > < K e y > T a b l e s \ r A r t i k l i A n a l i z a \ M e a s u r e s \ S u m   o f   7=>A  5 < / K e y > < / D i a g r a m O b j e c t K e y > < D i a g r a m O b j e c t K e y > < K e y > T a b l e s \ r A r t i k l i A n a l i z a \ S u m   o f   7=>A  5 \ A d d i t i o n a l   I n f o \ I m p l i c i t   M e a s u r e < / K e y > < / D i a g r a m O b j e c t K e y > < D i a g r a m O b j e c t K e y > < K e y > T a b l e s \ f A r t i k l i C e n i < / K e y > < / D i a g r a m O b j e c t K e y > < D i a g r a m O b j e c t K e y > < K e y > T a b l e s \ f A r t i k l i C e n i \ C o l u m n s \ !B02:0< / K e y > < / D i a g r a m O b j e c t K e y > < D i a g r a m O b j e c t K e y > < K e y > T a b l e s \ f A r t i k l i C e n i \ C o l u m n s \ 0B53>@8X0  @B8:;< / K e y > < / D i a g r a m O b j e c t K e y > < D i a g r a m O b j e c t K e y > < K e y > T a b l e s \ f A r t i k l i C e n i \ C o l u m n s \ "8?  =0  0@B8:;< / K e y > < / D i a g r a m O b j e c t K e y > < D i a g r a m O b j e c t K e y > < K e y > T a b l e s \ f A r t i k l i C e n i \ C o l u m n s \ 48=5G=0  <5@:0< / K e y > < / D i a g r a m O b j e c t K e y > < D i a g r a m O b j e c t K e y > < K e y > T a b l e s \ f A r t i k l i C e n i \ C o l u m n s \ >;8G8=0< / K e y > < / D i a g r a m O b j e c t K e y > < D i a g r a m O b j e c t K e y > < K e y > T a b l e s \ f A r t i k l i C e n i \ C o l u m n s \ 48=5G=0  F5=0< / K e y > < / D i a g r a m O b j e c t K e y > < D i a g r a m O b j e c t K e y > < K e y > T a b l e s \ f A r t i k l i C e n i \ C o l u m n s \ :C?=>  B@>H>:< / K e y > < / D i a g r a m O b j e c t K e y > < D i a g r a m O b j e c t K e y > < K e y > T a b l e s \ f A r t i k l i C e n i \ C o l u m n s \ < / K e y > < / D i a g r a m O b j e c t K e y > < D i a g r a m O b j e c t K e y > < K e y > T a b l e s \ f A r t i k l i C e n i \ C o l u m n s \ 7=>A< / K e y > < / D i a g r a m O b j e c t K e y > < D i a g r a m O b j e c t K e y > < K e y > T a b l e s \ f A r t i k l i C e n i \ C o l u m n s \ >=B>< / K e y > < / D i a g r a m O b j e c t K e y > < D i a g r a m O b j e c t K e y > < K e y > T a b l e s \ f A r t i k l i C e n i \ C o l u m n s \ R e p o r t T y p e < / K e y > < / D i a g r a m O b j e c t K e y > < D i a g r a m O b j e c t K e y > < K e y > T a b l e s \ f A r t i k l i C e n i \ C o l u m n s \ 5@8>4< / K e y > < / D i a g r a m O b j e c t K e y > < D i a g r a m O b j e c t K e y > < K e y > T a b l e s \ f A r t i k l i C e n i \ C o l u m n s \ S t a v k a I m e M K < / K e y > < / D i a g r a m O b j e c t K e y > < D i a g r a m O b j e c t K e y > < K e y > T a b l e s \ f A r t i k l i C e n i \ C o l u m n s \ S t a v k a A O P < / K e y > < / D i a g r a m O b j e c t K e y > < D i a g r a m O b j e c t K e y > < K e y > T a b l e s \ f A r t i k l i C e n i \ C o l u m n s \ S t a v k a G r u p a < / K e y > < / D i a g r a m O b j e c t K e y > < D i a g r a m O b j e c t K e y > < K e y > T a b l e s \ f A r t i k l i C e n i \ C o l u m n s \ S t a v k a K a t e g o r i j a < / K e y > < / D i a g r a m O b j e c t K e y > < D i a g r a m O b j e c t K e y > < K e y > T a b l e s \ f A r t i k l i C e n i \ C o l u m n s \ O b r a z e c I m e < / K e y > < / D i a g r a m O b j e c t K e y > < D i a g r a m O b j e c t K e y > < K e y > T a b l e s \ f A r t i k l i C e n i \ M e a s u r e s \ S u m   o f   :C?=>  B@>H>:< / K e y > < / D i a g r a m O b j e c t K e y > < D i a g r a m O b j e c t K e y > < K e y > T a b l e s \ f A r t i k l i C e n i \ S u m   o f   :C?=>  B@>H>:\ A d d i t i o n a l   I n f o \ I m p l i c i t   M e a s u r e < / K e y > < / D i a g r a m O b j e c t K e y > < D i a g r a m O b j e c t K e y > < K e y > T a b l e s \ f A r t i k l i C e n i \ M e a s u r e s \ S u m   o f   >;8G8=0< / K e y > < / D i a g r a m O b j e c t K e y > < D i a g r a m O b j e c t K e y > < K e y > T a b l e s \ f A r t i k l i C e n i \ S u m   o f   >;8G8=0\ A d d i t i o n a l   I n f o \ I m p l i c i t   M e a s u r e < / K e y > < / D i a g r a m O b j e c t K e y > < D i a g r a m O b j e c t K e y > < K e y > T a b l e s \ f A r t i k l i C e n i \ M e a s u r e s \ S u m   o f   48=5G=0  F5=0< / K e y > < / D i a g r a m O b j e c t K e y > < D i a g r a m O b j e c t K e y > < K e y > T a b l e s \ f A r t i k l i C e n i \ S u m   o f   48=5G=0  F5=0\ A d d i t i o n a l   I n f o \ I m p l i c i t   M e a s u r e < / K e y > < / D i a g r a m O b j e c t K e y > < D i a g r a m O b j e c t K e y > < K e y > T a b l e s \ f A r t i k l i C e n i \ M e a s u r e s \ S u m   o f   < / K e y > < / D i a g r a m O b j e c t K e y > < D i a g r a m O b j e c t K e y > < K e y > T a b l e s \ f A r t i k l i C e n i \ S u m   o f   \ A d d i t i o n a l   I n f o \ I m p l i c i t   M e a s u r e < / K e y > < / D i a g r a m O b j e c t K e y > < D i a g r a m O b j e c t K e y > < K e y > T a b l e s \ f A r t i k l i C e n i \ M e a s u r e s \ S u m   o f   7=>A  6 < / K e y > < / D i a g r a m O b j e c t K e y > < D i a g r a m O b j e c t K e y > < K e y > T a b l e s \ f A r t i k l i C e n i \ S u m   o f   7=>A  6 \ A d d i t i o n a l   I n f o \ I m p l i c i t   M e a s u r e < / K e y > < / D i a g r a m O b j e c t K e y > < D i a g r a m O b j e c t K e y > < K e y > T a b l e s \ f A r t i k l i C e n i \ M e a s u r e s \ C o u n t   o f   48=5G=0  <5@:0< / K e y > < / D i a g r a m O b j e c t K e y > < D i a g r a m O b j e c t K e y > < K e y > T a b l e s \ f A r t i k l i C e n i \ C o u n t   o f   48=5G=0  <5@:0\ A d d i t i o n a l   I n f o \ I m p l i c i t   M e a s u r e < / K e y > < / D i a g r a m O b j e c t K e y > < D i a g r a m O b j e c t K e y > < K e y > T a b l e s \ r A r t i k l i _ H R _ A n a l i z a < / K e y > < / D i a g r a m O b j e c t K e y > < D i a g r a m O b j e c t K e y > < K e y > T a b l e s \ r A r t i k l i _ H R _ A n a l i z a \ C o l u m n s \ !B02:0< / K e y > < / D i a g r a m O b j e c t K e y > < D i a g r a m O b j e c t K e y > < K e y > T a b l e s \ r A r t i k l i _ H R _ A n a l i z a \ C o l u m n s \ 0B53>@8X0  @B8:;< / K e y > < / D i a g r a m O b j e c t K e y > < D i a g r a m O b j e c t K e y > < K e y > T a b l e s \ r A r t i k l i _ H R _ A n a l i z a \ C o l u m n s \ "8?  =0  0@B8:;< / K e y > < / D i a g r a m O b j e c t K e y > < D i a g r a m O b j e c t K e y > < K e y > T a b l e s \ r A r t i k l i _ H R _ A n a l i z a \ C o l u m n s \ 48=5G=0  <5@:0< / K e y > < / D i a g r a m O b j e c t K e y > < D i a g r a m O b j e c t K e y > < K e y > T a b l e s \ r A r t i k l i _ H R _ A n a l i z a \ C o l u m n s \ >;8G8=0< / K e y > < / D i a g r a m O b j e c t K e y > < D i a g r a m O b j e c t K e y > < K e y > T a b l e s \ r A r t i k l i _ H R _ A n a l i z a \ C o l u m n s \ 48=5G=0  F5=0< / K e y > < / D i a g r a m O b j e c t K e y > < D i a g r a m O b j e c t K e y > < K e y > T a b l e s \ r A r t i k l i _ H R _ A n a l i z a \ C o l u m n s \ :C?=>  B@>H>:< / K e y > < / D i a g r a m O b j e c t K e y > < D i a g r a m O b j e c t K e y > < K e y > T a b l e s \ r A r t i k l i _ H R _ A n a l i z a \ C o l u m n s \ < / K e y > < / D i a g r a m O b j e c t K e y > < D i a g r a m O b j e c t K e y > < K e y > T a b l e s \ r A r t i k l i _ H R _ A n a l i z a \ C o l u m n s \ 7=>A< / K e y > < / D i a g r a m O b j e c t K e y > < D i a g r a m O b j e c t K e y > < K e y > T a b l e s \ r A r t i k l i _ H R _ A n a l i z a \ C o l u m n s \ >=B>< / K e y > < / D i a g r a m O b j e c t K e y > < D i a g r a m O b j e c t K e y > < K e y > T a b l e s \ r A r t i k l i _ H R _ A n a l i z a \ C o l u m n s \ R e p o r t T y p e < / K e y > < / D i a g r a m O b j e c t K e y > < D i a g r a m O b j e c t K e y > < K e y > T a b l e s \ r A r t i k l i _ H R _ A n a l i z a \ C o l u m n s \ 5@8>4< / K e y > < / D i a g r a m O b j e c t K e y > < D i a g r a m O b j e c t K e y > < K e y > T a b l e s \ r A r t i k l i _ H R _ A n a l i z a \ C o l u m n s \ S t a v k a I m e M K < / K e y > < / D i a g r a m O b j e c t K e y > < D i a g r a m O b j e c t K e y > < K e y > T a b l e s \ r A r t i k l i _ H R _ A n a l i z a \ C o l u m n s \ S t a v k a A O P < / K e y > < / D i a g r a m O b j e c t K e y > < D i a g r a m O b j e c t K e y > < K e y > T a b l e s \ r A r t i k l i _ H R _ A n a l i z a \ C o l u m n s \ S t a v k a G r u p a < / K e y > < / D i a g r a m O b j e c t K e y > < D i a g r a m O b j e c t K e y > < K e y > T a b l e s \ r A r t i k l i _ H R _ A n a l i z a \ C o l u m n s \ S t a v k a K a t e g o r i j a < / K e y > < / D i a g r a m O b j e c t K e y > < D i a g r a m O b j e c t K e y > < K e y > T a b l e s \ r A r t i k l i _ H R _ A n a l i z a \ C o l u m n s \ O b r a z e c I m e < / K e y > < / D i a g r a m O b j e c t K e y > < D i a g r a m O b j e c t K e y > < K e y > T a b l e s \ r A r t i k l i _ H R _ A n a l i z a \ C o l u m n s \ "8?  =0  2@01>BC20Z5< / K e y > < / D i a g r a m O b j e c t K e y > < D i a g r a m O b j e c t K e y > < K e y > T a b l e s \ r A r t i k l i _ H R _ A n a l i z a \ C o l u m n s \ ;0=8@0=  ?@8;82/ ( >4;82) < / K e y > < / D i a g r a m O b j e c t K e y > < D i a g r a m O b j e c t K e y > < K e y > T a b l e s \ r A r t i k l i _ H R _ A n a l i z a \ C o l u m n s \ @0X=0  A>AB>X10  2@01>B5=8< / K e y > < / D i a g r a m O b j e c t K e y > < D i a g r a m O b j e c t K e y > < K e y > T a b l e s \ r A r t i k l i _ H R _ A n a l i z a \ C o l u m n s \ S t a v k a K a t e g o r i j a . 1 < / K e y > < / D i a g r a m O b j e c t K e y > < D i a g r a m O b j e c t K e y > < K e y > T a b l e s \ r A r t i k l i _ H R _ A n a l i z a \ M e a s u r e s \ S u m   o f   >;8G8=0  2 < / K e y > < / D i a g r a m O b j e c t K e y > < D i a g r a m O b j e c t K e y > < K e y > T a b l e s \ r A r t i k l i _ H R _ A n a l i z a \ S u m   o f   >;8G8=0  2 \ A d d i t i o n a l   I n f o \ I m p l i c i t   M e a s u r e < / K e y > < / D i a g r a m O b j e c t K e y > < D i a g r a m O b j e c t K e y > < K e y > T a b l e s \ r A r t i k l i _ H R _ A n a l i z a \ M e a s u r e s \ S u m   o f   48=5G=0  F5=0  2 < / K e y > < / D i a g r a m O b j e c t K e y > < D i a g r a m O b j e c t K e y > < K e y > T a b l e s \ r A r t i k l i _ H R _ A n a l i z a \ S u m   o f   48=5G=0  F5=0  2 \ A d d i t i o n a l   I n f o \ I m p l i c i t   M e a s u r e < / K e y > < / D i a g r a m O b j e c t K e y > < D i a g r a m O b j e c t K e y > < K e y > T a b l e s \ r A r t i k l i _ H R _ A n a l i z a \ M e a s u r e s \ S u m   o f   :C?=>  B@>H>:  2 < / K e y > < / D i a g r a m O b j e c t K e y > < D i a g r a m O b j e c t K e y > < K e y > T a b l e s \ r A r t i k l i _ H R _ A n a l i z a \ S u m   o f   :C?=>  B@>H>:  2 \ A d d i t i o n a l   I n f o \ I m p l i c i t   M e a s u r e < / K e y > < / D i a g r a m O b j e c t K e y > < D i a g r a m O b j e c t K e y > < K e y > T a b l e s \ r A r t i k l i _ H R _ A n a l i z a \ M e a s u r e s \ S u m   o f     2 < / K e y > < / D i a g r a m O b j e c t K e y > < D i a g r a m O b j e c t K e y > < K e y > T a b l e s \ r A r t i k l i _ H R _ A n a l i z a \ S u m   o f     2 \ A d d i t i o n a l   I n f o \ I m p l i c i t   M e a s u r e < / K e y > < / D i a g r a m O b j e c t K e y > < D i a g r a m O b j e c t K e y > < K e y > T a b l e s \ r A r t i k l i _ H R _ A n a l i z a \ M e a s u r e s \ S u m   o f   7=>A  7 < / K e y > < / D i a g r a m O b j e c t K e y > < D i a g r a m O b j e c t K e y > < K e y > T a b l e s \ r A r t i k l i _ H R _ A n a l i z a \ S u m   o f   7=>A  7 \ A d d i t i o n a l   I n f o \ I m p l i c i t   M e a s u r e < / K e y > < / D i a g r a m O b j e c t K e y > < D i a g r a m O b j e c t K e y > < K e y > T a b l e s \ f A c t u a l A n d B u d g e t < / K e y > < / D i a g r a m O b j e c t K e y > < D i a g r a m O b j e c t K e y > < K e y > T a b l e s \ f A c t u a l A n d B u d g e t \ C o l u m n s \ >=B>< / K e y > < / D i a g r a m O b j e c t K e y > < D i a g r a m O b j e c t K e y > < K e y > T a b l e s \ f A c t u a l A n d B u d g e t \ C o l u m n s \ 0782  =0  :>=B>< / K e y > < / D i a g r a m O b j e c t K e y > < D i a g r a m O b j e c t K e y > < K e y > T a b l e s \ f A c t u a l A n d B u d g e t \ C o l u m n s \ 5@8>4< / K e y > < / D i a g r a m O b j e c t K e y > < D i a g r a m O b j e c t K e y > < K e y > T a b l e s \ f A c t u a l A n d B u d g e t \ C o l u m n s \ 7=>A1 < / K e y > < / D i a g r a m O b j e c t K e y > < D i a g r a m O b j e c t K e y > < K e y > T a b l e s \ f A c t u a l A n d B u d g e t \ C o l u m n s \ R e p o r t T y p e < / K e y > < / D i a g r a m O b j e c t K e y > < D i a g r a m O b j e c t K e y > < K e y > T a b l e s \ f A c t u a l A n d B u d g e t \ C o l u m n s \ !B02:0< / K e y > < / D i a g r a m O b j e c t K e y > < D i a g r a m O b j e c t K e y > < K e y > T a b l e s \ f A c t u a l A n d B u d g e t \ C o l u m n s \ @>X  =0  X02=0  =0102:0  ( ?;0=) < / K e y > < / D i a g r a m O b j e c t K e y > < D i a g r a m O b j e c t K e y > < K e y > T a b l e s \ f A c t u a l A n d B u d g e t \ C o l u m n s \ S t a v k a I D < / K e y > < / D i a g r a m O b j e c t K e y > < D i a g r a m O b j e c t K e y > < K e y > T a b l e s \ f A c t u a l A n d B u d g e t \ C o l u m n s \ S t a v k a I m e M K < / K e y > < / D i a g r a m O b j e c t K e y > < D i a g r a m O b j e c t K e y > < K e y > T a b l e s \ f A c t u a l A n d B u d g e t \ C o l u m n s \ S t a v k a G r u p a < / K e y > < / D i a g r a m O b j e c t K e y > < D i a g r a m O b j e c t K e y > < K e y > T a b l e s \ f A c t u a l A n d B u d g e t \ C o l u m n s \ S t a v k a K a t e g o r i j a < / K e y > < / D i a g r a m O b j e c t K e y > < D i a g r a m O b j e c t K e y > < K e y > T a b l e s \ f A c t u a l A n d B u d g e t \ C o l u m n s \ Z n a k I z v e s t a j < / K e y > < / D i a g r a m O b j e c t K e y > < D i a g r a m O b j e c t K e y > < K e y > T a b l e s \ f A c t u a l A n d B u d g e t \ C o l u m n s \ O b r a z e c I D < / K e y > < / D i a g r a m O b j e c t K e y > < D i a g r a m O b j e c t K e y > < K e y > T a b l e s \ f A c t u a l A n d B u d g e t \ C o l u m n s \ S t a v k a A O P < / K e y > < / D i a g r a m O b j e c t K e y > < D i a g r a m O b j e c t K e y > < K e y > T a b l e s \ f A c t u a l A n d B u d g e t \ C o l u m n s \ O b r a z e c I m e < / K e y > < / D i a g r a m O b j e c t K e y > < D i a g r a m O b j e c t K e y > < K e y > T a b l e s \ f A c t u a l A n d B u d g e t \ C o l u m n s \ 7=>A< / K e y > < / D i a g r a m O b j e c t K e y > < D i a g r a m O b j e c t K e y > < K e y > T a b l e s \ f A c t u a l A n d B u d g e t \ C o l u m n s \ 7=>A  ( 8;X048) < / K e y > < / D i a g r a m O b j e c t K e y > < D i a g r a m O b j e c t K e y > < K e y > T a b l e s \ f A c t u a l A n d B u d g e t \ C o l u m n s \ S t a v k a I m e A O P < / K e y > < / D i a g r a m O b j e c t K e y > < D i a g r a m O b j e c t K e y > < K e y > T a b l e s \ f A c t u a l A n d B u d g e t \ C o l u m n s \ >=B>  !B02:0< / K e y > < / D i a g r a m O b j e c t K e y > < D i a g r a m O b j e c t K e y > < K e y > T a b l e s \ f A c t u a l A n d B u d g e t \ M e a s u r e s \ S u m   o f   7=>A< / K e y > < / D i a g r a m O b j e c t K e y > < D i a g r a m O b j e c t K e y > < K e y > T a b l e s \ f A c t u a l A n d B u d g e t \ S u m   o f   7=>A\ A d d i t i o n a l   I n f o \ I m p l i c i t   M e a s u r e < / K e y > < / D i a g r a m O b j e c t K e y > < D i a g r a m O b j e c t K e y > < K e y > T a b l e s \ f A c t u a l A n d B u d g e t \ M e a s u r e s \ S u m   o f   7=>A  ( 8;X048) < / K e y > < / D i a g r a m O b j e c t K e y > < D i a g r a m O b j e c t K e y > < K e y > T a b l e s \ f A c t u a l A n d B u d g e t \ S u m   o f   7=>A  ( 8;X048) \ A d d i t i o n a l   I n f o \ I m p l i c i t   M e a s u r e < / K e y > < / D i a g r a m O b j e c t K e y > < D i a g r a m O b j e c t K e y > < K e y > T a b l e s \ f A c t u a l A n d B u d g e t \ M e a s u r e s \ S u m   o f   7=>A1 < / K e y > < / D i a g r a m O b j e c t K e y > < D i a g r a m O b j e c t K e y > < K e y > T a b l e s \ f A c t u a l A n d B u d g e t \ S u m   o f   7=>A1 \ A d d i t i o n a l   I n f o \ I m p l i c i t   M e a s u r e < / K e y > < / D i a g r a m O b j e c t K e y > < D i a g r a m O b j e c t K e y > < K e y > R e l a t i o n s h i p s \ & l t ; T a b l e s \ C A P E X \ C o l u m n s \ G5:C20=  40BC<  =0  ?;0\0Z5& g t ; - & l t ; T a b l e s \ C a l e n d a r \ C o l u m n s \ D a t e & g t ; < / K e y > < / D i a g r a m O b j e c t K e y > < D i a g r a m O b j e c t K e y > < K e y > R e l a t i o n s h i p s \ & l t ; T a b l e s \ C A P E X \ C o l u m n s \ G5:C20=  40BC<  =0  ?;0\0Z5& g t ; - & l t ; T a b l e s \ C a l e n d a r \ C o l u m n s \ D a t e & g t ; \ F K < / K e y > < / D i a g r a m O b j e c t K e y > < D i a g r a m O b j e c t K e y > < K e y > R e l a t i o n s h i p s \ & l t ; T a b l e s \ C A P E X \ C o l u m n s \ G5:C20=  40BC<  =0  ?;0\0Z5& g t ; - & l t ; T a b l e s \ C a l e n d a r \ C o l u m n s \ D a t e & g t ; \ P K < / K e y > < / D i a g r a m O b j e c t K e y > < D i a g r a m O b j e c t K e y > < K e y > R e l a t i o n s h i p s \ & l t ; T a b l e s \ C A P E X \ C o l u m n s \ G5:C20=  40BC<  =0  ?;0\0Z5& g t ; - & l t ; T a b l e s \ C a l e n d a r \ C o l u m n s \ D a t e & g t ; \ C r o s s F i l t e r < / K e y > < / D i a g r a m O b j e c t K e y > < D i a g r a m O b j e c t K e y > < K e y > R e l a t i o n s h i p s \ & l t ; T a b l e s \ A m o r t i z a c i j a \ C o l u m n s \ 5@8>4& g t ; - & l t ; T a b l e s \ C a l e n d a r \ C o l u m n s \ D a t e & g t ; < / K e y > < / D i a g r a m O b j e c t K e y > < D i a g r a m O b j e c t K e y > < K e y > R e l a t i o n s h i p s \ & l t ; T a b l e s \ A m o r t i z a c i j a \ C o l u m n s \ 5@8>4& g t ; - & l t ; T a b l e s \ C a l e n d a r \ C o l u m n s \ D a t e & g t ; \ F K < / K e y > < / D i a g r a m O b j e c t K e y > < D i a g r a m O b j e c t K e y > < K e y > R e l a t i o n s h i p s \ & l t ; T a b l e s \ A m o r t i z a c i j a \ C o l u m n s \ 5@8>4& g t ; - & l t ; T a b l e s \ C a l e n d a r \ C o l u m n s \ D a t e & g t ; \ P K < / K e y > < / D i a g r a m O b j e c t K e y > < D i a g r a m O b j e c t K e y > < K e y > R e l a t i o n s h i p s \ & l t ; T a b l e s \ A m o r t i z a c i j a \ C o l u m n s \ 5@8>4& g t ; - & l t ; T a b l e s \ C a l e n d a r \ C o l u m n s \ D a t e & g t ; \ C r o s s F i l t e r < / K e y > < / D i a g r a m O b j e c t K e y > < D i a g r a m O b j e c t K e y > < K e y > R e l a t i o n s h i p s \ & l t ; T a b l e s \ f C o v e c k i R e s u r s i \ C o l u m n s \ 5@8>4& g t ; - & l t ; T a b l e s \ C a l e n d a r \ C o l u m n s \ D a t e & g t ; < / K e y > < / D i a g r a m O b j e c t K e y > < D i a g r a m O b j e c t K e y > < K e y > R e l a t i o n s h i p s \ & l t ; T a b l e s \ f C o v e c k i R e s u r s i \ C o l u m n s \ 5@8>4& g t ; - & l t ; T a b l e s \ C a l e n d a r \ C o l u m n s \ D a t e & g t ; \ F K < / K e y > < / D i a g r a m O b j e c t K e y > < D i a g r a m O b j e c t K e y > < K e y > R e l a t i o n s h i p s \ & l t ; T a b l e s \ f C o v e c k i R e s u r s i \ C o l u m n s \ 5@8>4& g t ; - & l t ; T a b l e s \ C a l e n d a r \ C o l u m n s \ D a t e & g t ; \ P K < / K e y > < / D i a g r a m O b j e c t K e y > < D i a g r a m O b j e c t K e y > < K e y > R e l a t i o n s h i p s \ & l t ; T a b l e s \ f C o v e c k i R e s u r s i \ C o l u m n s \ 5@8>4& g t ; - & l t ; T a b l e s \ C a l e n d a r \ C o l u m n s \ D a t e & g t ; \ C r o s s F i l t e r < / K e y > < / D i a g r a m O b j e c t K e y > < D i a g r a m O b j e c t K e y > < K e y > R e l a t i o n s h i p s \ & l t ; T a b l e s \ f A c t u a l A n d B u d g e t \ C o l u m n s \ 5@8>4& g t ; - & l t ; T a b l e s \ C a l e n d a r \ C o l u m n s \ D a t e & g t ; < / K e y > < / D i a g r a m O b j e c t K e y > < D i a g r a m O b j e c t K e y > < K e y > R e l a t i o n s h i p s \ & l t ; T a b l e s \ f A c t u a l A n d B u d g e t \ C o l u m n s \ 5@8>4& g t ; - & l t ; T a b l e s \ C a l e n d a r \ C o l u m n s \ D a t e & g t ; \ F K < / K e y > < / D i a g r a m O b j e c t K e y > < D i a g r a m O b j e c t K e y > < K e y > R e l a t i o n s h i p s \ & l t ; T a b l e s \ f A c t u a l A n d B u d g e t \ C o l u m n s \ 5@8>4& g t ; - & l t ; T a b l e s \ C a l e n d a r \ C o l u m n s \ D a t e & g t ; \ P K < / K e y > < / D i a g r a m O b j e c t K e y > < D i a g r a m O b j e c t K e y > < K e y > R e l a t i o n s h i p s \ & l t ; T a b l e s \ f A c t u a l A n d B u d g e t \ C o l u m n s \ 5@8>4& g t ; - & l t ; T a b l e s \ C a l e n d a r \ C o l u m n s \ D a t e & g t ; \ C r o s s F i l t e r < / K e y > < / D i a g r a m O b j e c t K e y > < D i a g r a m O b j e c t K e y > < K e y > R e l a t i o n s h i p s \ & l t ; T a b l e s \ f O P E X \ C o l u m n s \ 5@8>4& g t ; - & l t ; T a b l e s \ C a l e n d a r \ C o l u m n s \ D a t e & g t ; < / K e y > < / D i a g r a m O b j e c t K e y > < D i a g r a m O b j e c t K e y > < K e y > R e l a t i o n s h i p s \ & l t ; T a b l e s \ f O P E X \ C o l u m n s \ 5@8>4& g t ; - & l t ; T a b l e s \ C a l e n d a r \ C o l u m n s \ D a t e & g t ; \ F K < / K e y > < / D i a g r a m O b j e c t K e y > < D i a g r a m O b j e c t K e y > < K e y > R e l a t i o n s h i p s \ & l t ; T a b l e s \ f O P E X \ C o l u m n s \ 5@8>4& g t ; - & l t ; T a b l e s \ C a l e n d a r \ C o l u m n s \ D a t e & g t ; \ P K < / K e y > < / D i a g r a m O b j e c t K e y > < D i a g r a m O b j e c t K e y > < K e y > R e l a t i o n s h i p s \ & l t ; T a b l e s \ f O P E X \ C o l u m n s \ 5@8>4& g t ; - & l t ; T a b l e s \ C a l e n d a r \ C o l u m n s \ D a t e & g t ; \ C r o s s F i l t e r < / K e y > < / D i a g r a m O b j e c t K e y > < D i a g r a m O b j e c t K e y > < K e y > R e l a t i o n s h i p s \ & l t ; T a b l e s \ r A r t i k l i A n a l i z a \ C o l u m n s \ O b r a z e c I m e & g t ; - & l t ; T a b l e s \ C a l e n d a r \ C o l u m n s \ D a t e & g t ; < / K e y > < / D i a g r a m O b j e c t K e y > < D i a g r a m O b j e c t K e y > < K e y > R e l a t i o n s h i p s \ & l t ; T a b l e s \ r A r t i k l i A n a l i z a \ C o l u m n s \ O b r a z e c I m e & g t ; - & l t ; T a b l e s \ C a l e n d a r \ C o l u m n s \ D a t e & g t ; \ F K < / K e y > < / D i a g r a m O b j e c t K e y > < D i a g r a m O b j e c t K e y > < K e y > R e l a t i o n s h i p s \ & l t ; T a b l e s \ r A r t i k l i A n a l i z a \ C o l u m n s \ O b r a z e c I m e & g t ; - & l t ; T a b l e s \ C a l e n d a r \ C o l u m n s \ D a t e & g t ; \ P K < / K e y > < / D i a g r a m O b j e c t K e y > < D i a g r a m O b j e c t K e y > < K e y > R e l a t i o n s h i p s \ & l t ; T a b l e s \ r A r t i k l i A n a l i z a \ C o l u m n s \ O b r a z e c I m e & g t ; - & l t ; T a b l e s \ C a l e n d a r \ C o l u m n s \ D a t e & g t ; \ C r o s s F i l t e r < / K e y > < / D i a g r a m O b j e c t K e y > < / A l l K e y s > < S e l e c t e d K e y s > < D i a g r a m O b j e c t K e y > < K e y > R e l a t i o n s h i p s \ & l t ; T a b l e s \ f A c t u a l A n d B u d g e t \ C o l u m n s \ 5@8>4& g t ; - & l t ; T a b l e s \ C a l e n d a r \ C o l u m n s \ D a t e & g t ; 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 9 5 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 D y n a m i c   T a g s \ T a b l e s \ & l t ; T a b l e s \ C A P E X & g t ; < / K e y > < / a : K e y > < a : V a l u e   i : t y p e = " D i a g r a m D i s p l a y T a g V i e w S t a t e " > < I s N o t F i l t e r e d O u t > t r u e < / I s N o t F i l t e r e d O u t > < / a : V a l u e > < / a : K e y V a l u e O f D i a g r a m O b j e c t K e y a n y T y p e z b w N T n L X > < a : K e y V a l u e O f D i a g r a m O b j e c t K e y a n y T y p e z b w N T n L X > < a : K e y > < K e y > D y n a m i c   T a g s \ T a b l e s \ & l t ; T a b l e s \ A m o r t i z a c i j a & g t ; < / K e y > < / a : K e y > < a : V a l u e   i : t y p e = " D i a g r a m D i s p l a y T a g V i e w S t a t e " > < I s N o t F i l t e r e d O u t > t r u e < / I s N o t F i l t e r e d O u t > < / a : V a l u e > < / a : K e y V a l u e O f D i a g r a m O b j e c t K e y a n y T y p e z b w N T n L X > < a : K e y V a l u e O f D i a g r a m O b j e c t K e y a n y T y p e z b w N T n L X > < a : K e y > < K e y > D y n a m i c   T a g s \ T a b l e s \ & l t ; T a b l e s \ f C o v e c k i R e s u r s i & g t ; < / K e y > < / a : K e y > < a : V a l u e   i : t y p e = " D i a g r a m D i s p l a y T a g V i e w S t a t e " > < I s N o t F i l t e r e d O u t > t r u e < / I s N o t F i l t e r e d O u t > < / a : V a l u e > < / a : K e y V a l u e O f D i a g r a m O b j e c t K e y a n y T y p e z b w N T n L X > < a : K e y V a l u e O f D i a g r a m O b j e c t K e y a n y T y p e z b w N T n L X > < a : K e y > < K e y > D y n a m i c   T a g s \ T a b l e s \ & l t ; T a b l e s \ f O P E X & g t ; < / K e y > < / a : K e y > < a : V a l u e   i : t y p e = " D i a g r a m D i s p l a y T a g V i e w S t a t e " > < I s N o t F i l t e r e d O u t > t r u e < / I s N o t F i l t e r e d O u t > < / a : V a l u e > < / a : K e y V a l u e O f D i a g r a m O b j e c t K e y a n y T y p e z b w N T n L X > < a : K e y V a l u e O f D i a g r a m O b j e c t K e y a n y T y p e z b w N T n L X > < a : K e y > < K e y > D y n a m i c   T a g s \ T a b l e s \ & l t ; T a b l e s \ O P E X A n a l i z a & g t ; < / K e y > < / a : K e y > < a : V a l u e   i : t y p e = " D i a g r a m D i s p l a y T a g V i e w S t a t e " > < I s N o t F i l t e r e d O u t > t r u e < / I s N o t F i l t e r e d O u t > < / a : V a l u e > < / a : K e y V a l u e O f D i a g r a m O b j e c t K e y a n y T y p e z b w N T n L X > < a : K e y V a l u e O f D i a g r a m O b j e c t K e y a n y T y p e z b w N T n L X > < a : K e y > < K e y > D y n a m i c   T a g s \ T a b l e s \ & l t ; T a b l e s \ f O P E X   -   & g t ; < / K e y > < / a : K e y > < a : V a l u e   i : t y p e = " D i a g r a m D i s p l a y T a g V i e w S t a t e " > < I s N o t F i l t e r e d O u t > t r u e < / I s N o t F i l t e r e d O u t > < / a : V a l u e > < / a : K e y V a l u e O f D i a g r a m O b j e c t K e y a n y T y p e z b w N T n L X > < a : K e y V a l u e O f D i a g r a m O b j e c t K e y a n y T y p e z b w N T n L X > < a : K e y > < K e y > D y n a m i c   T a g s \ T a b l e s \ & l t ; T a b l e s \ r A r t i k l i A n a l i z a & g t ; < / K e y > < / a : K e y > < a : V a l u e   i : t y p e = " D i a g r a m D i s p l a y T a g V i e w S t a t e " > < I s N o t F i l t e r e d O u t > t r u e < / I s N o t F i l t e r e d O u t > < / a : V a l u e > < / a : K e y V a l u e O f D i a g r a m O b j e c t K e y a n y T y p e z b w N T n L X > < a : K e y V a l u e O f D i a g r a m O b j e c t K e y a n y T y p e z b w N T n L X > < a : K e y > < K e y > D y n a m i c   T a g s \ T a b l e s \ & l t ; T a b l e s \ f A r t i k l i C e n i & g t ; < / K e y > < / a : K e y > < a : V a l u e   i : t y p e = " D i a g r a m D i s p l a y T a g V i e w S t a t e " > < I s N o t F i l t e r e d O u t > t r u e < / I s N o t F i l t e r e d O u t > < / a : V a l u e > < / a : K e y V a l u e O f D i a g r a m O b j e c t K e y a n y T y p e z b w N T n L X > < a : K e y V a l u e O f D i a g r a m O b j e c t K e y a n y T y p e z b w N T n L X > < a : K e y > < K e y > D y n a m i c   T a g s \ T a b l e s \ & l t ; T a b l e s \ r A r t i k l i _ H R _ A n a l i z a & g t ; < / K e y > < / a : K e y > < a : V a l u e   i : t y p e = " D i a g r a m D i s p l a y T a g V i e w S t a t e " > < I s N o t F i l t e r e d O u t > t r u e < / I s N o t F i l t e r e d O u t > < / a : V a l u e > < / a : K e y V a l u e O f D i a g r a m O b j e c t K e y a n y T y p e z b w N T n L X > < a : K e y V a l u e O f D i a g r a m O b j e c t K e y a n y T y p e z b w N T n L X > < a : K e y > < K e y > D y n a m i c   T a g s \ T a b l e s \ & l t ; T a b l e s \ f A c t u a l A n d B u d g e t & g t ; < / K e y > < / a : K e y > < a : V a l u e   i : t y p e = " D i a g r a m D i s p l a y T a g V i e w S t a t e " > < I s N o t F i l t e r e d O u t > t r u e < / I s N o t F i l t e r e d O u t > < / a : V a l u e > < / a : K e y V a l u e O f D i a g r a m O b j e c t K e y a n y T y p e z b w N T n L X > < a : K e y V a l u e O f D i a g r a m O b j e c t K e y a n y T y p e z b w N T n L X > < a : K e y > < K e y > T a b l e s \ C a l e n d a r < / K e y > < / a : K e y > < a : V a l u e   i : t y p e = " D i a g r a m D i s p l a y N o d e V i e w S t a t e " > < H e i g h t > 3 3 6 . 7 9 9 9 9 9 9 9 9 9 9 9 9 5 < / H e i g h t > < I s E x p a n d e d > t r u e < / I s E x p a n d e d > < L a y e d O u t > t r u e < / L a y e d O u t > < L e f t > 5 4 7 . 6 1 5 2 4 2 2 7 0 6 6 4 1 1 < / L e f t > < T a b I n d e x > 1 < / T a b I n d e x > < T o p > 2 5 . 2 0 0 0 0 0 0 0 0 0 0 0 0 4 5 < / 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48=0< / 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 T a b l e s \ C a l e n d a r \ C o l u m n s \ 5A5F< / 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 T a b l e s \ C a l e n d a r \ C o l u m n s \ 20@B0;< / 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 T a b l e s \ C A P E X < / K e y > < / a : K e y > < a : V a l u e   i : t y p e = " D i a g r a m D i s p l a y N o d e V i e w S t a t e " > < H e i g h t > 3 8 7 . 7 9 9 9 9 9 9 9 9 9 9 9 9 5 < / H e i g h t > < I s E x p a n d e d > t r u e < / I s E x p a n d e d > < L a y e d O u t > t r u e < / L a y e d O u t > < L e f t > 1 5 8 . 8 1 5 2 4 2 2 7 0 6 6 4 2 7 < / L e f t > < T a b I n d e x > 8 < / T a b I n d e x > < T o p > 5 2 9 . 5 9 9 9 9 9 9 9 9 9 9 9 9 1 < / T o p > < W i d t h > 3 9 0 . 2 0 0 0 0 0 0 0 0 0 0 0 0 5 < / W i d t h > < / a : V a l u e > < / a : K e y V a l u e O f D i a g r a m O b j e c t K e y a n y T y p e z b w N T n L X > < a : K e y V a l u e O f D i a g r a m O b j e c t K e y a n y T y p e z b w N T n L X > < a : K e y > < K e y > T a b l e s \ C A P E X \ C o l u m n s \ >48=0  70  @50;870F8X0  =0  ?@>5:B< / K e y > < / a : K e y > < a : V a l u e   i : t y p e = " D i a g r a m D i s p l a y N o d e V i e w S t a t e " > < H e i g h t > 1 5 0 < / H e i g h t > < I s E x p a n d e d > t r u e < / I s E x p a n d e d > < W i d t h > 2 0 0 < / W i d t h > < / a : V a l u e > < / a : K e y V a l u e O f D i a g r a m O b j e c t K e y a n y T y p e z b w N T n L X > < a : K e y V a l u e O f D i a g r a m O b j e c t K e y a n y T y p e z b w N T n L X > < a : K e y > < K e y > T a b l e s \ C A P E X \ C o l u m n s \ @>X  =0  X02=0  =0102:0  ( ?;0=) < / K e y > < / a : K e y > < a : V a l u e   i : t y p e = " D i a g r a m D i s p l a y N o d e V i e w S t a t e " > < H e i g h t > 1 5 0 < / H e i g h t > < I s E x p a n d e d > t r u e < / I s E x p a n d e d > < W i d t h > 2 0 0 < / W i d t h > < / a : V a l u e > < / a : K e y V a l u e O f D i a g r a m O b j e c t K e y a n y T y p e z b w N T n L X > < a : K e y V a l u e O f D i a g r a m O b j e c t K e y a n y T y p e z b w N T n L X > < a : K e y > < K e y > T a b l e s \ C A P E X \ C o l u m n s \ @54<5B  =0  4>3>2>@>B  70  X02=0  =0102:0< / K e y > < / a : K e y > < a : V a l u e   i : t y p e = " D i a g r a m D i s p l a y N o d e V i e w S t a t e " > < H e i g h t > 1 5 0 < / H e i g h t > < I s E x p a n d e d > t r u e < / I s E x p a n d e d > < W i d t h > 2 0 0 < / W i d t h > < / a : V a l u e > < / a : K e y V a l u e O f D i a g r a m O b j e c t K e y a n y T y p e z b w N T n L X > < a : K e y V a l u e O f D i a g r a m O b j e c t K e y a n y T y p e z b w N T n L X > < a : K e y > < K e y > T a b l e s \ C A P E X \ C o l u m n s \ G5:C20=  40BC<  =0  ?;0\0Z5< / K e y > < / a : K e y > < a : V a l u e   i : t y p e = " D i a g r a m D i s p l a y N o d e V i e w S t a t e " > < H e i g h t > 1 5 0 < / H e i g h t > < I s E x p a n d e d > t r u e < / I s E x p a n d e d > < W i d t h > 2 0 0 < / W i d t h > < / a : V a l u e > < / a : K e y V a l u e O f D i a g r a m O b j e c t K e y a n y T y p e z b w N T n L X > < a : K e y V a l u e O f D i a g r a m O b j e c t K e y a n y T y p e z b w N T n L X > < a : K e y > < K e y > T a b l e s \ C A P E X \ C o l u m n s \ G5:C20=  40BC<  70  AB020Z5  2>  C?>B@510  ( <5A5F) < / K e y > < / a : K e y > < a : V a l u e   i : t y p e = " D i a g r a m D i s p l a y N o d e V i e w S t a t e " > < H e i g h t > 1 5 0 < / H e i g h t > < I s E x p a n d e d > t r u e < / I s E x p a n d e d > < W i d t h > 2 0 0 < / W i d t h > < / a : V a l u e > < / a : K e y V a l u e O f D i a g r a m O b j e c t K e y a n y T y p e z b w N T n L X > < a : K e y V a l u e O f D i a g r a m O b j e c t K e y a n y T y p e z b w N T n L X > < a : K e y > < K e y > T a b l e s \ C A P E X \ C o l u m n s \ @>F5=5B0  2@54=>AB  =0  =0102:0  A>    ( 45=0@8) < / K e y > < / a : K e y > < a : V a l u e   i : t y p e = " D i a g r a m D i s p l a y N o d e V i e w S t a t e " > < H e i g h t > 1 5 0 < / H e i g h t > < I s E x p a n d e d > t r u e < / I s E x p a n d e d > < W i d t h > 2 0 0 < / W i d t h > < / a : V a l u e > < / a : K e y V a l u e O f D i a g r a m O b j e c t K e y a n y T y p e z b w N T n L X > < a : K e y V a l u e O f D i a g r a m O b j e c t K e y a n y T y p e z b w N T n L X > < a : K e y > < K e y > T a b l e s \ C A P E X \ C o l u m n s \ !B0?:0  =0  0<>@B870F8X0< / K e y > < / a : K e y > < a : V a l u e   i : t y p e = " D i a g r a m D i s p l a y N o d e V i e w S t a t e " > < H e i g h t > 1 5 0 < / H e i g h t > < I s E x p a n d e d > t r u e < / I s E x p a n d e d > < W i d t h > 2 0 0 < / W i d t h > < / a : V a l u e > < / a : K e y V a l u e O f D i a g r a m O b j e c t K e y a n y T y p e z b w N T n L X > < a : K e y V a l u e O f D i a g r a m O b j e c t K e y a n y T y p e z b w N T n L X > < a : K e y > < K e y > T a b l e s \ C A P E X \ C o l u m n s \ >=B>  !@54AB20< / K e y > < / a : K e y > < a : V a l u e   i : t y p e = " D i a g r a m D i s p l a y N o d e V i e w S t a t e " > < H e i g h t > 1 5 0 < / H e i g h t > < I s E x p a n d e d > t r u e < / I s E x p a n d e d > < W i d t h > 2 0 0 < / W i d t h > < / a : V a l u e > < / a : K e y V a l u e O f D i a g r a m O b j e c t K e y a n y T y p e z b w N T n L X > < a : K e y V a l u e O f D i a g r a m O b j e c t K e y a n y T y p e z b w N T n L X > < a : K e y > < K e y > T a b l e s \ C A P E X \ C o l u m n s \ >=B>  <>@B870F8X0< / K e y > < / a : K e y > < a : V a l u e   i : t y p e = " D i a g r a m D i s p l a y N o d e V i e w S t a t e " > < H e i g h t > 1 5 0 < / H e i g h t > < I s E x p a n d e d > t r u e < / I s E x p a n d e d > < W i d t h > 2 0 0 < / W i d t h > < / a : V a l u e > < / a : K e y V a l u e O f D i a g r a m O b j e c t K e y a n y T y p e z b w N T n L X > < a : K e y V a l u e O f D i a g r a m O b j e c t K e y a n y T y p e z b w N T n L X > < a : K e y > < K e y > T a b l e s \ C A P E X \ C o l u m n s \ 7=>A  4>=0F8X0< / K e y > < / a : K e y > < a : V a l u e   i : t y p e = " D i a g r a m D i s p l a y N o d e V i e w S t a t e " > < H e i g h t > 1 5 0 < / H e i g h t > < I s E x p a n d e d > t r u e < / I s E x p a n d e d > < W i d t h > 2 0 0 < / W i d t h > < / a : V a l u e > < / a : K e y V a l u e O f D i a g r a m O b j e c t K e y a n y T y p e z b w N T n L X > < a : K e y V a l u e O f D i a g r a m O b j e c t K e y a n y T y p e z b w N T n L X > < a : K e y > < K e y > T a b l e s \ C A P E X \ C o l u m n s \ G5:C20=  40BC<  =0  ?;0\0Z5  ( Y e a r ) < / K e y > < / a : K e y > < a : V a l u e   i : t y p e = " D i a g r a m D i s p l a y N o d e V i e w S t a t e " > < H e i g h t > 1 5 0 < / H e i g h t > < I s E x p a n d e d > t r u e < / I s E x p a n d e d > < W i d t h > 2 0 0 < / W i d t h > < / a : V a l u e > < / a : K e y V a l u e O f D i a g r a m O b j e c t K e y a n y T y p e z b w N T n L X > < a : K e y V a l u e O f D i a g r a m O b j e c t K e y a n y T y p e z b w N T n L X > < a : K e y > < K e y > T a b l e s \ C A P E X \ C o l u m n s \ G5:C20=  40BC<  =0  ?;0\0Z5  ( Q u a r t e r ) < / K e y > < / a : K e y > < a : V a l u e   i : t y p e = " D i a g r a m D i s p l a y N o d e V i e w S t a t e " > < H e i g h t > 1 5 0 < / H e i g h t > < I s E x p a n d e d > t r u e < / I s E x p a n d e d > < W i d t h > 2 0 0 < / W i d t h > < / a : V a l u e > < / a : K e y V a l u e O f D i a g r a m O b j e c t K e y a n y T y p e z b w N T n L X > < a : K e y V a l u e O f D i a g r a m O b j e c t K e y a n y T y p e z b w N T n L X > < a : K e y > < K e y > T a b l e s \ C A P E X \ C o l u m n s \ G5:C20=  40BC<  =0  ?;0\0Z5  ( M o n t h   I n d e x ) < / K e y > < / a : K e y > < a : V a l u e   i : t y p e = " D i a g r a m D i s p l a y N o d e V i e w S t a t e " > < H e i g h t > 1 5 0 < / H e i g h t > < I s E x p a n d e d > t r u e < / I s E x p a n d e d > < W i d t h > 2 0 0 < / W i d t h > < / a : V a l u e > < / a : K e y V a l u e O f D i a g r a m O b j e c t K e y a n y T y p e z b w N T n L X > < a : K e y V a l u e O f D i a g r a m O b j e c t K e y a n y T y p e z b w N T n L X > < a : K e y > < K e y > T a b l e s \ C A P E X \ C o l u m n s \ G5:C20=  40BC<  =0  ?;0\0Z5  ( M o n t h ) < / K e y > < / a : K e y > < a : V a l u e   i : t y p e = " D i a g r a m D i s p l a y N o d e V i e w S t a t e " > < H e i g h t > 1 5 0 < / H e i g h t > < I s E x p a n d e d > t r u e < / I s E x p a n d e d > < W i d t h > 2 0 0 < / W i d t h > < / a : V a l u e > < / a : K e y V a l u e O f D i a g r a m O b j e c t K e y a n y T y p e z b w N T n L X > < a : K e y V a l u e O f D i a g r a m O b j e c t K e y a n y T y p e z b w N T n L X > < a : K e y > < K e y > T a b l e s \ C A P E X \ M e a s u r e s \ C o u n t   o f   @>F5=5B0  2@54=>AB  =0  =0102:0  A>    ( 45=0@8) < / K e y > < / a : K e y > < a : V a l u e   i : t y p e = " D i a g r a m D i s p l a y N o d e V i e w S t a t e " > < H e i g h t > 1 5 0 < / H e i g h t > < I s E x p a n d e d > t r u e < / I s E x p a n d e d > < W i d t h > 2 0 0 < / W i d t h > < / a : V a l u e > < / a : K e y V a l u e O f D i a g r a m O b j e c t K e y a n y T y p e z b w N T n L X > < a : K e y V a l u e O f D i a g r a m O b j e c t K e y a n y T y p e z b w N T n L X > < a : K e y > < K e y > T a b l e s \ C A P E X \ C o u n t   o f   @>F5=5B0  2@54=>AB  =0  =0102:0  A>    ( 45=0@8) \ A d d i t i o n a l   I n f o \ I m p l i c i t   M e a s u r e < / K e y > < / a : K e y > < a : V a l u e   i : t y p e = " D i a g r a m D i s p l a y V i e w S t a t e I D i a g r a m T a g A d d i t i o n a l I n f o " / > < / a : K e y V a l u e O f D i a g r a m O b j e c t K e y a n y T y p e z b w N T n L X > < a : K e y V a l u e O f D i a g r a m O b j e c t K e y a n y T y p e z b w N T n L X > < a : K e y > < K e y > T a b l e s \ C A P E X \ M e a s u r e s \ S u m   o f   @>F5=5B0  2@54=>AB  =0  =0102:0  A>    ( 45=0@8) < / K e y > < / a : K e y > < a : V a l u e   i : t y p e = " D i a g r a m D i s p l a y N o d e V i e w S t a t e " > < H e i g h t > 1 5 0 < / H e i g h t > < I s E x p a n d e d > t r u e < / I s E x p a n d e d > < W i d t h > 2 0 0 < / W i d t h > < / a : V a l u e > < / a : K e y V a l u e O f D i a g r a m O b j e c t K e y a n y T y p e z b w N T n L X > < a : K e y V a l u e O f D i a g r a m O b j e c t K e y a n y T y p e z b w N T n L X > < a : K e y > < K e y > T a b l e s \ C A P E X \ S u m   o f   @>F5=5B0  2@54=>AB  =0  =0102:0  A>    ( 45=0@8) \ A d d i t i o n a l   I n f o \ I m p l i c i t   M e a s u r e < / K e y > < / a : K e y > < a : V a l u e   i : t y p e = " D i a g r a m D i s p l a y V i e w S t a t e I D i a g r a m T a g A d d i t i o n a l I n f o " / > < / a : K e y V a l u e O f D i a g r a m O b j e c t K e y a n y T y p e z b w N T n L X > < a : K e y V a l u e O f D i a g r a m O b j e c t K e y a n y T y p e z b w N T n L X > < a : K e y > < K e y > T a b l e s \ C A P E X \ M e a s u r e s \ S u m   o f   7=>A  4>=0F8X0< / K e y > < / a : K e y > < a : V a l u e   i : t y p e = " D i a g r a m D i s p l a y N o d e V i e w S t a t e " > < H e i g h t > 1 5 0 < / H e i g h t > < I s E x p a n d e d > t r u e < / I s E x p a n d e d > < W i d t h > 2 0 0 < / W i d t h > < / a : V a l u e > < / a : K e y V a l u e O f D i a g r a m O b j e c t K e y a n y T y p e z b w N T n L X > < a : K e y V a l u e O f D i a g r a m O b j e c t K e y a n y T y p e z b w N T n L X > < a : K e y > < K e y > T a b l e s \ C A P E X \ S u m   o f   7=>A  4>=0F8X0\ A d d i t i o n a l   I n f o \ I m p l i c i t   M e a s u r e < / K e y > < / a : K e y > < a : V a l u e   i : t y p e = " D i a g r a m D i s p l a y V i e w S t a t e I D i a g r a m T a g A d d i t i o n a l I n f o " / > < / a : K e y V a l u e O f D i a g r a m O b j e c t K e y a n y T y p e z b w N T n L X > < a : K e y V a l u e O f D i a g r a m O b j e c t K e y a n y T y p e z b w N T n L X > < a : K e y > < K e y > T a b l e s \ A m o r t i z a c i j a < / K e y > < / a : K e y > < a : V a l u e   i : t y p e = " D i a g r a m D i s p l a y N o d e V i e w S t a t e " > < H e i g h t > 1 9 0 . 4 0 0 0 0 0 0 0 0 0 0 0 0 3 < / H e i g h t > < I s E x p a n d e d > t r u e < / I s E x p a n d e d > < L a y e d O u t > t r u e < / L a y e d O u t > < L e f t > 5 6 1 . 3 2 6 6 7 3 9 7 3 6 6 1 1 7 < / L e f t > < T a b I n d e x > 9 < / T a b I n d e x > < T o p > 5 5 3 . 6 5 0 0 0 0 0 0 0 0 0 0 0 9 < / T o p > < W i d t h > 2 6 8 < / W i d t h > < / a : V a l u e > < / a : K e y V a l u e O f D i a g r a m O b j e c t K e y a n y T y p e z b w N T n L X > < a : K e y V a l u e O f D i a g r a m O b j e c t K e y a n y T y p e z b w N T n L X > < a : K e y > < K e y > T a b l e s \ A m o r t i z a c i j a \ C o l u m n s \ @>X  =0  X02=0  =0102:0  ( ?;0=) < / K e y > < / a : K e y > < a : V a l u e   i : t y p e = " D i a g r a m D i s p l a y N o d e V i e w S t a t e " > < H e i g h t > 1 5 0 < / H e i g h t > < I s E x p a n d e d > t r u e < / I s E x p a n d e d > < W i d t h > 2 0 0 < / W i d t h > < / a : V a l u e > < / a : K e y V a l u e O f D i a g r a m O b j e c t K e y a n y T y p e z b w N T n L X > < a : K e y V a l u e O f D i a g r a m O b j e c t K e y a n y T y p e z b w N T n L X > < a : K e y > < K e y > T a b l e s \ A m o r t i z a c i j a \ C o l u m n s \ !B02:0< / K e y > < / a : K e y > < a : V a l u e   i : t y p e = " D i a g r a m D i s p l a y N o d e V i e w S t a t e " > < H e i g h t > 1 5 0 < / H e i g h t > < I s E x p a n d e d > t r u e < / I s E x p a n d e d > < W i d t h > 2 0 0 < / W i d t h > < / a : V a l u e > < / a : K e y V a l u e O f D i a g r a m O b j e c t K e y a n y T y p e z b w N T n L X > < a : K e y V a l u e O f D i a g r a m O b j e c t K e y a n y T y p e z b w N T n L X > < a : K e y > < K e y > T a b l e s \ A m o r t i z a c i j a \ C o l u m n s \ 5@8>4< / K e y > < / a : K e y > < a : V a l u e   i : t y p e = " D i a g r a m D i s p l a y N o d e V i e w S t a t e " > < H e i g h t > 1 5 0 < / H e i g h t > < I s E x p a n d e d > t r u e < / I s E x p a n d e d > < W i d t h > 2 0 0 < / W i d t h > < / a : V a l u e > < / a : K e y V a l u e O f D i a g r a m O b j e c t K e y a n y T y p e z b w N T n L X > < a : K e y V a l u e O f D i a g r a m O b j e c t K e y a n y T y p e z b w N T n L X > < a : K e y > < K e y > T a b l e s \ A m o r t i z a c i j a \ C o l u m n s \ 7=>A< / K e y > < / a : K e y > < a : V a l u e   i : t y p e = " D i a g r a m D i s p l a y N o d e V i e w S t a t e " > < H e i g h t > 1 5 0 < / H e i g h t > < I s E x p a n d e d > t r u e < / I s E x p a n d e d > < W i d t h > 2 0 0 < / W i d t h > < / a : V a l u e > < / a : K e y V a l u e O f D i a g r a m O b j e c t K e y a n y T y p e z b w N T n L X > < a : K e y V a l u e O f D i a g r a m O b j e c t K e y a n y T y p e z b w N T n L X > < a : K e y > < K e y > T a b l e s \ A m o r t i z a c i j a \ C o l u m n s \ >=B>< / K e y > < / a : K e y > < a : V a l u e   i : t y p e = " D i a g r a m D i s p l a y N o d e V i e w S t a t e " > < H e i g h t > 1 5 0 < / H e i g h t > < I s E x p a n d e d > t r u e < / I s E x p a n d e d > < W i d t h > 2 0 0 < / W i d t h > < / a : V a l u e > < / a : K e y V a l u e O f D i a g r a m O b j e c t K e y a n y T y p e z b w N T n L X > < a : K e y V a l u e O f D i a g r a m O b j e c t K e y a n y T y p e z b w N T n L X > < a : K e y > < K e y > T a b l e s \ A m o r t i z a c i j a \ C o l u m n s \ R e p o r t T y p e < / K e y > < / a : K e y > < a : V a l u e   i : t y p e = " D i a g r a m D i s p l a y N o d e V i e w S t a t e " > < H e i g h t > 1 5 0 < / H e i g h t > < I s E x p a n d e d > t r u e < / I s E x p a n d e d > < W i d t h > 2 0 0 < / W i d t h > < / a : V a l u e > < / a : K e y V a l u e O f D i a g r a m O b j e c t K e y a n y T y p e z b w N T n L X > < a : K e y V a l u e O f D i a g r a m O b j e c t K e y a n y T y p e z b w N T n L X > < a : K e y > < K e y > T a b l e s \ A m o r t i z a c i j a \ M e a s u r e s \ S u m   o f   7=>A  2 < / K e y > < / a : K e y > < a : V a l u e   i : t y p e = " D i a g r a m D i s p l a y N o d e V i e w S t a t e " > < H e i g h t > 1 5 0 < / H e i g h t > < I s E x p a n d e d > t r u e < / I s E x p a n d e d > < W i d t h > 2 0 0 < / W i d t h > < / a : V a l u e > < / a : K e y V a l u e O f D i a g r a m O b j e c t K e y a n y T y p e z b w N T n L X > < a : K e y V a l u e O f D i a g r a m O b j e c t K e y a n y T y p e z b w N T n L X > < a : K e y > < K e y > T a b l e s \ A m o r t i z a c i j a \ S u m   o f   7=>A  2 \ A d d i t i o n a l   I n f o \ I m p l i c i t   M e a s u r e < / K e y > < / a : K e y > < a : V a l u e   i : t y p e = " D i a g r a m D i s p l a y V i e w S t a t e I D i a g r a m T a g A d d i t i o n a l I n f o " / > < / a : K e y V a l u e O f D i a g r a m O b j e c t K e y a n y T y p e z b w N T n L X > < a : K e y V a l u e O f D i a g r a m O b j e c t K e y a n y T y p e z b w N T n L X > < a : K e y > < K e y > T a b l e s \ f C o v e c k i R e s u r s i < / K e y > < / a : K e y > < a : V a l u e   i : t y p e = " D i a g r a m D i s p l a y N o d e V i e w S t a t e " > < H e i g h t > 3 6 2 . 2 0 0 0 0 0 0 0 0 0 0 0 2 7 < / H e i g h t > < I s E x p a n d e d > t r u e < / I s E x p a n d e d > < L a y e d O u t > t r u e < / L a y e d O u t > < L e f t > 8 6 6 . 9 2 6 6 7 3 9 7 3 6 6 1 0 8 < / L e f t > < T a b I n d e x > 1 0 < / T a b I n d e x > < T o p > 5 1 3 . 7 9 9 9 9 9 9 9 9 9 9 9 7 3 < / T o p > < W i d t h > 2 2 8 < / W i d t h > < / a : V a l u e > < / a : K e y V a l u e O f D i a g r a m O b j e c t K e y a n y T y p e z b w N T n L X > < a : K e y V a l u e O f D i a g r a m O b j e c t K e y a n y T y p e z b w N T n L X > < a : K e y > < K e y > T a b l e s \ f C o v e c k i R e s u r s i \ C o l u m n s \ !B02:0< / K e y > < / a : K e y > < a : V a l u e   i : t y p e = " D i a g r a m D i s p l a y N o d e V i e w S t a t e " > < H e i g h t > 1 5 0 < / H e i g h t > < I s E x p a n d e d > t r u e < / I s E x p a n d e d > < W i d t h > 2 0 0 < / W i d t h > < / a : V a l u e > < / a : K e y V a l u e O f D i a g r a m O b j e c t K e y a n y T y p e z b w N T n L X > < a : K e y V a l u e O f D i a g r a m O b j e c t K e y a n y T y p e z b w N T n L X > < a : K e y > < K e y > T a b l e s \ f C o v e c k i R e s u r s i \ C o l u m n s \ "8?  =0  2@01>BC20Z5< / K e y > < / a : K e y > < a : V a l u e   i : t y p e = " D i a g r a m D i s p l a y N o d e V i e w S t a t e " > < H e i g h t > 1 5 0 < / H e i g h t > < I s E x p a n d e d > t r u e < / I s E x p a n d e d > < W i d t h > 2 0 0 < / W i d t h > < / a : V a l u e > < / a : K e y V a l u e O f D i a g r a m O b j e c t K e y a n y T y p e z b w N T n L X > < a : K e y V a l u e O f D i a g r a m O b j e c t K e y a n y T y p e z b w N T n L X > < a : K e y > < K e y > T a b l e s \ f C o v e c k i R e s u r s i \ C o l u m n s \ ;0=8@0=  ?@8;82/ ( >4;82) < / K e y > < / a : K e y > < a : V a l u e   i : t y p e = " D i a g r a m D i s p l a y N o d e V i e w S t a t e " > < H e i g h t > 1 5 0 < / H e i g h t > < I s E x p a n d e d > t r u e < / I s E x p a n d e d > < W i d t h > 2 0 0 < / W i d t h > < / a : V a l u e > < / a : K e y V a l u e O f D i a g r a m O b j e c t K e y a n y T y p e z b w N T n L X > < a : K e y V a l u e O f D i a g r a m O b j e c t K e y a n y T y p e z b w N T n L X > < a : K e y > < K e y > T a b l e s \ f C o v e c k i R e s u r s i \ C o l u m n s \ 5@8>4< / K e y > < / a : K e y > < a : V a l u e   i : t y p e = " D i a g r a m D i s p l a y N o d e V i e w S t a t e " > < H e i g h t > 1 5 0 < / H e i g h t > < I s E x p a n d e d > t r u e < / I s E x p a n d e d > < W i d t h > 2 0 0 < / W i d t h > < / a : V a l u e > < / a : K e y V a l u e O f D i a g r a m O b j e c t K e y a n y T y p e z b w N T n L X > < a : K e y V a l u e O f D i a g r a m O b j e c t K e y a n y T y p e z b w N T n L X > < a : K e y > < K e y > T a b l e s \ f C o v e c k i R e s u r s i \ C o l u m n s \ @0X=0  A>AB>X10  2@01>B5=8< / K e y > < / a : K e y > < a : V a l u e   i : t y p e = " D i a g r a m D i s p l a y N o d e V i e w S t a t e " > < H e i g h t > 1 5 0 < / H e i g h t > < I s E x p a n d e d > t r u e < / I s E x p a n d e d > < W i d t h > 2 0 0 < / W i d t h > < / a : V a l u e > < / a : K e y V a l u e O f D i a g r a m O b j e c t K e y a n y T y p e z b w N T n L X > < a : K e y V a l u e O f D i a g r a m O b j e c t K e y a n y T y p e z b w N T n L X > < a : K e y > < K e y > T a b l e s \ f C o v e c k i R e s u r s i \ C o l u m n s \ 7=>A< / K e y > < / a : K e y > < a : V a l u e   i : t y p e = " D i a g r a m D i s p l a y N o d e V i e w S t a t e " > < H e i g h t > 1 5 0 < / H e i g h t > < I s E x p a n d e d > t r u e < / I s E x p a n d e d > < W i d t h > 2 0 0 < / W i d t h > < / a : V a l u e > < / a : K e y V a l u e O f D i a g r a m O b j e c t K e y a n y T y p e z b w N T n L X > < a : K e y V a l u e O f D i a g r a m O b j e c t K e y a n y T y p e z b w N T n L X > < a : K e y > < K e y > T a b l e s \ f C o v e c k i R e s u r s i \ C o l u m n s \ >=B>< / K e y > < / a : K e y > < a : V a l u e   i : t y p e = " D i a g r a m D i s p l a y N o d e V i e w S t a t e " > < H e i g h t > 1 5 0 < / H e i g h t > < I s E x p a n d e d > t r u e < / I s E x p a n d e d > < W i d t h > 2 0 0 < / W i d t h > < / a : V a l u e > < / a : K e y V a l u e O f D i a g r a m O b j e c t K e y a n y T y p e z b w N T n L X > < a : K e y V a l u e O f D i a g r a m O b j e c t K e y a n y T y p e z b w N T n L X > < a : K e y > < K e y > T a b l e s \ f C o v e c k i R e s u r s i \ C o l u m n s \ R e p o r t T y p e < / K e y > < / a : K e y > < a : V a l u e   i : t y p e = " D i a g r a m D i s p l a y N o d e V i e w S t a t e " > < H e i g h t > 1 5 0 < / H e i g h t > < I s E x p a n d e d > t r u e < / I s E x p a n d e d > < W i d t h > 2 0 0 < / W i d t h > < / a : V a l u e > < / a : K e y V a l u e O f D i a g r a m O b j e c t K e y a n y T y p e z b w N T n L X > < a : K e y V a l u e O f D i a g r a m O b j e c t K e y a n y T y p e z b w N T n L X > < a : K e y > < K e y > T a b l e s \ f C o v e c k i R e s u r s i \ C o l u m n s \ 5@8>4  ( Y e a r ) < / K e y > < / a : K e y > < a : V a l u e   i : t y p e = " D i a g r a m D i s p l a y N o d e V i e w S t a t e " > < H e i g h t > 1 5 0 < / H e i g h t > < I s E x p a n d e d > t r u e < / I s E x p a n d e d > < W i d t h > 2 0 0 < / W i d t h > < / a : V a l u e > < / a : K e y V a l u e O f D i a g r a m O b j e c t K e y a n y T y p e z b w N T n L X > < a : K e y V a l u e O f D i a g r a m O b j e c t K e y a n y T y p e z b w N T n L X > < a : K e y > < K e y > T a b l e s \ f C o v e c k i R e s u r s i \ C o l u m n s \ 5@8>4  ( Q u a r t e r ) < / K e y > < / a : K e y > < a : V a l u e   i : t y p e = " D i a g r a m D i s p l a y N o d e V i e w S t a t e " > < H e i g h t > 1 5 0 < / H e i g h t > < I s E x p a n d e d > t r u e < / I s E x p a n d e d > < W i d t h > 2 0 0 < / W i d t h > < / a : V a l u e > < / a : K e y V a l u e O f D i a g r a m O b j e c t K e y a n y T y p e z b w N T n L X > < a : K e y V a l u e O f D i a g r a m O b j e c t K e y a n y T y p e z b w N T n L X > < a : K e y > < K e y > T a b l e s \ f C o v e c k i R e s u r s i \ C o l u m n s \ 5@8>4  ( M o n t h   I n d e x ) < / K e y > < / a : K e y > < a : V a l u e   i : t y p e = " D i a g r a m D i s p l a y N o d e V i e w S t a t e " > < H e i g h t > 1 5 0 < / H e i g h t > < I s E x p a n d e d > t r u e < / I s E x p a n d e d > < W i d t h > 2 0 0 < / W i d t h > < / a : V a l u e > < / a : K e y V a l u e O f D i a g r a m O b j e c t K e y a n y T y p e z b w N T n L X > < a : K e y V a l u e O f D i a g r a m O b j e c t K e y a n y T y p e z b w N T n L X > < a : K e y > < K e y > T a b l e s \ f C o v e c k i R e s u r s i \ C o l u m n s \ 5@8>4  ( M o n t h ) < / K e y > < / a : K e y > < a : V a l u e   i : t y p e = " D i a g r a m D i s p l a y N o d e V i e w S t a t e " > < H e i g h t > 1 5 0 < / H e i g h t > < I s E x p a n d e d > t r u e < / I s E x p a n d e d > < W i d t h > 2 0 0 < / W i d t h > < / a : V a l u e > < / a : K e y V a l u e O f D i a g r a m O b j e c t K e y a n y T y p e z b w N T n L X > < a : K e y V a l u e O f D i a g r a m O b j e c t K e y a n y T y p e z b w N T n L X > < a : K e y > < K e y > T a b l e s \ f C o v e c k i R e s u r s i \ C o l u m n s \ 5@8>4  ( Y e a r )   1 < / K e y > < / a : K e y > < a : V a l u e   i : t y p e = " D i a g r a m D i s p l a y N o d e V i e w S t a t e " > < H e i g h t > 1 5 0 < / H e i g h t > < I s E x p a n d e d > t r u e < / I s E x p a n d e d > < W i d t h > 2 0 0 < / W i d t h > < / a : V a l u e > < / a : K e y V a l u e O f D i a g r a m O b j e c t K e y a n y T y p e z b w N T n L X > < a : K e y V a l u e O f D i a g r a m O b j e c t K e y a n y T y p e z b w N T n L X > < a : K e y > < K e y > T a b l e s \ f C o v e c k i R e s u r s i \ C o l u m n s \ 5@8>4  ( Q u a r t e r )   1 < / K e y > < / a : K e y > < a : V a l u e   i : t y p e = " D i a g r a m D i s p l a y N o d e V i e w S t a t e " > < H e i g h t > 1 5 0 < / H e i g h t > < I s E x p a n d e d > t r u e < / I s E x p a n d e d > < W i d t h > 2 0 0 < / W i d t h > < / a : V a l u e > < / a : K e y V a l u e O f D i a g r a m O b j e c t K e y a n y T y p e z b w N T n L X > < a : K e y V a l u e O f D i a g r a m O b j e c t K e y a n y T y p e z b w N T n L X > < a : K e y > < K e y > T a b l e s \ f C o v e c k i R e s u r s i \ C o l u m n s \ 5@8>4  ( M o n t h   I n d e x )   1 < / K e y > < / a : K e y > < a : V a l u e   i : t y p e = " D i a g r a m D i s p l a y N o d e V i e w S t a t e " > < H e i g h t > 1 5 0 < / H e i g h t > < I s E x p a n d e d > t r u e < / I s E x p a n d e d > < W i d t h > 2 0 0 < / W i d t h > < / a : V a l u e > < / a : K e y V a l u e O f D i a g r a m O b j e c t K e y a n y T y p e z b w N T n L X > < a : K e y V a l u e O f D i a g r a m O b j e c t K e y a n y T y p e z b w N T n L X > < a : K e y > < K e y > T a b l e s \ f C o v e c k i R e s u r s i \ C o l u m n s \ 5@8>4  ( M o n t h )   1 < / K e y > < / a : K e y > < a : V a l u e   i : t y p e = " D i a g r a m D i s p l a y N o d e V i e w S t a t e " > < H e i g h t > 1 5 0 < / H e i g h t > < I s E x p a n d e d > t r u e < / I s E x p a n d e d > < W i d t h > 2 0 0 < / W i d t h > < / a : V a l u e > < / a : K e y V a l u e O f D i a g r a m O b j e c t K e y a n y T y p e z b w N T n L X > < a : K e y V a l u e O f D i a g r a m O b j e c t K e y a n y T y p e z b w N T n L X > < a : K e y > < K e y > T a b l e s \ f C o v e c k i R e s u r s i \ M e a s u r e s \ S u m   o f   7=>A  3 < / K e y > < / a : K e y > < a : V a l u e   i : t y p e = " D i a g r a m D i s p l a y N o d e V i e w S t a t e " > < H e i g h t > 1 5 0 < / H e i g h t > < I s E x p a n d e d > t r u e < / I s E x p a n d e d > < W i d t h > 2 0 0 < / W i d t h > < / a : V a l u e > < / a : K e y V a l u e O f D i a g r a m O b j e c t K e y a n y T y p e z b w N T n L X > < a : K e y V a l u e O f D i a g r a m O b j e c t K e y a n y T y p e z b w N T n L X > < a : K e y > < K e y > T a b l e s \ f C o v e c k i R e s u r s i \ S u m   o f   7=>A  3 \ A d d i t i o n a l   I n f o \ I m p l i c i t   M e a s u r e < / K e y > < / a : K e y > < a : V a l u e   i : t y p e = " D i a g r a m D i s p l a y V i e w S t a t e I D i a g r a m T a g A d d i t i o n a l I n f o " / > < / a : K e y V a l u e O f D i a g r a m O b j e c t K e y a n y T y p e z b w N T n L X > < a : K e y V a l u e O f D i a g r a m O b j e c t K e y a n y T y p e z b w N T n L X > < a : K e y > < K e y > T a b l e s \ f C o v e c k i R e s u r s i \ M e a s u r e s \ S u m   o f   @0X=0  A>AB>X10  2@01>B5=8< / K e y > < / a : K e y > < a : V a l u e   i : t y p e = " D i a g r a m D i s p l a y N o d e V i e w S t a t e " > < H e i g h t > 1 5 0 < / H e i g h t > < I s E x p a n d e d > t r u e < / I s E x p a n d e d > < W i d t h > 2 0 0 < / W i d t h > < / a : V a l u e > < / a : K e y V a l u e O f D i a g r a m O b j e c t K e y a n y T y p e z b w N T n L X > < a : K e y V a l u e O f D i a g r a m O b j e c t K e y a n y T y p e z b w N T n L X > < a : K e y > < K e y > T a b l e s \ f C o v e c k i R e s u r s i \ S u m   o f   @0X=0  A>AB>X10  2@01>B5=8\ A d d i t i o n a l   I n f o \ I m p l i c i t   M e a s u r e < / K e y > < / a : K e y > < a : V a l u e   i : t y p e = " D i a g r a m D i s p l a y V i e w S t a t e I D i a g r a m T a g A d d i t i o n a l I n f o " / > < / a : K e y V a l u e O f D i a g r a m O b j e c t K e y a n y T y p e z b w N T n L X > < a : K e y V a l u e O f D i a g r a m O b j e c t K e y a n y T y p e z b w N T n L X > < a : K e y > < K e y > T a b l e s \ f C o v e c k i R e s u r s i \ M e a s u r e s \ S u m   o f   ;0=8@0=  ?@8;82/ ( >4;82) < / K e y > < / a : K e y > < a : V a l u e   i : t y p e = " D i a g r a m D i s p l a y N o d e V i e w S t a t e " > < H e i g h t > 1 5 0 < / H e i g h t > < I s E x p a n d e d > t r u e < / I s E x p a n d e d > < W i d t h > 2 0 0 < / W i d t h > < / a : V a l u e > < / a : K e y V a l u e O f D i a g r a m O b j e c t K e y a n y T y p e z b w N T n L X > < a : K e y V a l u e O f D i a g r a m O b j e c t K e y a n y T y p e z b w N T n L X > < a : K e y > < K e y > T a b l e s \ f C o v e c k i R e s u r s i \ S u m   o f   ;0=8@0=  ?@8;82/ ( >4;82) \ A d d i t i o n a l   I n f o \ I m p l i c i t   M e a s u r e < / K e y > < / a : K e y > < a : V a l u e   i : t y p e = " D i a g r a m D i s p l a y V i e w S t a t e I D i a g r a m T a g A d d i t i o n a l I n f o " / > < / a : K e y V a l u e O f D i a g r a m O b j e c t K e y a n y T y p e z b w N T n L X > < a : K e y V a l u e O f D i a g r a m O b j e c t K e y a n y T y p e z b w N T n L X > < a : K e y > < K e y > T a b l e s \ f O P E X < / K e y > < / a : K e y > < a : V a l u e   i : t y p e = " D i a g r a m D i s p l a y N o d e V i e w S t a t e " > < H e i g h t > 2 8 0 . 4 0 0 0 0 0 0 0 0 0 0 0 0 3 < / H e i g h t > < I s E x p a n d e d > t r u e < / I s E x p a n d e d > < L a y e d O u t > t r u e < / L a y e d O u t > < L e f t > 8 9 6 . 5 2 6 6 7 3 9 7 3 6 6 1 2 2 < / L e f t > < T a b I n d e x > 2 < / T a b I n d e x > < W i d t h > 2 0 0 < / W i d t h > < / a : V a l u e > < / a : K e y V a l u e O f D i a g r a m O b j e c t K e y a n y T y p e z b w N T n L X > < a : K e y V a l u e O f D i a g r a m O b j e c t K e y a n y T y p e z b w N T n L X > < a : K e y > < K e y > T a b l e s \ f O P E X \ C o l u m n s \ >=B>< / K e y > < / a : K e y > < a : V a l u e   i : t y p e = " D i a g r a m D i s p l a y N o d e V i e w S t a t e " > < H e i g h t > 1 5 0 < / H e i g h t > < I s E x p a n d e d > t r u e < / I s E x p a n d e d > < W i d t h > 2 0 0 < / W i d t h > < / a : V a l u e > < / a : K e y V a l u e O f D i a g r a m O b j e c t K e y a n y T y p e z b w N T n L X > < a : K e y V a l u e O f D i a g r a m O b j e c t K e y a n y T y p e z b w N T n L X > < a : K e y > < K e y > T a b l e s \ f O P E X \ C o l u m n s \ !B02:0< / K e y > < / a : K e y > < a : V a l u e   i : t y p e = " D i a g r a m D i s p l a y N o d e V i e w S t a t e " > < H e i g h t > 1 5 0 < / H e i g h t > < I s E x p a n d e d > t r u e < / I s E x p a n d e d > < W i d t h > 2 0 0 < / W i d t h > < / a : V a l u e > < / a : K e y V a l u e O f D i a g r a m O b j e c t K e y a n y T y p e z b w N T n L X > < a : K e y V a l u e O f D i a g r a m O b j e c t K e y a n y T y p e z b w N T n L X > < a : K e y > < K e y > T a b l e s \ f O P E X \ C o l u m n s \ 5@8>4< / K e y > < / a : K e y > < a : V a l u e   i : t y p e = " D i a g r a m D i s p l a y N o d e V i e w S t a t e " > < H e i g h t > 1 5 0 < / H e i g h t > < I s E x p a n d e d > t r u e < / I s E x p a n d e d > < W i d t h > 2 0 0 < / W i d t h > < / a : V a l u e > < / a : K e y V a l u e O f D i a g r a m O b j e c t K e y a n y T y p e z b w N T n L X > < a : K e y V a l u e O f D i a g r a m O b j e c t K e y a n y T y p e z b w N T n L X > < a : K e y > < K e y > T a b l e s \ f O P E X \ C o l u m n s \ 7=>A< / K e y > < / a : K e y > < a : V a l u e   i : t y p e = " D i a g r a m D i s p l a y N o d e V i e w S t a t e " > < H e i g h t > 1 5 0 < / H e i g h t > < I s E x p a n d e d > t r u e < / I s E x p a n d e d > < W i d t h > 2 0 0 < / W i d t h > < / a : V a l u e > < / a : K e y V a l u e O f D i a g r a m O b j e c t K e y a n y T y p e z b w N T n L X > < a : K e y V a l u e O f D i a g r a m O b j e c t K e y a n y T y p e z b w N T n L X > < a : K e y > < K e y > T a b l e s \ f O P E X \ C o l u m n s \ R e p o r t T y p e < / K e y > < / a : K e y > < a : V a l u e   i : t y p e = " D i a g r a m D i s p l a y N o d e V i e w S t a t e " > < H e i g h t > 1 5 0 < / H e i g h t > < I s E x p a n d e d > t r u e < / I s E x p a n d e d > < W i d t h > 2 0 0 < / W i d t h > < / a : V a l u e > < / a : K e y V a l u e O f D i a g r a m O b j e c t K e y a n y T y p e z b w N T n L X > < a : K e y V a l u e O f D i a g r a m O b j e c t K e y a n y T y p e z b w N T n L X > < a : K e y > < K e y > T a b l e s \ O P E X A n a l i z a < / K e y > < / a : K e y > < a : V a l u e   i : t y p e = " D i a g r a m D i s p l a y N o d e V i e w S t a t e " > < H e i g h t > 3 3 9 < / H e i g h t > < I s E x p a n d e d > t r u e < / I s E x p a n d e d > < L a y e d O u t > t r u e < / L a y e d O u t > < L e f t > 2 0 5 6 . 7 3 4 2 9 5 1 0 8 9 9 3 1 < / L e f t > < T a b I n d e x > 5 < / T a b I n d e x > < T o p > 3 7 5 . 1 9 9 9 9 9 9 9 9 9 9 9 9 3 < / T o p > < W i d t h > 2 0 0 < / W i d t h > < / a : V a l u e > < / a : K e y V a l u e O f D i a g r a m O b j e c t K e y a n y T y p e z b w N T n L X > < a : K e y V a l u e O f D i a g r a m O b j e c t K e y a n y T y p e z b w N T n L X > < a : K e y > < K e y > T a b l e s \ O P E X A n a l i z a \ C o l u m n s \ !B02:0< / K e y > < / a : K e y > < a : V a l u e   i : t y p e = " D i a g r a m D i s p l a y N o d e V i e w S t a t e " > < H e i g h t > 1 5 0 < / H e i g h t > < I s E x p a n d e d > t r u e < / I s E x p a n d e d > < W i d t h > 2 0 0 < / W i d t h > < / a : V a l u e > < / a : K e y V a l u e O f D i a g r a m O b j e c t K e y a n y T y p e z b w N T n L X > < a : K e y V a l u e O f D i a g r a m O b j e c t K e y a n y T y p e z b w N T n L X > < a : K e y > < K e y > T a b l e s \ O P E X A n a l i z a \ C o l u m n s \ 7=>A< / K e y > < / a : K e y > < a : V a l u e   i : t y p e = " D i a g r a m D i s p l a y N o d e V i e w S t a t e " > < H e i g h t > 1 5 0 < / H e i g h t > < I s E x p a n d e d > t r u e < / I s E x p a n d e d > < W i d t h > 2 0 0 < / W i d t h > < / a : V a l u e > < / a : K e y V a l u e O f D i a g r a m O b j e c t K e y a n y T y p e z b w N T n L X > < a : K e y V a l u e O f D i a g r a m O b j e c t K e y a n y T y p e z b w N T n L X > < a : K e y > < K e y > T a b l e s \ O P E X A n a l i z a \ C o l u m n s \ >=B>< / K e y > < / a : K e y > < a : V a l u e   i : t y p e = " D i a g r a m D i s p l a y N o d e V i e w S t a t e " > < H e i g h t > 1 5 0 < / H e i g h t > < I s E x p a n d e d > t r u e < / I s E x p a n d e d > < W i d t h > 2 0 0 < / W i d t h > < / a : V a l u e > < / a : K e y V a l u e O f D i a g r a m O b j e c t K e y a n y T y p e z b w N T n L X > < a : K e y V a l u e O f D i a g r a m O b j e c t K e y a n y T y p e z b w N T n L X > < a : K e y > < K e y > T a b l e s \ O P E X A n a l i z a \ C o l u m n s \ S t a v k a I m e M K < / K e y > < / a : K e y > < a : V a l u e   i : t y p e = " D i a g r a m D i s p l a y N o d e V i e w S t a t e " > < H e i g h t > 1 5 0 < / H e i g h t > < I s E x p a n d e d > t r u e < / I s E x p a n d e d > < W i d t h > 2 0 0 < / W i d t h > < / a : V a l u e > < / a : K e y V a l u e O f D i a g r a m O b j e c t K e y a n y T y p e z b w N T n L X > < a : K e y V a l u e O f D i a g r a m O b j e c t K e y a n y T y p e z b w N T n L X > < a : K e y > < K e y > T a b l e s \ O P E X A n a l i z a \ C o l u m n s \ S t a v k a A O P < / K e y > < / a : K e y > < a : V a l u e   i : t y p e = " D i a g r a m D i s p l a y N o d e V i e w S t a t e " > < H e i g h t > 1 5 0 < / H e i g h t > < I s E x p a n d e d > t r u e < / I s E x p a n d e d > < W i d t h > 2 0 0 < / W i d t h > < / a : V a l u e > < / a : K e y V a l u e O f D i a g r a m O b j e c t K e y a n y T y p e z b w N T n L X > < a : K e y V a l u e O f D i a g r a m O b j e c t K e y a n y T y p e z b w N T n L X > < a : K e y > < K e y > T a b l e s \ O P E X A n a l i z a \ C o l u m n s \ S t a v k a G r u p a < / K e y > < / a : K e y > < a : V a l u e   i : t y p e = " D i a g r a m D i s p l a y N o d e V i e w S t a t e " > < H e i g h t > 1 5 0 < / H e i g h t > < I s E x p a n d e d > t r u e < / I s E x p a n d e d > < W i d t h > 2 0 0 < / W i d t h > < / a : V a l u e > < / a : K e y V a l u e O f D i a g r a m O b j e c t K e y a n y T y p e z b w N T n L X > < a : K e y V a l u e O f D i a g r a m O b j e c t K e y a n y T y p e z b w N T n L X > < a : K e y > < K e y > T a b l e s \ O P E X A n a l i z a \ C o l u m n s \ S t a v k a K a t e g o r i j a < / K e y > < / a : K e y > < a : V a l u e   i : t y p e = " D i a g r a m D i s p l a y N o d e V i e w S t a t e " > < H e i g h t > 1 5 0 < / H e i g h t > < I s E x p a n d e d > t r u e < / I s E x p a n d e d > < W i d t h > 2 0 0 < / W i d t h > < / a : V a l u e > < / a : K e y V a l u e O f D i a g r a m O b j e c t K e y a n y T y p e z b w N T n L X > < a : K e y V a l u e O f D i a g r a m O b j e c t K e y a n y T y p e z b w N T n L X > < a : K e y > < K e y > T a b l e s \ O P E X A n a l i z a \ C o l u m n s \ O b r a z e c I m e < / K e y > < / a : K e y > < a : V a l u e   i : t y p e = " D i a g r a m D i s p l a y N o d e V i e w S t a t e " > < H e i g h t > 1 5 0 < / H e i g h t > < I s E x p a n d e d > t r u e < / I s E x p a n d e d > < W i d t h > 2 0 0 < / W i d t h > < / a : V a l u e > < / a : K e y V a l u e O f D i a g r a m O b j e c t K e y a n y T y p e z b w N T n L X > < a : K e y V a l u e O f D i a g r a m O b j e c t K e y a n y T y p e z b w N T n L X > < a : K e y > < K e y > T a b l e s \ O P E X A n a l i z a \ C o l u m n s \ 5@8>4< / K e y > < / a : K e y > < a : V a l u e   i : t y p e = " D i a g r a m D i s p l a y N o d e V i e w S t a t e " > < H e i g h t > 1 5 0 < / H e i g h t > < I s E x p a n d e d > t r u e < / I s E x p a n d e d > < W i d t h > 2 0 0 < / W i d t h > < / a : V a l u e > < / a : K e y V a l u e O f D i a g r a m O b j e c t K e y a n y T y p e z b w N T n L X > < a : K e y V a l u e O f D i a g r a m O b j e c t K e y a n y T y p e z b w N T n L X > < a : K e y > < K e y > T a b l e s \ O P E X A n a l i z a \ C o l u m n s \ R e p o r t T y p e < / K e y > < / a : K e y > < a : V a l u e   i : t y p e = " D i a g r a m D i s p l a y N o d e V i e w S t a t e " > < H e i g h t > 1 5 0 < / H e i g h t > < I s E x p a n d e d > t r u e < / I s E x p a n d e d > < W i d t h > 2 0 0 < / W i d t h > < / a : V a l u e > < / a : K e y V a l u e O f D i a g r a m O b j e c t K e y a n y T y p e z b w N T n L X > < a : K e y V a l u e O f D i a g r a m O b j e c t K e y a n y T y p e z b w N T n L X > < a : K e y > < K e y > T a b l e s \ O P E X A n a l i z a \ C o l u m n s \ S t a v k a I m e A O P < / K e y > < / a : K e y > < a : V a l u e   i : t y p e = " D i a g r a m D i s p l a y N o d e V i e w S t a t e " > < H e i g h t > 1 5 0 < / H e i g h t > < I s E x p a n d e d > t r u e < / I s E x p a n d e d > < W i d t h > 2 0 0 < / W i d t h > < / a : V a l u e > < / a : K e y V a l u e O f D i a g r a m O b j e c t K e y a n y T y p e z b w N T n L X > < a : K e y V a l u e O f D i a g r a m O b j e c t K e y a n y T y p e z b w N T n L X > < a : K e y > < K e y > T a b l e s \ O P E X A n a l i z a \ C o l u m n s \ 5@8>4  ( Y e a r ) < / K e y > < / a : K e y > < a : V a l u e   i : t y p e = " D i a g r a m D i s p l a y N o d e V i e w S t a t e " > < H e i g h t > 1 5 0 < / H e i g h t > < I s E x p a n d e d > t r u e < / I s E x p a n d e d > < W i d t h > 2 0 0 < / W i d t h > < / a : V a l u e > < / a : K e y V a l u e O f D i a g r a m O b j e c t K e y a n y T y p e z b w N T n L X > < a : K e y V a l u e O f D i a g r a m O b j e c t K e y a n y T y p e z b w N T n L X > < a : K e y > < K e y > T a b l e s \ O P E X A n a l i z a \ C o l u m n s \ 5@8>4  ( Q u a r t e r ) < / K e y > < / a : K e y > < a : V a l u e   i : t y p e = " D i a g r a m D i s p l a y N o d e V i e w S t a t e " > < H e i g h t > 1 5 0 < / H e i g h t > < I s E x p a n d e d > t r u e < / I s E x p a n d e d > < W i d t h > 2 0 0 < / W i d t h > < / a : V a l u e > < / a : K e y V a l u e O f D i a g r a m O b j e c t K e y a n y T y p e z b w N T n L X > < a : K e y V a l u e O f D i a g r a m O b j e c t K e y a n y T y p e z b w N T n L X > < a : K e y > < K e y > T a b l e s \ O P E X A n a l i z a \ C o l u m n s \ 5@8>4  ( M o n t h   I n d e x ) < / K e y > < / a : K e y > < a : V a l u e   i : t y p e = " D i a g r a m D i s p l a y N o d e V i e w S t a t e " > < H e i g h t > 1 5 0 < / H e i g h t > < I s E x p a n d e d > t r u e < / I s E x p a n d e d > < W i d t h > 2 0 0 < / W i d t h > < / a : V a l u e > < / a : K e y V a l u e O f D i a g r a m O b j e c t K e y a n y T y p e z b w N T n L X > < a : K e y V a l u e O f D i a g r a m O b j e c t K e y a n y T y p e z b w N T n L X > < a : K e y > < K e y > T a b l e s \ O P E X A n a l i z a \ C o l u m n s \ 5@8>4  ( M o n t h ) < / K e y > < / a : K e y > < a : V a l u e   i : t y p e = " D i a g r a m D i s p l a y N o d e V i e w S t a t e " > < H e i g h t > 1 5 0 < / H e i g h t > < I s E x p a n d e d > t r u e < / I s E x p a n d e d > < W i d t h > 2 0 0 < / W i d t h > < / a : V a l u e > < / a : K e y V a l u e O f D i a g r a m O b j e c t K e y a n y T y p e z b w N T n L X > < a : K e y V a l u e O f D i a g r a m O b j e c t K e y a n y T y p e z b w N T n L X > < a : K e y > < K e y > T a b l e s \ O P E X A n a l i z a \ M e a s u r e s \ S u m   o f   7=>A  4 < / K e y > < / a : K e y > < a : V a l u e   i : t y p e = " D i a g r a m D i s p l a y N o d e V i e w S t a t e " > < H e i g h t > 1 5 0 < / H e i g h t > < I s E x p a n d e d > t r u e < / I s E x p a n d e d > < W i d t h > 2 0 0 < / W i d t h > < / a : V a l u e > < / a : K e y V a l u e O f D i a g r a m O b j e c t K e y a n y T y p e z b w N T n L X > < a : K e y V a l u e O f D i a g r a m O b j e c t K e y a n y T y p e z b w N T n L X > < a : K e y > < K e y > T a b l e s \ O P E X A n a l i z a \ S u m   o f   7=>A  4 \ A d d i t i o n a l   I n f o \ I m p l i c i t   M e a s u r e < / K e y > < / a : K e y > < a : V a l u e   i : t y p e = " D i a g r a m D i s p l a y V i e w S t a t e I D i a g r a m T a g A d d i t i o n a l I n f o " / > < / a : K e y V a l u e O f D i a g r a m O b j e c t K e y a n y T y p e z b w N T n L X > < a : K e y V a l u e O f D i a g r a m O b j e c t K e y a n y T y p e z b w N T n L X > < a : K e y > < K e y > T a b l e s \ f O P E X   -   < / K e y > < / a : K e y > < a : V a l u e   i : t y p e = " D i a g r a m D i s p l a y N o d e V i e w S t a t e " > < H e i g h t > 1 5 0 < / H e i g h t > < I s E x p a n d e d > t r u e < / I s E x p a n d e d > < L a y e d O u t > t r u e < / L a y e d O u t > < L e f t > 2 6 2 6 . 6 3 8 1 0 5 6 7 6 6 5 9 1 < / L e f t > < T a b I n d e x > 6 < / T a b I n d e x > < T o p > 3 7 5 . 1 9 9 9 9 9 9 9 9 9 9 9 9 3 < / T o p > < W i d t h > 2 0 0 < / W i d t h > < / a : V a l u e > < / a : K e y V a l u e O f D i a g r a m O b j e c t K e y a n y T y p e z b w N T n L X > < a : K e y V a l u e O f D i a g r a m O b j e c t K e y a n y T y p e z b w N T n L X > < a : K e y > < K e y > T a b l e s \ f O P E X   -   \ C o l u m n s \ >=B>< / K e y > < / a : K e y > < a : V a l u e   i : t y p e = " D i a g r a m D i s p l a y N o d e V i e w S t a t e " > < H e i g h t > 1 5 0 < / H e i g h t > < I s E x p a n d e d > t r u e < / I s E x p a n d e d > < W i d t h > 2 0 0 < / W i d t h > < / a : V a l u e > < / a : K e y V a l u e O f D i a g r a m O b j e c t K e y a n y T y p e z b w N T n L X > < a : K e y V a l u e O f D i a g r a m O b j e c t K e y a n y T y p e z b w N T n L X > < a : K e y > < K e y > T a b l e s \ f O P E X   -   \ C o l u m n s \ @54<5B  =0  X02=0  =0102:0< / K e y > < / a : K e y > < a : V a l u e   i : t y p e = " D i a g r a m D i s p l a y N o d e V i e w S t a t e " > < H e i g h t > 1 5 0 < / H e i g h t > < I s E x p a n d e d > t r u e < / I s E x p a n d e d > < W i d t h > 2 0 0 < / W i d t h > < / a : V a l u e > < / a : K e y V a l u e O f D i a g r a m O b j e c t K e y a n y T y p e z b w N T n L X > < a : K e y V a l u e O f D i a g r a m O b j e c t K e y a n y T y p e z b w N T n L X > < a : K e y > < K e y > T a b l e s \ f O P E X   -   \ C o l u m n s \ @542845=  40BC<  =0  =0102:0< / K e y > < / a : K e y > < a : V a l u e   i : t y p e = " D i a g r a m D i s p l a y N o d e V i e w S t a t e " > < H e i g h t > 1 5 0 < / H e i g h t > < I s E x p a n d e d > t r u e < / I s E x p a n d e d > < W i d t h > 2 0 0 < / W i d t h > < / a : V a l u e > < / a : K e y V a l u e O f D i a g r a m O b j e c t K e y a n y T y p e z b w N T n L X > < a : K e y V a l u e O f D i a g r a m O b j e c t K e y a n y T y p e z b w N T n L X > < a : K e y > < K e y > T a b l e s \ f O P E X   -   \ C o l u m n s \ @>F5=5B0  2@54=>AB  =0  =0102:0  A>    ( 45=0@8) < / K e y > < / a : K e y > < a : V a l u e   i : t y p e = " D i a g r a m D i s p l a y N o d e V i e w S t a t e " > < H e i g h t > 1 5 0 < / H e i g h t > < I s E x p a n d e d > t r u e < / I s E x p a n d e d > < W i d t h > 2 0 0 < / W i d t h > < / a : V a l u e > < / a : K e y V a l u e O f D i a g r a m O b j e c t K e y a n y T y p e z b w N T n L X > < a : K e y V a l u e O f D i a g r a m O b j e c t K e y a n y T y p e z b w N T n L X > < a : K e y > < K e y > T a b l e s \ f O P E X   -   \ C o l u m n s \ R e p o r t T y p e < / K e y > < / a : K e y > < a : V a l u e   i : t y p e = " D i a g r a m D i s p l a y N o d e V i e w S t a t e " > < H e i g h t > 1 5 0 < / H e i g h t > < I s E x p a n d e d > t r u e < / I s E x p a n d e d > < W i d t h > 2 0 0 < / W i d t h > < / a : V a l u e > < / a : K e y V a l u e O f D i a g r a m O b j e c t K e y a n y T y p e z b w N T n L X > < a : K e y V a l u e O f D i a g r a m O b j e c t K e y a n y T y p e z b w N T n L X > < a : K e y > < K e y > T a b l e s \ r A r t i k l i A n a l i z a < / K e y > < / a : K e y > < a : V a l u e   i : t y p e = " D i a g r a m D i s p l a y N o d e V i e w S t a t e " > < H e i g h t > 2 8 8 < / H e i g h t > < I s E x p a n d e d > t r u e < / I s E x p a n d e d > < L a y e d O u t > t r u e < / L a y e d O u t > < L e f t > 1 0 9 8 . 5 4 1 9 1 6 2 4 4 3 2 5 < / L e f t > < T a b I n d e x > 4 < / T a b I n d e x > < T o p > 2 4 5 . 1 9 9 9 9 9 9 9 9 9 9 9 9 3 < / T o p > < W i d t h > 2 2 4 < / W i d t h > < / a : V a l u e > < / a : K e y V a l u e O f D i a g r a m O b j e c t K e y a n y T y p e z b w N T n L X > < a : K e y V a l u e O f D i a g r a m O b j e c t K e y a n y T y p e z b w N T n L X > < a : K e y > < K e y > T a b l e s \ r A r t i k l i A n a l i z a \ C o l u m n s \ !B02:0< / K e y > < / a : K e y > < a : V a l u e   i : t y p e = " D i a g r a m D i s p l a y N o d e V i e w S t a t e " > < H e i g h t > 1 5 0 < / H e i g h t > < I s E x p a n d e d > t r u e < / I s E x p a n d e d > < W i d t h > 2 0 0 < / W i d t h > < / a : V a l u e > < / a : K e y V a l u e O f D i a g r a m O b j e c t K e y a n y T y p e z b w N T n L X > < a : K e y V a l u e O f D i a g r a m O b j e c t K e y a n y T y p e z b w N T n L X > < a : K e y > < K e y > T a b l e s \ r A r t i k l i A n a l i z a \ C o l u m n s \ 7=>A< / K e y > < / a : K e y > < a : V a l u e   i : t y p e = " D i a g r a m D i s p l a y N o d e V i e w S t a t e " > < H e i g h t > 1 5 0 < / H e i g h t > < I s E x p a n d e d > t r u e < / I s E x p a n d e d > < W i d t h > 2 0 0 < / W i d t h > < / a : V a l u e > < / a : K e y V a l u e O f D i a g r a m O b j e c t K e y a n y T y p e z b w N T n L X > < a : K e y V a l u e O f D i a g r a m O b j e c t K e y a n y T y p e z b w N T n L X > < a : K e y > < K e y > T a b l e s \ r A r t i k l i A n a l i z a \ C o l u m n s \ >=B>< / K e y > < / a : K e y > < a : V a l u e   i : t y p e = " D i a g r a m D i s p l a y N o d e V i e w S t a t e " > < H e i g h t > 1 5 0 < / H e i g h t > < I s E x p a n d e d > t r u e < / I s E x p a n d e d > < W i d t h > 2 0 0 < / W i d t h > < / a : V a l u e > < / a : K e y V a l u e O f D i a g r a m O b j e c t K e y a n y T y p e z b w N T n L X > < a : K e y V a l u e O f D i a g r a m O b j e c t K e y a n y T y p e z b w N T n L X > < a : K e y > < K e y > T a b l e s \ r A r t i k l i A n a l i z a \ C o l u m n s \ S t a v k a I m e M K < / K e y > < / a : K e y > < a : V a l u e   i : t y p e = " D i a g r a m D i s p l a y N o d e V i e w S t a t e " > < H e i g h t > 1 5 0 < / H e i g h t > < I s E x p a n d e d > t r u e < / I s E x p a n d e d > < W i d t h > 2 0 0 < / W i d t h > < / a : V a l u e > < / a : K e y V a l u e O f D i a g r a m O b j e c t K e y a n y T y p e z b w N T n L X > < a : K e y V a l u e O f D i a g r a m O b j e c t K e y a n y T y p e z b w N T n L X > < a : K e y > < K e y > T a b l e s \ r A r t i k l i A n a l i z a \ C o l u m n s \ S t a v k a A O P < / K e y > < / a : K e y > < a : V a l u e   i : t y p e = " D i a g r a m D i s p l a y N o d e V i e w S t a t e " > < H e i g h t > 1 5 0 < / H e i g h t > < I s E x p a n d e d > t r u e < / I s E x p a n d e d > < W i d t h > 2 0 0 < / W i d t h > < / a : V a l u e > < / a : K e y V a l u e O f D i a g r a m O b j e c t K e y a n y T y p e z b w N T n L X > < a : K e y V a l u e O f D i a g r a m O b j e c t K e y a n y T y p e z b w N T n L X > < a : K e y > < K e y > T a b l e s \ r A r t i k l i A n a l i z a \ C o l u m n s \ S t a v k a G r u p a < / K e y > < / a : K e y > < a : V a l u e   i : t y p e = " D i a g r a m D i s p l a y N o d e V i e w S t a t e " > < H e i g h t > 1 5 0 < / H e i g h t > < I s E x p a n d e d > t r u e < / I s E x p a n d e d > < W i d t h > 2 0 0 < / W i d t h > < / a : V a l u e > < / a : K e y V a l u e O f D i a g r a m O b j e c t K e y a n y T y p e z b w N T n L X > < a : K e y V a l u e O f D i a g r a m O b j e c t K e y a n y T y p e z b w N T n L X > < a : K e y > < K e y > T a b l e s \ r A r t i k l i A n a l i z a \ C o l u m n s \ S t a v k a K a t e g o r i j a < / K e y > < / a : K e y > < a : V a l u e   i : t y p e = " D i a g r a m D i s p l a y N o d e V i e w S t a t e " > < H e i g h t > 1 5 0 < / H e i g h t > < I s E x p a n d e d > t r u e < / I s E x p a n d e d > < W i d t h > 2 0 0 < / W i d t h > < / a : V a l u e > < / a : K e y V a l u e O f D i a g r a m O b j e c t K e y a n y T y p e z b w N T n L X > < a : K e y V a l u e O f D i a g r a m O b j e c t K e y a n y T y p e z b w N T n L X > < a : K e y > < K e y > T a b l e s \ r A r t i k l i A n a l i z a \ C o l u m n s \ O b r a z e c I m e < / K e y > < / a : K e y > < a : V a l u e   i : t y p e = " D i a g r a m D i s p l a y N o d e V i e w S t a t e " > < H e i g h t > 1 5 0 < / H e i g h t > < I s E x p a n d e d > t r u e < / I s E x p a n d e d > < W i d t h > 2 0 0 < / W i d t h > < / a : V a l u e > < / a : K e y V a l u e O f D i a g r a m O b j e c t K e y a n y T y p e z b w N T n L X > < a : K e y V a l u e O f D i a g r a m O b j e c t K e y a n y T y p e z b w N T n L X > < a : K e y > < K e y > T a b l e s \ r A r t i k l i A n a l i z a \ C o l u m n s \ 5@8>4< / K e y > < / a : K e y > < a : V a l u e   i : t y p e = " D i a g r a m D i s p l a y N o d e V i e w S t a t e " > < H e i g h t > 1 5 0 < / H e i g h t > < I s E x p a n d e d > t r u e < / I s E x p a n d e d > < W i d t h > 2 0 0 < / W i d t h > < / a : V a l u e > < / a : K e y V a l u e O f D i a g r a m O b j e c t K e y a n y T y p e z b w N T n L X > < a : K e y V a l u e O f D i a g r a m O b j e c t K e y a n y T y p e z b w N T n L X > < a : K e y > < K e y > T a b l e s \ r A r t i k l i A n a l i z a \ C o l u m n s \ R e p o r t T y p e < / K e y > < / a : K e y > < a : V a l u e   i : t y p e = " D i a g r a m D i s p l a y N o d e V i e w S t a t e " > < H e i g h t > 1 5 0 < / H e i g h t > < I s E x p a n d e d > t r u e < / I s E x p a n d e d > < W i d t h > 2 0 0 < / W i d t h > < / a : V a l u e > < / a : K e y V a l u e O f D i a g r a m O b j e c t K e y a n y T y p e z b w N T n L X > < a : K e y V a l u e O f D i a g r a m O b j e c t K e y a n y T y p e z b w N T n L X > < a : K e y > < K e y > T a b l e s \ r A r t i k l i A n a l i z a \ C o l u m n s \ 5@8>4  ( Y e a r ) < / K e y > < / a : K e y > < a : V a l u e   i : t y p e = " D i a g r a m D i s p l a y N o d e V i e w S t a t e " > < H e i g h t > 1 5 0 < / H e i g h t > < I s E x p a n d e d > t r u e < / I s E x p a n d e d > < W i d t h > 2 0 0 < / W i d t h > < / a : V a l u e > < / a : K e y V a l u e O f D i a g r a m O b j e c t K e y a n y T y p e z b w N T n L X > < a : K e y V a l u e O f D i a g r a m O b j e c t K e y a n y T y p e z b w N T n L X > < a : K e y > < K e y > T a b l e s \ r A r t i k l i A n a l i z a \ C o l u m n s \ 5@8>4  ( Q u a r t e r ) < / K e y > < / a : K e y > < a : V a l u e   i : t y p e = " D i a g r a m D i s p l a y N o d e V i e w S t a t e " > < H e i g h t > 1 5 0 < / H e i g h t > < I s E x p a n d e d > t r u e < / I s E x p a n d e d > < W i d t h > 2 0 0 < / W i d t h > < / a : V a l u e > < / a : K e y V a l u e O f D i a g r a m O b j e c t K e y a n y T y p e z b w N T n L X > < a : K e y V a l u e O f D i a g r a m O b j e c t K e y a n y T y p e z b w N T n L X > < a : K e y > < K e y > T a b l e s \ r A r t i k l i A n a l i z a \ C o l u m n s \ 5@8>4  ( M o n t h   I n d e x ) < / K e y > < / a : K e y > < a : V a l u e   i : t y p e = " D i a g r a m D i s p l a y N o d e V i e w S t a t e " > < H e i g h t > 1 5 0 < / H e i g h t > < I s E x p a n d e d > t r u e < / I s E x p a n d e d > < W i d t h > 2 0 0 < / W i d t h > < / a : V a l u e > < / a : K e y V a l u e O f D i a g r a m O b j e c t K e y a n y T y p e z b w N T n L X > < a : K e y V a l u e O f D i a g r a m O b j e c t K e y a n y T y p e z b w N T n L X > < a : K e y > < K e y > T a b l e s \ r A r t i k l i A n a l i z a \ C o l u m n s \ 5@8>4  ( M o n t h ) < / K e y > < / a : K e y > < a : V a l u e   i : t y p e = " D i a g r a m D i s p l a y N o d e V i e w S t a t e " > < H e i g h t > 1 5 0 < / H e i g h t > < I s E x p a n d e d > t r u e < / I s E x p a n d e d > < W i d t h > 2 0 0 < / W i d t h > < / a : V a l u e > < / a : K e y V a l u e O f D i a g r a m O b j e c t K e y a n y T y p e z b w N T n L X > < a : K e y V a l u e O f D i a g r a m O b j e c t K e y a n y T y p e z b w N T n L X > < a : K e y > < K e y > T a b l e s \ r A r t i k l i A n a l i z a \ M e a s u r e s \ S u m   o f   7=>A  5 < / K e y > < / a : K e y > < a : V a l u e   i : t y p e = " D i a g r a m D i s p l a y N o d e V i e w S t a t e " > < H e i g h t > 1 5 0 < / H e i g h t > < I s E x p a n d e d > t r u e < / I s E x p a n d e d > < W i d t h > 2 0 0 < / W i d t h > < / a : V a l u e > < / a : K e y V a l u e O f D i a g r a m O b j e c t K e y a n y T y p e z b w N T n L X > < a : K e y V a l u e O f D i a g r a m O b j e c t K e y a n y T y p e z b w N T n L X > < a : K e y > < K e y > T a b l e s \ r A r t i k l i A n a l i z a \ S u m   o f   7=>A  5 \ A d d i t i o n a l   I n f o \ I m p l i c i t   M e a s u r e < / K e y > < / a : K e y > < a : V a l u e   i : t y p e = " D i a g r a m D i s p l a y V i e w S t a t e I D i a g r a m T a g A d d i t i o n a l I n f o " / > < / a : K e y V a l u e O f D i a g r a m O b j e c t K e y a n y T y p e z b w N T n L X > < a : K e y V a l u e O f D i a g r a m O b j e c t K e y a n y T y p e z b w N T n L X > < a : K e y > < K e y > T a b l e s \ f A r t i k l i C e n i < / K e y > < / a : K e y > < a : V a l u e   i : t y p e = " D i a g r a m D i s p l a y N o d e V i e w S t a t e " > < H e i g h t > 1 5 0 < / H e i g h t > < I s E x p a n d e d > t r u e < / I s E x p a n d e d > < L a y e d O u t > t r u e < / L a y e d O u t > < L e f t > 2 8 6 6 . 6 3 8 1 0 5 6 7 6 6 5 9 1 < / L e f t > < T a b I n d e x > 7 < / T a b I n d e x > < T o p > 3 8 3 . 6 9 9 9 9 9 9 9 9 9 9 9 9 3 < / T o p > < W i d t h > 2 0 0 < / W i d t h > < / a : V a l u e > < / a : K e y V a l u e O f D i a g r a m O b j e c t K e y a n y T y p e z b w N T n L X > < a : K e y V a l u e O f D i a g r a m O b j e c t K e y a n y T y p e z b w N T n L X > < a : K e y > < K e y > T a b l e s \ f A r t i k l i C e n i \ C o l u m n s \ !B02:0< / K e y > < / a : K e y > < a : V a l u e   i : t y p e = " D i a g r a m D i s p l a y N o d e V i e w S t a t e " > < H e i g h t > 1 5 0 < / H e i g h t > < I s E x p a n d e d > t r u e < / I s E x p a n d e d > < W i d t h > 2 0 0 < / W i d t h > < / a : V a l u e > < / a : K e y V a l u e O f D i a g r a m O b j e c t K e y a n y T y p e z b w N T n L X > < a : K e y V a l u e O f D i a g r a m O b j e c t K e y a n y T y p e z b w N T n L X > < a : K e y > < K e y > T a b l e s \ f A r t i k l i C e n i \ C o l u m n s \ 0B53>@8X0  @B8:;< / K e y > < / a : K e y > < a : V a l u e   i : t y p e = " D i a g r a m D i s p l a y N o d e V i e w S t a t e " > < H e i g h t > 1 5 0 < / H e i g h t > < I s E x p a n d e d > t r u e < / I s E x p a n d e d > < W i d t h > 2 0 0 < / W i d t h > < / a : V a l u e > < / a : K e y V a l u e O f D i a g r a m O b j e c t K e y a n y T y p e z b w N T n L X > < a : K e y V a l u e O f D i a g r a m O b j e c t K e y a n y T y p e z b w N T n L X > < a : K e y > < K e y > T a b l e s \ f A r t i k l i C e n i \ C o l u m n s \ "8?  =0  0@B8:;< / K e y > < / a : K e y > < a : V a l u e   i : t y p e = " D i a g r a m D i s p l a y N o d e V i e w S t a t e " > < H e i g h t > 1 5 0 < / H e i g h t > < I s E x p a n d e d > t r u e < / I s E x p a n d e d > < W i d t h > 2 0 0 < / W i d t h > < / a : V a l u e > < / a : K e y V a l u e O f D i a g r a m O b j e c t K e y a n y T y p e z b w N T n L X > < a : K e y V a l u e O f D i a g r a m O b j e c t K e y a n y T y p e z b w N T n L X > < a : K e y > < K e y > T a b l e s \ f A r t i k l i C e n i \ C o l u m n s \ 48=5G=0  <5@:0< / K e y > < / a : K e y > < a : V a l u e   i : t y p e = " D i a g r a m D i s p l a y N o d e V i e w S t a t e " > < H e i g h t > 1 5 0 < / H e i g h t > < I s E x p a n d e d > t r u e < / I s E x p a n d e d > < W i d t h > 2 0 0 < / W i d t h > < / a : V a l u e > < / a : K e y V a l u e O f D i a g r a m O b j e c t K e y a n y T y p e z b w N T n L X > < a : K e y V a l u e O f D i a g r a m O b j e c t K e y a n y T y p e z b w N T n L X > < a : K e y > < K e y > T a b l e s \ f A r t i k l i C e n i \ C o l u m n s \ >;8G8=0< / K e y > < / a : K e y > < a : V a l u e   i : t y p e = " D i a g r a m D i s p l a y N o d e V i e w S t a t e " > < H e i g h t > 1 5 0 < / H e i g h t > < I s E x p a n d e d > t r u e < / I s E x p a n d e d > < W i d t h > 2 0 0 < / W i d t h > < / a : V a l u e > < / a : K e y V a l u e O f D i a g r a m O b j e c t K e y a n y T y p e z b w N T n L X > < a : K e y V a l u e O f D i a g r a m O b j e c t K e y a n y T y p e z b w N T n L X > < a : K e y > < K e y > T a b l e s \ f A r t i k l i C e n i \ C o l u m n s \ 48=5G=0  F5=0< / K e y > < / a : K e y > < a : V a l u e   i : t y p e = " D i a g r a m D i s p l a y N o d e V i e w S t a t e " > < H e i g h t > 1 5 0 < / H e i g h t > < I s E x p a n d e d > t r u e < / I s E x p a n d e d > < W i d t h > 2 0 0 < / W i d t h > < / a : V a l u e > < / a : K e y V a l u e O f D i a g r a m O b j e c t K e y a n y T y p e z b w N T n L X > < a : K e y V a l u e O f D i a g r a m O b j e c t K e y a n y T y p e z b w N T n L X > < a : K e y > < K e y > T a b l e s \ f A r t i k l i C e n i \ C o l u m n s \ :C?=>  B@>H>:< / K e y > < / a : K e y > < a : V a l u e   i : t y p e = " D i a g r a m D i s p l a y N o d e V i e w S t a t e " > < H e i g h t > 1 5 0 < / H e i g h t > < I s E x p a n d e d > t r u e < / I s E x p a n d e d > < W i d t h > 2 0 0 < / W i d t h > < / a : V a l u e > < / a : K e y V a l u e O f D i a g r a m O b j e c t K e y a n y T y p e z b w N T n L X > < a : K e y V a l u e O f D i a g r a m O b j e c t K e y a n y T y p e z b w N T n L X > < a : K e y > < K e y > T a b l e s \ f A r t i k l i C e n i \ C o l u m n s \ < / K e y > < / a : K e y > < a : V a l u e   i : t y p e = " D i a g r a m D i s p l a y N o d e V i e w S t a t e " > < H e i g h t > 1 5 0 < / H e i g h t > < I s E x p a n d e d > t r u e < / I s E x p a n d e d > < W i d t h > 2 0 0 < / W i d t h > < / a : V a l u e > < / a : K e y V a l u e O f D i a g r a m O b j e c t K e y a n y T y p e z b w N T n L X > < a : K e y V a l u e O f D i a g r a m O b j e c t K e y a n y T y p e z b w N T n L X > < a : K e y > < K e y > T a b l e s \ f A r t i k l i C e n i \ C o l u m n s \ 7=>A< / K e y > < / a : K e y > < a : V a l u e   i : t y p e = " D i a g r a m D i s p l a y N o d e V i e w S t a t e " > < H e i g h t > 1 5 0 < / H e i g h t > < I s E x p a n d e d > t r u e < / I s E x p a n d e d > < W i d t h > 2 0 0 < / W i d t h > < / a : V a l u e > < / a : K e y V a l u e O f D i a g r a m O b j e c t K e y a n y T y p e z b w N T n L X > < a : K e y V a l u e O f D i a g r a m O b j e c t K e y a n y T y p e z b w N T n L X > < a : K e y > < K e y > T a b l e s \ f A r t i k l i C e n i \ C o l u m n s \ >=B>< / K e y > < / a : K e y > < a : V a l u e   i : t y p e = " D i a g r a m D i s p l a y N o d e V i e w S t a t e " > < H e i g h t > 1 5 0 < / H e i g h t > < I s E x p a n d e d > t r u e < / I s E x p a n d e d > < W i d t h > 2 0 0 < / W i d t h > < / a : V a l u e > < / a : K e y V a l u e O f D i a g r a m O b j e c t K e y a n y T y p e z b w N T n L X > < a : K e y V a l u e O f D i a g r a m O b j e c t K e y a n y T y p e z b w N T n L X > < a : K e y > < K e y > T a b l e s \ f A r t i k l i C e n i \ C o l u m n s \ R e p o r t T y p e < / K e y > < / a : K e y > < a : V a l u e   i : t y p e = " D i a g r a m D i s p l a y N o d e V i e w S t a t e " > < H e i g h t > 1 5 0 < / H e i g h t > < I s E x p a n d e d > t r u e < / I s E x p a n d e d > < W i d t h > 2 0 0 < / W i d t h > < / a : V a l u e > < / a : K e y V a l u e O f D i a g r a m O b j e c t K e y a n y T y p e z b w N T n L X > < a : K e y V a l u e O f D i a g r a m O b j e c t K e y a n y T y p e z b w N T n L X > < a : K e y > < K e y > T a b l e s \ f A r t i k l i C e n i \ C o l u m n s \ 5@8>4< / K e y > < / a : K e y > < a : V a l u e   i : t y p e = " D i a g r a m D i s p l a y N o d e V i e w S t a t e " > < H e i g h t > 1 5 0 < / H e i g h t > < I s E x p a n d e d > t r u e < / I s E x p a n d e d > < W i d t h > 2 0 0 < / W i d t h > < / a : V a l u e > < / a : K e y V a l u e O f D i a g r a m O b j e c t K e y a n y T y p e z b w N T n L X > < a : K e y V a l u e O f D i a g r a m O b j e c t K e y a n y T y p e z b w N T n L X > < a : K e y > < K e y > T a b l e s \ f A r t i k l i C e n i \ C o l u m n s \ S t a v k a I m e M K < / K e y > < / a : K e y > < a : V a l u e   i : t y p e = " D i a g r a m D i s p l a y N o d e V i e w S t a t e " > < H e i g h t > 1 5 0 < / H e i g h t > < I s E x p a n d e d > t r u e < / I s E x p a n d e d > < W i d t h > 2 0 0 < / W i d t h > < / a : V a l u e > < / a : K e y V a l u e O f D i a g r a m O b j e c t K e y a n y T y p e z b w N T n L X > < a : K e y V a l u e O f D i a g r a m O b j e c t K e y a n y T y p e z b w N T n L X > < a : K e y > < K e y > T a b l e s \ f A r t i k l i C e n i \ C o l u m n s \ S t a v k a A O P < / K e y > < / a : K e y > < a : V a l u e   i : t y p e = " D i a g r a m D i s p l a y N o d e V i e w S t a t e " > < H e i g h t > 1 5 0 < / H e i g h t > < I s E x p a n d e d > t r u e < / I s E x p a n d e d > < W i d t h > 2 0 0 < / W i d t h > < / a : V a l u e > < / a : K e y V a l u e O f D i a g r a m O b j e c t K e y a n y T y p e z b w N T n L X > < a : K e y V a l u e O f D i a g r a m O b j e c t K e y a n y T y p e z b w N T n L X > < a : K e y > < K e y > T a b l e s \ f A r t i k l i C e n i \ C o l u m n s \ S t a v k a G r u p a < / K e y > < / a : K e y > < a : V a l u e   i : t y p e = " D i a g r a m D i s p l a y N o d e V i e w S t a t e " > < H e i g h t > 1 5 0 < / H e i g h t > < I s E x p a n d e d > t r u e < / I s E x p a n d e d > < W i d t h > 2 0 0 < / W i d t h > < / a : V a l u e > < / a : K e y V a l u e O f D i a g r a m O b j e c t K e y a n y T y p e z b w N T n L X > < a : K e y V a l u e O f D i a g r a m O b j e c t K e y a n y T y p e z b w N T n L X > < a : K e y > < K e y > T a b l e s \ f A r t i k l i C e n i \ C o l u m n s \ S t a v k a K a t e g o r i j a < / K e y > < / a : K e y > < a : V a l u e   i : t y p e = " D i a g r a m D i s p l a y N o d e V i e w S t a t e " > < H e i g h t > 1 5 0 < / H e i g h t > < I s E x p a n d e d > t r u e < / I s E x p a n d e d > < W i d t h > 2 0 0 < / W i d t h > < / a : V a l u e > < / a : K e y V a l u e O f D i a g r a m O b j e c t K e y a n y T y p e z b w N T n L X > < a : K e y V a l u e O f D i a g r a m O b j e c t K e y a n y T y p e z b w N T n L X > < a : K e y > < K e y > T a b l e s \ f A r t i k l i C e n i \ C o l u m n s \ O b r a z e c I m e < / K e y > < / a : K e y > < a : V a l u e   i : t y p e = " D i a g r a m D i s p l a y N o d e V i e w S t a t e " > < H e i g h t > 1 5 0 < / H e i g h t > < I s E x p a n d e d > t r u e < / I s E x p a n d e d > < W i d t h > 2 0 0 < / W i d t h > < / a : V a l u e > < / a : K e y V a l u e O f D i a g r a m O b j e c t K e y a n y T y p e z b w N T n L X > < a : K e y V a l u e O f D i a g r a m O b j e c t K e y a n y T y p e z b w N T n L X > < a : K e y > < K e y > T a b l e s \ f A r t i k l i C e n i \ M e a s u r e s \ S u m   o f   :C?=>  B@>H>:< / K e y > < / a : K e y > < a : V a l u e   i : t y p e = " D i a g r a m D i s p l a y N o d e V i e w S t a t e " > < H e i g h t > 1 5 0 < / H e i g h t > < I s E x p a n d e d > t r u e < / I s E x p a n d e d > < W i d t h > 2 0 0 < / W i d t h > < / a : V a l u e > < / a : K e y V a l u e O f D i a g r a m O b j e c t K e y a n y T y p e z b w N T n L X > < a : K e y V a l u e O f D i a g r a m O b j e c t K e y a n y T y p e z b w N T n L X > < a : K e y > < K e y > T a b l e s \ f A r t i k l i C e n i \ S u m   o f   :C?=>  B@>H>:\ A d d i t i o n a l   I n f o \ I m p l i c i t   M e a s u r e < / K e y > < / a : K e y > < a : V a l u e   i : t y p e = " D i a g r a m D i s p l a y V i e w S t a t e I D i a g r a m T a g A d d i t i o n a l I n f o " / > < / a : K e y V a l u e O f D i a g r a m O b j e c t K e y a n y T y p e z b w N T n L X > < a : K e y V a l u e O f D i a g r a m O b j e c t K e y a n y T y p e z b w N T n L X > < a : K e y > < K e y > T a b l e s \ f A r t i k l i C e n i \ M e a s u r e s \ S u m   o f   >;8G8=0< / K e y > < / a : K e y > < a : V a l u e   i : t y p e = " D i a g r a m D i s p l a y N o d e V i e w S t a t e " > < H e i g h t > 1 5 0 < / H e i g h t > < I s E x p a n d e d > t r u e < / I s E x p a n d e d > < W i d t h > 2 0 0 < / W i d t h > < / a : V a l u e > < / a : K e y V a l u e O f D i a g r a m O b j e c t K e y a n y T y p e z b w N T n L X > < a : K e y V a l u e O f D i a g r a m O b j e c t K e y a n y T y p e z b w N T n L X > < a : K e y > < K e y > T a b l e s \ f A r t i k l i C e n i \ S u m   o f   >;8G8=0\ A d d i t i o n a l   I n f o \ I m p l i c i t   M e a s u r e < / K e y > < / a : K e y > < a : V a l u e   i : t y p e = " D i a g r a m D i s p l a y V i e w S t a t e I D i a g r a m T a g A d d i t i o n a l I n f o " / > < / a : K e y V a l u e O f D i a g r a m O b j e c t K e y a n y T y p e z b w N T n L X > < a : K e y V a l u e O f D i a g r a m O b j e c t K e y a n y T y p e z b w N T n L X > < a : K e y > < K e y > T a b l e s \ f A r t i k l i C e n i \ M e a s u r e s \ S u m   o f   48=5G=0  F5=0< / K e y > < / a : K e y > < a : V a l u e   i : t y p e = " D i a g r a m D i s p l a y N o d e V i e w S t a t e " > < H e i g h t > 1 5 0 < / H e i g h t > < I s E x p a n d e d > t r u e < / I s E x p a n d e d > < W i d t h > 2 0 0 < / W i d t h > < / a : V a l u e > < / a : K e y V a l u e O f D i a g r a m O b j e c t K e y a n y T y p e z b w N T n L X > < a : K e y V a l u e O f D i a g r a m O b j e c t K e y a n y T y p e z b w N T n L X > < a : K e y > < K e y > T a b l e s \ f A r t i k l i C e n i \ S u m   o f   48=5G=0  F5=0\ A d d i t i o n a l   I n f o \ I m p l i c i t   M e a s u r e < / K e y > < / a : K e y > < a : V a l u e   i : t y p e = " D i a g r a m D i s p l a y V i e w S t a t e I D i a g r a m T a g A d d i t i o n a l I n f o " / > < / a : K e y V a l u e O f D i a g r a m O b j e c t K e y a n y T y p e z b w N T n L X > < a : K e y V a l u e O f D i a g r a m O b j e c t K e y a n y T y p e z b w N T n L X > < a : K e y > < K e y > T a b l e s \ f A r t i k l i C e n i \ M e a s u r e s \ S u m   o f   < / K e y > < / a : K e y > < a : V a l u e   i : t y p e = " D i a g r a m D i s p l a y N o d e V i e w S t a t e " > < H e i g h t > 1 5 0 < / H e i g h t > < I s E x p a n d e d > t r u e < / I s E x p a n d e d > < W i d t h > 2 0 0 < / W i d t h > < / a : V a l u e > < / a : K e y V a l u e O f D i a g r a m O b j e c t K e y a n y T y p e z b w N T n L X > < a : K e y V a l u e O f D i a g r a m O b j e c t K e y a n y T y p e z b w N T n L X > < a : K e y > < K e y > T a b l e s \ f A r t i k l i C e n i \ S u m   o f   \ A d d i t i o n a l   I n f o \ I m p l i c i t   M e a s u r e < / K e y > < / a : K e y > < a : V a l u e   i : t y p e = " D i a g r a m D i s p l a y V i e w S t a t e I D i a g r a m T a g A d d i t i o n a l I n f o " / > < / a : K e y V a l u e O f D i a g r a m O b j e c t K e y a n y T y p e z b w N T n L X > < a : K e y V a l u e O f D i a g r a m O b j e c t K e y a n y T y p e z b w N T n L X > < a : K e y > < K e y > T a b l e s \ f A r t i k l i C e n i \ M e a s u r e s \ S u m   o f   7=>A  6 < / K e y > < / a : K e y > < a : V a l u e   i : t y p e = " D i a g r a m D i s p l a y N o d e V i e w S t a t e " > < H e i g h t > 1 5 0 < / H e i g h t > < I s E x p a n d e d > t r u e < / I s E x p a n d e d > < W i d t h > 2 0 0 < / W i d t h > < / a : V a l u e > < / a : K e y V a l u e O f D i a g r a m O b j e c t K e y a n y T y p e z b w N T n L X > < a : K e y V a l u e O f D i a g r a m O b j e c t K e y a n y T y p e z b w N T n L X > < a : K e y > < K e y > T a b l e s \ f A r t i k l i C e n i \ S u m   o f   7=>A  6 \ A d d i t i o n a l   I n f o \ I m p l i c i t   M e a s u r e < / K e y > < / a : K e y > < a : V a l u e   i : t y p e = " D i a g r a m D i s p l a y V i e w S t a t e I D i a g r a m T a g A d d i t i o n a l I n f o " / > < / a : K e y V a l u e O f D i a g r a m O b j e c t K e y a n y T y p e z b w N T n L X > < a : K e y V a l u e O f D i a g r a m O b j e c t K e y a n y T y p e z b w N T n L X > < a : K e y > < K e y > T a b l e s \ f A r t i k l i C e n i \ M e a s u r e s \ C o u n t   o f   48=5G=0  <5@:0< / K e y > < / a : K e y > < a : V a l u e   i : t y p e = " D i a g r a m D i s p l a y N o d e V i e w S t a t e " > < H e i g h t > 1 5 0 < / H e i g h t > < I s E x p a n d e d > t r u e < / I s E x p a n d e d > < W i d t h > 2 0 0 < / W i d t h > < / a : V a l u e > < / a : K e y V a l u e O f D i a g r a m O b j e c t K e y a n y T y p e z b w N T n L X > < a : K e y V a l u e O f D i a g r a m O b j e c t K e y a n y T y p e z b w N T n L X > < a : K e y > < K e y > T a b l e s \ f A r t i k l i C e n i \ C o u n t   o f   48=5G=0  <5@:0\ A d d i t i o n a l   I n f o \ I m p l i c i t   M e a s u r e < / K e y > < / a : K e y > < a : V a l u e   i : t y p e = " D i a g r a m D i s p l a y V i e w S t a t e I D i a g r a m T a g A d d i t i o n a l I n f o " / > < / a : K e y V a l u e O f D i a g r a m O b j e c t K e y a n y T y p e z b w N T n L X > < a : K e y V a l u e O f D i a g r a m O b j e c t K e y a n y T y p e z b w N T n L X > < a : K e y > < K e y > T a b l e s \ r A r t i k l i _ H R _ A n a l i z a < / K e y > < / a : K e y > < a : V a l u e   i : t y p e = " D i a g r a m D i s p l a y N o d e V i e w S t a t e " > < H e i g h t > 4 7 9 < / H e i g h t > < I s E x p a n d e d > t r u e < / I s E x p a n d e d > < L a y e d O u t > t r u e < / L a y e d O u t > < L e f t > 1 3 2 6 . 6 3 8 1 0 5 6 7 6 6 5 9 1 < / L e f t > < S c r o l l V e r t i c a l O f f s e t > 4 7 . 9 6 9 9 9 9 9 9 9 9 9 9 8 < / S c r o l l V e r t i c a l O f f s e t > < T a b I n d e x > 3 < / T a b I n d e x > < W i d t h > 2 0 0 < / W i d t h > < / a : V a l u e > < / a : K e y V a l u e O f D i a g r a m O b j e c t K e y a n y T y p e z b w N T n L X > < a : K e y V a l u e O f D i a g r a m O b j e c t K e y a n y T y p e z b w N T n L X > < a : K e y > < K e y > T a b l e s \ r A r t i k l i _ H R _ A n a l i z a \ C o l u m n s \ !B02:0< / K e y > < / a : K e y > < a : V a l u e   i : t y p e = " D i a g r a m D i s p l a y N o d e V i e w S t a t e " > < H e i g h t > 1 5 0 < / H e i g h t > < I s E x p a n d e d > t r u e < / I s E x p a n d e d > < W i d t h > 2 0 0 < / W i d t h > < / a : V a l u e > < / a : K e y V a l u e O f D i a g r a m O b j e c t K e y a n y T y p e z b w N T n L X > < a : K e y V a l u e O f D i a g r a m O b j e c t K e y a n y T y p e z b w N T n L X > < a : K e y > < K e y > T a b l e s \ r A r t i k l i _ H R _ A n a l i z a \ C o l u m n s \ 0B53>@8X0  @B8:;< / K e y > < / a : K e y > < a : V a l u e   i : t y p e = " D i a g r a m D i s p l a y N o d e V i e w S t a t e " > < H e i g h t > 1 5 0 < / H e i g h t > < I s E x p a n d e d > t r u e < / I s E x p a n d e d > < W i d t h > 2 0 0 < / W i d t h > < / a : V a l u e > < / a : K e y V a l u e O f D i a g r a m O b j e c t K e y a n y T y p e z b w N T n L X > < a : K e y V a l u e O f D i a g r a m O b j e c t K e y a n y T y p e z b w N T n L X > < a : K e y > < K e y > T a b l e s \ r A r t i k l i _ H R _ A n a l i z a \ C o l u m n s \ "8?  =0  0@B8:;< / K e y > < / a : K e y > < a : V a l u e   i : t y p e = " D i a g r a m D i s p l a y N o d e V i e w S t a t e " > < H e i g h t > 1 5 0 < / H e i g h t > < I s E x p a n d e d > t r u e < / I s E x p a n d e d > < W i d t h > 2 0 0 < / W i d t h > < / a : V a l u e > < / a : K e y V a l u e O f D i a g r a m O b j e c t K e y a n y T y p e z b w N T n L X > < a : K e y V a l u e O f D i a g r a m O b j e c t K e y a n y T y p e z b w N T n L X > < a : K e y > < K e y > T a b l e s \ r A r t i k l i _ H R _ A n a l i z a \ C o l u m n s \ 48=5G=0  <5@:0< / K e y > < / a : K e y > < a : V a l u e   i : t y p e = " D i a g r a m D i s p l a y N o d e V i e w S t a t e " > < H e i g h t > 1 5 0 < / H e i g h t > < I s E x p a n d e d > t r u e < / I s E x p a n d e d > < W i d t h > 2 0 0 < / W i d t h > < / a : V a l u e > < / a : K e y V a l u e O f D i a g r a m O b j e c t K e y a n y T y p e z b w N T n L X > < a : K e y V a l u e O f D i a g r a m O b j e c t K e y a n y T y p e z b w N T n L X > < a : K e y > < K e y > T a b l e s \ r A r t i k l i _ H R _ A n a l i z a \ C o l u m n s \ >;8G8=0< / K e y > < / a : K e y > < a : V a l u e   i : t y p e = " D i a g r a m D i s p l a y N o d e V i e w S t a t e " > < H e i g h t > 1 5 0 < / H e i g h t > < I s E x p a n d e d > t r u e < / I s E x p a n d e d > < W i d t h > 2 0 0 < / W i d t h > < / a : V a l u e > < / a : K e y V a l u e O f D i a g r a m O b j e c t K e y a n y T y p e z b w N T n L X > < a : K e y V a l u e O f D i a g r a m O b j e c t K e y a n y T y p e z b w N T n L X > < a : K e y > < K e y > T a b l e s \ r A r t i k l i _ H R _ A n a l i z a \ C o l u m n s \ 48=5G=0  F5=0< / K e y > < / a : K e y > < a : V a l u e   i : t y p e = " D i a g r a m D i s p l a y N o d e V i e w S t a t e " > < H e i g h t > 1 5 0 < / H e i g h t > < I s E x p a n d e d > t r u e < / I s E x p a n d e d > < W i d t h > 2 0 0 < / W i d t h > < / a : V a l u e > < / a : K e y V a l u e O f D i a g r a m O b j e c t K e y a n y T y p e z b w N T n L X > < a : K e y V a l u e O f D i a g r a m O b j e c t K e y a n y T y p e z b w N T n L X > < a : K e y > < K e y > T a b l e s \ r A r t i k l i _ H R _ A n a l i z a \ C o l u m n s \ :C?=>  B@>H>:< / K e y > < / a : K e y > < a : V a l u e   i : t y p e = " D i a g r a m D i s p l a y N o d e V i e w S t a t e " > < H e i g h t > 1 5 0 < / H e i g h t > < I s E x p a n d e d > t r u e < / I s E x p a n d e d > < W i d t h > 2 0 0 < / W i d t h > < / a : V a l u e > < / a : K e y V a l u e O f D i a g r a m O b j e c t K e y a n y T y p e z b w N T n L X > < a : K e y V a l u e O f D i a g r a m O b j e c t K e y a n y T y p e z b w N T n L X > < a : K e y > < K e y > T a b l e s \ r A r t i k l i _ H R _ A n a l i z a \ C o l u m n s \ < / K e y > < / a : K e y > < a : V a l u e   i : t y p e = " D i a g r a m D i s p l a y N o d e V i e w S t a t e " > < H e i g h t > 1 5 0 < / H e i g h t > < I s E x p a n d e d > t r u e < / I s E x p a n d e d > < W i d t h > 2 0 0 < / W i d t h > < / a : V a l u e > < / a : K e y V a l u e O f D i a g r a m O b j e c t K e y a n y T y p e z b w N T n L X > < a : K e y V a l u e O f D i a g r a m O b j e c t K e y a n y T y p e z b w N T n L X > < a : K e y > < K e y > T a b l e s \ r A r t i k l i _ H R _ A n a l i z a \ C o l u m n s \ 7=>A< / K e y > < / a : K e y > < a : V a l u e   i : t y p e = " D i a g r a m D i s p l a y N o d e V i e w S t a t e " > < H e i g h t > 1 5 0 < / H e i g h t > < I s E x p a n d e d > t r u e < / I s E x p a n d e d > < W i d t h > 2 0 0 < / W i d t h > < / a : V a l u e > < / a : K e y V a l u e O f D i a g r a m O b j e c t K e y a n y T y p e z b w N T n L X > < a : K e y V a l u e O f D i a g r a m O b j e c t K e y a n y T y p e z b w N T n L X > < a : K e y > < K e y > T a b l e s \ r A r t i k l i _ H R _ A n a l i z a \ C o l u m n s \ >=B>< / K e y > < / a : K e y > < a : V a l u e   i : t y p e = " D i a g r a m D i s p l a y N o d e V i e w S t a t e " > < H e i g h t > 1 5 0 < / H e i g h t > < I s E x p a n d e d > t r u e < / I s E x p a n d e d > < W i d t h > 2 0 0 < / W i d t h > < / a : V a l u e > < / a : K e y V a l u e O f D i a g r a m O b j e c t K e y a n y T y p e z b w N T n L X > < a : K e y V a l u e O f D i a g r a m O b j e c t K e y a n y T y p e z b w N T n L X > < a : K e y > < K e y > T a b l e s \ r A r t i k l i _ H R _ A n a l i z a \ C o l u m n s \ R e p o r t T y p e < / K e y > < / a : K e y > < a : V a l u e   i : t y p e = " D i a g r a m D i s p l a y N o d e V i e w S t a t e " > < H e i g h t > 1 5 0 < / H e i g h t > < I s E x p a n d e d > t r u e < / I s E x p a n d e d > < W i d t h > 2 0 0 < / W i d t h > < / a : V a l u e > < / a : K e y V a l u e O f D i a g r a m O b j e c t K e y a n y T y p e z b w N T n L X > < a : K e y V a l u e O f D i a g r a m O b j e c t K e y a n y T y p e z b w N T n L X > < a : K e y > < K e y > T a b l e s \ r A r t i k l i _ H R _ A n a l i z a \ C o l u m n s \ 5@8>4< / K e y > < / a : K e y > < a : V a l u e   i : t y p e = " D i a g r a m D i s p l a y N o d e V i e w S t a t e " > < H e i g h t > 1 5 0 < / H e i g h t > < I s E x p a n d e d > t r u e < / I s E x p a n d e d > < W i d t h > 2 0 0 < / W i d t h > < / a : V a l u e > < / a : K e y V a l u e O f D i a g r a m O b j e c t K e y a n y T y p e z b w N T n L X > < a : K e y V a l u e O f D i a g r a m O b j e c t K e y a n y T y p e z b w N T n L X > < a : K e y > < K e y > T a b l e s \ r A r t i k l i _ H R _ A n a l i z a \ C o l u m n s \ S t a v k a I m e M K < / K e y > < / a : K e y > < a : V a l u e   i : t y p e = " D i a g r a m D i s p l a y N o d e V i e w S t a t e " > < H e i g h t > 1 5 0 < / H e i g h t > < I s E x p a n d e d > t r u e < / I s E x p a n d e d > < W i d t h > 2 0 0 < / W i d t h > < / a : V a l u e > < / a : K e y V a l u e O f D i a g r a m O b j e c t K e y a n y T y p e z b w N T n L X > < a : K e y V a l u e O f D i a g r a m O b j e c t K e y a n y T y p e z b w N T n L X > < a : K e y > < K e y > T a b l e s \ r A r t i k l i _ H R _ A n a l i z a \ C o l u m n s \ S t a v k a A O P < / K e y > < / a : K e y > < a : V a l u e   i : t y p e = " D i a g r a m D i s p l a y N o d e V i e w S t a t e " > < H e i g h t > 1 5 0 < / H e i g h t > < I s E x p a n d e d > t r u e < / I s E x p a n d e d > < W i d t h > 2 0 0 < / W i d t h > < / a : V a l u e > < / a : K e y V a l u e O f D i a g r a m O b j e c t K e y a n y T y p e z b w N T n L X > < a : K e y V a l u e O f D i a g r a m O b j e c t K e y a n y T y p e z b w N T n L X > < a : K e y > < K e y > T a b l e s \ r A r t i k l i _ H R _ A n a l i z a \ C o l u m n s \ S t a v k a G r u p a < / K e y > < / a : K e y > < a : V a l u e   i : t y p e = " D i a g r a m D i s p l a y N o d e V i e w S t a t e " > < H e i g h t > 1 5 0 < / H e i g h t > < I s E x p a n d e d > t r u e < / I s E x p a n d e d > < W i d t h > 2 0 0 < / W i d t h > < / a : V a l u e > < / a : K e y V a l u e O f D i a g r a m O b j e c t K e y a n y T y p e z b w N T n L X > < a : K e y V a l u e O f D i a g r a m O b j e c t K e y a n y T y p e z b w N T n L X > < a : K e y > < K e y > T a b l e s \ r A r t i k l i _ H R _ A n a l i z a \ C o l u m n s \ S t a v k a K a t e g o r i j a < / K e y > < / a : K e y > < a : V a l u e   i : t y p e = " D i a g r a m D i s p l a y N o d e V i e w S t a t e " > < H e i g h t > 1 5 0 < / H e i g h t > < I s E x p a n d e d > t r u e < / I s E x p a n d e d > < W i d t h > 2 0 0 < / W i d t h > < / a : V a l u e > < / a : K e y V a l u e O f D i a g r a m O b j e c t K e y a n y T y p e z b w N T n L X > < a : K e y V a l u e O f D i a g r a m O b j e c t K e y a n y T y p e z b w N T n L X > < a : K e y > < K e y > T a b l e s \ r A r t i k l i _ H R _ A n a l i z a \ C o l u m n s \ O b r a z e c I m e < / K e y > < / a : K e y > < a : V a l u e   i : t y p e = " D i a g r a m D i s p l a y N o d e V i e w S t a t e " > < H e i g h t > 1 5 0 < / H e i g h t > < I s E x p a n d e d > t r u e < / I s E x p a n d e d > < W i d t h > 2 0 0 < / W i d t h > < / a : V a l u e > < / a : K e y V a l u e O f D i a g r a m O b j e c t K e y a n y T y p e z b w N T n L X > < a : K e y V a l u e O f D i a g r a m O b j e c t K e y a n y T y p e z b w N T n L X > < a : K e y > < K e y > T a b l e s \ r A r t i k l i _ H R _ A n a l i z a \ C o l u m n s \ "8?  =0  2@01>BC20Z5< / K e y > < / a : K e y > < a : V a l u e   i : t y p e = " D i a g r a m D i s p l a y N o d e V i e w S t a t e " > < H e i g h t > 1 5 0 < / H e i g h t > < I s E x p a n d e d > t r u e < / I s E x p a n d e d > < W i d t h > 2 0 0 < / W i d t h > < / a : V a l u e > < / a : K e y V a l u e O f D i a g r a m O b j e c t K e y a n y T y p e z b w N T n L X > < a : K e y V a l u e O f D i a g r a m O b j e c t K e y a n y T y p e z b w N T n L X > < a : K e y > < K e y > T a b l e s \ r A r t i k l i _ H R _ A n a l i z a \ C o l u m n s \ ;0=8@0=  ?@8;82/ ( >4;82) < / K e y > < / a : K e y > < a : V a l u e   i : t y p e = " D i a g r a m D i s p l a y N o d e V i e w S t a t e " > < H e i g h t > 1 5 0 < / H e i g h t > < I s E x p a n d e d > t r u e < / I s E x p a n d e d > < W i d t h > 2 0 0 < / W i d t h > < / a : V a l u e > < / a : K e y V a l u e O f D i a g r a m O b j e c t K e y a n y T y p e z b w N T n L X > < a : K e y V a l u e O f D i a g r a m O b j e c t K e y a n y T y p e z b w N T n L X > < a : K e y > < K e y > T a b l e s \ r A r t i k l i _ H R _ A n a l i z a \ C o l u m n s \ @0X=0  A>AB>X10  2@01>B5=8< / K e y > < / a : K e y > < a : V a l u e   i : t y p e = " D i a g r a m D i s p l a y N o d e V i e w S t a t e " > < H e i g h t > 1 5 0 < / H e i g h t > < I s E x p a n d e d > t r u e < / I s E x p a n d e d > < W i d t h > 2 0 0 < / W i d t h > < / a : V a l u e > < / a : K e y V a l u e O f D i a g r a m O b j e c t K e y a n y T y p e z b w N T n L X > < a : K e y V a l u e O f D i a g r a m O b j e c t K e y a n y T y p e z b w N T n L X > < a : K e y > < K e y > T a b l e s \ r A r t i k l i _ H R _ A n a l i z a \ C o l u m n s \ S t a v k a K a t e g o r i j a . 1 < / K e y > < / a : K e y > < a : V a l u e   i : t y p e = " D i a g r a m D i s p l a y N o d e V i e w S t a t e " > < H e i g h t > 1 5 0 < / H e i g h t > < I s E x p a n d e d > t r u e < / I s E x p a n d e d > < W i d t h > 2 0 0 < / W i d t h > < / a : V a l u e > < / a : K e y V a l u e O f D i a g r a m O b j e c t K e y a n y T y p e z b w N T n L X > < a : K e y V a l u e O f D i a g r a m O b j e c t K e y a n y T y p e z b w N T n L X > < a : K e y > < K e y > T a b l e s \ r A r t i k l i _ H R _ A n a l i z a \ M e a s u r e s \ S u m   o f   >;8G8=0  2 < / K e y > < / a : K e y > < a : V a l u e   i : t y p e = " D i a g r a m D i s p l a y N o d e V i e w S t a t e " > < H e i g h t > 1 5 0 < / H e i g h t > < I s E x p a n d e d > t r u e < / I s E x p a n d e d > < W i d t h > 2 0 0 < / W i d t h > < / a : V a l u e > < / a : K e y V a l u e O f D i a g r a m O b j e c t K e y a n y T y p e z b w N T n L X > < a : K e y V a l u e O f D i a g r a m O b j e c t K e y a n y T y p e z b w N T n L X > < a : K e y > < K e y > T a b l e s \ r A r t i k l i _ H R _ A n a l i z a \ S u m   o f   >;8G8=0  2 \ A d d i t i o n a l   I n f o \ I m p l i c i t   M e a s u r e < / K e y > < / a : K e y > < a : V a l u e   i : t y p e = " D i a g r a m D i s p l a y V i e w S t a t e I D i a g r a m T a g A d d i t i o n a l I n f o " / > < / a : K e y V a l u e O f D i a g r a m O b j e c t K e y a n y T y p e z b w N T n L X > < a : K e y V a l u e O f D i a g r a m O b j e c t K e y a n y T y p e z b w N T n L X > < a : K e y > < K e y > T a b l e s \ r A r t i k l i _ H R _ A n a l i z a \ M e a s u r e s \ S u m   o f   48=5G=0  F5=0  2 < / K e y > < / a : K e y > < a : V a l u e   i : t y p e = " D i a g r a m D i s p l a y N o d e V i e w S t a t e " > < H e i g h t > 1 5 0 < / H e i g h t > < I s E x p a n d e d > t r u e < / I s E x p a n d e d > < W i d t h > 2 0 0 < / W i d t h > < / a : V a l u e > < / a : K e y V a l u e O f D i a g r a m O b j e c t K e y a n y T y p e z b w N T n L X > < a : K e y V a l u e O f D i a g r a m O b j e c t K e y a n y T y p e z b w N T n L X > < a : K e y > < K e y > T a b l e s \ r A r t i k l i _ H R _ A n a l i z a \ S u m   o f   48=5G=0  F5=0  2 \ A d d i t i o n a l   I n f o \ I m p l i c i t   M e a s u r e < / K e y > < / a : K e y > < a : V a l u e   i : t y p e = " D i a g r a m D i s p l a y V i e w S t a t e I D i a g r a m T a g A d d i t i o n a l I n f o " / > < / a : K e y V a l u e O f D i a g r a m O b j e c t K e y a n y T y p e z b w N T n L X > < a : K e y V a l u e O f D i a g r a m O b j e c t K e y a n y T y p e z b w N T n L X > < a : K e y > < K e y > T a b l e s \ r A r t i k l i _ H R _ A n a l i z a \ M e a s u r e s \ S u m   o f   :C?=>  B@>H>:  2 < / K e y > < / a : K e y > < a : V a l u e   i : t y p e = " D i a g r a m D i s p l a y N o d e V i e w S t a t e " > < H e i g h t > 1 5 0 < / H e i g h t > < I s E x p a n d e d > t r u e < / I s E x p a n d e d > < W i d t h > 2 0 0 < / W i d t h > < / a : V a l u e > < / a : K e y V a l u e O f D i a g r a m O b j e c t K e y a n y T y p e z b w N T n L X > < a : K e y V a l u e O f D i a g r a m O b j e c t K e y a n y T y p e z b w N T n L X > < a : K e y > < K e y > T a b l e s \ r A r t i k l i _ H R _ A n a l i z a \ S u m   o f   :C?=>  B@>H>:  2 \ A d d i t i o n a l   I n f o \ I m p l i c i t   M e a s u r e < / K e y > < / a : K e y > < a : V a l u e   i : t y p e = " D i a g r a m D i s p l a y V i e w S t a t e I D i a g r a m T a g A d d i t i o n a l I n f o " / > < / a : K e y V a l u e O f D i a g r a m O b j e c t K e y a n y T y p e z b w N T n L X > < a : K e y V a l u e O f D i a g r a m O b j e c t K e y a n y T y p e z b w N T n L X > < a : K e y > < K e y > T a b l e s \ r A r t i k l i _ H R _ A n a l i z a \ M e a s u r e s \ S u m   o f     2 < / K e y > < / a : K e y > < a : V a l u e   i : t y p e = " D i a g r a m D i s p l a y N o d e V i e w S t a t e " > < H e i g h t > 1 5 0 < / H e i g h t > < I s E x p a n d e d > t r u e < / I s E x p a n d e d > < W i d t h > 2 0 0 < / W i d t h > < / a : V a l u e > < / a : K e y V a l u e O f D i a g r a m O b j e c t K e y a n y T y p e z b w N T n L X > < a : K e y V a l u e O f D i a g r a m O b j e c t K e y a n y T y p e z b w N T n L X > < a : K e y > < K e y > T a b l e s \ r A r t i k l i _ H R _ A n a l i z a \ S u m   o f     2 \ A d d i t i o n a l   I n f o \ I m p l i c i t   M e a s u r e < / K e y > < / a : K e y > < a : V a l u e   i : t y p e = " D i a g r a m D i s p l a y V i e w S t a t e I D i a g r a m T a g A d d i t i o n a l I n f o " / > < / a : K e y V a l u e O f D i a g r a m O b j e c t K e y a n y T y p e z b w N T n L X > < a : K e y V a l u e O f D i a g r a m O b j e c t K e y a n y T y p e z b w N T n L X > < a : K e y > < K e y > T a b l e s \ r A r t i k l i _ H R _ A n a l i z a \ M e a s u r e s \ S u m   o f   7=>A  7 < / K e y > < / a : K e y > < a : V a l u e   i : t y p e = " D i a g r a m D i s p l a y N o d e V i e w S t a t e " > < H e i g h t > 1 5 0 < / H e i g h t > < I s E x p a n d e d > t r u e < / I s E x p a n d e d > < W i d t h > 2 0 0 < / W i d t h > < / a : V a l u e > < / a : K e y V a l u e O f D i a g r a m O b j e c t K e y a n y T y p e z b w N T n L X > < a : K e y V a l u e O f D i a g r a m O b j e c t K e y a n y T y p e z b w N T n L X > < a : K e y > < K e y > T a b l e s \ r A r t i k l i _ H R _ A n a l i z a \ S u m   o f   7=>A  7 \ A d d i t i o n a l   I n f o \ I m p l i c i t   M e a s u r e < / K e y > < / a : K e y > < a : V a l u e   i : t y p e = " D i a g r a m D i s p l a y V i e w S t a t e I D i a g r a m T a g A d d i t i o n a l I n f o " / > < / a : K e y V a l u e O f D i a g r a m O b j e c t K e y a n y T y p e z b w N T n L X > < a : K e y V a l u e O f D i a g r a m O b j e c t K e y a n y T y p e z b w N T n L X > < a : K e y > < K e y > T a b l e s \ f A c t u a l A n d B u d g e t < / K e y > < / a : K e y > < a : V a l u e   i : t y p e = " D i a g r a m D i s p l a y N o d e V i e w S t a t e " > < H e i g h t > 4 3 2 . 4 < / H e i g h t > < I s E x p a n d e d > t r u e < / I s E x p a n d e d > < L a y e d O u t > t r u e < / L a y e d O u t > < L e f t > 5 . 6 8 4 3 4 1 8 8 6 0 8 0 8 0 1 5 E - 1 4 < / L e f t > < W i d t h > 2 8 0 . 8 < / W i d t h > < / a : V a l u e > < / a : K e y V a l u e O f D i a g r a m O b j e c t K e y a n y T y p e z b w N T n L X > < a : K e y V a l u e O f D i a g r a m O b j e c t K e y a n y T y p e z b w N T n L X > < a : K e y > < K e y > T a b l e s \ f A c t u a l A n d B u d g e t \ C o l u m n s \ >=B>< / K e y > < / a : K e y > < a : V a l u e   i : t y p e = " D i a g r a m D i s p l a y N o d e V i e w S t a t e " > < H e i g h t > 1 5 0 < / H e i g h t > < I s E x p a n d e d > t r u e < / I s E x p a n d e d > < W i d t h > 2 0 0 < / W i d t h > < / a : V a l u e > < / a : K e y V a l u e O f D i a g r a m O b j e c t K e y a n y T y p e z b w N T n L X > < a : K e y V a l u e O f D i a g r a m O b j e c t K e y a n y T y p e z b w N T n L X > < a : K e y > < K e y > T a b l e s \ f A c t u a l A n d B u d g e t \ C o l u m n s \ 0782  =0  :>=B>< / K e y > < / a : K e y > < a : V a l u e   i : t y p e = " D i a g r a m D i s p l a y N o d e V i e w S t a t e " > < H e i g h t > 1 5 0 < / H e i g h t > < I s E x p a n d e d > t r u e < / I s E x p a n d e d > < W i d t h > 2 0 0 < / W i d t h > < / a : V a l u e > < / a : K e y V a l u e O f D i a g r a m O b j e c t K e y a n y T y p e z b w N T n L X > < a : K e y V a l u e O f D i a g r a m O b j e c t K e y a n y T y p e z b w N T n L X > < a : K e y > < K e y > T a b l e s \ f A c t u a l A n d B u d g e t \ C o l u m n s \ 5@8>4< / K e y > < / a : K e y > < a : V a l u e   i : t y p e = " D i a g r a m D i s p l a y N o d e V i e w S t a t e " > < H e i g h t > 1 5 0 < / H e i g h t > < I s E x p a n d e d > t r u e < / I s E x p a n d e d > < W i d t h > 2 0 0 < / W i d t h > < / a : V a l u e > < / a : K e y V a l u e O f D i a g r a m O b j e c t K e y a n y T y p e z b w N T n L X > < a : K e y V a l u e O f D i a g r a m O b j e c t K e y a n y T y p e z b w N T n L X > < a : K e y > < K e y > T a b l e s \ f A c t u a l A n d B u d g e t \ C o l u m n s \ 7=>A1 < / K e y > < / a : K e y > < a : V a l u e   i : t y p e = " D i a g r a m D i s p l a y N o d e V i e w S t a t e " > < H e i g h t > 1 5 0 < / H e i g h t > < I s E x p a n d e d > t r u e < / I s E x p a n d e d > < W i d t h > 2 0 0 < / W i d t h > < / a : V a l u e > < / a : K e y V a l u e O f D i a g r a m O b j e c t K e y a n y T y p e z b w N T n L X > < a : K e y V a l u e O f D i a g r a m O b j e c t K e y a n y T y p e z b w N T n L X > < a : K e y > < K e y > T a b l e s \ f A c t u a l A n d B u d g e t \ C o l u m n s \ R e p o r t T y p e < / K e y > < / a : K e y > < a : V a l u e   i : t y p e = " D i a g r a m D i s p l a y N o d e V i e w S t a t e " > < H e i g h t > 1 5 0 < / H e i g h t > < I s E x p a n d e d > t r u e < / I s E x p a n d e d > < W i d t h > 2 0 0 < / W i d t h > < / a : V a l u e > < / a : K e y V a l u e O f D i a g r a m O b j e c t K e y a n y T y p e z b w N T n L X > < a : K e y V a l u e O f D i a g r a m O b j e c t K e y a n y T y p e z b w N T n L X > < a : K e y > < K e y > T a b l e s \ f A c t u a l A n d B u d g e t \ C o l u m n s \ !B02:0< / K e y > < / a : K e y > < a : V a l u e   i : t y p e = " D i a g r a m D i s p l a y N o d e V i e w S t a t e " > < H e i g h t > 1 5 0 < / H e i g h t > < I s E x p a n d e d > t r u e < / I s E x p a n d e d > < W i d t h > 2 0 0 < / W i d t h > < / a : V a l u e > < / a : K e y V a l u e O f D i a g r a m O b j e c t K e y a n y T y p e z b w N T n L X > < a : K e y V a l u e O f D i a g r a m O b j e c t K e y a n y T y p e z b w N T n L X > < a : K e y > < K e y > T a b l e s \ f A c t u a l A n d B u d g e t \ C o l u m n s \ @>X  =0  X02=0  =0102:0  ( ?;0=) < / K e y > < / a : K e y > < a : V a l u e   i : t y p e = " D i a g r a m D i s p l a y N o d e V i e w S t a t e " > < H e i g h t > 1 5 0 < / H e i g h t > < I s E x p a n d e d > t r u e < / I s E x p a n d e d > < W i d t h > 2 0 0 < / W i d t h > < / a : V a l u e > < / a : K e y V a l u e O f D i a g r a m O b j e c t K e y a n y T y p e z b w N T n L X > < a : K e y V a l u e O f D i a g r a m O b j e c t K e y a n y T y p e z b w N T n L X > < a : K e y > < K e y > T a b l e s \ f A c t u a l A n d B u d g e t \ C o l u m n s \ S t a v k a I D < / K e y > < / a : K e y > < a : V a l u e   i : t y p e = " D i a g r a m D i s p l a y N o d e V i e w S t a t e " > < H e i g h t > 1 5 0 < / H e i g h t > < I s E x p a n d e d > t r u e < / I s E x p a n d e d > < W i d t h > 2 0 0 < / W i d t h > < / a : V a l u e > < / a : K e y V a l u e O f D i a g r a m O b j e c t K e y a n y T y p e z b w N T n L X > < a : K e y V a l u e O f D i a g r a m O b j e c t K e y a n y T y p e z b w N T n L X > < a : K e y > < K e y > T a b l e s \ f A c t u a l A n d B u d g e t \ C o l u m n s \ S t a v k a I m e M K < / K e y > < / a : K e y > < a : V a l u e   i : t y p e = " D i a g r a m D i s p l a y N o d e V i e w S t a t e " > < H e i g h t > 1 5 0 < / H e i g h t > < I s E x p a n d e d > t r u e < / I s E x p a n d e d > < W i d t h > 2 0 0 < / W i d t h > < / a : V a l u e > < / a : K e y V a l u e O f D i a g r a m O b j e c t K e y a n y T y p e z b w N T n L X > < a : K e y V a l u e O f D i a g r a m O b j e c t K e y a n y T y p e z b w N T n L X > < a : K e y > < K e y > T a b l e s \ f A c t u a l A n d B u d g e t \ C o l u m n s \ S t a v k a G r u p a < / K e y > < / a : K e y > < a : V a l u e   i : t y p e = " D i a g r a m D i s p l a y N o d e V i e w S t a t e " > < H e i g h t > 1 5 0 < / H e i g h t > < I s E x p a n d e d > t r u e < / I s E x p a n d e d > < W i d t h > 2 0 0 < / W i d t h > < / a : V a l u e > < / a : K e y V a l u e O f D i a g r a m O b j e c t K e y a n y T y p e z b w N T n L X > < a : K e y V a l u e O f D i a g r a m O b j e c t K e y a n y T y p e z b w N T n L X > < a : K e y > < K e y > T a b l e s \ f A c t u a l A n d B u d g e t \ C o l u m n s \ S t a v k a K a t e g o r i j a < / K e y > < / a : K e y > < a : V a l u e   i : t y p e = " D i a g r a m D i s p l a y N o d e V i e w S t a t e " > < H e i g h t > 1 5 0 < / H e i g h t > < I s E x p a n d e d > t r u e < / I s E x p a n d e d > < W i d t h > 2 0 0 < / W i d t h > < / a : V a l u e > < / a : K e y V a l u e O f D i a g r a m O b j e c t K e y a n y T y p e z b w N T n L X > < a : K e y V a l u e O f D i a g r a m O b j e c t K e y a n y T y p e z b w N T n L X > < a : K e y > < K e y > T a b l e s \ f A c t u a l A n d B u d g e t \ C o l u m n s \ Z n a k I z v e s t a j < / K e y > < / a : K e y > < a : V a l u e   i : t y p e = " D i a g r a m D i s p l a y N o d e V i e w S t a t e " > < H e i g h t > 1 5 0 < / H e i g h t > < I s E x p a n d e d > t r u e < / I s E x p a n d e d > < W i d t h > 2 0 0 < / W i d t h > < / a : V a l u e > < / a : K e y V a l u e O f D i a g r a m O b j e c t K e y a n y T y p e z b w N T n L X > < a : K e y V a l u e O f D i a g r a m O b j e c t K e y a n y T y p e z b w N T n L X > < a : K e y > < K e y > T a b l e s \ f A c t u a l A n d B u d g e t \ C o l u m n s \ O b r a z e c I D < / K e y > < / a : K e y > < a : V a l u e   i : t y p e = " D i a g r a m D i s p l a y N o d e V i e w S t a t e " > < H e i g h t > 1 5 0 < / H e i g h t > < I s E x p a n d e d > t r u e < / I s E x p a n d e d > < W i d t h > 2 0 0 < / W i d t h > < / a : V a l u e > < / a : K e y V a l u e O f D i a g r a m O b j e c t K e y a n y T y p e z b w N T n L X > < a : K e y V a l u e O f D i a g r a m O b j e c t K e y a n y T y p e z b w N T n L X > < a : K e y > < K e y > T a b l e s \ f A c t u a l A n d B u d g e t \ C o l u m n s \ S t a v k a A O P < / K e y > < / a : K e y > < a : V a l u e   i : t y p e = " D i a g r a m D i s p l a y N o d e V i e w S t a t e " > < H e i g h t > 1 5 0 < / H e i g h t > < I s E x p a n d e d > t r u e < / I s E x p a n d e d > < W i d t h > 2 0 0 < / W i d t h > < / a : V a l u e > < / a : K e y V a l u e O f D i a g r a m O b j e c t K e y a n y T y p e z b w N T n L X > < a : K e y V a l u e O f D i a g r a m O b j e c t K e y a n y T y p e z b w N T n L X > < a : K e y > < K e y > T a b l e s \ f A c t u a l A n d B u d g e t \ C o l u m n s \ O b r a z e c I m e < / K e y > < / a : K e y > < a : V a l u e   i : t y p e = " D i a g r a m D i s p l a y N o d e V i e w S t a t e " > < H e i g h t > 1 5 0 < / H e i g h t > < I s E x p a n d e d > t r u e < / I s E x p a n d e d > < W i d t h > 2 0 0 < / W i d t h > < / a : V a l u e > < / a : K e y V a l u e O f D i a g r a m O b j e c t K e y a n y T y p e z b w N T n L X > < a : K e y V a l u e O f D i a g r a m O b j e c t K e y a n y T y p e z b w N T n L X > < a : K e y > < K e y > T a b l e s \ f A c t u a l A n d B u d g e t \ C o l u m n s \ 7=>A< / K e y > < / a : K e y > < a : V a l u e   i : t y p e = " D i a g r a m D i s p l a y N o d e V i e w S t a t e " > < H e i g h t > 1 5 0 < / H e i g h t > < I s E x p a n d e d > t r u e < / I s E x p a n d e d > < W i d t h > 2 0 0 < / W i d t h > < / a : V a l u e > < / a : K e y V a l u e O f D i a g r a m O b j e c t K e y a n y T y p e z b w N T n L X > < a : K e y V a l u e O f D i a g r a m O b j e c t K e y a n y T y p e z b w N T n L X > < a : K e y > < K e y > T a b l e s \ f A c t u a l A n d B u d g e t \ C o l u m n s \ 7=>A  ( 8;X048) < / K e y > < / a : K e y > < a : V a l u e   i : t y p e = " D i a g r a m D i s p l a y N o d e V i e w S t a t e " > < H e i g h t > 1 5 0 < / H e i g h t > < I s E x p a n d e d > t r u e < / I s E x p a n d e d > < W i d t h > 2 0 0 < / W i d t h > < / a : V a l u e > < / a : K e y V a l u e O f D i a g r a m O b j e c t K e y a n y T y p e z b w N T n L X > < a : K e y V a l u e O f D i a g r a m O b j e c t K e y a n y T y p e z b w N T n L X > < a : K e y > < K e y > T a b l e s \ f A c t u a l A n d B u d g e t \ C o l u m n s \ S t a v k a I m e A O P < / K e y > < / a : K e y > < a : V a l u e   i : t y p e = " D i a g r a m D i s p l a y N o d e V i e w S t a t e " > < H e i g h t > 1 5 0 < / H e i g h t > < I s E x p a n d e d > t r u e < / I s E x p a n d e d > < W i d t h > 2 0 0 < / W i d t h > < / a : V a l u e > < / a : K e y V a l u e O f D i a g r a m O b j e c t K e y a n y T y p e z b w N T n L X > < a : K e y V a l u e O f D i a g r a m O b j e c t K e y a n y T y p e z b w N T n L X > < a : K e y > < K e y > T a b l e s \ f A c t u a l A n d B u d g e t \ C o l u m n s \ >=B>  !B02:0< / K e y > < / a : K e y > < a : V a l u e   i : t y p e = " D i a g r a m D i s p l a y N o d e V i e w S t a t e " > < H e i g h t > 1 5 0 < / H e i g h t > < I s E x p a n d e d > t r u e < / I s E x p a n d e d > < W i d t h > 2 0 0 < / W i d t h > < / a : V a l u e > < / a : K e y V a l u e O f D i a g r a m O b j e c t K e y a n y T y p e z b w N T n L X > < a : K e y V a l u e O f D i a g r a m O b j e c t K e y a n y T y p e z b w N T n L X > < a : K e y > < K e y > T a b l e s \ f A c t u a l A n d B u d g e t \ M e a s u r e s \ S u m   o f   7=>A< / K e y > < / a : K e y > < a : V a l u e   i : t y p e = " D i a g r a m D i s p l a y N o d e V i e w S t a t e " > < H e i g h t > 1 5 0 < / H e i g h t > < I s E x p a n d e d > t r u e < / I s E x p a n d e d > < W i d t h > 2 0 0 < / W i d t h > < / a : V a l u e > < / a : K e y V a l u e O f D i a g r a m O b j e c t K e y a n y T y p e z b w N T n L X > < a : K e y V a l u e O f D i a g r a m O b j e c t K e y a n y T y p e z b w N T n L X > < a : K e y > < K e y > T a b l e s \ f A c t u a l A n d B u d g e t \ S u m   o f   7=>A\ A d d i t i o n a l   I n f o \ I m p l i c i t   M e a s u r e < / K e y > < / a : K e y > < a : V a l u e   i : t y p e = " D i a g r a m D i s p l a y V i e w S t a t e I D i a g r a m T a g A d d i t i o n a l I n f o " / > < / a : K e y V a l u e O f D i a g r a m O b j e c t K e y a n y T y p e z b w N T n L X > < a : K e y V a l u e O f D i a g r a m O b j e c t K e y a n y T y p e z b w N T n L X > < a : K e y > < K e y > T a b l e s \ f A c t u a l A n d B u d g e t \ M e a s u r e s \ S u m   o f   7=>A  ( 8;X048) < / K e y > < / a : K e y > < a : V a l u e   i : t y p e = " D i a g r a m D i s p l a y N o d e V i e w S t a t e " > < H e i g h t > 1 5 0 < / H e i g h t > < I s E x p a n d e d > t r u e < / I s E x p a n d e d > < W i d t h > 2 0 0 < / W i d t h > < / a : V a l u e > < / a : K e y V a l u e O f D i a g r a m O b j e c t K e y a n y T y p e z b w N T n L X > < a : K e y V a l u e O f D i a g r a m O b j e c t K e y a n y T y p e z b w N T n L X > < a : K e y > < K e y > T a b l e s \ f A c t u a l A n d B u d g e t \ S u m   o f   7=>A  ( 8;X048) \ A d d i t i o n a l   I n f o \ I m p l i c i t   M e a s u r e < / K e y > < / a : K e y > < a : V a l u e   i : t y p e = " D i a g r a m D i s p l a y V i e w S t a t e I D i a g r a m T a g A d d i t i o n a l I n f o " / > < / a : K e y V a l u e O f D i a g r a m O b j e c t K e y a n y T y p e z b w N T n L X > < a : K e y V a l u e O f D i a g r a m O b j e c t K e y a n y T y p e z b w N T n L X > < a : K e y > < K e y > T a b l e s \ f A c t u a l A n d B u d g e t \ M e a s u r e s \ S u m   o f   7=>A1 < / K e y > < / a : K e y > < a : V a l u e   i : t y p e = " D i a g r a m D i s p l a y N o d e V i e w S t a t e " > < H e i g h t > 1 5 0 < / H e i g h t > < I s E x p a n d e d > t r u e < / I s E x p a n d e d > < W i d t h > 2 0 0 < / W i d t h > < / a : V a l u e > < / a : K e y V a l u e O f D i a g r a m O b j e c t K e y a n y T y p e z b w N T n L X > < a : K e y V a l u e O f D i a g r a m O b j e c t K e y a n y T y p e z b w N T n L X > < a : K e y > < K e y > T a b l e s \ f A c t u a l A n d B u d g e t \ S u m   o f   7=>A1 \ A d d i t i o n a l   I n f o \ I m p l i c i t   M e a s u r e < / K e y > < / a : K e y > < a : V a l u e   i : t y p e = " D i a g r a m D i s p l a y V i e w S t a t e I D i a g r a m T a g A d d i t i o n a l I n f o " / > < / a : K e y V a l u e O f D i a g r a m O b j e c t K e y a n y T y p e z b w N T n L X > < a : K e y V a l u e O f D i a g r a m O b j e c t K e y a n y T y p e z b w N T n L X > < a : K e y > < K e y > R e l a t i o n s h i p s \ & l t ; T a b l e s \ C A P E X \ C o l u m n s \ G5:C20=  40BC<  =0  ?;0\0Z5& g t ; - & l t ; T a b l e s \ C a l e n d a r \ C o l u m n s \ D a t e & g t ; < / K e y > < / a : K e y > < a : V a l u e   i : t y p e = " D i a g r a m D i s p l a y L i n k V i e w S t a t e " > < A u t o m a t i o n P r o p e r t y H e l p e r T e x t > E n d   p o i n t   1 :   ( 3 5 3 . 9 1 5 2 4 2 , 5 1 3 . 6 ) .   E n d   p o i n t   2 :   ( 6 1 7 . 1 5 7 5 2 8 , 3 7 8 )   < / A u t o m a t i o n P r o p e r t y H e l p e r T e x t > < L a y e d O u t > t r u e < / L a y e d O u t > < P o i n t s   x m l n s : b = " h t t p : / / s c h e m a s . d a t a c o n t r a c t . o r g / 2 0 0 4 / 0 7 / S y s t e m . W i n d o w s " > < b : P o i n t > < b : _ x > 3 5 3 . 9 1 5 2 4 2 < / b : _ x > < b : _ y > 5 1 3 . 5 9 9 9 9 9 9 9 9 9 9 9 9 1 < / b : _ y > < / b : P o i n t > < b : P o i n t > < b : _ x > 3 5 3 . 9 1 5 2 4 2 < / b : _ x > < b : _ y > 4 4 7 . 8 < / b : _ y > < / b : P o i n t > < b : P o i n t > < b : _ x > 3 5 5 . 9 1 5 2 4 2 < / b : _ x > < b : _ y > 4 4 5 . 8 < / b : _ y > < / b : P o i n t > < b : P o i n t > < b : _ x > 6 1 5 . 1 5 7 5 2 8 < / b : _ x > < b : _ y > 4 4 5 . 8 < / b : _ y > < / b : P o i n t > < b : P o i n t > < b : _ x > 6 1 7 . 1 5 7 5 2 8 < / b : _ x > < b : _ y > 4 4 3 . 8 < / b : _ y > < / b : P o i n t > < b : P o i n t > < b : _ x > 6 1 7 . 1 5 7 5 2 8 < / b : _ x > < b : _ y > 3 7 8 < / b : _ y > < / b : P o i n t > < / P o i n t s > < / a : V a l u e > < / a : K e y V a l u e O f D i a g r a m O b j e c t K e y a n y T y p e z b w N T n L X > < a : K e y V a l u e O f D i a g r a m O b j e c t K e y a n y T y p e z b w N T n L X > < a : K e y > < K e y > R e l a t i o n s h i p s \ & l t ; T a b l e s \ C A P E X \ C o l u m n s \ G5:C20=  40BC<  =0  ?;0\0Z5& g t ; - & l t ; T a b l e s \ C a l e n d a r \ C o l u m n s \ D a t e & g t ; \ F K < / K e y > < / a : K e y > < a : V a l u e   i : t y p e = " D i a g r a m D i s p l a y L i n k E n d p o i n t V i e w S t a t e " > < H e i g h t > 1 6 < / H e i g h t > < L a b e l L o c a t i o n   x m l n s : b = " h t t p : / / s c h e m a s . d a t a c o n t r a c t . o r g / 2 0 0 4 / 0 7 / S y s t e m . W i n d o w s " > < b : _ x > 3 4 5 . 9 1 5 2 4 2 < / b : _ x > < b : _ y > 5 1 3 . 5 9 9 9 9 9 9 9 9 9 9 9 9 1 < / b : _ y > < / L a b e l L o c a t i o n > < L o c a t i o n   x m l n s : b = " h t t p : / / s c h e m a s . d a t a c o n t r a c t . o r g / 2 0 0 4 / 0 7 / S y s t e m . W i n d o w s " > < b : _ x > 3 5 3 . 9 1 5 2 4 2 < / b : _ x > < b : _ y > 5 2 9 . 5 9 9 9 9 9 9 9 9 9 9 9 9 1 < / b : _ y > < / L o c a t i o n > < S h a p e R o t a t e A n g l e > 2 7 0 < / S h a p e R o t a t e A n g l e > < W i d t h > 1 6 < / W i d t h > < / a : V a l u e > < / a : K e y V a l u e O f D i a g r a m O b j e c t K e y a n y T y p e z b w N T n L X > < a : K e y V a l u e O f D i a g r a m O b j e c t K e y a n y T y p e z b w N T n L X > < a : K e y > < K e y > R e l a t i o n s h i p s \ & l t ; T a b l e s \ C A P E X \ C o l u m n s \ G5:C20=  40BC<  =0  ?;0\0Z5& g t ; - & l t ; T a b l e s \ C a l e n d a r \ C o l u m n s \ D a t e & g t ; \ P K < / K e y > < / a : K e y > < a : V a l u e   i : t y p e = " D i a g r a m D i s p l a y L i n k E n d p o i n t V i e w S t a t e " > < H e i g h t > 1 6 < / H e i g h t > < L a b e l L o c a t i o n   x m l n s : b = " h t t p : / / s c h e m a s . d a t a c o n t r a c t . o r g / 2 0 0 4 / 0 7 / S y s t e m . W i n d o w s " > < b : _ x > 6 0 9 . 1 5 7 5 2 8 < / b : _ x > < b : _ y > 3 6 2 < / b : _ y > < / L a b e l L o c a t i o n > < L o c a t i o n   x m l n s : b = " h t t p : / / s c h e m a s . d a t a c o n t r a c t . o r g / 2 0 0 4 / 0 7 / S y s t e m . W i n d o w s " > < b : _ x > 6 1 7 . 1 5 7 5 2 8 < / b : _ x > < b : _ y > 3 6 2 < / b : _ y > < / L o c a t i o n > < S h a p e R o t a t e A n g l e > 9 0 < / S h a p e R o t a t e A n g l e > < W i d t h > 1 6 < / W i d t h > < / a : V a l u e > < / a : K e y V a l u e O f D i a g r a m O b j e c t K e y a n y T y p e z b w N T n L X > < a : K e y V a l u e O f D i a g r a m O b j e c t K e y a n y T y p e z b w N T n L X > < a : K e y > < K e y > R e l a t i o n s h i p s \ & l t ; T a b l e s \ C A P E X \ C o l u m n s \ G5:C20=  40BC<  =0  ?;0\0Z5& g t ; - & l t ; T a b l e s \ C a l e n d a r \ C o l u m n s \ D a t e & g t ; \ C r o s s F i l t e r < / K e y > < / a : K e y > < a : V a l u e   i : t y p e = " D i a g r a m D i s p l a y L i n k C r o s s F i l t e r V i e w S t a t e " > < P o i n t s   x m l n s : b = " h t t p : / / s c h e m a s . d a t a c o n t r a c t . o r g / 2 0 0 4 / 0 7 / S y s t e m . W i n d o w s " > < b : P o i n t > < b : _ x > 3 5 3 . 9 1 5 2 4 2 < / b : _ x > < b : _ y > 5 1 3 . 5 9 9 9 9 9 9 9 9 9 9 9 9 1 < / b : _ y > < / b : P o i n t > < b : P o i n t > < b : _ x > 3 5 3 . 9 1 5 2 4 2 < / b : _ x > < b : _ y > 4 4 7 . 8 < / b : _ y > < / b : P o i n t > < b : P o i n t > < b : _ x > 3 5 5 . 9 1 5 2 4 2 < / b : _ x > < b : _ y > 4 4 5 . 8 < / b : _ y > < / b : P o i n t > < b : P o i n t > < b : _ x > 6 1 5 . 1 5 7 5 2 8 < / b : _ x > < b : _ y > 4 4 5 . 8 < / b : _ y > < / b : P o i n t > < b : P o i n t > < b : _ x > 6 1 7 . 1 5 7 5 2 8 < / b : _ x > < b : _ y > 4 4 3 . 8 < / b : _ y > < / b : P o i n t > < b : P o i n t > < b : _ x > 6 1 7 . 1 5 7 5 2 8 < / b : _ x > < b : _ y > 3 7 8 < / b : _ y > < / b : P o i n t > < / P o i n t s > < / a : V a l u e > < / a : K e y V a l u e O f D i a g r a m O b j e c t K e y a n y T y p e z b w N T n L X > < a : K e y V a l u e O f D i a g r a m O b j e c t K e y a n y T y p e z b w N T n L X > < a : K e y > < K e y > R e l a t i o n s h i p s \ & l t ; T a b l e s \ A m o r t i z a c i j a \ C o l u m n s \ 5@8>4& g t ; - & l t ; T a b l e s \ C a l e n d a r \ C o l u m n s \ D a t e & g t ; < / K e y > < / a : K e y > < a : V a l u e   i : t y p e = " D i a g r a m D i s p l a y L i n k V i e w S t a t e " > < A u t o m a t i o n P r o p e r t y H e l p e r T e x t > E n d   p o i n t   1 :   ( 6 9 7 . 1 5 7 5 2 8 , 5 3 7 . 6 5 ) .   E n d   p o i n t   2 :   ( 6 3 7 . 1 5 7 5 2 8 , 3 7 8 )   < / A u t o m a t i o n P r o p e r t y H e l p e r T e x t > < L a y e d O u t > t r u e < / L a y e d O u t > < P o i n t s   x m l n s : b = " h t t p : / / s c h e m a s . d a t a c o n t r a c t . o r g / 2 0 0 4 / 0 7 / S y s t e m . W i n d o w s " > < b : P o i n t > < b : _ x > 6 9 7 . 1 5 7 5 2 8 < / b : _ x > < b : _ y > 5 3 7 . 6 5 0 0 0 0 0 0 0 0 0 0 0 9 < / b : _ y > < / b : P o i n t > < b : P o i n t > < b : _ x > 6 9 7 . 1 5 7 5 2 8 < / b : _ x > < b : _ y > 4 5 9 . 8 2 5 < / b : _ y > < / b : P o i n t > < b : P o i n t > < b : _ x > 6 9 5 . 1 5 7 5 2 8 < / b : _ x > < b : _ y > 4 5 7 . 8 2 5 < / b : _ y > < / b : P o i n t > < b : P o i n t > < b : _ x > 6 3 9 . 1 5 7 5 2 8 < / b : _ x > < b : _ y > 4 5 7 . 8 2 5 < / b : _ y > < / b : P o i n t > < b : P o i n t > < b : _ x > 6 3 7 . 1 5 7 5 2 8 < / b : _ x > < b : _ y > 4 5 5 . 8 2 5 < / b : _ y > < / b : P o i n t > < b : P o i n t > < b : _ x > 6 3 7 . 1 5 7 5 2 8 < / b : _ x > < b : _ y > 3 7 7 . 9 9 9 9 9 9 9 9 9 9 9 9 8 9 < / b : _ y > < / b : P o i n t > < / P o i n t s > < / a : V a l u e > < / a : K e y V a l u e O f D i a g r a m O b j e c t K e y a n y T y p e z b w N T n L X > < a : K e y V a l u e O f D i a g r a m O b j e c t K e y a n y T y p e z b w N T n L X > < a : K e y > < K e y > R e l a t i o n s h i p s \ & l t ; T a b l e s \ A m o r t i z a c i j a \ C o l u m n s \ 5@8>4& g t ; - & l t ; T a b l e s \ C a l e n d a r \ C o l u m n s \ D a t e & g t ; \ F K < / K e y > < / a : K e y > < a : V a l u e   i : t y p e = " D i a g r a m D i s p l a y L i n k E n d p o i n t V i e w S t a t e " > < H e i g h t > 1 6 < / H e i g h t > < L a b e l L o c a t i o n   x m l n s : b = " h t t p : / / s c h e m a s . d a t a c o n t r a c t . o r g / 2 0 0 4 / 0 7 / S y s t e m . W i n d o w s " > < b : _ x > 6 8 9 . 1 5 7 5 2 8 < / b : _ x > < b : _ y > 5 3 7 . 6 5 0 0 0 0 0 0 0 0 0 0 0 9 < / b : _ y > < / L a b e l L o c a t i o n > < L o c a t i o n   x m l n s : b = " h t t p : / / s c h e m a s . d a t a c o n t r a c t . o r g / 2 0 0 4 / 0 7 / S y s t e m . W i n d o w s " > < b : _ x > 6 9 7 . 1 5 7 5 2 8 < / b : _ x > < b : _ y > 5 5 3 . 6 5 0 0 0 0 0 0 0 0 0 0 0 9 < / b : _ y > < / L o c a t i o n > < S h a p e R o t a t e A n g l e > 2 7 0 < / S h a p e R o t a t e A n g l e > < W i d t h > 1 6 < / W i d t h > < / a : V a l u e > < / a : K e y V a l u e O f D i a g r a m O b j e c t K e y a n y T y p e z b w N T n L X > < a : K e y V a l u e O f D i a g r a m O b j e c t K e y a n y T y p e z b w N T n L X > < a : K e y > < K e y > R e l a t i o n s h i p s \ & l t ; T a b l e s \ A m o r t i z a c i j a \ C o l u m n s \ 5@8>4& g t ; - & l t ; T a b l e s \ C a l e n d a r \ C o l u m n s \ D a t e & g t ; \ P K < / K e y > < / a : K e y > < a : V a l u e   i : t y p e = " D i a g r a m D i s p l a y L i n k E n d p o i n t V i e w S t a t e " > < H e i g h t > 1 6 < / H e i g h t > < L a b e l L o c a t i o n   x m l n s : b = " h t t p : / / s c h e m a s . d a t a c o n t r a c t . o r g / 2 0 0 4 / 0 7 / S y s t e m . W i n d o w s " > < b : _ x > 6 2 9 . 1 5 7 5 2 8 < / b : _ x > < b : _ y > 3 6 1 . 9 9 9 9 9 9 9 9 9 9 9 9 8 9 < / b : _ y > < / L a b e l L o c a t i o n > < L o c a t i o n   x m l n s : b = " h t t p : / / s c h e m a s . d a t a c o n t r a c t . o r g / 2 0 0 4 / 0 7 / S y s t e m . W i n d o w s " > < b : _ x > 6 3 7 . 1 5 7 5 2 8 < / b : _ x > < b : _ y > 3 6 1 . 9 9 9 9 9 9 9 9 9 9 9 9 8 9 < / b : _ y > < / L o c a t i o n > < S h a p e R o t a t e A n g l e > 9 0 < / S h a p e R o t a t e A n g l e > < W i d t h > 1 6 < / W i d t h > < / a : V a l u e > < / a : K e y V a l u e O f D i a g r a m O b j e c t K e y a n y T y p e z b w N T n L X > < a : K e y V a l u e O f D i a g r a m O b j e c t K e y a n y T y p e z b w N T n L X > < a : K e y > < K e y > R e l a t i o n s h i p s \ & l t ; T a b l e s \ A m o r t i z a c i j a \ C o l u m n s \ 5@8>4& g t ; - & l t ; T a b l e s \ C a l e n d a r \ C o l u m n s \ D a t e & g t ; \ C r o s s F i l t e r < / K e y > < / a : K e y > < a : V a l u e   i : t y p e = " D i a g r a m D i s p l a y L i n k C r o s s F i l t e r V i e w S t a t e " > < P o i n t s   x m l n s : b = " h t t p : / / s c h e m a s . d a t a c o n t r a c t . o r g / 2 0 0 4 / 0 7 / S y s t e m . W i n d o w s " > < b : P o i n t > < b : _ x > 6 9 7 . 1 5 7 5 2 8 < / b : _ x > < b : _ y > 5 3 7 . 6 5 0 0 0 0 0 0 0 0 0 0 0 9 < / b : _ y > < / b : P o i n t > < b : P o i n t > < b : _ x > 6 9 7 . 1 5 7 5 2 8 < / b : _ x > < b : _ y > 4 5 9 . 8 2 5 < / b : _ y > < / b : P o i n t > < b : P o i n t > < b : _ x > 6 9 5 . 1 5 7 5 2 8 < / b : _ x > < b : _ y > 4 5 7 . 8 2 5 < / b : _ y > < / b : P o i n t > < b : P o i n t > < b : _ x > 6 3 9 . 1 5 7 5 2 8 < / b : _ x > < b : _ y > 4 5 7 . 8 2 5 < / b : _ y > < / b : P o i n t > < b : P o i n t > < b : _ x > 6 3 7 . 1 5 7 5 2 8 < / b : _ x > < b : _ y > 4 5 5 . 8 2 5 < / b : _ y > < / b : P o i n t > < b : P o i n t > < b : _ x > 6 3 7 . 1 5 7 5 2 8 < / b : _ x > < b : _ y > 3 7 7 . 9 9 9 9 9 9 9 9 9 9 9 9 8 9 < / b : _ y > < / b : P o i n t > < / P o i n t s > < / a : V a l u e > < / a : K e y V a l u e O f D i a g r a m O b j e c t K e y a n y T y p e z b w N T n L X > < a : K e y V a l u e O f D i a g r a m O b j e c t K e y a n y T y p e z b w N T n L X > < a : K e y > < K e y > R e l a t i o n s h i p s \ & l t ; T a b l e s \ f C o v e c k i R e s u r s i \ C o l u m n s \ 5@8>4& g t ; - & l t ; T a b l e s \ C a l e n d a r \ C o l u m n s \ D a t e & g t ; < / K e y > < / a : K e y > < a : V a l u e   i : t y p e = " D i a g r a m D i s p l a y L i n k V i e w S t a t e " > < A u t o m a t i o n P r o p e r t y H e l p e r T e x t > E n d   p o i n t   1 :   ( 9 2 0 . 7 5 2 6 2 6 , 4 9 7 . 8 ) .   E n d   p o i n t   2 :   ( 6 5 7 . 1 5 7 5 2 8 , 3 7 8 )   < / A u t o m a t i o n P r o p e r t y H e l p e r T e x t > < L a y e d O u t > t r u e < / L a y e d O u t > < P o i n t s   x m l n s : b = " h t t p : / / s c h e m a s . d a t a c o n t r a c t . o r g / 2 0 0 4 / 0 7 / S y s t e m . W i n d o w s " > < b : P o i n t > < b : _ x > 9 2 0 . 7 5 2 6 2 6 < / b : _ x > < b : _ y > 4 9 7 . 7 9 9 9 9 9 9 9 9 9 9 9 7 3 < / b : _ y > < / b : P o i n t > < b : P o i n t > < b : _ x > 9 2 0 . 7 5 2 6 2 6 < / b : _ x > < b : _ y > 4 3 9 . 9 < / b : _ y > < / b : P o i n t > < b : P o i n t > < b : _ x > 9 1 8 . 7 5 2 6 2 6 < / b : _ x > < b : _ y > 4 3 7 . 9 < / b : _ y > < / b : P o i n t > < b : P o i n t > < b : _ x > 6 5 9 . 1 5 7 5 2 8 < / b : _ x > < b : _ y > 4 3 7 . 9 < / b : _ y > < / b : P o i n t > < b : P o i n t > < b : _ x > 6 5 7 . 1 5 7 5 2 8 < / b : _ x > < b : _ y > 4 3 5 . 9 < / b : _ y > < / b : P o i n t > < b : P o i n t > < b : _ x > 6 5 7 . 1 5 7 5 2 8 < / b : _ x > < b : _ y > 3 7 7 . 9 9 9 9 9 9 9 9 9 9 9 9 9 4 < / b : _ y > < / b : P o i n t > < / P o i n t s > < / a : V a l u e > < / a : K e y V a l u e O f D i a g r a m O b j e c t K e y a n y T y p e z b w N T n L X > < a : K e y V a l u e O f D i a g r a m O b j e c t K e y a n y T y p e z b w N T n L X > < a : K e y > < K e y > R e l a t i o n s h i p s \ & l t ; T a b l e s \ f C o v e c k i R e s u r s i \ C o l u m n s \ 5@8>4& g t ; - & l t ; T a b l e s \ C a l e n d a r \ C o l u m n s \ D a t e & g t ; \ F K < / K e y > < / a : K e y > < a : V a l u e   i : t y p e = " D i a g r a m D i s p l a y L i n k E n d p o i n t V i e w S t a t e " > < H e i g h t > 1 6 < / H e i g h t > < L a b e l L o c a t i o n   x m l n s : b = " h t t p : / / s c h e m a s . d a t a c o n t r a c t . o r g / 2 0 0 4 / 0 7 / S y s t e m . W i n d o w s " > < b : _ x > 9 1 2 . 7 5 2 6 2 6 < / b : _ x > < b : _ y > 4 9 7 . 7 9 9 9 9 9 9 9 9 9 9 9 7 3 < / b : _ y > < / L a b e l L o c a t i o n > < L o c a t i o n   x m l n s : b = " h t t p : / / s c h e m a s . d a t a c o n t r a c t . o r g / 2 0 0 4 / 0 7 / S y s t e m . W i n d o w s " > < b : _ x > 9 2 0 . 7 5 2 6 2 6 < / b : _ x > < b : _ y > 5 1 3 . 7 9 9 9 9 9 9 9 9 9 9 9 7 3 < / b : _ y > < / L o c a t i o n > < S h a p e R o t a t e A n g l e > 2 7 0 < / S h a p e R o t a t e A n g l e > < W i d t h > 1 6 < / W i d t h > < / a : V a l u e > < / a : K e y V a l u e O f D i a g r a m O b j e c t K e y a n y T y p e z b w N T n L X > < a : K e y V a l u e O f D i a g r a m O b j e c t K e y a n y T y p e z b w N T n L X > < a : K e y > < K e y > R e l a t i o n s h i p s \ & l t ; T a b l e s \ f C o v e c k i R e s u r s i \ C o l u m n s \ 5@8>4& g t ; - & l t ; T a b l e s \ C a l e n d a r \ C o l u m n s \ D a t e & g t ; \ P K < / K e y > < / a : K e y > < a : V a l u e   i : t y p e = " D i a g r a m D i s p l a y L i n k E n d p o i n t V i e w S t a t e " > < H e i g h t > 1 6 < / H e i g h t > < L a b e l L o c a t i o n   x m l n s : b = " h t t p : / / s c h e m a s . d a t a c o n t r a c t . o r g / 2 0 0 4 / 0 7 / S y s t e m . W i n d o w s " > < b : _ x > 6 4 9 . 1 5 7 5 2 8 < / b : _ x > < b : _ y > 3 6 1 . 9 9 9 9 9 9 9 9 9 9 9 9 9 4 < / b : _ y > < / L a b e l L o c a t i o n > < L o c a t i o n   x m l n s : b = " h t t p : / / s c h e m a s . d a t a c o n t r a c t . o r g / 2 0 0 4 / 0 7 / S y s t e m . W i n d o w s " > < b : _ x > 6 5 7 . 1 5 7 5 2 8 < / b : _ x > < b : _ y > 3 6 1 . 9 9 9 9 9 9 9 9 9 9 9 9 9 4 < / b : _ y > < / L o c a t i o n > < S h a p e R o t a t e A n g l e > 9 0 < / S h a p e R o t a t e A n g l e > < W i d t h > 1 6 < / W i d t h > < / a : V a l u e > < / a : K e y V a l u e O f D i a g r a m O b j e c t K e y a n y T y p e z b w N T n L X > < a : K e y V a l u e O f D i a g r a m O b j e c t K e y a n y T y p e z b w N T n L X > < a : K e y > < K e y > R e l a t i o n s h i p s \ & l t ; T a b l e s \ f C o v e c k i R e s u r s i \ C o l u m n s \ 5@8>4& g t ; - & l t ; T a b l e s \ C a l e n d a r \ C o l u m n s \ D a t e & g t ; \ C r o s s F i l t e r < / K e y > < / a : K e y > < a : V a l u e   i : t y p e = " D i a g r a m D i s p l a y L i n k C r o s s F i l t e r V i e w S t a t e " > < P o i n t s   x m l n s : b = " h t t p : / / s c h e m a s . d a t a c o n t r a c t . o r g / 2 0 0 4 / 0 7 / S y s t e m . W i n d o w s " > < b : P o i n t > < b : _ x > 9 2 0 . 7 5 2 6 2 6 < / b : _ x > < b : _ y > 4 9 7 . 7 9 9 9 9 9 9 9 9 9 9 9 7 3 < / b : _ y > < / b : P o i n t > < b : P o i n t > < b : _ x > 9 2 0 . 7 5 2 6 2 6 < / b : _ x > < b : _ y > 4 3 9 . 9 < / b : _ y > < / b : P o i n t > < b : P o i n t > < b : _ x > 9 1 8 . 7 5 2 6 2 6 < / b : _ x > < b : _ y > 4 3 7 . 9 < / b : _ y > < / b : P o i n t > < b : P o i n t > < b : _ x > 6 5 9 . 1 5 7 5 2 8 < / b : _ x > < b : _ y > 4 3 7 . 9 < / b : _ y > < / b : P o i n t > < b : P o i n t > < b : _ x > 6 5 7 . 1 5 7 5 2 8 < / b : _ x > < b : _ y > 4 3 5 . 9 < / b : _ y > < / b : P o i n t > < b : P o i n t > < b : _ x > 6 5 7 . 1 5 7 5 2 8 < / b : _ x > < b : _ y > 3 7 7 . 9 9 9 9 9 9 9 9 9 9 9 9 9 4 < / b : _ y > < / b : P o i n t > < / P o i n t s > < / a : V a l u e > < / a : K e y V a l u e O f D i a g r a m O b j e c t K e y a n y T y p e z b w N T n L X > < a : K e y V a l u e O f D i a g r a m O b j e c t K e y a n y T y p e z b w N T n L X > < a : K e y > < K e y > R e l a t i o n s h i p s \ & l t ; T a b l e s \ f A c t u a l A n d B u d g e t \ C o l u m n s \ 5@8>4& g t ; - & l t ; T a b l e s \ C a l e n d a r \ C o l u m n s \ D a t e & g t ; < / K e y > < / a : K e y > < a : V a l u e   i : t y p e = " D i a g r a m D i s p l a y L i n k V i e w S t a t e " > < A u t o m a t i o n P r o p e r t y H e l p e r T e x t > E n d   p o i n t   1 :   ( 2 9 6 . 8 , 2 1 6 . 2 ) .   E n d   p o i n t   2 :   ( 5 3 1 . 6 1 5 2 4 2 2 7 0 6 6 4 , 1 9 3 . 6 )   < / A u t o m a t i o n P r o p e r t y H e l p e r T e x t > < I s F o c u s e d > t r u e < / I s F o c u s e d > < L a y e d O u t > t r u e < / L a y e d O u t > < P o i n t s   x m l n s : b = " h t t p : / / s c h e m a s . d a t a c o n t r a c t . o r g / 2 0 0 4 / 0 7 / S y s t e m . W i n d o w s " > < b : P o i n t > < b : _ x > 2 9 6 . 8 0 0 0 0 0 0 0 0 0 0 0 0 7 < / b : _ x > < b : _ y > 2 1 6 . 2 < / b : _ y > < / b : P o i n t > < b : P o i n t > < b : _ x > 4 1 2 . 2 0 7 6 2 1 < / b : _ x > < b : _ y > 2 1 6 . 2 < / b : _ y > < / b : P o i n t > < b : P o i n t > < b : _ x > 4 1 4 . 2 0 7 6 2 1 < / b : _ x > < b : _ y > 2 1 4 . 2 < / b : _ y > < / b : P o i n t > < b : P o i n t > < b : _ x > 4 1 4 . 2 0 7 6 2 1 < / b : _ x > < b : _ y > 1 9 5 . 6 < / b : _ y > < / b : P o i n t > < b : P o i n t > < b : _ x > 4 1 6 . 2 0 7 6 2 1 < / b : _ x > < b : _ y > 1 9 3 . 6 < / b : _ y > < / b : P o i n t > < b : P o i n t > < b : _ x > 5 3 1 . 6 1 5 2 4 2 2 7 0 6 6 4 1 1 < / b : _ x > < b : _ y > 1 9 3 . 6 < / b : _ y > < / b : P o i n t > < / P o i n t s > < / a : V a l u e > < / a : K e y V a l u e O f D i a g r a m O b j e c t K e y a n y T y p e z b w N T n L X > < a : K e y V a l u e O f D i a g r a m O b j e c t K e y a n y T y p e z b w N T n L X > < a : K e y > < K e y > R e l a t i o n s h i p s \ & l t ; T a b l e s \ f A c t u a l A n d B u d g e t \ C o l u m n s \ 5@8>4& g t ; - & l t ; T a b l e s \ C a l e n d a r \ C o l u m n s \ D a t e & g t ; \ F K < / K e y > < / a : K e y > < a : V a l u e   i : t y p e = " D i a g r a m D i s p l a y L i n k E n d p o i n t V i e w S t a t e " > < H e i g h t > 1 6 < / H e i g h t > < L a b e l L o c a t i o n   x m l n s : b = " h t t p : / / s c h e m a s . d a t a c o n t r a c t . o r g / 2 0 0 4 / 0 7 / S y s t e m . W i n d o w s " > < b : _ x > 2 8 0 . 8 0 0 0 0 0 0 0 0 0 0 0 0 7 < / b : _ x > < b : _ y > 2 0 8 . 2 < / b : _ y > < / L a b e l L o c a t i o n > < L o c a t i o n   x m l n s : b = " h t t p : / / s c h e m a s . d a t a c o n t r a c t . o r g / 2 0 0 4 / 0 7 / S y s t e m . W i n d o w s " > < b : _ x > 2 8 0 . 8 0 0 0 0 0 0 0 0 0 0 0 0 7 < / b : _ x > < b : _ y > 2 1 6 . 2 < / b : _ y > < / L o c a t i o n > < S h a p e R o t a t e A n g l e > 3 6 0 < / S h a p e R o t a t e A n g l e > < W i d t h > 1 6 < / W i d t h > < / a : V a l u e > < / a : K e y V a l u e O f D i a g r a m O b j e c t K e y a n y T y p e z b w N T n L X > < a : K e y V a l u e O f D i a g r a m O b j e c t K e y a n y T y p e z b w N T n L X > < a : K e y > < K e y > R e l a t i o n s h i p s \ & l t ; T a b l e s \ f A c t u a l A n d B u d g e t \ C o l u m n s \ 5@8>4& g t ; - & l t ; T a b l e s \ C a l e n d a r \ C o l u m n s \ D a t e & g t ; \ P K < / K e y > < / a : K e y > < a : V a l u e   i : t y p e = " D i a g r a m D i s p l a y L i n k E n d p o i n t V i e w S t a t e " > < H e i g h t > 1 6 < / H e i g h t > < L a b e l L o c a t i o n   x m l n s : b = " h t t p : / / s c h e m a s . d a t a c o n t r a c t . o r g / 2 0 0 4 / 0 7 / S y s t e m . W i n d o w s " > < b : _ x > 5 3 1 . 6 1 5 2 4 2 2 7 0 6 6 4 1 1 < / b : _ x > < b : _ y > 1 8 5 . 6 < / b : _ y > < / L a b e l L o c a t i o n > < L o c a t i o n   x m l n s : b = " h t t p : / / s c h e m a s . d a t a c o n t r a c t . o r g / 2 0 0 4 / 0 7 / S y s t e m . W i n d o w s " > < b : _ x > 5 4 7 . 6 1 5 2 4 2 2 7 0 6 6 4 1 1 < / b : _ x > < b : _ y > 1 9 3 . 6 < / b : _ y > < / L o c a t i o n > < S h a p e R o t a t e A n g l e > 1 8 0 < / S h a p e R o t a t e A n g l e > < W i d t h > 1 6 < / W i d t h > < / a : V a l u e > < / a : K e y V a l u e O f D i a g r a m O b j e c t K e y a n y T y p e z b w N T n L X > < a : K e y V a l u e O f D i a g r a m O b j e c t K e y a n y T y p e z b w N T n L X > < a : K e y > < K e y > R e l a t i o n s h i p s \ & l t ; T a b l e s \ f A c t u a l A n d B u d g e t \ C o l u m n s \ 5@8>4& g t ; - & l t ; T a b l e s \ C a l e n d a r \ C o l u m n s \ D a t e & g t ; \ C r o s s F i l t e r < / K e y > < / a : K e y > < a : V a l u e   i : t y p e = " D i a g r a m D i s p l a y L i n k C r o s s F i l t e r V i e w S t a t e " > < P o i n t s   x m l n s : b = " h t t p : / / s c h e m a s . d a t a c o n t r a c t . o r g / 2 0 0 4 / 0 7 / S y s t e m . W i n d o w s " > < b : P o i n t > < b : _ x > 2 9 6 . 8 0 0 0 0 0 0 0 0 0 0 0 0 7 < / b : _ x > < b : _ y > 2 1 6 . 2 < / b : _ y > < / b : P o i n t > < b : P o i n t > < b : _ x > 4 1 2 . 2 0 7 6 2 1 < / b : _ x > < b : _ y > 2 1 6 . 2 < / b : _ y > < / b : P o i n t > < b : P o i n t > < b : _ x > 4 1 4 . 2 0 7 6 2 1 < / b : _ x > < b : _ y > 2 1 4 . 2 < / b : _ y > < / b : P o i n t > < b : P o i n t > < b : _ x > 4 1 4 . 2 0 7 6 2 1 < / b : _ x > < b : _ y > 1 9 5 . 6 < / b : _ y > < / b : P o i n t > < b : P o i n t > < b : _ x > 4 1 6 . 2 0 7 6 2 1 < / b : _ x > < b : _ y > 1 9 3 . 6 < / b : _ y > < / b : P o i n t > < b : P o i n t > < b : _ x > 5 3 1 . 6 1 5 2 4 2 2 7 0 6 6 4 1 1 < / b : _ x > < b : _ y > 1 9 3 . 6 < / b : _ y > < / b : P o i n t > < / P o i n t s > < / a : V a l u e > < / a : K e y V a l u e O f D i a g r a m O b j e c t K e y a n y T y p e z b w N T n L X > < a : K e y V a l u e O f D i a g r a m O b j e c t K e y a n y T y p e z b w N T n L X > < a : K e y > < K e y > R e l a t i o n s h i p s \ & l t ; T a b l e s \ f O P E X \ C o l u m n s \ 5@8>4& g t ; - & l t ; T a b l e s \ C a l e n d a r \ C o l u m n s \ D a t e & g t ; < / K e y > < / a : K e y > < a : V a l u e   i : t y p e = " D i a g r a m D i s p l a y L i n k V i e w S t a t e " > < A u t o m a t i o n P r o p e r t y H e l p e r T e x t > E n d   p o i n t   1 :   ( 8 8 0 . 5 2 6 6 7 3 9 7 3 6 6 1 , 1 4 0 . 2 ) .   E n d   p o i n t   2 :   ( 7 6 3 . 6 1 5 2 4 2 2 7 0 6 6 4 , 1 9 3 . 6 )   < / A u t o m a t i o n P r o p e r t y H e l p e r T e x t > < L a y e d O u t > t r u e < / L a y e d O u t > < P o i n t s   x m l n s : b = " h t t p : / / s c h e m a s . d a t a c o n t r a c t . o r g / 2 0 0 4 / 0 7 / S y s t e m . W i n d o w s " > < b : P o i n t > < b : _ x > 8 8 0 . 5 2 6 6 7 3 9 7 3 6 6 1 2 2 < / b : _ x > < b : _ y > 1 4 0 . 2 < / b : _ y > < / b : P o i n t > < b : P o i n t > < b : _ x > 8 2 4 . 0 7 0 9 5 8 < / b : _ x > < b : _ y > 1 4 0 . 2 < / b : _ y > < / b : P o i n t > < b : P o i n t > < b : _ x > 8 2 2 . 0 7 0 9 5 8 < / b : _ x > < b : _ y > 1 4 2 . 2 < / b : _ y > < / b : P o i n t > < b : P o i n t > < b : _ x > 8 2 2 . 0 7 0 9 5 8 < / b : _ x > < b : _ y > 1 9 1 . 6 < / b : _ y > < / b : P o i n t > < b : P o i n t > < b : _ x > 8 2 0 . 0 7 0 9 5 8 < / b : _ x > < b : _ y > 1 9 3 . 6 < / b : _ y > < / b : P o i n t > < b : P o i n t > < b : _ x > 7 6 3 . 6 1 5 2 4 2 2 7 0 6 6 4 1 1 < / b : _ x > < b : _ y > 1 9 3 . 6 < / b : _ y > < / b : P o i n t > < / P o i n t s > < / a : V a l u e > < / a : K e y V a l u e O f D i a g r a m O b j e c t K e y a n y T y p e z b w N T n L X > < a : K e y V a l u e O f D i a g r a m O b j e c t K e y a n y T y p e z b w N T n L X > < a : K e y > < K e y > R e l a t i o n s h i p s \ & l t ; T a b l e s \ f O P E X \ C o l u m n s \ 5@8>4& g t ; - & l t ; T a b l e s \ C a l e n d a r \ C o l u m n s \ D a t e & g t ; \ F K < / K e y > < / a : K e y > < a : V a l u e   i : t y p e = " D i a g r a m D i s p l a y L i n k E n d p o i n t V i e w S t a t e " > < H e i g h t > 1 6 < / H e i g h t > < L a b e l L o c a t i o n   x m l n s : b = " h t t p : / / s c h e m a s . d a t a c o n t r a c t . o r g / 2 0 0 4 / 0 7 / S y s t e m . W i n d o w s " > < b : _ x > 8 8 0 . 5 2 6 6 7 3 9 7 3 6 6 1 2 2 < / b : _ x > < b : _ y > 1 3 2 . 2 < / b : _ y > < / L a b e l L o c a t i o n > < L o c a t i o n   x m l n s : b = " h t t p : / / s c h e m a s . d a t a c o n t r a c t . o r g / 2 0 0 4 / 0 7 / S y s t e m . W i n d o w s " > < b : _ x > 8 9 6 . 5 2 6 6 7 3 9 7 3 6 6 1 2 2 < / b : _ x > < b : _ y > 1 4 0 . 2 < / b : _ y > < / L o c a t i o n > < S h a p e R o t a t e A n g l e > 1 8 0 < / S h a p e R o t a t e A n g l e > < W i d t h > 1 6 < / W i d t h > < / a : V a l u e > < / a : K e y V a l u e O f D i a g r a m O b j e c t K e y a n y T y p e z b w N T n L X > < a : K e y V a l u e O f D i a g r a m O b j e c t K e y a n y T y p e z b w N T n L X > < a : K e y > < K e y > R e l a t i o n s h i p s \ & l t ; T a b l e s \ f O P E X \ C o l u m n s \ 5@8>4& g t ; - & l t ; T a b l e s \ C a l e n d a r \ C o l u m n s \ D a t e & g t ; \ P K < / K e y > < / a : K e y > < a : V a l u e   i : t y p e = " D i a g r a m D i s p l a y L i n k E n d p o i n t V i e w S t a t e " > < H e i g h t > 1 6 < / H e i g h t > < L a b e l L o c a t i o n   x m l n s : b = " h t t p : / / s c h e m a s . d a t a c o n t r a c t . o r g / 2 0 0 4 / 0 7 / S y s t e m . W i n d o w s " > < b : _ x > 7 4 7 . 6 1 5 2 4 2 2 7 0 6 6 4 1 1 < / b : _ x > < b : _ y > 1 8 5 . 6 < / b : _ y > < / L a b e l L o c a t i o n > < L o c a t i o n   x m l n s : b = " h t t p : / / s c h e m a s . d a t a c o n t r a c t . o r g / 2 0 0 4 / 0 7 / S y s t e m . W i n d o w s " > < b : _ x > 7 4 7 . 6 1 5 2 4 2 2 7 0 6 6 4 1 1 < / b : _ x > < b : _ y > 1 9 3 . 6 < / b : _ y > < / L o c a t i o n > < S h a p e R o t a t e A n g l e > 3 6 0 < / S h a p e R o t a t e A n g l e > < W i d t h > 1 6 < / W i d t h > < / a : V a l u e > < / a : K e y V a l u e O f D i a g r a m O b j e c t K e y a n y T y p e z b w N T n L X > < a : K e y V a l u e O f D i a g r a m O b j e c t K e y a n y T y p e z b w N T n L X > < a : K e y > < K e y > R e l a t i o n s h i p s \ & l t ; T a b l e s \ f O P E X \ C o l u m n s \ 5@8>4& g t ; - & l t ; T a b l e s \ C a l e n d a r \ C o l u m n s \ D a t e & g t ; \ C r o s s F i l t e r < / K e y > < / a : K e y > < a : V a l u e   i : t y p e = " D i a g r a m D i s p l a y L i n k C r o s s F i l t e r V i e w S t a t e " > < P o i n t s   x m l n s : b = " h t t p : / / s c h e m a s . d a t a c o n t r a c t . o r g / 2 0 0 4 / 0 7 / S y s t e m . W i n d o w s " > < b : P o i n t > < b : _ x > 8 8 0 . 5 2 6 6 7 3 9 7 3 6 6 1 2 2 < / b : _ x > < b : _ y > 1 4 0 . 2 < / b : _ y > < / b : P o i n t > < b : P o i n t > < b : _ x > 8 2 4 . 0 7 0 9 5 8 < / b : _ x > < b : _ y > 1 4 0 . 2 < / b : _ y > < / b : P o i n t > < b : P o i n t > < b : _ x > 8 2 2 . 0 7 0 9 5 8 < / b : _ x > < b : _ y > 1 4 2 . 2 < / b : _ y > < / b : P o i n t > < b : P o i n t > < b : _ x > 8 2 2 . 0 7 0 9 5 8 < / b : _ x > < b : _ y > 1 9 1 . 6 < / b : _ y > < / b : P o i n t > < b : P o i n t > < b : _ x > 8 2 0 . 0 7 0 9 5 8 < / b : _ x > < b : _ y > 1 9 3 . 6 < / b : _ y > < / b : P o i n t > < b : P o i n t > < b : _ x > 7 6 3 . 6 1 5 2 4 2 2 7 0 6 6 4 1 1 < / b : _ x > < b : _ y > 1 9 3 . 6 < / b : _ y > < / b : P o i n t > < / P o i n t s > < / a : V a l u e > < / a : K e y V a l u e O f D i a g r a m O b j e c t K e y a n y T y p e z b w N T n L X > < a : K e y V a l u e O f D i a g r a m O b j e c t K e y a n y T y p e z b w N T n L X > < a : K e y > < K e y > R e l a t i o n s h i p s \ & l t ; T a b l e s \ r A r t i k l i A n a l i z a \ C o l u m n s \ O b r a z e c I m e & g t ; - & l t ; T a b l e s \ C a l e n d a r \ C o l u m n s \ D a t e & g t ; < / K e y > < / a : K e y > < a : V a l u e   i : t y p e = " D i a g r a m D i s p l a y L i n k V i e w S t a t e " > < A u t o m a t i o n P r o p e r t y H e l p e r T e x t > E n d   p o i n t   1 :   ( 1 0 8 2 . 5 4 1 9 1 6 2 4 4 3 2 , 3 8 9 . 2 ) .   E n d   p o i n t   2 :   ( 6 7 7 . 1 5 7 5 2 8 , 3 7 8 )   < / A u t o m a t i o n P r o p e r t y H e l p e r T e x t > < L a y e d O u t > t r u e < / L a y e d O u t > < P o i n t s   x m l n s : b = " h t t p : / / s c h e m a s . d a t a c o n t r a c t . o r g / 2 0 0 4 / 0 7 / S y s t e m . W i n d o w s " > < b : P o i n t > < b : _ x > 1 0 8 2 . 5 4 1 9 1 6 2 4 4 3 2 5 < / b : _ x > < b : _ y > 3 8 9 . 2 < / b : _ y > < / b : P o i n t > < b : P o i n t > < b : _ x > 6 7 9 . 1 5 7 5 2 8 < / b : _ x > < b : _ y > 3 8 9 . 2 < / b : _ y > < / b : P o i n t > < b : P o i n t > < b : _ x > 6 7 7 . 1 5 7 5 2 8 < / b : _ x > < b : _ y > 3 8 7 . 2 < / b : _ y > < / b : P o i n t > < b : P o i n t > < b : _ x > 6 7 7 . 1 5 7 5 2 8 < / b : _ x > < b : _ y > 3 7 8 < / b : _ y > < / b : P o i n t > < / P o i n t s > < / a : V a l u e > < / a : K e y V a l u e O f D i a g r a m O b j e c t K e y a n y T y p e z b w N T n L X > < a : K e y V a l u e O f D i a g r a m O b j e c t K e y a n y T y p e z b w N T n L X > < a : K e y > < K e y > R e l a t i o n s h i p s \ & l t ; T a b l e s \ r A r t i k l i A n a l i z a \ C o l u m n s \ O b r a z e c I m e & g t ; - & l t ; T a b l e s \ C a l e n d a r \ C o l u m n s \ D a t e & g t ; \ F K < / K e y > < / a : K e y > < a : V a l u e   i : t y p e = " D i a g r a m D i s p l a y L i n k E n d p o i n t V i e w S t a t e " > < H e i g h t > 1 6 < / H e i g h t > < L a b e l L o c a t i o n   x m l n s : b = " h t t p : / / s c h e m a s . d a t a c o n t r a c t . o r g / 2 0 0 4 / 0 7 / S y s t e m . W i n d o w s " > < b : _ x > 1 0 8 2 . 5 4 1 9 1 6 2 4 4 3 2 5 < / b : _ x > < b : _ y > 3 8 1 . 2 < / b : _ y > < / L a b e l L o c a t i o n > < L o c a t i o n   x m l n s : b = " h t t p : / / s c h e m a s . d a t a c o n t r a c t . o r g / 2 0 0 4 / 0 7 / S y s t e m . W i n d o w s " > < b : _ x > 1 0 9 8 . 5 4 1 9 1 6 2 4 4 3 2 5 < / b : _ x > < b : _ y > 3 8 9 . 2 < / b : _ y > < / L o c a t i o n > < S h a p e R o t a t e A n g l e > 1 8 0 < / S h a p e R o t a t e A n g l e > < W i d t h > 1 6 < / W i d t h > < / a : V a l u e > < / a : K e y V a l u e O f D i a g r a m O b j e c t K e y a n y T y p e z b w N T n L X > < a : K e y V a l u e O f D i a g r a m O b j e c t K e y a n y T y p e z b w N T n L X > < a : K e y > < K e y > R e l a t i o n s h i p s \ & l t ; T a b l e s \ r A r t i k l i A n a l i z a \ C o l u m n s \ O b r a z e c I m e & g t ; - & l t ; T a b l e s \ C a l e n d a r \ C o l u m n s \ D a t e & g t ; \ P K < / K e y > < / a : K e y > < a : V a l u e   i : t y p e = " D i a g r a m D i s p l a y L i n k E n d p o i n t V i e w S t a t e " > < H e i g h t > 1 6 < / H e i g h t > < L a b e l L o c a t i o n   x m l n s : b = " h t t p : / / s c h e m a s . d a t a c o n t r a c t . o r g / 2 0 0 4 / 0 7 / S y s t e m . W i n d o w s " > < b : _ x > 6 6 9 . 1 5 7 5 2 8 < / b : _ x > < b : _ y > 3 6 2 < / b : _ y > < / L a b e l L o c a t i o n > < L o c a t i o n   x m l n s : b = " h t t p : / / s c h e m a s . d a t a c o n t r a c t . o r g / 2 0 0 4 / 0 7 / S y s t e m . W i n d o w s " > < b : _ x > 6 7 7 . 1 5 7 5 2 8 < / b : _ x > < b : _ y > 3 6 2 < / b : _ y > < / L o c a t i o n > < S h a p e R o t a t e A n g l e > 9 0 < / S h a p e R o t a t e A n g l e > < W i d t h > 1 6 < / W i d t h > < / a : V a l u e > < / a : K e y V a l u e O f D i a g r a m O b j e c t K e y a n y T y p e z b w N T n L X > < a : K e y V a l u e O f D i a g r a m O b j e c t K e y a n y T y p e z b w N T n L X > < a : K e y > < K e y > R e l a t i o n s h i p s \ & l t ; T a b l e s \ r A r t i k l i A n a l i z a \ C o l u m n s \ O b r a z e c I m e & g t ; - & l t ; T a b l e s \ C a l e n d a r \ C o l u m n s \ D a t e & g t ; \ C r o s s F i l t e r < / K e y > < / a : K e y > < a : V a l u e   i : t y p e = " D i a g r a m D i s p l a y L i n k C r o s s F i l t e r V i e w S t a t e " > < P o i n t s   x m l n s : b = " h t t p : / / s c h e m a s . d a t a c o n t r a c t . o r g / 2 0 0 4 / 0 7 / S y s t e m . W i n d o w s " > < b : P o i n t > < b : _ x > 1 0 8 2 . 5 4 1 9 1 6 2 4 4 3 2 5 < / b : _ x > < b : _ y > 3 8 9 . 2 < / b : _ y > < / b : P o i n t > < b : P o i n t > < b : _ x > 6 7 9 . 1 5 7 5 2 8 < / b : _ x > < b : _ y > 3 8 9 . 2 < / b : _ y > < / b : P o i n t > < b : P o i n t > < b : _ x > 6 7 7 . 1 5 7 5 2 8 < / b : _ x > < b : _ y > 3 8 7 . 2 < / b : _ y > < / b : P o i n t > < b : P o i n t > < b : _ x > 6 7 7 . 1 5 7 5 2 8 < / b : _ x > < b : _ y > 3 7 8 < / b : _ y > < / b : P o i n t > < / P o i n t s > < / 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48=0< / K e y > < / D i a g r a m O b j e c t K e y > < D i a g r a m O b j e c t K e y > < K e y > C o l u m n s \ M o n t h   N u m b e r < / K e y > < / D i a g r a m O b j e c t K e y > < D i a g r a m O b j e c t K e y > < K e y > C o l u m n s \ 5A5F< / K e y > < / D i a g r a m O b j e c t K e y > < D i a g r a m O b j e c t K e y > < K e y > C o l u m n s \ M M M - Y Y Y Y < / K e y > < / D i a g r a m O b j e c t K e y > < D i a g r a m O b j e c t K e y > < K e y > C o l u m n s \ D a y   O f   W e e k   N u m b e r < / K e y > < / D i a g r a m O b j e c t K e y > < D i a g r a m O b j e c t K e y > < K e y > C o l u m n s \ D a y   O f   W e e k < / K e y > < / D i a g r a m O b j e c t K e y > < D i a g r a m O b j e c t K e y > < K e y > C o l u m n s \ 20@B0;< / 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48=0< / 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 C o l u m n s \ 5A5F< / 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 C o l u m n s \ 20@B0;< / K e y > < / a : K e y > < a : V a l u e   i : t y p e = " M e a s u r e G r i d N o d e V i e w S t a t e " > < C o l u m n > 7 < / C o l u m n > < L a y e d O u t > t r u e < / L a y e d O u t > < / a : V a l u e > < / a : K e y V a l u e O f D i a g r a m O b j e c t K e y a n y T y p e z b w N T n L X > < / V i e w S t a t e s > < / D i a g r a m M a n a g e r . S e r i a l i z a b l e D i a g r a m > < D i a g r a m M a n a g e r . S e r i a l i z a b l e D i a g r a m > < A d a p t e r   i : t y p e = " M e a s u r e D i a g r a m S a n d b o x A d a p t e r " > < T a b l e N a m e > f A c t u a l A n d B u d g e t 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 f A c t u a l A n d B u d g e t 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 7=>A< / K e y > < / D i a g r a m O b j e c t K e y > < D i a g r a m O b j e c t K e y > < K e y > M e a s u r e s \ S u m   o f   7=>A\ T a g I n f o \ F o r m u l a < / K e y > < / D i a g r a m O b j e c t K e y > < D i a g r a m O b j e c t K e y > < K e y > M e a s u r e s \ S u m   o f   7=>A\ T a g I n f o \ V a l u e < / K e y > < / D i a g r a m O b j e c t K e y > < D i a g r a m O b j e c t K e y > < K e y > M e a s u r e s \ S u m   o f   7=>A  ( 8;X048) < / K e y > < / D i a g r a m O b j e c t K e y > < D i a g r a m O b j e c t K e y > < K e y > M e a s u r e s \ S u m   o f   7=>A  ( 8;X048) \ T a g I n f o \ F o r m u l a < / K e y > < / D i a g r a m O b j e c t K e y > < D i a g r a m O b j e c t K e y > < K e y > M e a s u r e s \ S u m   o f   7=>A  ( 8;X048) \ T a g I n f o \ V a l u e < / K e y > < / D i a g r a m O b j e c t K e y > < D i a g r a m O b j e c t K e y > < K e y > M e a s u r e s \ S u m   o f   7=>A1 < / K e y > < / D i a g r a m O b j e c t K e y > < D i a g r a m O b j e c t K e y > < K e y > M e a s u r e s \ S u m   o f   7=>A1 \ T a g I n f o \ F o r m u l a < / K e y > < / D i a g r a m O b j e c t K e y > < D i a g r a m O b j e c t K e y > < K e y > M e a s u r e s \ S u m   o f   7=>A1 \ T a g I n f o \ V a l u e < / K e y > < / D i a g r a m O b j e c t K e y > < D i a g r a m O b j e c t K e y > < K e y > C o l u m n s \ >=B>< / K e y > < / D i a g r a m O b j e c t K e y > < D i a g r a m O b j e c t K e y > < K e y > C o l u m n s \ 0782  =0  :>=B>< / K e y > < / D i a g r a m O b j e c t K e y > < D i a g r a m O b j e c t K e y > < K e y > C o l u m n s \ 5@8>4< / K e y > < / D i a g r a m O b j e c t K e y > < D i a g r a m O b j e c t K e y > < K e y > C o l u m n s \ 7=>A1 < / K e y > < / D i a g r a m O b j e c t K e y > < D i a g r a m O b j e c t K e y > < K e y > C o l u m n s \ R e p o r t T y p e < / K e y > < / D i a g r a m O b j e c t K e y > < D i a g r a m O b j e c t K e y > < K e y > C o l u m n s \ !B02:0< / K e y > < / D i a g r a m O b j e c t K e y > < D i a g r a m O b j e c t K e y > < K e y > C o l u m n s \ @>X  =0  X02=0  =0102:0  ( ?;0=) < / K e y > < / D i a g r a m O b j e c t K e y > < D i a g r a m O b j e c t K e y > < K e y > C o l u m n s \ S t a v k a I D < / K e y > < / D i a g r a m O b j e c t K e y > < D i a g r a m O b j e c t K e y > < K e y > C o l u m n s \ S t a v k a I m e M K < / K e y > < / D i a g r a m O b j e c t K e y > < D i a g r a m O b j e c t K e y > < K e y > C o l u m n s \ S t a v k a G r u p a < / K e y > < / D i a g r a m O b j e c t K e y > < D i a g r a m O b j e c t K e y > < K e y > C o l u m n s \ S t a v k a K a t e g o r i j a < / K e y > < / D i a g r a m O b j e c t K e y > < D i a g r a m O b j e c t K e y > < K e y > C o l u m n s \ Z n a k I z v e s t a j < / K e y > < / D i a g r a m O b j e c t K e y > < D i a g r a m O b j e c t K e y > < K e y > C o l u m n s \ O b r a z e c I D < / K e y > < / D i a g r a m O b j e c t K e y > < D i a g r a m O b j e c t K e y > < K e y > C o l u m n s \ S t a v k a A O P < / K e y > < / D i a g r a m O b j e c t K e y > < D i a g r a m O b j e c t K e y > < K e y > C o l u m n s \ O b r a z e c I m e < / K e y > < / D i a g r a m O b j e c t K e y > < D i a g r a m O b j e c t K e y > < K e y > C o l u m n s \ 7=>A< / K e y > < / D i a g r a m O b j e c t K e y > < D i a g r a m O b j e c t K e y > < K e y > C o l u m n s \ 7=>A  ( 8;X048) < / K e y > < / D i a g r a m O b j e c t K e y > < D i a g r a m O b j e c t K e y > < K e y > C o l u m n s \ S t a v k a I m e A O P < / K e y > < / D i a g r a m O b j e c t K e y > < D i a g r a m O b j e c t K e y > < K e y > C o l u m n s \ >=B>  !B02:0< / K e y > < / D i a g r a m O b j e c t K e y > < D i a g r a m O b j e c t K e y > < K e y > L i n k s \ & l t ; C o l u m n s \ S u m   o f   7=>A& g t ; - & l t ; M e a s u r e s \ 7=>A& g t ; < / K e y > < / D i a g r a m O b j e c t K e y > < D i a g r a m O b j e c t K e y > < K e y > L i n k s \ & l t ; C o l u m n s \ S u m   o f   7=>A& g t ; - & l t ; M e a s u r e s \ 7=>A& g t ; \ C O L U M N < / K e y > < / D i a g r a m O b j e c t K e y > < D i a g r a m O b j e c t K e y > < K e y > L i n k s \ & l t ; C o l u m n s \ S u m   o f   7=>A& g t ; - & l t ; M e a s u r e s \ 7=>A& g t ; \ M E A S U R E < / K e y > < / D i a g r a m O b j e c t K e y > < D i a g r a m O b j e c t K e y > < K e y > L i n k s \ & l t ; C o l u m n s \ S u m   o f   7=>A  ( 8;X048) & g t ; - & l t ; M e a s u r e s \ 7=>A  ( 8;X048) & g t ; < / K e y > < / D i a g r a m O b j e c t K e y > < D i a g r a m O b j e c t K e y > < K e y > L i n k s \ & l t ; C o l u m n s \ S u m   o f   7=>A  ( 8;X048) & g t ; - & l t ; M e a s u r e s \ 7=>A  ( 8;X048) & g t ; \ C O L U M N < / K e y > < / D i a g r a m O b j e c t K e y > < D i a g r a m O b j e c t K e y > < K e y > L i n k s \ & l t ; C o l u m n s \ S u m   o f   7=>A  ( 8;X048) & g t ; - & l t ; M e a s u r e s \ 7=>A  ( 8;X048) & g t ; \ M E A S U R E < / K e y > < / D i a g r a m O b j e c t K e y > < D i a g r a m O b j e c t K e y > < K e y > L i n k s \ & l t ; C o l u m n s \ S u m   o f   7=>A1 & g t ; - & l t ; M e a s u r e s \ 7=>A1 & g t ; < / K e y > < / D i a g r a m O b j e c t K e y > < D i a g r a m O b j e c t K e y > < K e y > L i n k s \ & l t ; C o l u m n s \ S u m   o f   7=>A1 & g t ; - & l t ; M e a s u r e s \ 7=>A1 & g t ; \ C O L U M N < / K e y > < / D i a g r a m O b j e c t K e y > < D i a g r a m O b j e c t K e y > < K e y > L i n k s \ & l t ; C o l u m n s \ S u m   o f   7=>A1 & g t ; - & l t ; M e a s u r e s \ 7=>A1 & g t ; \ M E A S U R E 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 7=>A< / K e y > < / a : K e y > < a : V a l u e   i : t y p e = " M e a s u r e G r i d N o d e V i e w S t a t e " > < C o l u m n > 5 < / C o l u m n > < L a y e d O u t > t r u e < / L a y e d O u t > < W a s U I I n v i s i b l e > t r u e < / W a s U I I n v i s i b l e > < / a : V a l u e > < / a : K e y V a l u e O f D i a g r a m O b j e c t K e y a n y T y p e z b w N T n L X > < a : K e y V a l u e O f D i a g r a m O b j e c t K e y a n y T y p e z b w N T n L X > < a : K e y > < K e y > M e a s u r e s \ S u m   o f   7=>A\ T a g I n f o \ F o r m u l a < / K e y > < / a : K e y > < a : V a l u e   i : t y p e = " M e a s u r e G r i d V i e w S t a t e I D i a g r a m T a g A d d i t i o n a l I n f o " / > < / a : K e y V a l u e O f D i a g r a m O b j e c t K e y a n y T y p e z b w N T n L X > < a : K e y V a l u e O f D i a g r a m O b j e c t K e y a n y T y p e z b w N T n L X > < a : K e y > < K e y > M e a s u r e s \ S u m   o f   7=>A\ T a g I n f o \ V a l u e < / K e y > < / a : K e y > < a : V a l u e   i : t y p e = " M e a s u r e G r i d V i e w S t a t e I D i a g r a m T a g A d d i t i o n a l I n f o " / > < / a : K e y V a l u e O f D i a g r a m O b j e c t K e y a n y T y p e z b w N T n L X > < a : K e y V a l u e O f D i a g r a m O b j e c t K e y a n y T y p e z b w N T n L X > < a : K e y > < K e y > M e a s u r e s \ S u m   o f   7=>A  ( 8;X048) < / K e y > < / a : K e y > < a : V a l u e   i : t y p e = " M e a s u r e G r i d N o d e V i e w S t a t e " > < C o l u m n > 6 < / C o l u m n > < L a y e d O u t > t r u e < / L a y e d O u t > < W a s U I I n v i s i b l e > t r u e < / W a s U I I n v i s i b l e > < / a : V a l u e > < / a : K e y V a l u e O f D i a g r a m O b j e c t K e y a n y T y p e z b w N T n L X > < a : K e y V a l u e O f D i a g r a m O b j e c t K e y a n y T y p e z b w N T n L X > < a : K e y > < K e y > M e a s u r e s \ S u m   o f   7=>A  ( 8;X048) \ T a g I n f o \ F o r m u l a < / K e y > < / a : K e y > < a : V a l u e   i : t y p e = " M e a s u r e G r i d V i e w S t a t e I D i a g r a m T a g A d d i t i o n a l I n f o " / > < / a : K e y V a l u e O f D i a g r a m O b j e c t K e y a n y T y p e z b w N T n L X > < a : K e y V a l u e O f D i a g r a m O b j e c t K e y a n y T y p e z b w N T n L X > < a : K e y > < K e y > M e a s u r e s \ S u m   o f   7=>A  ( 8;X048) \ T a g I n f o \ V a l u e < / K e y > < / a : K e y > < a : V a l u e   i : t y p e = " M e a s u r e G r i d V i e w S t a t e I D i a g r a m T a g A d d i t i o n a l I n f o " / > < / a : K e y V a l u e O f D i a g r a m O b j e c t K e y a n y T y p e z b w N T n L X > < a : K e y V a l u e O f D i a g r a m O b j e c t K e y a n y T y p e z b w N T n L X > < a : K e y > < K e y > M e a s u r e s \ S u m   o f   7=>A1 < / K e y > < / a : K e y > < a : V a l u e   i : t y p e = " M e a s u r e G r i d N o d e V i e w S t a t e " > < C o l u m n > 3 < / C o l u m n > < L a y e d O u t > t r u e < / L a y e d O u t > < W a s U I I n v i s i b l e > t r u e < / W a s U I I n v i s i b l e > < / a : V a l u e > < / a : K e y V a l u e O f D i a g r a m O b j e c t K e y a n y T y p e z b w N T n L X > < a : K e y V a l u e O f D i a g r a m O b j e c t K e y a n y T y p e z b w N T n L X > < a : K e y > < K e y > M e a s u r e s \ S u m   o f   7=>A1 \ T a g I n f o \ F o r m u l a < / K e y > < / a : K e y > < a : V a l u e   i : t y p e = " M e a s u r e G r i d V i e w S t a t e I D i a g r a m T a g A d d i t i o n a l I n f o " / > < / a : K e y V a l u e O f D i a g r a m O b j e c t K e y a n y T y p e z b w N T n L X > < a : K e y V a l u e O f D i a g r a m O b j e c t K e y a n y T y p e z b w N T n L X > < a : K e y > < K e y > M e a s u r e s \ S u m   o f   7=>A1 \ T a g I n f o \ V a l u e < / K e y > < / a : K e y > < a : V a l u e   i : t y p e = " M e a s u r e G r i d V i e w S t a t e I D i a g r a m T a g A d d i t i o n a l I n f o " / > < / a : K e y V a l u e O f D i a g r a m O b j e c t K e y a n y T y p e z b w N T n L X > < a : K e y V a l u e O f D i a g r a m O b j e c t K e y a n y T y p e z b w N T n L X > < a : K e y > < K e y > C o l u m n s \ >=B>< / K e y > < / a : K e y > < a : V a l u e   i : t y p e = " M e a s u r e G r i d N o d e V i e w S t a t e " > < L a y e d O u t > t r u e < / L a y e d O u t > < / a : V a l u e > < / a : K e y V a l u e O f D i a g r a m O b j e c t K e y a n y T y p e z b w N T n L X > < a : K e y V a l u e O f D i a g r a m O b j e c t K e y a n y T y p e z b w N T n L X > < a : K e y > < K e y > C o l u m n s \ 0782  =0  :>=B>< / K e y > < / a : K e y > < a : V a l u e   i : t y p e = " M e a s u r e G r i d N o d e V i e w S t a t e " > < C o l u m n > 1 8 < / C o l u m n > < L a y e d O u t > t r u e < / L a y e d O u t > < / a : V a l u e > < / a : K e y V a l u e O f D i a g r a m O b j e c t K e y a n y T y p e z b w N T n L X > < a : K e y V a l u e O f D i a g r a m O b j e c t K e y a n y T y p e z b w N T n L X > < a : K e y > < K e y > C o l u m n s \ 5@8>4< / K e y > < / a : K e y > < a : V a l u e   i : t y p e = " M e a s u r e G r i d N o d e V i e w S t a t e " > < C o l u m n > 2 < / C o l u m n > < L a y e d O u t > t r u e < / L a y e d O u t > < / a : V a l u e > < / a : K e y V a l u e O f D i a g r a m O b j e c t K e y a n y T y p e z b w N T n L X > < a : K e y V a l u e O f D i a g r a m O b j e c t K e y a n y T y p e z b w N T n L X > < a : K e y > < K e y > C o l u m n s \ 7=>A1 < / K e y > < / a : K e y > < a : V a l u e   i : t y p e = " M e a s u r e G r i d N o d e V i e w S t a t e " > < C o l u m n > 3 < / C o l u m n > < L a y e d O u t > t r u e < / L a y e d O u t > < / a : V a l u e > < / a : K e y V a l u e O f D i a g r a m O b j e c t K e y a n y T y p e z b w N T n L X > < a : K e y V a l u e O f D i a g r a m O b j e c t K e y a n y T y p e z b w N T n L X > < a : K e y > < K e y > C o l u m n s \ R e p o r t T y p e < / K e y > < / a : K e y > < a : V a l u e   i : t y p e = " M e a s u r e G r i d N o d e V i e w S t a t e " > < C o l u m n > 4 < / C o l u m n > < L a y e d O u t > t r u e < / L a y e d O u t > < / a : V a l u e > < / a : K e y V a l u e O f D i a g r a m O b j e c t K e y a n y T y p e z b w N T n L X > < a : K e y V a l u e O f D i a g r a m O b j e c t K e y a n y T y p e z b w N T n L X > < a : K e y > < K e y > C o l u m n s \ !B02:0< / K e y > < / a : K e y > < a : V a l u e   i : t y p e = " M e a s u r e G r i d N o d e V i e w S t a t e " > < C o l u m n > 1 < / C o l u m n > < L a y e d O u t > t r u e < / L a y e d O u t > < / a : V a l u e > < / a : K e y V a l u e O f D i a g r a m O b j e c t K e y a n y T y p e z b w N T n L X > < a : K e y V a l u e O f D i a g r a m O b j e c t K e y a n y T y p e z b w N T n L X > < a : K e y > < K e y > C o l u m n s \ @>X  =0  X02=0  =0102:0  ( ?;0=) < / K e y > < / a : K e y > < a : V a l u e   i : t y p e = " M e a s u r e G r i d N o d e V i e w S t a t e " > < C o l u m n > 1 5 < / C o l u m n > < L a y e d O u t > t r u e < / L a y e d O u t > < / a : V a l u e > < / a : K e y V a l u e O f D i a g r a m O b j e c t K e y a n y T y p e z b w N T n L X > < a : K e y V a l u e O f D i a g r a m O b j e c t K e y a n y T y p e z b w N T n L X > < a : K e y > < K e y > C o l u m n s \ S t a v k a I D < / K e y > < / a : K e y > < a : V a l u e   i : t y p e = " M e a s u r e G r i d N o d e V i e w S t a t e " > < C o l u m n > 9 < / C o l u m n > < L a y e d O u t > t r u e < / L a y e d O u t > < / a : V a l u e > < / a : K e y V a l u e O f D i a g r a m O b j e c t K e y a n y T y p e z b w N T n L X > < a : K e y V a l u e O f D i a g r a m O b j e c t K e y a n y T y p e z b w N T n L X > < a : K e y > < K e y > C o l u m n s \ S t a v k a I m e M K < / K e y > < / a : K e y > < a : V a l u e   i : t y p e = " M e a s u r e G r i d N o d e V i e w S t a t e " > < C o l u m n > 1 0 < / C o l u m n > < L a y e d O u t > t r u e < / L a y e d O u t > < / a : V a l u e > < / a : K e y V a l u e O f D i a g r a m O b j e c t K e y a n y T y p e z b w N T n L X > < a : K e y V a l u e O f D i a g r a m O b j e c t K e y a n y T y p e z b w N T n L X > < a : K e y > < K e y > C o l u m n s \ S t a v k a G r u p a < / K e y > < / a : K e y > < a : V a l u e   i : t y p e = " M e a s u r e G r i d N o d e V i e w S t a t e " > < C o l u m n > 1 1 < / C o l u m n > < L a y e d O u t > t r u e < / L a y e d O u t > < / a : V a l u e > < / a : K e y V a l u e O f D i a g r a m O b j e c t K e y a n y T y p e z b w N T n L X > < a : K e y V a l u e O f D i a g r a m O b j e c t K e y a n y T y p e z b w N T n L X > < a : K e y > < K e y > C o l u m n s \ S t a v k a K a t e g o r i j a < / K e y > < / a : K e y > < a : V a l u e   i : t y p e = " M e a s u r e G r i d N o d e V i e w S t a t e " > < C o l u m n > 8 < / C o l u m n > < L a y e d O u t > t r u e < / L a y e d O u t > < / a : V a l u e > < / a : K e y V a l u e O f D i a g r a m O b j e c t K e y a n y T y p e z b w N T n L X > < a : K e y V a l u e O f D i a g r a m O b j e c t K e y a n y T y p e z b w N T n L X > < a : K e y > < K e y > C o l u m n s \ Z n a k I z v e s t a j < / K e y > < / a : K e y > < a : V a l u e   i : t y p e = " M e a s u r e G r i d N o d e V i e w S t a t e " > < C o l u m n > 7 < / C o l u m n > < L a y e d O u t > t r u e < / L a y e d O u t > < / a : V a l u e > < / a : K e y V a l u e O f D i a g r a m O b j e c t K e y a n y T y p e z b w N T n L X > < a : K e y V a l u e O f D i a g r a m O b j e c t K e y a n y T y p e z b w N T n L X > < a : K e y > < K e y > C o l u m n s \ O b r a z e c I D < / K e y > < / a : K e y > < a : V a l u e   i : t y p e = " M e a s u r e G r i d N o d e V i e w S t a t e " > < C o l u m n > 1 2 < / C o l u m n > < L a y e d O u t > t r u e < / L a y e d O u t > < / a : V a l u e > < / a : K e y V a l u e O f D i a g r a m O b j e c t K e y a n y T y p e z b w N T n L X > < a : K e y V a l u e O f D i a g r a m O b j e c t K e y a n y T y p e z b w N T n L X > < a : K e y > < K e y > C o l u m n s \ S t a v k a A O P < / K e y > < / a : K e y > < a : V a l u e   i : t y p e = " M e a s u r e G r i d N o d e V i e w S t a t e " > < C o l u m n > 1 4 < / C o l u m n > < L a y e d O u t > t r u e < / L a y e d O u t > < / a : V a l u e > < / a : K e y V a l u e O f D i a g r a m O b j e c t K e y a n y T y p e z b w N T n L X > < a : K e y V a l u e O f D i a g r a m O b j e c t K e y a n y T y p e z b w N T n L X > < a : K e y > < K e y > C o l u m n s \ O b r a z e c I m e < / K e y > < / a : K e y > < a : V a l u e   i : t y p e = " M e a s u r e G r i d N o d e V i e w S t a t e " > < C o l u m n > 1 3 < / C o l u m n > < L a y e d O u t > t r u e < / L a y e d O u t > < / a : V a l u e > < / a : K e y V a l u e O f D i a g r a m O b j e c t K e y a n y T y p e z b w N T n L X > < a : K e y V a l u e O f D i a g r a m O b j e c t K e y a n y T y p e z b w N T n L X > < a : K e y > < K e y > C o l u m n s \ 7=>A< / K e y > < / a : K e y > < a : V a l u e   i : t y p e = " M e a s u r e G r i d N o d e V i e w S t a t e " > < C o l u m n > 5 < / C o l u m n > < L a y e d O u t > t r u e < / L a y e d O u t > < / a : V a l u e > < / a : K e y V a l u e O f D i a g r a m O b j e c t K e y a n y T y p e z b w N T n L X > < a : K e y V a l u e O f D i a g r a m O b j e c t K e y a n y T y p e z b w N T n L X > < a : K e y > < K e y > C o l u m n s \ 7=>A  ( 8;X048) < / K e y > < / a : K e y > < a : V a l u e   i : t y p e = " M e a s u r e G r i d N o d e V i e w S t a t e " > < C o l u m n > 6 < / C o l u m n > < L a y e d O u t > t r u e < / L a y e d O u t > < / a : V a l u e > < / a : K e y V a l u e O f D i a g r a m O b j e c t K e y a n y T y p e z b w N T n L X > < a : K e y V a l u e O f D i a g r a m O b j e c t K e y a n y T y p e z b w N T n L X > < a : K e y > < K e y > C o l u m n s \ S t a v k a I m e A O P < / K e y > < / a : K e y > < a : V a l u e   i : t y p e = " M e a s u r e G r i d N o d e V i e w S t a t e " > < C o l u m n > 1 6 < / C o l u m n > < L a y e d O u t > t r u e < / L a y e d O u t > < / a : V a l u e > < / a : K e y V a l u e O f D i a g r a m O b j e c t K e y a n y T y p e z b w N T n L X > < a : K e y V a l u e O f D i a g r a m O b j e c t K e y a n y T y p e z b w N T n L X > < a : K e y > < K e y > C o l u m n s \ >=B>  !B02:0< / K e y > < / a : K e y > < a : V a l u e   i : t y p e = " M e a s u r e G r i d N o d e V i e w S t a t e " > < C o l u m n > 1 7 < / C o l u m n > < L a y e d O u t > t r u e < / L a y e d O u t > < / a : V a l u e > < / a : K e y V a l u e O f D i a g r a m O b j e c t K e y a n y T y p e z b w N T n L X > < a : K e y V a l u e O f D i a g r a m O b j e c t K e y a n y T y p e z b w N T n L X > < a : K e y > < K e y > L i n k s \ & l t ; C o l u m n s \ S u m   o f   7=>A& g t ; - & l t ; M e a s u r e s \ 7=>A& g t ; < / K e y > < / a : K e y > < a : V a l u e   i : t y p e = " M e a s u r e G r i d V i e w S t a t e I D i a g r a m L i n k " / > < / a : K e y V a l u e O f D i a g r a m O b j e c t K e y a n y T y p e z b w N T n L X > < a : K e y V a l u e O f D i a g r a m O b j e c t K e y a n y T y p e z b w N T n L X > < a : K e y > < K e y > L i n k s \ & l t ; C o l u m n s \ S u m   o f   7=>A& g t ; - & l t ; M e a s u r e s \ 7=>A& g t ; \ C O L U M N < / K e y > < / a : K e y > < a : V a l u e   i : t y p e = " M e a s u r e G r i d V i e w S t a t e I D i a g r a m L i n k E n d p o i n t " / > < / a : K e y V a l u e O f D i a g r a m O b j e c t K e y a n y T y p e z b w N T n L X > < a : K e y V a l u e O f D i a g r a m O b j e c t K e y a n y T y p e z b w N T n L X > < a : K e y > < K e y > L i n k s \ & l t ; C o l u m n s \ S u m   o f   7=>A& g t ; - & l t ; M e a s u r e s \ 7=>A& g t ; \ M E A S U R E < / K e y > < / a : K e y > < a : V a l u e   i : t y p e = " M e a s u r e G r i d V i e w S t a t e I D i a g r a m L i n k E n d p o i n t " / > < / a : K e y V a l u e O f D i a g r a m O b j e c t K e y a n y T y p e z b w N T n L X > < a : K e y V a l u e O f D i a g r a m O b j e c t K e y a n y T y p e z b w N T n L X > < a : K e y > < K e y > L i n k s \ & l t ; C o l u m n s \ S u m   o f   7=>A  ( 8;X048) & g t ; - & l t ; M e a s u r e s \ 7=>A  ( 8;X048) & g t ; < / K e y > < / a : K e y > < a : V a l u e   i : t y p e = " M e a s u r e G r i d V i e w S t a t e I D i a g r a m L i n k " / > < / a : K e y V a l u e O f D i a g r a m O b j e c t K e y a n y T y p e z b w N T n L X > < a : K e y V a l u e O f D i a g r a m O b j e c t K e y a n y T y p e z b w N T n L X > < a : K e y > < K e y > L i n k s \ & l t ; C o l u m n s \ S u m   o f   7=>A  ( 8;X048) & g t ; - & l t ; M e a s u r e s \ 7=>A  ( 8;X048) & g t ; \ C O L U M N < / K e y > < / a : K e y > < a : V a l u e   i : t y p e = " M e a s u r e G r i d V i e w S t a t e I D i a g r a m L i n k E n d p o i n t " / > < / a : K e y V a l u e O f D i a g r a m O b j e c t K e y a n y T y p e z b w N T n L X > < a : K e y V a l u e O f D i a g r a m O b j e c t K e y a n y T y p e z b w N T n L X > < a : K e y > < K e y > L i n k s \ & l t ; C o l u m n s \ S u m   o f   7=>A  ( 8;X048) & g t ; - & l t ; M e a s u r e s \ 7=>A  ( 8;X048) & g t ; \ M E A S U R E < / K e y > < / a : K e y > < a : V a l u e   i : t y p e = " M e a s u r e G r i d V i e w S t a t e I D i a g r a m L i n k E n d p o i n t " / > < / a : K e y V a l u e O f D i a g r a m O b j e c t K e y a n y T y p e z b w N T n L X > < a : K e y V a l u e O f D i a g r a m O b j e c t K e y a n y T y p e z b w N T n L X > < a : K e y > < K e y > L i n k s \ & l t ; C o l u m n s \ S u m   o f   7=>A1 & g t ; - & l t ; M e a s u r e s \ 7=>A1 & g t ; < / K e y > < / a : K e y > < a : V a l u e   i : t y p e = " M e a s u r e G r i d V i e w S t a t e I D i a g r a m L i n k " / > < / a : K e y V a l u e O f D i a g r a m O b j e c t K e y a n y T y p e z b w N T n L X > < a : K e y V a l u e O f D i a g r a m O b j e c t K e y a n y T y p e z b w N T n L X > < a : K e y > < K e y > L i n k s \ & l t ; C o l u m n s \ S u m   o f   7=>A1 & g t ; - & l t ; M e a s u r e s \ 7=>A1 & g t ; \ C O L U M N < / K e y > < / a : K e y > < a : V a l u e   i : t y p e = " M e a s u r e G r i d V i e w S t a t e I D i a g r a m L i n k E n d p o i n t " / > < / a : K e y V a l u e O f D i a g r a m O b j e c t K e y a n y T y p e z b w N T n L X > < a : K e y V a l u e O f D i a g r a m O b j e c t K e y a n y T y p e z b w N T n L X > < a : K e y > < K e y > L i n k s \ & l t ; C o l u m n s \ S u m   o f   7=>A1 & g t ; - & l t ; M e a s u r e s \ 7=>A1 & g t ; \ M E A S U R E < / K e y > < / a : K e y > < a : V a l u e   i : t y p e = " M e a s u r e G r i d V i e w S t a t e I D i a g r a m L i n k E n d p o i n t " / > < / a : K e y V a l u e O f D i a g r a m O b j e c t K e y a n y T y p e z b w N T n L X > < / V i e w S t a t e s > < / D i a g r a m M a n a g e r . S e r i a l i z a b l e D i a g r a m > < / A r r a y O f D i a g r a m M a n a g e r . S e r i a l i z a b l e D i a g r a m > ] ] > < / C u s t o m C o n t e n t > < / G e m i n i > 
</file>

<file path=customXml/item20.xml><?xml version="1.0" encoding="utf-8"?>
<ct:contentTypeSchema xmlns:ct="http://schemas.microsoft.com/office/2006/metadata/contentType" xmlns:ma="http://schemas.microsoft.com/office/2006/metadata/properties/metaAttributes" ct:_="" ma:_="" ma:contentTypeName="Document" ma:contentTypeID="0x010100BCD9D157FD4B7D419EF8808753D8DBDC" ma:contentTypeVersion="4" ma:contentTypeDescription="Create a new document." ma:contentTypeScope="" ma:versionID="a0d365c4ea293e7cf67aec51f0ff2d4f">
  <xsd:schema xmlns:xsd="http://www.w3.org/2001/XMLSchema" xmlns:xs="http://www.w3.org/2001/XMLSchema" xmlns:p="http://schemas.microsoft.com/office/2006/metadata/properties" xmlns:ns2="d1e39413-4b66-418d-aec3-d56351fadbc6" xmlns:ns3="8678cf70-7d2a-425d-8915-fdf73a3b7ea8" targetNamespace="http://schemas.microsoft.com/office/2006/metadata/properties" ma:root="true" ma:fieldsID="87ebba27f564c4c7f305f26b8471ae41" ns2:_="" ns3:_="">
    <xsd:import namespace="d1e39413-4b66-418d-aec3-d56351fadbc6"/>
    <xsd:import namespace="8678cf70-7d2a-425d-8915-fdf73a3b7ea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e39413-4b66-418d-aec3-d56351fadb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8cf70-7d2a-425d-8915-fdf73a3b7ea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X M L _ d K o n t e n P l a n _ 9 8 e 5 6 e 1 7 - 6 6 9 f - 4 6 a 0 - a 3 8 0 - 1 4 3 3 8 3 d 4 d a 3 f " > < C u s t o m C o n t e n t > < ! [ C D A T A [ < T a b l e W i d g e t G r i d S e r i a l i z a t i o n   x m l n s : x s i = " h t t p : / / w w w . w 3 . o r g / 2 0 0 1 / X M L S c h e m a - i n s t a n c e "   x m l n s : x s d = " h t t p : / / w w w . w 3 . o r g / 2 0 0 1 / X M L S c h e m a " > < C o l u m n S u g g e s t e d T y p e   / > < C o l u m n F o r m a t   / > < C o l u m n A c c u r a c y   / > < C o l u m n C u r r e n c y S y m b o l   / > < C o l u m n P o s i t i v e P a t t e r n   / > < C o l u m n N e g a t i v e P a t t e r n   / > < C o l u m n W i d t h s > < i t e m > < k e y > < s t r i n g > S t a v k a I m e M K < / s t r i n g > < / k e y > < v a l u e > < i n t > 1 5 0 < / i n t > < / v a l u e > < / i t e m > < i t e m > < k e y > < s t r i n g > S t a v k a A O P < / s t r i n g > < / k e y > < v a l u e > < i n t > 1 2 8 < / i n t > < / v a l u e > < / i t e m > < i t e m > < k e y > < s t r i n g > S t a v k a I D < / s t r i n g > < / k e y > < v a l u e > < i n t > 1 1 2 < / i n t > < / v a l u e > < / i t e m > < i t e m > < k e y > < s t r i n g > O b r a z e c I D < / s t r i n g > < / k e y > < v a l u e > < i n t > 1 2 5 < / i n t > < / v a l u e > < / i t e m > < i t e m > < k e y > < s t r i n g > T i p I z v e s t a j I D < / s t r i n g > < / k e y > < v a l u e > < i n t > 1 4 4 < / i n t > < / v a l u e > < / i t e m > < i t e m > < k e y > < s t r i n g > N a z i v   n a   k o n t o < / s t r i n g > < / k e y > < v a l u e > < i n t > 1 5 6 < / i n t > < / v a l u e > < / i t e m > < i t e m > < k e y > < s t r i n g > K o n t o < / s t r i n g > < / k e y > < v a l u e > < i n t > 8 9 < / i n t > < / v a l u e > < / i t e m > < i t e m > < k e y > < s t r i n g > S t a v k a I m e E N < / s t r i n g > < / k e y > < v a l u e > < i n t > 1 4 5 < / i n t > < / v a l u e > < / i t e m > < i t e m > < k e y > < s t r i n g > K l a s i f i k a c i j a P r a v i l n i k < / s t r i n g > < / k e y > < v a l u e > < i n t > 1 9 8 < / i n t > < / v a l u e > < / i t e m > < i t e m > < k e y > < s t r i n g > S t a v k a G r u p a I D < / s t r i n g > < / k e y > < v a l u e > < i n t > 1 6 0 < / i n t > < / v a l u e > < / i t e m > < i t e m > < k e y > < s t r i n g > S t a v k a G r u p a < / s t r i n g > < / k e y > < v a l u e > < i n t > 1 4 2 < / i n t > < / v a l u e > < / i t e m > < i t e m > < k e y > < s t r i n g > S t a v k a K a t e g o r i j a < / s t r i n g > < / k e y > < v a l u e > < i n t > 1 7 2 < / i n t > < / v a l u e > < / i t e m > < i t e m > < k e y > < s t r i n g > K l a s a < / s t r i n g > < / k e y > < v a l u e > < i n t > 8 3 < / i n t > < / v a l u e > < / i t e m > < i t e m > < k e y > < s t r i n g > Z n a k I z v e s t a j < / s t r i n g > < / k e y > < v a l u e > < i n t > 1 4 0 < / i n t > < / v a l u e > < / i t e m > < i t e m > < k e y > < s t r i n g > O b r a z e c I m e < / s t r i n g > < / k e y > < v a l u e > < i n t > 1 3 7 < / i n t > < / v a l u e > < / i t e m > < / C o l u m n W i d t h s > < C o l u m n D i s p l a y I n d e x > < i t e m > < k e y > < s t r i n g > S t a v k a I m e M K < / s t r i n g > < / k e y > < v a l u e > < i n t > 5 < / i n t > < / v a l u e > < / i t e m > < i t e m > < k e y > < s t r i n g > S t a v k a A O P < / s t r i n g > < / k e y > < v a l u e > < i n t > 6 < / i n t > < / v a l u e > < / i t e m > < i t e m > < k e y > < s t r i n g > S t a v k a I D < / s t r i n g > < / k e y > < v a l u e > < i n t > 4 < / i n t > < / v a l u e > < / i t e m > < i t e m > < k e y > < s t r i n g > O b r a z e c I D < / s t r i n g > < / k e y > < v a l u e > < i n t > 3 < / i n t > < / v a l u e > < / i t e m > < i t e m > < k e y > < s t r i n g > T i p I z v e s t a j I D < / s t r i n g > < / k e y > < v a l u e > < i n t > 2 < / i n t > < / v a l u e > < / i t e m > < i t e m > < k e y > < s t r i n g > N a z i v   n a   k o n t o < / s t r i n g > < / k e y > < v a l u e > < i n t > 1 < / i n t > < / v a l u e > < / i t e m > < i t e m > < k e y > < s t r i n g > K o n t o < / s t r i n g > < / k e y > < v a l u e > < i n t > 0 < / i n t > < / v a l u e > < / i t e m > < i t e m > < k e y > < s t r i n g > S t a v k a I m e E N < / s t r i n g > < / k e y > < v a l u e > < i n t > 7 < / i n t > < / v a l u e > < / i t e m > < i t e m > < k e y > < s t r i n g > K l a s i f i k a c i j a P r a v i l n i k < / s t r i n g > < / k e y > < v a l u e > < i n t > 8 < / i n t > < / v a l u e > < / i t e m > < i t e m > < k e y > < s t r i n g > S t a v k a G r u p a I D < / s t r i n g > < / k e y > < v a l u e > < i n t > 9 < / i n t > < / v a l u e > < / i t e m > < i t e m > < k e y > < s t r i n g > S t a v k a G r u p a < / s t r i n g > < / k e y > < v a l u e > < i n t > 1 0 < / i n t > < / v a l u e > < / i t e m > < i t e m > < k e y > < s t r i n g > S t a v k a K a t e g o r i j a < / s t r i n g > < / k e y > < v a l u e > < i n t > 1 1 < / i n t > < / v a l u e > < / i t e m > < i t e m > < k e y > < s t r i n g > K l a s a < / s t r i n g > < / k e y > < v a l u e > < i n t > 1 2 < / i n t > < / v a l u e > < / i t e m > < i t e m > < k e y > < s t r i n g > Z n a k I z v e s t a j < / s t r i n g > < / k e y > < v a l u e > < i n t > 1 3 < / i n t > < / v a l u e > < / i t e m > < i t e m > < k e y > < s t r i n g > O b r a z e c I m e < / s t r i n g > < / k e y > < v a l u e > < i n t > 1 4 < / 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f C o v e c k i R e s u r s i     2 _ 7 7 6 c 3 a 1 5 - 8 b 3 b - 4 5 7 f - 8 3 1 4 - a 3 b 6 4 d 1 e d e 4 f " > < C u s t o m C o n t e n t   x m l n s = " h t t p : / / g e m i n i / p i v o t c u s t o m i z a t i o n / T a b l e X M L _ f C o v e c k i R e s u r s i   2 _ 7 7 6 c 3 a 1 5 - 8 b 3 b - 4 5 7 f - 8 3 1 4 - a 3 b 6 4 d 1 e d e 4 f " > < ! [ 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 O b r a z e c I m e < / s t r i n g > < / k e y > < v a l u e > < i n t > 1 3 7 < / i n t > < / v a l u e > < / i t e m > < i t e m > < k e y > < s t r i n g > R e p o r t T y p e < / s t r i n g > < / k e y > < v a l u e > < i n t > 1 3 1 < / 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i t e m > < k e y > < s t r i n g > R e p o r t T y p e < / s t r i n g > < / k e y > < v a l u e > < i n t > 8 < / 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d M a p p i n g _ 5 d d 0 5 e e f - e 6 6 2 - 4 3 1 d - a 7 4 1 - 7 0 5 9 5 e a 4 4 d 2 e " > < C u s t o m C o n t e n t > < ! [ C D A T A [ < T a b l e W i d g e t G r i d S e r i a l i z a t i o n   x m l n s : x s i = " h t t p : / / w w w . w 3 . o r g / 2 0 0 1 / X M L S c h e m a - i n s t a n c e "   x m l n s : x s d = " h t t p : / / w w w . w 3 . o r g / 2 0 0 1 / X M L S c h e m a " > < C o l u m n S u g g e s t e d T y p e   / > < C o l u m n F o r m a t   / > < C o l u m n A c c u r a c y   / > < C o l u m n C u r r e n c y S y m b o l   / > < C o l u m n P o s i t i v e P a t t e r n   / > < C o l u m n N e g a t i v e P a t t e r n   / > < C o l u m n W i d t h s > < i t e m > < k e y > < s t r i n g > K o n t o < / s t r i n g > < / k e y > < v a l u e > < i n t > 8 9 < / i n t > < / v a l u e > < / i t e m > < i t e m > < k e y > < s t r i n g > N a z i v   n a   k o n t o < / s t r i n g > < / k e y > < v a l u e > < i n t > 1 5 6 < / i n t > < / v a l u e > < / i t e m > < i t e m > < k e y > < s t r i n g > T i p I z v e s t a j I D < / s t r i n g > < / k e y > < v a l u e > < i n t > 1 4 4 < / i n t > < / v a l u e > < / i t e m > < i t e m > < k e y > < s t r i n g > O b r a z e c I D < / s t r i n g > < / k e y > < v a l u e > < i n t > 1 2 5 < / i n t > < / v a l u e > < / i t e m > < i t e m > < k e y > < s t r i n g > S t a v k a I D < / s t r i n g > < / k e y > < v a l u e > < i n t > 1 1 2 < / i n t > < / v a l u e > < / i t e m > < i t e m > < k e y > < s t r i n g > F P   s t a r < / s t r i n g > < / k e y > < v a l u e > < i n t > 9 6 < / i n t > < / v a l u e > < / i t e m > < i t e m > < k e y > < s t r i n g > S t a v k a I m e M K < / s t r i n g > < / k e y > < v a l u e > < i n t > 1 5 0 < / i n t > < / v a l u e > < / i t e m > < / C o l u m n W i d t h s > < C o l u m n D i s p l a y I n d e x > < i t e m > < k e y > < s t r i n g > K o n t o < / s t r i n g > < / k e y > < v a l u e > < i n t > 0 < / i n t > < / v a l u e > < / i t e m > < i t e m > < k e y > < s t r i n g > N a z i v   n a   k o n t o < / s t r i n g > < / k e y > < v a l u e > < i n t > 1 < / i n t > < / v a l u e > < / i t e m > < i t e m > < k e y > < s t r i n g > T i p I z v e s t a j I D < / s t r i n g > < / k e y > < v a l u e > < i n t > 2 < / i n t > < / v a l u e > < / i t e m > < i t e m > < k e y > < s t r i n g > O b r a z e c I D < / s t r i n g > < / k e y > < v a l u e > < i n t > 3 < / i n t > < / v a l u e > < / i t e m > < i t e m > < k e y > < s t r i n g > S t a v k a I D < / s t r i n g > < / k e y > < v a l u e > < i n t > 4 < / i n t > < / v a l u e > < / i t e m > < i t e m > < k e y > < s t r i n g > F P   s t a r < / s t r i n g > < / k e y > < v a l u e > < i n t > 5 < / i n t > < / v a l u e > < / i t e m > < i t e m > < k e y > < s t r i n g > S t a v k a I m e M K < / s t r i n g > < / k e y > < v a l u e > < i n t > 6 < / 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r A r t i k l i _ H R _ A n a l i z a _ 2 3 6 e 5 9 9 8 - 7 0 c c - 4 c a a - 8 4 6 9 - 2 6 f 3 a 0 e 6 6 b d c " > < C u s t o m C o n t e n t > < ! [ C D A T A [ < T a b l e W i d g e t G r i d S e r i a l i z a t i o n   x m l n s : x s d = " h t t p : / / w w w . w 3 . o r g / 2 0 0 1 / X M L S c h e m a "   x m l n s : x s i = " h t t p : / / w w w . w 3 . o r g / 2 0 0 1 / X M L S c h e m a - i n s t a n c e " > < C o l u m n S u g g e s t e d T y p e   / > < C o l u m n F o r m a t   / > < C o l u m n A c c u r a c y   / > < C o l u m n C u r r e n c y S y m b o l   / > < C o l u m n P o s i t i v e P a t t e r n   / > < C o l u m n N e g a t i v e P a t t e r n   / > < C o l u m n W i d t h s > < i t e m > < k e y > < s t r i n g > !B02:0< / s t r i n g > < / k e y > < v a l u e > < i n t > 7 8 < / i n t > < / v a l u e > < / i t e m > < i t e m > < k e y > < s t r i n g > 0B53>@8X0  @B8:;< / s t r i n g > < / k e y > < v a l u e > < i n t > 1 5 4 < / i n t > < / v a l u e > < / i t e m > < i t e m > < k e y > < s t r i n g > "8?  =0  0@B8:;< / s t r i n g > < / k e y > < v a l u e > < i n t > 1 2 3 < / i n t > < / v a l u e > < / i t e m > < i t e m > < k e y > < s t r i n g > 48=5G=0  <5@:0< / s t r i n g > < / k e y > < v a l u e > < i n t > 1 4 0 < / i n t > < / v a l u e > < / i t e m > < i t e m > < k e y > < s t r i n g > >;8G8=0< / s t r i n g > < / k e y > < v a l u e > < i n t > 9 8 < / i n t > < / v a l u e > < / i t e m > < i t e m > < k e y > < s t r i n g > 48=5G=0  F5=0< / s t r i n g > < / k e y > < v a l u e > < i n t > 1 3 1 < / i n t > < / v a l u e > < / i t e m > < i t e m > < k e y > < s t r i n g > :C?=>  B@>H>:< / s t r i n g > < / k e y > < v a l u e > < i n t > 1 3 3 < / i n t > < / v a l u e > < / i t e m > < i t e m > < k e y > < s t r i n g > < / s t r i n g > < / k e y > < v a l u e > < i n t > 6 4 < / i n t > < / v a l u e > < / i t e m > < i t e m > < k e y > < s t r i n g > 7=>A< / s t r i n g > < / k e y > < v a l u e > < i n t > 7 4 < / i n t > < / v a l u e > < / i t e m > < i t e m > < k e y > < s t r i n g > >=B>< / s t r i n g > < / k e y > < v a l u e > < i n t > 7 4 < / i n t > < / v a l u e > < / i t e m > < i t e m > < k e y > < s t r i n g > R e p o r t T y p e < / s t r i n g > < / k e y > < v a l u e > < i n t > 1 0 7 < / i n t > < / v a l u e > < / i t e m > < i t e m > < k e y > < s t r i n g > 5@8>4< / s t r i n g > < / k e y > < v a l u e > < i n t > 8 5 < / i n t > < / v a l u e > < / i t e m > < i t e m > < k e y > < s t r i n g > S t a v k a I m e M K < / s t r i n g > < / k e y > < v a l u e > < i n t > 1 2 0 < / i n t > < / v a l u e > < / i t e m > < i t e m > < k e y > < s t r i n g > S t a v k a A O P < / s t r i n g > < / k e y > < v a l u e > < i n t > 1 0 3 < / i n t > < / v a l u e > < / i t e m > < i t e m > < k e y > < s t r i n g > S t a v k a G r u p a < / s t r i n g > < / k e y > < v a l u e > < i n t > 1 1 3 < / i n t > < / v a l u e > < / i t e m > < i t e m > < k e y > < s t r i n g > S t a v k a K a t e g o r i j a < / s t r i n g > < / k e y > < v a l u e > < i n t > 1 3 9 < / i n t > < / v a l u e > < / i t e m > < i t e m > < k e y > < s t r i n g > O b r a z e c I m e < / s t r i n g > < / k e y > < v a l u e > < i n t > 1 1 0 < / i n t > < / v a l u e > < / i t e m > < i t e m > < k e y > < s t r i n g > "8?  =0  2@01>BC20Z5< / s t r i n g > < / k e y > < v a l u e > < i n t > 1 6 4 < / i n t > < / v a l u e > < / i t e m > < i t e m > < k e y > < s t r i n g > ;0=8@0=  ?@8;82/ ( >4;82) < / s t r i n g > < / k e y > < v a l u e > < i n t > 2 0 4 < / i n t > < / v a l u e > < / i t e m > < i t e m > < k e y > < s t r i n g > @0X=0  A>AB>X10  2@01>B5=8< / s t r i n g > < / k e y > < v a l u e > < i n t > 2 0 5 < / i n t > < / v a l u e > < / i t e m > < i t e m > < k e y > < s t r i n g > S t a v k a K a t e g o r i j a . 1 < / s t r i n g > < / k e y > < v a l u e > < i n t > 1 5 0 < / i n t > < / v a l u e > < / i t e m > < / C o l u m n W i d t h s > < C o l u m n D i s p l a y I n d e x > < i t e m > < k e y > < s t r i n g > !B02:0< / s t r i n g > < / k e y > < v a l u e > < i n t > 0 < / i n t > < / v a l u e > < / i t e m > < i t e m > < k e y > < s t r i n g > 0B53>@8X0  @B8:;< / s t r i n g > < / k e y > < v a l u e > < i n t > 1 < / i n t > < / v a l u e > < / i t e m > < i t e m > < k e y > < s t r i n g > "8?  =0  0@B8:;< / s t r i n g > < / k e y > < v a l u e > < i n t > 2 < / i n t > < / v a l u e > < / i t e m > < i t e m > < k e y > < s t r i n g > 48=5G=0  <5@:0< / s t r i n g > < / k e y > < v a l u e > < i n t > 3 < / i n t > < / v a l u e > < / i t e m > < i t e m > < k e y > < s t r i n g > >;8G8=0< / s t r i n g > < / k e y > < v a l u e > < i n t > 4 < / i n t > < / v a l u e > < / i t e m > < i t e m > < k e y > < s t r i n g > 48=5G=0  F5=0< / s t r i n g > < / k e y > < v a l u e > < i n t > 5 < / i n t > < / v a l u e > < / i t e m > < i t e m > < k e y > < s t r i n g > :C?=>  B@>H>:< / s t r i n g > < / k e y > < v a l u e > < i n t > 6 < / i n t > < / v a l u e > < / i t e m > < i t e m > < k e y > < s t r i n g > < / s t r i n g > < / k e y > < v a l u e > < i n t > 7 < / i n t > < / v a l u e > < / i t e m > < i t e m > < k e y > < s t r i n g > 7=>A< / s t r i n g > < / k e y > < v a l u e > < i n t > 8 < / i n t > < / v a l u e > < / i t e m > < i t e m > < k e y > < s t r i n g > >=B>< / s t r i n g > < / k e y > < v a l u e > < i n t > 9 < / i n t > < / v a l u e > < / i t e m > < i t e m > < k e y > < s t r i n g > R e p o r t T y p e < / s t r i n g > < / k e y > < v a l u e > < i n t > 1 0 < / i n t > < / v a l u e > < / i t e m > < i t e m > < k e y > < s t r i n g > 5@8>4< / s t r i n g > < / k e y > < v a l u e > < i n t > 1 1 < / i n t > < / v a l u e > < / i t e m > < i t e m > < k e y > < s t r i n g > S t a v k a I m e M K < / s t r i n g > < / k e y > < v a l u e > < i n t > 1 2 < / i n t > < / v a l u e > < / i t e m > < i t e m > < k e y > < s t r i n g > S t a v k a A O P < / s t r i n g > < / k e y > < v a l u e > < i n t > 1 3 < / i n t > < / v a l u e > < / i t e m > < i t e m > < k e y > < s t r i n g > S t a v k a G r u p a < / s t r i n g > < / k e y > < v a l u e > < i n t > 1 4 < / i n t > < / v a l u e > < / i t e m > < i t e m > < k e y > < s t r i n g > S t a v k a K a t e g o r i j a < / s t r i n g > < / k e y > < v a l u e > < i n t > 1 5 < / i n t > < / v a l u e > < / i t e m > < i t e m > < k e y > < s t r i n g > O b r a z e c I m e < / s t r i n g > < / k e y > < v a l u e > < i n t > 1 6 < / i n t > < / v a l u e > < / i t e m > < i t e m > < k e y > < s t r i n g > "8?  =0  2@01>BC20Z5< / s t r i n g > < / k e y > < v a l u e > < i n t > 1 7 < / i n t > < / v a l u e > < / i t e m > < i t e m > < k e y > < s t r i n g > ;0=8@0=  ?@8;82/ ( >4;82) < / s t r i n g > < / k e y > < v a l u e > < i n t > 1 8 < / i n t > < / v a l u e > < / i t e m > < i t e m > < k e y > < s t r i n g > @0X=0  A>AB>X10  2@01>B5=8< / s t r i n g > < / k e y > < v a l u e > < i n t > 1 9 < / i n t > < / v a l u e > < / i t e m > < i t e m > < k e y > < s t r i n g > S t a v k a K a t e g o r i j a . 1 < / s t r i n g > < / k e y > < v a l u e > < i n t > 2 0 < / 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 1 7 1 < / i n t > < / v a l u e > < / i t e m > < i t e m > < k e y > < s t r i n g > 5A5F< / s t r i n g > < / k e y > < v a l u e > < i n t > 9 5 < / i n t > < / v a l u e > < / i t e m > < i t e m > < k e y > < s t r i n g > M o n t h   N u m b e r < / s t r i n g > < / k e y > < v a l u e > < i n t > 1 6 2 < / i n t > < / v a l u e > < / i t e m > < i t e m > < k e y > < s t r i n g > M M M - Y Y Y Y < / s t r i n g > < / k e y > < v a l u e > < i n t > 1 3 2 < / i n t > < / v a l u e > < / i t e m > < i t e m > < k e y > < s t r i n g > D a y   O f   W e e k   N u m b e r < / s t r i n g > < / k e y > < v a l u e > < i n t > 2 1 0 < / i n t > < / v a l u e > < / i t e m > < i t e m > < k e y > < s t r i n g > D a y   O f   W e e k < / s t r i n g > < / k e y > < v a l u e > < i n t > 1 4 3 < / i n t > < / v a l u e > < / i t e m > < i t e m > < k e y > < s t r i n g > >48=0< / s t r i n g > < / k e y > < v a l u e > < i n t > 7 6 < / i n t > < / v a l u e > < / i t e m > < i t e m > < k e y > < s t r i n g > 20@B0;< / s t r i n g > < / k e y > < v a l u e > < i n t > 1 0 7 < / i n t > < / v a l u e > < / i t e m > < / C o l u m n W i d t h s > < C o l u m n D i s p l a y I n d e x > < i t e m > < k e y > < s t r i n g > D a t e < / s t r i n g > < / k e y > < v a l u e > < i n t > 0 < / i n t > < / v a l u e > < / i t e m > < i t e m > < k e y > < s t r i n g > 5A5F< / s t r i n g > < / k e y > < v a l u e > < i n t > 3 < / i n t > < / v a l u e > < / i t e m > < i t e m > < k e y > < s t r i n g > M o n t h   N u m b e r < / s t r i n g > < / k e y > < v a l u e > < i n t > 2 < / i n t > < / v a l u e > < / i t e m > < i t e m > < k e y > < s t r i n g > M M M - Y Y Y Y < / s t r i n g > < / k e y > < v a l u e > < i n t > 4 < / i n t > < / v a l u e > < / i t e m > < i t e m > < k e y > < s t r i n g > D a y   O f   W e e k   N u m b e r < / s t r i n g > < / k e y > < v a l u e > < i n t > 5 < / i n t > < / v a l u e > < / i t e m > < i t e m > < k e y > < s t r i n g > D a y   O f   W e e k < / s t r i n g > < / k e y > < v a l u e > < i n t > 6 < / i n t > < / v a l u e > < / i t e m > < i t e m > < k e y > < s t r i n g > >48=0< / s t r i n g > < / k e y > < v a l u e > < i n t > 1 < / i n t > < / v a l u e > < / i t e m > < i t e m > < k e y > < s t r i n g > 20@B0;< / s t r i n g > < / k e y > < v a l u e > < i n t > 7 < / i n t > < / v a l u e > < / i t e m > < / C o l u m n D i s p l a y I n d e x > < C o l u m n F r o z e n   / > < C o l u m n C h e c k e d   / > < C o l u m n F i l t e r   / > < S e l e c t i o n F i l t e r   / > < F i l t e r P a r a m e t e r s   / > < S o r t B y C o l u m n > >48=0< / S o r t B y C o l u m n > < I s S o r t D e s c e n d i n g > f a l s e < / I s S o r t D e s c e n d i n g > < / T a b l e W i d g e t G r i d S e r i a l i z a t i o n > ] ] > < / C u s t o m C o n t e n t > < / G e m i n i > 
</file>

<file path=customXml/item26.xml>��< ? x m l   v e r s i o n = " 1 . 0 "   e n c o d i n g = " U T F - 1 6 " ? > < G e m i n i   x m l n s = " h t t p : / / g e m i n i / p i v o t c u s t o m i z a t i o n / T a b l e X M L _ f V k u p n i R a s h o d i _ 3 0 8 9 a f 1 a - 2 6 d 6 - 4 a 6 b - b 5 c 5 - 4 d 4 2 6 1 3 e 5 6 5 9 " > < C u s t o m C o n t e n t > < ! [ C D A T A [ < T a b l e W i d g e t G r i d S e r i a l i z a t i o n   x m l n s : x s i = " h t t p : / / w w w . w 3 . o r g / 2 0 0 1 / X M L S c h e m a - i n s t a n c e "   x m l n s : x s d = " h t t p : / / w w w . w 3 . o r g / 2 0 0 1 / X M L S c h e m a " > < C o l u m n S u g g e s t e d T y p e   / > < C o l u m n F o r m a t   / > < C o l u m n A c c u r a c y   / > < C o l u m n C u r r e n c y S y m b o l   / > < C o l u m n P o s i t i v e P a t t e r n   / > < C o l u m n N e g a t i v e P a t t e r n   / > < C o l u m n W i d t h s > < i t e m > < k e y > < s t r i n g > !B02:0< / s t r i n g > < / k e y > < v a l u e > < i n t > 7 8 < / i n t > < / v a l u e > < / i t e m > < i t e m > < k e y > < s t r i n g > 5@8>4< / s t r i n g > < / k e y > < v a l u e > < i n t > 8 5 < / i n t > < / v a l u e > < / i t e m > < i t e m > < k e y > < s t r i n g > 7=>A< / s t r i n g > < / k e y > < v a l u e > < i n t > 7 4 < / i n t > < / v a l u e > < / i t e m > < i t e m > < k e y > < s t r i n g > >=B>< / s t r i n g > < / k e y > < v a l u e > < i n t > 7 4 < / i n t > < / v a l u e > < / i t e m > < / C o l u m n W i d t h s > < C o l u m n D i s p l a y I n d e x > < i t e m > < k e y > < s t r i n g > !B02:0< / s t r i n g > < / k e y > < v a l u e > < i n t > 0 < / i n t > < / v a l u e > < / i t e m > < i t e m > < k e y > < s t r i n g > 5@8>4< / s t r i n g > < / k e y > < v a l u e > < i n t > 1 < / i n t > < / v a l u e > < / i t e m > < i t e m > < k e y > < s t r i n g > 7=>A< / s t r i n g > < / k e y > < v a l u e > < i n t > 2 < / i n t > < / v a l u e > < / i t e m > < i t e m > < k e y > < s t r i n g > >=B>< / s t r i n g > < / k e y > < v a l u e > < i n t > 3 < / 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d S t a v k i _ 5 9 2 1 4 e f b - b 8 3 e - 4 d 6 6 - a b a e - 5 2 f 8 1 a 8 d d 2 5 b " > < C u s t o m C o n t e n t > < ! [ C D A T A [ < T a b l e W i d g e t G r i d S e r i a l i z a t i o n   x m l n s : x s i = " h t t p : / / w w w . w 3 . o r g / 2 0 0 1 / X M L S c h e m a - i n s t a n c e "   x m l n s : x s d = " h t t p : / / w w w . w 3 . o r g / 2 0 0 1 / X M L S c h e m a " > < C o l u m n S u g g e s t e d T y p e   / > < C o l u m n F o r m a t   / > < C o l u m n A c c u r a c y   / > < C o l u m n C u r r e n c y S y m b o l   / > < C o l u m n P o s i t i v e P a t t e r n   / > < C o l u m n N e g a t i v e P a t t e r n   / > < C o l u m n W i d t h s > < i t e m > < k e y > < s t r i n g > O b r a z e c I D < / s t r i n g > < / k e y > < v a l u e > < i n t > 1 2 5 < / i n t > < / v a l u e > < / i t e m > < i t e m > < k e y > < s t r i n g > S t a v k a A O P < / s t r i n g > < / k e y > < v a l u e > < i n t > 1 2 8 < / i n t > < / v a l u e > < / i t e m > < i t e m > < k e y > < s t r i n g > S t a v k a I D < / s t r i n g > < / k e y > < v a l u e > < i n t > 1 1 2 < / i n t > < / v a l u e > < / i t e m > < i t e m > < k e y > < s t r i n g > S t a v k a I m e M K < / s t r i n g > < / k e y > < v a l u e > < i n t > 1 5 0 < / i n t > < / v a l u e > < / i t e m > < i t e m > < k e y > < s t r i n g > S t a v k a I m e E N < / s t r i n g > < / k e y > < v a l u e > < i n t > 1 4 5 < / i n t > < / v a l u e > < / i t e m > < i t e m > < k e y > < s t r i n g > K l a s i f i k a c i j a P r a v i l n i k < / s t r i n g > < / k e y > < v a l u e > < i n t > 1 9 8 < / i n t > < / v a l u e > < / i t e m > < i t e m > < k e y > < s t r i n g > S t a v k a G r u p a I D < / s t r i n g > < / k e y > < v a l u e > < i n t > 1 6 0 < / i n t > < / v a l u e > < / i t e m > < i t e m > < k e y > < s t r i n g > S t a v k a G r u p a < / s t r i n g > < / k e y > < v a l u e > < i n t > 1 4 2 < / i n t > < / v a l u e > < / i t e m > < i t e m > < k e y > < s t r i n g > S t a v k a K a t e g o r i j a < / s t r i n g > < / k e y > < v a l u e > < i n t > 1 7 2 < / i n t > < / v a l u e > < / i t e m > < i t e m > < k e y > < s t r i n g > K l a s a < / s t r i n g > < / k e y > < v a l u e > < i n t > 8 3 < / i n t > < / v a l u e > < / i t e m > < i t e m > < k e y > < s t r i n g > Z n a k I z v e s t a j < / s t r i n g > < / k e y > < v a l u e > < i n t > 1 4 0 < / i n t > < / v a l u e > < / i t e m > < / C o l u m n W i d t h s > < C o l u m n D i s p l a y I n d e x > < i t e m > < k e y > < s t r i n g > O b r a z e c I D < / s t r i n g > < / k e y > < v a l u e > < i n t > 0 < / i n t > < / v a l u e > < / i t e m > < i t e m > < k e y > < s t r i n g > S t a v k a A O P < / s t r i n g > < / k e y > < v a l u e > < i n t > 1 < / i n t > < / v a l u e > < / i t e m > < i t e m > < k e y > < s t r i n g > S t a v k a I D < / s t r i n g > < / k e y > < v a l u e > < i n t > 2 < / i n t > < / v a l u e > < / i t e m > < i t e m > < k e y > < s t r i n g > S t a v k a I m e M K < / s t r i n g > < / k e y > < v a l u e > < i n t > 3 < / i n t > < / v a l u e > < / i t e m > < i t e m > < k e y > < s t r i n g > S t a v k a I m e E N < / s t r i n g > < / k e y > < v a l u e > < i n t > 4 < / i n t > < / v a l u e > < / i t e m > < i t e m > < k e y > < s t r i n g > K l a s i f i k a c i j a P r a v i l n i k < / s t r i n g > < / k e y > < v a l u e > < i n t > 5 < / i n t > < / v a l u e > < / i t e m > < i t e m > < k e y > < s t r i n g > S t a v k a G r u p a I D < / s t r i n g > < / k e y > < v a l u e > < i n t > 6 < / i n t > < / v a l u e > < / i t e m > < i t e m > < k e y > < s t r i n g > S t a v k a G r u p a < / s t r i n g > < / k e y > < v a l u e > < i n t > 7 < / i n t > < / v a l u e > < / i t e m > < i t e m > < k e y > < s t r i n g > S t a v k a K a t e g o r i j a < / s t r i n g > < / k e y > < v a l u e > < i n t > 8 < / i n t > < / v a l u e > < / i t e m > < i t e m > < k e y > < s t r i n g > K l a s a < / s t r i n g > < / k e y > < v a l u e > < i n t > 9 < / i n t > < / v a l u e > < / i t e m > < i t e m > < k e y > < s t r i n g > Z n a k I z v e s t a j < / s t r i n g > < / k e y > < v a l u e > < i n t > 1 0 < / 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f O P E X   -   _ f 8 1 7 0 a e c - d 5 4 8 - 4 6 c 6 - b b d a - d d 9 c f f 2 5 4 e 0 1 " > < C u s t o m C o n t e n t > < ! [ C D A T A [ < T a b l e W i d g e t G r i d S e r i a l i z a t i o n   x m l n s : x s d = " h t t p : / / w w w . w 3 . o r g / 2 0 0 1 / X M L S c h e m a "   x m l n s : x s i = " h t t p : / / w w w . w 3 . o r g / 2 0 0 1 / X M L S c h e m a - i n s t a n c e " > < C o l u m n S u g g e s t e d T y p e   / > < C o l u m n F o r m a t   / > < C o l u m n A c c u r a c y   / > < C o l u m n C u r r e n c y S y m b o l   / > < C o l u m n P o s i t i v e P a t t e r n   / > < C o l u m n N e g a t i v e P a t t e r n   / > < C o l u m n W i d t h s > < i t e m > < k e y > < s t r i n g > >=B>< / s t r i n g > < / k e y > < v a l u e > < i n t > 7 4 < / i n t > < / v a l u e > < / i t e m > < i t e m > < k e y > < s t r i n g > @54<5B  =0  X02=0  =0102:0< / s t r i n g > < / k e y > < v a l u e > < i n t > 2 0 1 < / i n t > < / v a l u e > < / i t e m > < i t e m > < k e y > < s t r i n g > @542845=  40BC<  =0  =0102:0< / s t r i n g > < / k e y > < v a l u e > < i n t > 2 2 1 < / i n t > < / v a l u e > < / i t e m > < i t e m > < k e y > < s t r i n g > @>F5=5B0  2@54=>AB  =0  =0102:0  A>    ( 45=0@8) < / s t r i n g > < / k e y > < v a l u e > < i n t > 3 4 8 < / i n t > < / v a l u e > < / i t e m > < i t e m > < k e y > < s t r i n g > R e p o r t T y p e < / s t r i n g > < / k e y > < v a l u e > < i n t > 1 0 7 < / i n t > < / v a l u e > < / i t e m > < / C o l u m n W i d t h s > < C o l u m n D i s p l a y I n d e x > < i t e m > < k e y > < s t r i n g > >=B>< / s t r i n g > < / k e y > < v a l u e > < i n t > 0 < / i n t > < / v a l u e > < / i t e m > < i t e m > < k e y > < s t r i n g > @54<5B  =0  X02=0  =0102:0< / s t r i n g > < / k e y > < v a l u e > < i n t > 1 < / i n t > < / v a l u e > < / i t e m > < i t e m > < k e y > < s t r i n g > @542845=  40BC<  =0  =0102:0< / s t r i n g > < / k e y > < v a l u e > < i n t > 2 < / i n t > < / v a l u e > < / i t e m > < i t e m > < k e y > < s t r i n g > @>F5=5B0  2@54=>AB  =0  =0102:0  A>    ( 45=0@8) < / s t r i n g > < / k e y > < v a l u e > < i n t > 3 < / i n t > < / v a l u e > < / i t e m > < i t e m > < k e y > < s t r i n g > R e p o r t T y p e < / s t r i n g > < / k e y > < v a l u e > < i n t > 4 < / 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f A r t i k l i C e n i _ c 1 d 3 0 a 3 1 - 5 f b 4 - 4 3 1 c - a 2 1 a - 0 0 d 8 0 b 4 8 c c 2 a " > < C u s t o m C o n t e n t > < ! [ C D A T A [ < T a b l e W i d g e t G r i d S e r i a l i z a t i o n   x m l n s : x s d = " h t t p : / / w w w . w 3 . o r g / 2 0 0 1 / X M L S c h e m a "   x m l n s : x s i = " h t t p : / / w w w . w 3 . o r g / 2 0 0 1 / X M L S c h e m a - i n s t a n c e " > < C o l u m n S u g g e s t e d T y p e   / > < C o l u m n F o r m a t   / > < C o l u m n A c c u r a c y   / > < C o l u m n C u r r e n c y S y m b o l   / > < C o l u m n P o s i t i v e P a t t e r n   / > < C o l u m n N e g a t i v e P a t t e r n   / > < C o l u m n W i d t h s > < i t e m > < k e y > < s t r i n g > 0B53>@8X0  @B8:;< / s t r i n g > < / k e y > < v a l u e > < i n t > 1 5 4 < / i n t > < / v a l u e > < / i t e m > < i t e m > < k e y > < s t r i n g > "8?  =0  0@B8:;< / s t r i n g > < / k e y > < v a l u e > < i n t > 1 2 3 < / i n t > < / v a l u e > < / i t e m > < i t e m > < k e y > < s t r i n g > 48=5G=0  <5@:0< / s t r i n g > < / k e y > < v a l u e > < i n t > 1 4 0 < / i n t > < / v a l u e > < / i t e m > < i t e m > < k e y > < s t r i n g > >;8G8=0< / s t r i n g > < / k e y > < v a l u e > < i n t > 9 8 < / i n t > < / v a l u e > < / i t e m > < i t e m > < k e y > < s t r i n g > 48=5G=0  F5=0< / s t r i n g > < / k e y > < v a l u e > < i n t > 1 3 1 < / i n t > < / v a l u e > < / i t e m > < i t e m > < k e y > < s t r i n g > :C?=>  B@>H>:< / s t r i n g > < / k e y > < v a l u e > < i n t > 1 3 3 < / i n t > < / v a l u e > < / i t e m > < i t e m > < k e y > < s t r i n g > < / s t r i n g > < / k e y > < v a l u e > < i n t > 6 4 < / i n t > < / v a l u e > < / i t e m > < i t e m > < k e y > < s t r i n g > 7=>A< / s t r i n g > < / k e y > < v a l u e > < i n t > 7 4 < / i n t > < / v a l u e > < / i t e m > < i t e m > < k e y > < s t r i n g > >=B>< / s t r i n g > < / k e y > < v a l u e > < i n t > 7 4 < / i n t > < / v a l u e > < / i t e m > < i t e m > < k e y > < s t r i n g > R e p o r t T y p e < / s t r i n g > < / k e y > < v a l u e > < i n t > 1 0 7 < / i n t > < / v a l u e > < / i t e m > < i t e m > < k e y > < s t r i n g > 5@8>4< / s t r i n g > < / k e y > < v a l u e > < i n t > 8 5 < / i n t > < / v a l u e > < / i t e m > < i t e m > < k e y > < s t r i n g > S t a v k a I m e M K < / s t r i n g > < / k e y > < v a l u e > < i n t > 1 2 0 < / i n t > < / v a l u e > < / i t e m > < i t e m > < k e y > < s t r i n g > S t a v k a A O P < / s t r i n g > < / k e y > < v a l u e > < i n t > 1 0 3 < / i n t > < / v a l u e > < / i t e m > < i t e m > < k e y > < s t r i n g > S t a v k a G r u p a < / s t r i n g > < / k e y > < v a l u e > < i n t > 1 1 3 < / i n t > < / v a l u e > < / i t e m > < i t e m > < k e y > < s t r i n g > S t a v k a K a t e g o r i j a < / s t r i n g > < / k e y > < v a l u e > < i n t > 1 3 9 < / i n t > < / v a l u e > < / i t e m > < i t e m > < k e y > < s t r i n g > O b r a z e c I m e < / s t r i n g > < / k e y > < v a l u e > < i n t > 1 1 0 < / i n t > < / v a l u e > < / i t e m > < i t e m > < k e y > < s t r i n g > !B02:0< / s t r i n g > < / k e y > < v a l u e > < i n t > 7 8 < / i n t > < / v a l u e > < / i t e m > < / C o l u m n W i d t h s > < C o l u m n D i s p l a y I n d e x > < i t e m > < k e y > < s t r i n g > 0B53>@8X0  @B8:;< / s t r i n g > < / k e y > < v a l u e > < i n t > 0 < / i n t > < / v a l u e > < / i t e m > < i t e m > < k e y > < s t r i n g > "8?  =0  0@B8:;< / s t r i n g > < / k e y > < v a l u e > < i n t > 1 < / i n t > < / v a l u e > < / i t e m > < i t e m > < k e y > < s t r i n g > 48=5G=0  <5@:0< / s t r i n g > < / k e y > < v a l u e > < i n t > 2 < / i n t > < / v a l u e > < / i t e m > < i t e m > < k e y > < s t r i n g > >;8G8=0< / s t r i n g > < / k e y > < v a l u e > < i n t > 3 < / i n t > < / v a l u e > < / i t e m > < i t e m > < k e y > < s t r i n g > 48=5G=0  F5=0< / s t r i n g > < / k e y > < v a l u e > < i n t > 4 < / i n t > < / v a l u e > < / i t e m > < i t e m > < k e y > < s t r i n g > :C?=>  B@>H>:< / s t r i n g > < / k e y > < v a l u e > < i n t > 5 < / i n t > < / v a l u e > < / i t e m > < i t e m > < k e y > < s t r i n g > < / s t r i n g > < / k e y > < v a l u e > < i n t > 6 < / i n t > < / v a l u e > < / i t e m > < i t e m > < k e y > < s t r i n g > 7=>A< / s t r i n g > < / k e y > < v a l u e > < i n t > 1 6 < / i n t > < / v a l u e > < / i t e m > < i t e m > < k e y > < s t r i n g > >=B>< / s t r i n g > < / k e y > < v a l u e > < i n t > 7 < / i n t > < / v a l u e > < / i t e m > < i t e m > < k e y > < s t r i n g > R e p o r t T y p e < / s t r i n g > < / k e y > < v a l u e > < i n t > 8 < / i n t > < / v a l u e > < / i t e m > < i t e m > < k e y > < s t r i n g > 5@8>4< / s t r i n g > < / k e y > < v a l u e > < i n t > 9 < / i n t > < / v a l u e > < / i t e m > < i t e m > < k e y > < s t r i n g > S t a v k a I m e M K < / s t r i n g > < / k e y > < v a l u e > < i n t > 1 0 < / i n t > < / v a l u e > < / i t e m > < i t e m > < k e y > < s t r i n g > S t a v k a A O P < / s t r i n g > < / k e y > < v a l u e > < i n t > 1 1 < / i n t > < / v a l u e > < / i t e m > < i t e m > < k e y > < s t r i n g > S t a v k a G r u p a < / s t r i n g > < / k e y > < v a l u e > < i n t > 1 2 < / i n t > < / v a l u e > < / i t e m > < i t e m > < k e y > < s t r i n g > S t a v k a K a t e g o r i j a < / s t r i n g > < / k e y > < v a l u e > < i n t > 1 3 < / i n t > < / v a l u e > < / i t e m > < i t e m > < k e y > < s t r i n g > O b r a z e c I m e < / s t r i n g > < / k e y > < v a l u e > < i n t > 1 4 < / i n t > < / v a l u e > < / i t e m > < i t e m > < k e y > < s t r i n g > !B02:0< / s t r i n g > < / k e y > < v a l u e > < i n t > 1 5 < / i n t > < / v a l u e > < / i t e m > < / C o l u m n D i s p l a y I n d e x > < C o l u m n F r o z e n   / > < C o l u m n C h e c k e d   / > < C o l u m n F i l t e r > < i t e m > < k e y > < s t r i n g > 0B53>@8X0  @B8:;< / s t r i n g > < / k e y > < v a l u e > < F i l t e r E x p r e s s i o n   x s i : n i l = " t r u e "   / > < / v a l u e > < / i t e m > < / C o l u m n F i l t e r > < S e l e c t i o n F i l t e r > < i t e m > < k e y > < s t r i n g > 0B53>@8X0  @B8:;< / s t r i n g > < / k e y > < v a l u e > < S e l e c t i o n F i l t e r > < S e l e c t i o n T y p e > S e l e c t < / S e l e c t i o n T y p e > < I t e m s > < a n y T y p e   x s i : t y p e = " x s d : s t r i n g " > 0=F5;0@8A:8  <0B5@8X0;< / a n y T y p e > < / I t e m s > < / S e l e c t i o n F i l t e r > < / v a l u e > < / i t e m > < / S e l e c t i o n F i l t e r > < F i l t e r P a r a m e t e r s > < i t e m > < k e y > < s t r i n g > 0B53>@8X0  @B8:;< / s t r i n g > < / k e y > < v a l u e > < C o m m a n d P a r a m e t e r s   / > < / v a l u e > < / i t e m > < / F i l t e r P a r a m e t e r s > < I s S o r t D e s c e n d i n g > f a l s e < / I s S o r t D e s c e n d i n g > < / T a b l e W i d g e t G r i d S e r i a l i z a t i o n > ] ] > < / C u s t o m C o n t e n t > < / G e m i n i > 
</file>

<file path=customXml/item3.xml>��< ? x m l   v e r s i o n = " 1 . 0 "   e n c o d i n g = " U T F - 1 6 " ? > < G e m i n i   x m l n s = " h t t p : / / g e m i n i / p i v o t c u s t o m i z a t i o n / T a b l e O r d e r " > < C u s t o m C o n t e n t > < ! [ C D A T A [ C a l e n d a r , C A P E X _ 2 a 5 8 1 c 2 f - d c 8 a - 4 4 7 d - 9 b 3 7 - 6 1 a f f 2 c 8 b 5 1 8 , A m o r t i z a c i j a _ 6 9 3 8 3 0 1 b - 4 8 3 8 - 4 3 7 0 - 8 a 7 c - 3 f b 1 3 8 0 e 5 4 d 7 , f C o v e c k i R e s u r s i _ 7 a 1 7 6 d 2 e - 5 d 9 7 - 4 8 b f - 9 7 9 d - c 4 9 9 5 6 7 6 4 5 0 e , f A c t u a l A n d B u d g e t _ 5 c 6 4 6 e a 0 - 5 1 7 5 - 4 9 4 3 - 8 c 6 b - b 8 5 7 4 f 5 b 2 f b 7 , f O P E X _ 5 e 1 2 6 d a 7 - 5 8 e 0 - 4 a e a - 8 8 0 5 - 7 d 5 6 0 2 c 6 c c a b , O P E X A n a l i z a _ e 3 4 7 4 6 6 b - 1 0 e b - 4 8 2 7 - 8 2 2 9 - e 4 3 b d 1 3 d a a 8 d , f O P E X   -   _ f 8 1 7 0 a e c - d 5 4 8 - 4 6 c 6 - b b d a - d d 9 c f f 2 5 4 e 0 1 , r A r t i k l i A n a l i z a _ 5 7 a b 1 6 c 0 - 4 f a 3 - 4 a 2 c - b b c 5 - 6 9 e 6 b 3 1 5 9 4 4 b , f A r t i k l i C e n i _ c 1 d 3 0 a 3 1 - 5 f b 4 - 4 3 1 c - a 2 1 a - 0 0 d 8 0 b 4 8 c c 2 a , r A r t i k l i _ H R _ A n a l i z a _ 2 3 6 e 5 9 9 8 - 7 0 c c - 4 c a a - 8 4 6 9 - 2 6 f 3 a 0 e 6 6 b d c ] ] > < / C u s t o m C o n t e n t > < / G e m i n i > 
</file>

<file path=customXml/item30.xml>��< ? x m l   v e r s i o n = " 1 . 0 "   e n c o d i n g = " U T F - 1 6 " ? > < G e m i n i   x m l n s = " h t t p : / / g e m i n i / p i v o t c u s t o m i z a t i o n / T a b l e X M L _ E r r o r s   i n   C A P E X _ L i s t _ 5 e 7 2 a b 3 7 - c c 6 a - 4 7 b f - b 5 2 2 - 9 6 1 b 7 0 d 4 4 7 7 9 " > < C u s t o m C o n t e n t > < ! [ C D A T A [ < T a b l e W i d g e t G r i d S e r i a l i z a t i o n   x m l n s : x s i = " h t t p : / / w w w . w 3 . o r g / 2 0 0 1 / X M L S c h e m a - i n s t a n c e "   x m l n s : x s d = " h t t p : / / w w w . w 3 . o r g / 2 0 0 1 / X M L S c h e m a " > < C o l u m n S u g g e s t e d T y p e   / > < C o l u m n F o r m a t   / > < C o l u m n A c c u r a c y   / > < C o l u m n C u r r e n c y S y m b o l   / > < C o l u m n P o s i t i v e P a t t e r n   / > < C o l u m n N e g a t i v e P a t t e r n   / > < C o l u m n W i d t h s > < i t e m > < k e y > < s t r i n g > R o w   N u m b e r < / s t r i n g > < / k e y > < v a l u e > < i n t > 1 4 4 < / i n t > < / v a l u e > < / i t e m > < i t e m > < k e y > < s t r i n g > @>5:B  < / s t r i n g > < / k e y > < v a l u e > < i n t > 1 2 8 < / i n t > < / v a l u e > < / i t e m > < i t e m > < k e y > < s t r i n g > @>5:B< / s t r i n g > < / k e y > < v a l u e > < i n t > 1 0 0 < / i n t > < / v a l u e > < / i t e m > < i t e m > < k e y > < s t r i n g > 0B53>@8X0  ?@>5:B  < / s t r i n g > < / k e y > < v a l u e > < i n t > 2 1 6 < / i n t > < / v a l u e > < / i t e m > < i t e m > < k e y > < s t r i n g > 0B53>@8X0  @>5:B< / s t r i n g > < / k e y > < v a l u e > < i n t > 1 9 0 < / i n t > < / v a l u e > < / i t e m > < i t e m > < k e y > < s t r i n g > ><5=B0;=0  A>AB>X10  ( 2:;CGC20X\8  ?@>1;5<8) < / s t r i n g > < / k e y > < v a l u e > < i n t > 4 1 6 < / i n t > < / v a l u e > < / i t e m > < i t e m > < k e y > < s t r i n g > ;8X0=8X0  8  >G5:C20=8  @57C;B0B8< / s t r i n g > < / k e y > < v a l u e > < i n t > 3 0 5 < / i n t > < / v a l u e > < / i t e m > < i t e m > < k e y > < s t r i n g > @54;030G  =0  8=25AB8F8X0< / s t r i n g > < / k e y > < v a l u e > < i n t > 2 5 3 < / i n t > < / v a l u e > < / i t e m > < i t e m > < k e y > < s t r i n g >  >:  =0  70?>G=C20Z5< / s t r i n g > < / k e y > < v a l u e > < i n t > 2 0 6 < / i n t > < / v a l u e > < / i t e m > < i t e m > < k e y > < s t r i n g >  >:  70  702@HC20Z5< / s t r i n g > < / k e y > < v a l u e > < i n t > 1 9 8 < / i n t > < / v a l u e > < / i t e m > < i t e m > < k e y > < s t r i n g >  >:  =0  AB020Z5  =0  C?>B@510< / s t r i n g > < / k e y > < v a l u e > < i n t > 2 6 6 < / i n t > < / v a l u e > < / i t e m > < i t e m > < k e y > < s t r i n g > :C?5=  87=>A< / s t r i n g > < / k e y > < v a l u e > < i n t > 1 5 0 < / i n t > < / v a l u e > < / i t e m > < i t e m > < k e y > < s t r i n g > !B0?:0  =0  0<>@B870F8X0< / s t r i n g > < / k e y > < v a l u e > < i n t > 2 3 4 < / i n t > < / v a l u e > < / i t e m > < i t e m > < k e y > < s t r i n g > 5A5G5=  87=>A  =0  0<>@B870F8X0< / s t r i n g > < / k e y > < v a l u e > < i n t > 3 0 0 < / i n t > < / v a l u e > < / i t e m > < i t e m > < k e y > < s t r i n g > @>X  =0  <5A5F8  70  0<>@B870F8X0< / s t r i n g > < / k e y > < v a l u e > < i n t > 2 9 9 < / i n t > < / v a l u e > < / i t e m > < i t e m > < k e y > < s t r i n g > >=B>< / s t r i n g > < / k e y > < v a l u e > < i n t > 9 0 < / i n t > < / v a l u e > < / i t e m > < i t e m > < k e y > < s t r i n g > ;0=8@0=  2>< / s t r i n g > < / k e y > < v a l u e > < i n t > 1 4 6 < / i n t > < / v a l u e > < / i t e m > < i t e m > < k e y > < s t r i n g > ;0=8@0=  87=>A< / s t r i n g > < / k e y > < v a l u e > < i n t > 1 7 3 < / i n t > < / v a l u e > < / i t e m > < i t e m > < k e y > < s t r i n g > !B0BCA< / s t r i n g > < / k e y > < v a l u e > < i n t > 9 3 < / i n t > < / v a l u e > < / i t e m > < i t e m > < k e y > < s t r i n g > >B@>H5=  87=>A  70:;CG=>  4>  1 1 . 2 0 1 8 < / s t r i n g > < / k e y > < v a l u e > < i n t > 3 4 7 < / i n t > < / v a l u e > < / i t e m > < i t e m > < k e y > < s t r i n g > ;0=8@0=  87=>A  70  1 2 . 2 0 1 8 < / s t r i n g > < / k e y > < v a l u e > < i n t > 2 6 3 < / i n t > < / v a l u e > < / i t e m > < i t e m > < k e y > < s t r i n g > :C?=>  ?>B@>H5=>  2 0 1 8 < / s t r i n g > < / k e y > < v a l u e > < i n t > 2 3 9 < / i n t > < / v a l u e > < / i t e m > < i t e m > < k e y > < s t r i n g > 5?>B@>H5=  87=>A  2 0 1 8 < / s t r i n g > < / k e y > < v a l u e > < i n t > 2 3 8 < / i n t > < / v a l u e > < / i t e m > < i t e m > < k e y > < s t r i n g > 1571545=  A>  4>=0F8X0< / s t r i n g > < / k e y > < v a l u e > < i n t > 2 3 2 < / i n t > < / v a l u e > < / i t e m > < / C o l u m n W i d t h s > < C o l u m n D i s p l a y I n d e x > < i t e m > < k e y > < s t r i n g > R o w   N u m b e r < / s t r i n g > < / k e y > < v a l u e > < i n t > 0 < / i n t > < / v a l u e > < / i t e m > < i t e m > < k e y > < s t r i n g > @>5:B  < / s t r i n g > < / k e y > < v a l u e > < i n t > 1 < / i n t > < / v a l u e > < / i t e m > < i t e m > < k e y > < s t r i n g > @>5:B< / s t r i n g > < / k e y > < v a l u e > < i n t > 2 < / i n t > < / v a l u e > < / i t e m > < i t e m > < k e y > < s t r i n g > 0B53>@8X0  ?@>5:B  < / s t r i n g > < / k e y > < v a l u e > < i n t > 3 < / i n t > < / v a l u e > < / i t e m > < i t e m > < k e y > < s t r i n g > 0B53>@8X0  @>5:B< / s t r i n g > < / k e y > < v a l u e > < i n t > 4 < / i n t > < / v a l u e > < / i t e m > < i t e m > < k e y > < s t r i n g > ><5=B0;=0  A>AB>X10  ( 2:;CGC20X\8  ?@>1;5<8) < / s t r i n g > < / k e y > < v a l u e > < i n t > 5 < / i n t > < / v a l u e > < / i t e m > < i t e m > < k e y > < s t r i n g > ;8X0=8X0  8  >G5:C20=8  @57C;B0B8< / s t r i n g > < / k e y > < v a l u e > < i n t > 6 < / i n t > < / v a l u e > < / i t e m > < i t e m > < k e y > < s t r i n g > @54;030G  =0  8=25AB8F8X0< / s t r i n g > < / k e y > < v a l u e > < i n t > 7 < / i n t > < / v a l u e > < / i t e m > < i t e m > < k e y > < s t r i n g >  >:  =0  70?>G=C20Z5< / s t r i n g > < / k e y > < v a l u e > < i n t > 8 < / i n t > < / v a l u e > < / i t e m > < i t e m > < k e y > < s t r i n g >  >:  70  702@HC20Z5< / s t r i n g > < / k e y > < v a l u e > < i n t > 9 < / i n t > < / v a l u e > < / i t e m > < i t e m > < k e y > < s t r i n g >  >:  =0  AB020Z5  =0  C?>B@510< / s t r i n g > < / k e y > < v a l u e > < i n t > 1 0 < / i n t > < / v a l u e > < / i t e m > < i t e m > < k e y > < s t r i n g > :C?5=  87=>A< / s t r i n g > < / k e y > < v a l u e > < i n t > 1 1 < / i n t > < / v a l u e > < / i t e m > < i t e m > < k e y > < s t r i n g > !B0?:0  =0  0<>@B870F8X0< / s t r i n g > < / k e y > < v a l u e > < i n t > 1 2 < / i n t > < / v a l u e > < / i t e m > < i t e m > < k e y > < s t r i n g > 5A5G5=  87=>A  =0  0<>@B870F8X0< / s t r i n g > < / k e y > < v a l u e > < i n t > 1 3 < / i n t > < / v a l u e > < / i t e m > < i t e m > < k e y > < s t r i n g > @>X  =0  <5A5F8  70  0<>@B870F8X0< / s t r i n g > < / k e y > < v a l u e > < i n t > 1 4 < / i n t > < / v a l u e > < / i t e m > < i t e m > < k e y > < s t r i n g > >=B>< / s t r i n g > < / k e y > < v a l u e > < i n t > 1 5 < / i n t > < / v a l u e > < / i t e m > < i t e m > < k e y > < s t r i n g > ;0=8@0=  2>< / s t r i n g > < / k e y > < v a l u e > < i n t > 1 6 < / i n t > < / v a l u e > < / i t e m > < i t e m > < k e y > < s t r i n g > ;0=8@0=  87=>A< / s t r i n g > < / k e y > < v a l u e > < i n t > 1 7 < / i n t > < / v a l u e > < / i t e m > < i t e m > < k e y > < s t r i n g > !B0BCA< / s t r i n g > < / k e y > < v a l u e > < i n t > 1 8 < / i n t > < / v a l u e > < / i t e m > < i t e m > < k e y > < s t r i n g > >B@>H5=  87=>A  70:;CG=>  4>  1 1 . 2 0 1 8 < / s t r i n g > < / k e y > < v a l u e > < i n t > 1 9 < / i n t > < / v a l u e > < / i t e m > < i t e m > < k e y > < s t r i n g > ;0=8@0=  87=>A  70  1 2 . 2 0 1 8 < / s t r i n g > < / k e y > < v a l u e > < i n t > 2 0 < / i n t > < / v a l u e > < / i t e m > < i t e m > < k e y > < s t r i n g > :C?=>  ?>B@>H5=>  2 0 1 8 < / s t r i n g > < / k e y > < v a l u e > < i n t > 2 1 < / i n t > < / v a l u e > < / i t e m > < i t e m > < k e y > < s t r i n g > 5?>B@>H5=  87=>A  2 0 1 8 < / s t r i n g > < / k e y > < v a l u e > < i n t > 2 2 < / i n t > < / v a l u e > < / i t e m > < i t e m > < k e y > < s t r i n g > 1571545=  A>  4>=0F8X0< / s t r i n g > < / k e y > < v a l u e > < i n t > 2 3 < / 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P o w e r P i v o t V e r s i o n " > < C u s t o m C o n t e n t > < ! [ C D A T A [ 2 0 1 5 . 1 3 0 . 8 0 0 . 8 6 9 ] ] > < / C u s t o m C o n t e n t > < / G e m i n i > 
</file>

<file path=customXml/item32.xml>��< ? x m l   v e r s i o n = " 1 . 0 "   e n c o d i n g = " U T F - 1 6 " ? > < G e m i n i   x m l n s = " h t t p : / / g e m i n i / p i v o t c u s t o m i z a t i o n / T a b l e X M L _ f C o v e c k i R e s u r s i     2 _ 7 7 6 c 3 a 1 5 - 8 b 3 b - 4 5 7 f - 8 3 1 4 - a 3 b 6 4 d 1 e d e 4 f " > < C u s t o m C o n t e n t   x m l n s = " h t t p : / / g e m i n i / p i v o t c u s t o m i z a t i o n / T a b l e X M L _ f C o v e c k i R e s u r s i   2 _ 7 7 6 c 3 a 1 5 - 8 b 3 b - 4 5 7 f - 8 3 1 4 - a 3 b 6 4 d 1 e d e 4 f " > < ! [ 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 O b r a z e c I m e < / s t r i n g > < / k e y > < v a l u e > < i n t > 1 3 7 < / i n t > < / v a l u e > < / i t e m > < i t e m > < k e y > < s t r i n g > R e p o r t T y p e < / s t r i n g > < / k e y > < v a l u e > < i n t > 1 3 1 < / 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i t e m > < k e y > < s t r i n g > R e p o r t T y p e < / s t r i n g > < / k e y > < v a l u e > < i n t > 8 < / 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f C o v e c k i R e s u r s i     2 _ 7 7 6 c 3 a 1 5 - 8 b 3 b - 4 5 7 f - 8 3 1 4 - a 3 b 6 4 d 1 e d e 4 f " > < C u s t o m C o n t e n t   x m l n s = " h t t p : / / g e m i n i / p i v o t c u s t o m i z a t i o n / T a b l e X M L _ f C o v e c k i R e s u r s i   2 _ 7 7 6 c 3 a 1 5 - 8 b 3 b - 4 5 7 f - 8 3 1 4 - a 3 b 6 4 d 1 e d e 4 f " > < ! [ 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 O b r a z e c I m e < / s t r i n g > < / k e y > < v a l u e > < i n t > 1 3 7 < / 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T a b l e X M L _ f A c t u a l A n d B u d g e t     2 _ a e 0 7 6 5 5 e - 0 1 3 a - 4 4 a 1 - a 8 d c - c 8 f 8 4 d 4 5 4 8 2 c " > < C u s t o m C o n t e n t   x m l n s = " h t t p : / / g e m i n i / p i v o t c u s t o m i z a t i o n / T a b l e X M L _ f A c t u a l A n d B u d g e t   2 _ a e 0 7 6 5 5 e - 0 1 3 a - 4 4 a 1 - a 8 d c - c 8 f 8 4 d 4 5 4 8 2 c " > < ! [ 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 !B02:0< / s t r i n g > < / k e y > < v a l u e > < i n t > 9 6 < / i n t > < / v a l u e > < / i t e m > < i t e m > < k e y > < s t r i n g > 5@8>4< / s t r i n g > < / k e y > < v a l u e > < i n t > 1 0 4 < / i n t > < / v a l u e > < / i t e m > < i t e m > < k e y > < s t r i n g > 7=>A1 < / s t r i n g > < / k e y > < v a l u e > < i n t > 1 0 1 < / i n t > < / v a l u e > < / i t e m > < i t e m > < k e y > < s t r i n g > R e p o r t T y p e < / s t r i n g > < / k e y > < v a l u e > < i n t > 1 3 1 < / i n t > < / v a l u e > < / i t e m > < i t e m > < k e y > < s t r i n g > S t a v k a I D < / s t r i n g > < / k e y > < v a l u e > < i n t > 1 1 2 < / i n t > < / v a l u e > < / i t e m > < i t e m > < k e y > < s t r i n g > S t a v k a I m e M K < / s t r i n g > < / k e y > < v a l u e > < i n t > 1 5 0 < / i n t > < / v a l u e > < / i t e m > < i t e m > < k e y > < s t r i n g > S t a v k a G r u p a < / s t r i n g > < / k e y > < v a l u e > < i n t > 1 4 2 < / i n t > < / v a l u e > < / i t e m > < i t e m > < k e y > < s t r i n g > Z n a k I z v e s t a j < / s t r i n g > < / k e y > < v a l u e > < i n t > 1 4 0 < / i n t > < / v a l u e > < / i t e m > < / C o l u m n W i d t h s > < C o l u m n D i s p l a y I n d e x > < i t e m > < k e y > < s t r i n g > >=B>< / s t r i n g > < / k e y > < v a l u e > < i n t > 0 < / i n t > < / v a l u e > < / i t e m > < i t e m > < k e y > < s t r i n g > !B02:0< / s t r i n g > < / k e y > < v a l u e > < i n t > 1 < / i n t > < / v a l u e > < / i t e m > < i t e m > < k e y > < s t r i n g > 5@8>4< / s t r i n g > < / k e y > < v a l u e > < i n t > 2 < / i n t > < / v a l u e > < / i t e m > < i t e m > < k e y > < s t r i n g > 7=>A1 < / s t r i n g > < / k e y > < v a l u e > < i n t > 3 < / i n t > < / v a l u e > < / i t e m > < i t e m > < k e y > < s t r i n g > R e p o r t T y p e < / s t r i n g > < / k e y > < v a l u e > < i n t > 4 < / i n t > < / v a l u e > < / i t e m > < i t e m > < k e y > < s t r i n g > S t a v k a I D < / s t r i n g > < / k e y > < v a l u e > < i n t > 5 < / i n t > < / v a l u e > < / i t e m > < i t e m > < k e y > < s t r i n g > S t a v k a I m e M K < / s t r i n g > < / k e y > < v a l u e > < i n t > 6 < / i n t > < / v a l u e > < / i t e m > < i t e m > < k e y > < s t r i n g > S t a v k a G r u p a < / s t r i n g > < / k e y > < v a l u e > < i n t > 7 < / i n t > < / v a l u e > < / i t e m > < i t e m > < k e y > < s t r i n g > Z n a k I z v e s t a j < / s t r i n g > < / k e y > < v a l u e > < i n t > 8 < / 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 C a l e n d a r < / K e y > < V a l u e   x m l n s : a = " h t t p : / / s c h e m a s . d a t a c o n t r a c t . o r g / 2 0 0 4 / 0 7 / M i c r o s o f t . A n a l y s i s S e r v i c e s . C o m m o n " > < a : H a s F o c u s > t r u e < / a : H a s F o c u s > < a : S i z e A t D p i 9 6 > 8 5 < / a : S i z e A t D p i 9 6 > < a : V i s i b l e > t r u e < / a : V i s i b l e > < / V a l u e > < / K e y V a l u e O f s t r i n g S a n d b o x E d i t o r . M e a s u r e G r i d S t a t e S c d E 3 5 R y > < K e y V a l u e O f s t r i n g S a n d b o x E d i t o r . M e a s u r e G r i d S t a t e S c d E 3 5 R y > < K e y > C A P E X _ 2 a 5 8 1 c 2 f - d c 8 a - 4 4 7 d - 9 b 3 7 - 6 1 a f f 2 c 8 b 5 1 8 < / K e y > < V a l u e   x m l n s : a = " h t t p : / / s c h e m a s . d a t a c o n t r a c t . o r g / 2 0 0 4 / 0 7 / M i c r o s o f t . A n a l y s i s S e r v i c e s . C o m m o n " > < a : H a s F o c u s > t r u e < / a : H a s F o c u s > < a : S i z e A t D p i 9 6 > 1 3 0 < / a : S i z e A t D p i 9 6 > < a : V i s i b l e > t r u e < / a : V i s i b l e > < / V a l u e > < / K e y V a l u e O f s t r i n g S a n d b o x E d i t o r . M e a s u r e G r i d S t a t e S c d E 3 5 R y > < K e y V a l u e O f s t r i n g S a n d b o x E d i t o r . M e a s u r e G r i d S t a t e S c d E 3 5 R y > < K e y > f C o v e c k i R e s u r s i _ 7 a 1 7 6 d 2 e - 5 d 9 7 - 4 8 b f - 9 7 9 d - c 4 9 9 5 6 7 6 4 5 0 e < / K e y > < V a l u e   x m l n s : a = " h t t p : / / s c h e m a s . d a t a c o n t r a c t . o r g / 2 0 0 4 / 0 7 / M i c r o s o f t . A n a l y s i s S e r v i c e s . C o m m o n " > < a : H a s F o c u s > f a l s e < / a : H a s F o c u s > < a : S i z e A t D p i 9 6 > 1 3 0 < / a : S i z e A t D p i 9 6 > < a : V i s i b l e > t r u e < / a : V i s i b l e > < / V a l u e > < / K e y V a l u e O f s t r i n g S a n d b o x E d i t o r . M e a s u r e G r i d S t a t e S c d E 3 5 R y > < K e y V a l u e O f s t r i n g S a n d b o x E d i t o r . M e a s u r e G r i d S t a t e S c d E 3 5 R y > < K e y > A m o r t i z a c i j a _ 6 9 3 8 3 0 1 b - 4 8 3 8 - 4 3 7 0 - 8 a 7 c - 3 f b 1 3 8 0 e 5 4 d 7 < / K e y > < V a l u e   x m l n s : a = " h t t p : / / s c h e m a s . d a t a c o n t r a c t . o r g / 2 0 0 4 / 0 7 / M i c r o s o f t . A n a l y s i s S e r v i c e s . C o m m o n " > < a : H a s F o c u s > t r u e < / a : H a s F o c u s > < a : S i z e A t D p i 9 6 > 1 2 8 < / a : S i z e A t D p i 9 6 > < a : V i s i b l e > t r u e < / a : V i s i b l e > < / V a l u e > < / K e y V a l u e O f s t r i n g S a n d b o x E d i t o r . M e a s u r e G r i d S t a t e S c d E 3 5 R y > < K e y V a l u e O f s t r i n g S a n d b o x E d i t o r . M e a s u r e G r i d S t a t e S c d E 3 5 R y > < K e y > f A c t u a l A n d B u d g e t _ 5 c 6 4 6 e a 0 - 5 1 7 5 - 4 9 4 3 - 8 c 6 b - b 8 5 7 4 f 5 b 2 f b 7 < / K e y > < V a l u e   x m l n s : a = " h t t p : / / s c h e m a s . d a t a c o n t r a c t . o r g / 2 0 0 4 / 0 7 / M i c r o s o f t . A n a l y s i s S e r v i c e s . C o m m o n " > < a : H a s F o c u s > t r u e < / a : H a s F o c u s > < a : S i z e A t D p i 9 6 > 8 5 < / a : S i z e A t D p i 9 6 > < a : V i s i b l e > t r u e < / a : V i s i b l e > < / V a l u e > < / K e y V a l u e O f s t r i n g S a n d b o x E d i t o r . M e a s u r e G r i d S t a t e S c d E 3 5 R y > < K e y V a l u e O f s t r i n g S a n d b o x E d i t o r . M e a s u r e G r i d S t a t e S c d E 3 5 R y > < K e y > f O P E X _ 5 e 1 2 6 d a 7 - 5 8 e 0 - 4 a e a - 8 8 0 5 - 7 d 5 6 0 2 c 6 c c a b < / K e y > < V a l u e   x m l n s : a = " h t t p : / / s c h e m a s . d a t a c o n t r a c t . o r g / 2 0 0 4 / 0 7 / M i c r o s o f t . A n a l y s i s S e r v i c e s . C o m m o n " > < a : H a s F o c u s > t r u e < / a : H a s F o c u s > < a : S i z e A t D p i 9 6 > 1 3 0 < / a : S i z e A t D p i 9 6 > < a : V i s i b l e > t r u e < / a : V i s i b l e > < / V a l u e > < / K e y V a l u e O f s t r i n g S a n d b o x E d i t o r . M e a s u r e G r i d S t a t e S c d E 3 5 R y > < K e y V a l u e O f s t r i n g S a n d b o x E d i t o r . M e a s u r e G r i d S t a t e S c d E 3 5 R y > < K e y > O P E X A n a l i z a _ e 3 4 7 4 6 6 b - 1 0 e b - 4 8 2 7 - 8 2 2 9 - e 4 3 b d 1 3 d a a 8 d < / K e y > < V a l u e   x m l n s : a = " h t t p : / / s c h e m a s . d a t a c o n t r a c t . o r g / 2 0 0 4 / 0 7 / M i c r o s o f t . A n a l y s i s S e r v i c e s . C o m m o n " > < a : H a s F o c u s > t r u e < / a : H a s F o c u s > < a : S i z e A t D p i 9 6 > 1 2 7 < / a : S i z e A t D p i 9 6 > < a : V i s i b l e > t r u e < / a : V i s i b l e > < / V a l u e > < / K e y V a l u e O f s t r i n g S a n d b o x E d i t o r . M e a s u r e G r i d S t a t e S c d E 3 5 R y > < K e y V a l u e O f s t r i n g S a n d b o x E d i t o r . M e a s u r e G r i d S t a t e S c d E 3 5 R y > < K e y > f O P E X   -   _ f 8 1 7 0 a e c - d 5 4 8 - 4 6 c 6 - b b d a - d d 9 c f f 2 5 4 e 0 1 < / K e y > < V a l u e   x m l n s : a = " h t t p : / / s c h e m a s . d a t a c o n t r a c t . o r g / 2 0 0 4 / 0 7 / M i c r o s o f t . A n a l y s i s S e r v i c e s . C o m m o n " > < a : H a s F o c u s > t r u e < / a : H a s F o c u s > < a : S i z e A t D p i 9 6 > 1 1 3 < / a : S i z e A t D p i 9 6 > < a : V i s i b l e > t r u e < / a : V i s i b l e > < / V a l u e > < / K e y V a l u e O f s t r i n g S a n d b o x E d i t o r . M e a s u r e G r i d S t a t e S c d E 3 5 R y > < K e y V a l u e O f s t r i n g S a n d b o x E d i t o r . M e a s u r e G r i d S t a t e S c d E 3 5 R y > < K e y > r A r t i k l i A n a l i z a _ 5 7 a b 1 6 c 0 - 4 f a 3 - 4 a 2 c - b b c 5 - 6 9 e 6 b 3 1 5 9 4 4 b < / K e y > < V a l u e   x m l n s : a = " h t t p : / / s c h e m a s . d a t a c o n t r a c t . o r g / 2 0 0 4 / 0 7 / M i c r o s o f t . A n a l y s i s S e r v i c e s . C o m m o n " > < a : H a s F o c u s > f a l s e < / a : H a s F o c u s > < a : S i z e A t D p i 9 6 > 1 1 3 < / a : S i z e A t D p i 9 6 > < a : V i s i b l e > t r u e < / a : V i s i b l e > < / V a l u e > < / K e y V a l u e O f s t r i n g S a n d b o x E d i t o r . M e a s u r e G r i d S t a t e S c d E 3 5 R y > < K e y V a l u e O f s t r i n g S a n d b o x E d i t o r . M e a s u r e G r i d S t a t e S c d E 3 5 R y > < K e y > f A r t i k l i C e n i _ c 1 d 3 0 a 3 1 - 5 f b 4 - 4 3 1 c - a 2 1 a - 0 0 d 8 0 b 4 8 c c 2 a < / K e y > < V a l u e   x m l n s : a = " h t t p : / / s c h e m a s . d a t a c o n t r a c t . o r g / 2 0 0 4 / 0 7 / M i c r o s o f t . A n a l y s i s S e r v i c e s . C o m m o n " > < a : H a s F o c u s > t r u e < / a : H a s F o c u s > < a : S i z e A t D p i 9 6 > 1 1 3 < / a : S i z e A t D p i 9 6 > < a : V i s i b l e > t r u e < / a : V i s i b l e > < / V a l u e > < / K e y V a l u e O f s t r i n g S a n d b o x E d i t o r . M e a s u r e G r i d S t a t e S c d E 3 5 R y > < K e y V a l u e O f s t r i n g S a n d b o x E d i t o r . M e a s u r e G r i d S t a t e S c d E 3 5 R y > < K e y > r A r t i k l i _ H R _ A n a l i z a _ 2 3 6 e 5 9 9 8 - 7 0 c c - 4 c a a - 8 4 6 9 - 2 6 f 3 a 0 e 6 6 b d c < / 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6.xml>��< ? x m l   v e r s i o n = " 1 . 0 "   e n c o d i n g = " U T F - 1 6 " ? > < G e m i n i   x m l n s = " h t t p : / / g e m i n i / p i v o t c u s t o m i z a t i o n / T a b l e X M L _ r O b r a z e c F i n a n s i s k i P l a n 2 0 1 9 _ b 9 6 f 4 4 8 e - 5 6 e 9 - 4 b 9 d - b a 1 3 - 6 6 5 4 5 3 c a 7 1 0 8 " > < C u s t o m C o n t e n t > < ! [ C D A T A [ < T a b l e W i d g e t G r i d S e r i a l i z a t i o n   x m l n s : x s i = " h t t p : / / w w w . w 3 . o r g / 2 0 0 1 / X M L S c h e m a - i n s t a n c e "   x m l n s : x s d = " h t t p : / / w w w . w 3 . o r g / 2 0 0 1 / X M L S c h e m a " > < C o l u m n S u g g e s t e d T y p e   / > < C o l u m n F o r m a t   / > < C o l u m n A c c u r a c y   / > < C o l u m n C u r r e n c y S y m b o l   / > < C o l u m n P o s i t i v e P a t t e r n   / > < C o l u m n N e g a t i v e P a t t e r n   / > < C o l u m n W i d t h s > < i t e m > < k e y > < s t r i n g > - $  2 0 1 9 < / s t r i n g > < / k e y > < v a l u e > < i n t > 1 4 2 < / i n t > < / v a l u e > < / i t e m > < i t e m > < k e y > < s t r i n g > !?5F8D8:0F8X0  AB02:0< / s t r i n g > < / k e y > < v a l u e > < i n t > 2 2 1 < / i n t > < / v a l u e > < / i t e m > < i t e m > < k e y > < s t r i n g > !?5F8D8:0F8X0< / s t r i n g > < / k e y > < v a l u e > < i n t > 1 6 6 < / i n t > < / v a l u e > < / i t e m > < i t e m > < k e y > < s t r i n g > 1@075F  AB02:0< / s t r i n g > < / k e y > < v a l u e > < i n t > 1 6 7 < / i n t > < / v a l u e > < / i t e m > < i t e m > < k e y > < s t r i n g > 1@075F< / s t r i n g > < / k e y > < v a l u e > < i n t > 1 1 2 < / i n t > < / v a l u e > < / i t e m > < i t e m > < k e y > < s t r i n g > T o t a l i n g < / s t r i n g > < / k e y > < v a l u e > < i n t > 1 0 2 < / i n t > < / v a l u e > < / i t e m > < / C o l u m n W i d t h s > < C o l u m n D i s p l a y I n d e x > < i t e m > < k e y > < s t r i n g > - $  2 0 1 9 < / s t r i n g > < / k e y > < v a l u e > < i n t > 0 < / i n t > < / v a l u e > < / i t e m > < i t e m > < k e y > < s t r i n g > !?5F8D8:0F8X0  AB02:0< / s t r i n g > < / k e y > < v a l u e > < i n t > 1 < / i n t > < / v a l u e > < / i t e m > < i t e m > < k e y > < s t r i n g > !?5F8D8:0F8X0< / s t r i n g > < / k e y > < v a l u e > < i n t > 2 < / i n t > < / v a l u e > < / i t e m > < i t e m > < k e y > < s t r i n g > 1@075F  AB02:0< / s t r i n g > < / k e y > < v a l u e > < i n t > 3 < / i n t > < / v a l u e > < / i t e m > < i t e m > < k e y > < s t r i n g > 1@075F< / s t r i n g > < / k e y > < v a l u e > < i n t > 4 < / i n t > < / v a l u e > < / i t e m > < i t e m > < k e y > < s t r i n g > T o t a l i n g < / s t r i n g > < / k e y > < v a l u e > < i n t > 5 < / i n t > < / v a l u e > < / i t e m > < / C o l u m n D i s p l a y I n d e x > < C o l u m n F r o z e n   / > < C o l u m n C h e c k e d   / > < C o l u m n F i l t e r > < i t e m > < k e y > < s t r i n g > !?5F8D8:0F8X0< / s t r i n g > < / k e y > < v a l u e > < F i l t e r E x p r e s s i o n   x s i : n i l = " t r u e "   / > < / v a l u e > < / i t e m > < i t e m > < k e y > < s t r i n g > 1@075F  AB02:0< / s t r i n g > < / k e y > < v a l u e > < F i l t e r E x p r e s s i o n   x s i : n i l = " t r u e "   / > < / v a l u e > < / i t e m > < / C o l u m n F i l t e r > < S e l e c t i o n F i l t e r > < i t e m > < k e y > < s t r i n g > !?5F8D8:0F8X0< / s t r i n g > < / k e y > < v a l u e > < S e l e c t i o n F i l t e r   x s i : n i l = " t r u e "   / > < / v a l u e > < / i t e m > < i t e m > < k e y > < s t r i n g > 1@075F  AB02:0< / s t r i n g > < / k e y > < v a l u e > < S e l e c t i o n F i l t e r > < S e l e c t i o n T y p e > S e l e c t < / S e l e c t i o n T y p e > < I t e m s > < a n y T y p e   x s i : t y p e = " x s d : s t r i n g " > 2 . 3 3 .   "@>H>F8  70  2@01>B5=8B5< / a n y T y p e > < / I t e m s > < / S e l e c t i o n F i l t e r > < / v a l u e > < / i t e m > < / S e l e c t i o n F i l t e r > < F i l t e r P a r a m e t e r s > < i t e m > < k e y > < s t r i n g > !?5F8D8:0F8X0< / s t r i n g > < / k e y > < v a l u e > < C o m m a n d P a r a m e t e r s   / > < / v a l u e > < / i t e m > < i t e m > < k e y > < s t r i n g > 1@075F  AB02:0< / s t r i n g > < / k e y > < v a l u e > < C o m m a n d P a r a m e t e r s   / > < / v a l u e > < / i t e m > < / F i l t e r P a r a m e t e r s > < I s S o r t D e s c e n d i n g > f a l s e < / I s S o r t D e s c e n d i n g > < / T a b l e W i d g e t G r i d S e r i a l i z a t i o n > ] ] > < / C u s t o m C o n t e n t > < / G e m i n i > 
</file>

<file path=customXml/item37.xml>��< ? x m l   v e r s i o n = " 1 . 0 "   e n c o d i n g = " U T F - 1 6 " ? > < G e m i n i   x m l n s = " h t t p : / / g e m i n i / p i v o t c u s t o m i z a t i o n / T a b l e X M L _ f T r a n s a k c i i _ 6 2 b 3 9 6 9 f - c 1 7 f - 4 d 1 8 - 8 1 0 b - 1 b c 9 b 9 c 0 c 8 c c " > < C u s t o m C o n t e n t > < ! [ C D A T A [ < T a b l e W i d g e t G r i d S e r i a l i z a t i o n   x m l n s : x s i = " h t t p : / / w w w . w 3 . o r g / 2 0 0 1 / X M L S c h e m a - i n s t a n c e "   x m l n s : x s d = " h t t p : / / w w w . w 3 . o r g / 2 0 0 1 / X M L S c h e m a " > < C o l u m n S u g g e s t e d T y p e   / > < C o l u m n F o r m a t   / > < C o l u m n A c c u r a c y   / > < C o l u m n C u r r e n c y S y m b o l   / > < C o l u m n P o s i t i v e P a t t e r n   / > < C o l u m n N e g a t i v e P a t t e r n   / > < C o l u m n W i d t h s > < i t e m > < k e y > < s t r i n g >  538>=< / s t r i n g > < / k e y > < v a l u e > < i n t > 9 9 < / i n t > < / v a l u e > < / i t e m > < i t e m > < k e y > < s t r i n g > @>406=>  <5AB>< / s t r i n g > < / k e y > < v a l u e > < i n t > 1 7 8 < / i n t > < / v a l u e > < / i t e m > < i t e m > < k e y > < s t r i n g > >HB5=A:8  :>4< / s t r i n g > < / k e y > < v a l u e > < i n t > 1 6 5 < / i n t > < / v a l u e > < / i t e m > < i t e m > < k e y > < s t r i n g >  538AB0@  8<5< / s t r i n g > < / k e y > < v a l u e > < i n t > 1 4 9 < / i n t > < / v a l u e > < / i t e m > < i t e m > < k e y > < s t r i n g > #A;C30  8<5< / s t r i n g > < / k e y > < v a l u e > < i n t > 1 3 1 < / i n t > < / v a l u e > < / i t e m > < i t e m > < k e y > < s t r i n g > 5@8>4< / s t r i n g > < / k e y > < v a l u e > < i n t > 1 0 4 < / i n t > < / v a l u e > < / i t e m > < i t e m > < k e y > < s t r i n g > "@0=A0:F88< / s t r i n g > < / k e y > < v a l u e > < i n t > 1 3 6 < / i n t > < / v a l u e > < / i t e m > < / C o l u m n W i d t h s > < C o l u m n D i s p l a y I n d e x > < i t e m > < k e y > < s t r i n g >  538>=< / s t r i n g > < / k e y > < v a l u e > < i n t > 0 < / i n t > < / v a l u e > < / i t e m > < i t e m > < k e y > < s t r i n g > @>406=>  <5AB>< / s t r i n g > < / k e y > < v a l u e > < i n t > 1 < / i n t > < / v a l u e > < / i t e m > < i t e m > < k e y > < s t r i n g > >HB5=A:8  :>4< / s t r i n g > < / k e y > < v a l u e > < i n t > 2 < / i n t > < / v a l u e > < / i t e m > < i t e m > < k e y > < s t r i n g >  538AB0@  8<5< / s t r i n g > < / k e y > < v a l u e > < i n t > 3 < / i n t > < / v a l u e > < / i t e m > < i t e m > < k e y > < s t r i n g > #A;C30  8<5< / s t r i n g > < / k e y > < v a l u e > < i n t > 4 < / i n t > < / v a l u e > < / i t e m > < i t e m > < k e y > < s t r i n g > 5@8>4< / s t r i n g > < / k e y > < v a l u e > < i n t > 5 < / i n t > < / v a l u e > < / i t e m > < i t e m > < k e y > < s t r i n g > "@0=A0:F88< / s t r i n g > < / k e y > < v a l u e > < i n t > 6 < / 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r A r t i k l i A n a l i z a _ 5 7 a b 1 6 c 0 - 4 f a 3 - 4 a 2 c - b b c 5 - 6 9 e 6 b 3 1 5 9 4 4 b " > < C u s t o m C o n t e n t > < ! [ C D A T A [ < T a b l e W i d g e t G r i d S e r i a l i z a t i o n   x m l n s : x s d = " h t t p : / / w w w . w 3 . o r g / 2 0 0 1 / X M L S c h e m a "   x m l n s : x s i = " h t t p : / / w w w . w 3 . o r g / 2 0 0 1 / X M L S c h e m a - i n s t a n c e " > < C o l u m n S u g g e s t e d T y p e   / > < C o l u m n F o r m a t   / > < C o l u m n A c c u r a c y   / > < C o l u m n C u r r e n c y S y m b o l   / > < C o l u m n P o s i t i v e P a t t e r n   / > < C o l u m n N e g a t i v e P a t t e r n   / > < C o l u m n W i d t h s > < i t e m > < k e y > < s t r i n g > !B02:0< / s t r i n g > < / k e y > < v a l u e > < i n t > 7 8 < / i n t > < / v a l u e > < / i t e m > < i t e m > < k e y > < s t r i n g > 7=>A< / s t r i n g > < / k e y > < v a l u e > < i n t > 7 4 < / i n t > < / v a l u e > < / i t e m > < i t e m > < k e y > < s t r i n g > >=B>< / s t r i n g > < / k e y > < v a l u e > < i n t > 7 4 < / i n t > < / v a l u e > < / i t e m > < i t e m > < k e y > < s t r i n g > S t a v k a I m e M K < / s t r i n g > < / k e y > < v a l u e > < i n t > 1 2 0 < / i n t > < / v a l u e > < / i t e m > < i t e m > < k e y > < s t r i n g > S t a v k a A O P < / s t r i n g > < / k e y > < v a l u e > < i n t > 1 0 3 < / i n t > < / v a l u e > < / i t e m > < i t e m > < k e y > < s t r i n g > S t a v k a G r u p a < / s t r i n g > < / k e y > < v a l u e > < i n t > 1 1 3 < / i n t > < / v a l u e > < / i t e m > < i t e m > < k e y > < s t r i n g > S t a v k a K a t e g o r i j a < / s t r i n g > < / k e y > < v a l u e > < i n t > 1 3 9 < / i n t > < / v a l u e > < / i t e m > < i t e m > < k e y > < s t r i n g > O b r a z e c I m e < / s t r i n g > < / k e y > < v a l u e > < i n t > 1 1 0 < / i n t > < / v a l u e > < / i t e m > < i t e m > < k e y > < s t r i n g > 5@8>4< / s t r i n g > < / k e y > < v a l u e > < i n t > 8 5 < / i n t > < / v a l u e > < / i t e m > < i t e m > < k e y > < s t r i n g > R e p o r t T y p e < / s t r i n g > < / k e y > < v a l u e > < i n t > 1 0 7 < / i n t > < / v a l u e > < / i t e m > < i t e m > < k e y > < s t r i n g > 5@8>4  ( M o n t h ) < / s t r i n g > < / k e y > < v a l u e > < i n t > 1 3 9 < / i n t > < / v a l u e > < / i t e m > < i t e m > < k e y > < s t r i n g > 5@8>4  ( M o n t h   I n d e x ) < / s t r i n g > < / k e y > < v a l u e > < i n t > 1 7 7 < / i n t > < / v a l u e > < / i t e m > < i t e m > < k e y > < s t r i n g > 5@8>4  ( Q u a r t e r ) < / s t r i n g > < / k e y > < v a l u e > < i n t > 1 4 6 < / i n t > < / v a l u e > < / i t e m > < i t e m > < k e y > < s t r i n g > 5@8>4  ( Y e a r ) < / s t r i n g > < / k e y > < v a l u e > < i n t > 1 2 4 < / 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i t e m > < k e y > < s t r i n g > 5@8>4< / s t r i n g > < / k e y > < v a l u e > < i n t > 8 < / i n t > < / v a l u e > < / i t e m > < i t e m > < k e y > < s t r i n g > R e p o r t T y p e < / s t r i n g > < / k e y > < v a l u e > < i n t > 9 < / i n t > < / v a l u e > < / i t e m > < i t e m > < k e y > < s t r i n g > 5@8>4  ( M o n t h ) < / s t r i n g > < / k e y > < v a l u e > < i n t > 1 3 < / i n t > < / v a l u e > < / i t e m > < i t e m > < k e y > < s t r i n g > 5@8>4  ( M o n t h   I n d e x ) < / s t r i n g > < / k e y > < v a l u e > < i n t > 1 2 < / i n t > < / v a l u e > < / i t e m > < i t e m > < k e y > < s t r i n g > 5@8>4  ( Q u a r t e r ) < / s t r i n g > < / k e y > < v a l u e > < i n t > 1 1 < / i n t > < / v a l u e > < / i t e m > < i t e m > < k e y > < s t r i n g > 5@8>4  ( Y e a r ) < / s t r i n g > < / k e y > < v a l u e > < i n t > 1 0 < / 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48=0< / 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 C o l u m n s \ 5A5F< / 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 C o l u m n s \ 20@B0;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 f O P E X   -   < / 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 f O P E X   -   < / 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 C o l u m n s \ @54<5B  =0  X02=0  =0102:0< / K e y > < / a : K e y > < a : V a l u e   i : t y p e = " T a b l e W i d g e t B a s e V i e w S t a t e " / > < / a : K e y V a l u e O f D i a g r a m O b j e c t K e y a n y T y p e z b w N T n L X > < a : K e y V a l u e O f D i a g r a m O b j e c t K e y a n y T y p e z b w N T n L X > < a : K e y > < K e y > C o l u m n s \ @542845=  40BC<  =0  =0102:0< / K e y > < / a : K e y > < a : V a l u e   i : t y p e = " T a b l e W i d g e t B a s e V i e w S t a t e " / > < / a : K e y V a l u e O f D i a g r a m O b j e c t K e y a n y T y p e z b w N T n L X > < a : K e y V a l u e O f D i a g r a m O b j e c t K e y a n y T y p e z b w N T n L X > < a : K e y > < K e y > C o l u m n s \ @>F5=5B0  2@54=>AB  =0  =0102:0  A>    ( 45=0@8) < / 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 f C o v e c k i R e s u r s i 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 f C o v e c k i R e s u r s i 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 C o l u m n s \ "8?  =0  2@01>BC20Z5< / K e y > < / a : K e y > < a : V a l u e   i : t y p e = " T a b l e W i d g e t B a s e V i e w S t a t e " / > < / a : K e y V a l u e O f D i a g r a m O b j e c t K e y a n y T y p e z b w N T n L X > < a : K e y V a l u e O f D i a g r a m O b j e c t K e y a n y T y p e z b w N T n L X > < a : K e y > < K e y > C o l u m n s \ ;0=8@0=  ?@8;82/ ( >4;82) < / 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 C o l u m n s \ @0X=0  A>AB>X10  2@01>B5=8< / 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 C o l u m n s \ 5@8>4  ( Y e a r ) < / K e y > < / a : K e y > < a : V a l u e   i : t y p e = " T a b l e W i d g e t B a s e V i e w S t a t e " / > < / a : K e y V a l u e O f D i a g r a m O b j e c t K e y a n y T y p e z b w N T n L X > < a : K e y V a l u e O f D i a g r a m O b j e c t K e y a n y T y p e z b w N T n L X > < a : K e y > < K e y > C o l u m n s \ 5@8>4  ( Q u a r t e r ) < / K e y > < / a : K e y > < a : V a l u e   i : t y p e = " T a b l e W i d g e t B a s e V i e w S t a t e " / > < / a : K e y V a l u e O f D i a g r a m O b j e c t K e y a n y T y p e z b w N T n L X > < a : K e y V a l u e O f D i a g r a m O b j e c t K e y a n y T y p e z b w N T n L X > < a : K e y > < K e y > C o l u m n s \ 5@8>4  ( M o n t h   I n d e x ) < / K e y > < / a : K e y > < a : V a l u e   i : t y p e = " T a b l e W i d g e t B a s e V i e w S t a t e " / > < / a : K e y V a l u e O f D i a g r a m O b j e c t K e y a n y T y p e z b w N T n L X > < a : K e y V a l u e O f D i a g r a m O b j e c t K e y a n y T y p e z b w N T n L X > < a : K e y > < K e y > C o l u m n s \ 5@8>4  ( M o n t h ) < / K e y > < / a : K e y > < a : V a l u e   i : t y p e = " T a b l e W i d g e t B a s e V i e w S t a t e " / > < / a : K e y V a l u e O f D i a g r a m O b j e c t K e y a n y T y p e z b w N T n L X > < a : K e y V a l u e O f D i a g r a m O b j e c t K e y a n y T y p e z b w N T n L X > < a : K e y > < K e y > C o l u m n s \ 5@8>4  ( Y e a r )   1 < / K e y > < / a : K e y > < a : V a l u e   i : t y p e = " T a b l e W i d g e t B a s e V i e w S t a t e " / > < / a : K e y V a l u e O f D i a g r a m O b j e c t K e y a n y T y p e z b w N T n L X > < a : K e y V a l u e O f D i a g r a m O b j e c t K e y a n y T y p e z b w N T n L X > < a : K e y > < K e y > C o l u m n s \ 5@8>4  ( Q u a r t e r )   1 < / K e y > < / a : K e y > < a : V a l u e   i : t y p e = " T a b l e W i d g e t B a s e V i e w S t a t e " / > < / a : K e y V a l u e O f D i a g r a m O b j e c t K e y a n y T y p e z b w N T n L X > < a : K e y V a l u e O f D i a g r a m O b j e c t K e y a n y T y p e z b w N T n L X > < a : K e y > < K e y > C o l u m n s \ 5@8>4  ( M o n t h   I n d e x )   1 < / K e y > < / a : K e y > < a : V a l u e   i : t y p e = " T a b l e W i d g e t B a s e V i e w S t a t e " / > < / a : K e y V a l u e O f D i a g r a m O b j e c t K e y a n y T y p e z b w N T n L X > < a : K e y V a l u e O f D i a g r a m O b j e c t K e y a n y T y p e z b w N T n L X > < a : K e y > < K e y > C o l u m n s \ 5@8>4  ( M o n t h ) 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 r A r t i k l i A n a l i z a 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 r A r t i k l i A n a l i z a 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 C o l u m n s \ f A c t u a l A n d B u d g e t . 5@8>4  ( Y e a r ) < / K e y > < / a : K e y > < a : V a l u e   i : t y p e = " T a b l e W i d g e t B a s e V i e w S t a t e " / > < / a : K e y V a l u e O f D i a g r a m O b j e c t K e y a n y T y p e z b w N T n L X > < a : K e y V a l u e O f D i a g r a m O b j e c t K e y a n y T y p e z b w N T n L X > < a : K e y > < K e y > C o l u m n s \ f A c t u a l A n d B u d g e t . 5@8>4  ( Q u a r t e r ) < / K e y > < / a : K e y > < a : V a l u e   i : t y p e = " T a b l e W i d g e t B a s e V i e w S t a t e " / > < / a : K e y V a l u e O f D i a g r a m O b j e c t K e y a n y T y p e z b w N T n L X > < a : K e y V a l u e O f D i a g r a m O b j e c t K e y a n y T y p e z b w N T n L X > < a : K e y > < K e y > C o l u m n s \ f A c t u a l A n d B u d g e t . 5@8>4  ( M o n t h   I n d e x ) < / K e y > < / a : K e y > < a : V a l u e   i : t y p e = " T a b l e W i d g e t B a s e V i e w S t a t e " / > < / a : K e y V a l u e O f D i a g r a m O b j e c t K e y a n y T y p e z b w N T n L X > < a : K e y V a l u e O f D i a g r a m O b j e c t K e y a n y T y p e z b w N T n L X > < a : K e y > < K e y > C o l u m n s \ f A c t u a l A n d B u d g e t . 5@8>4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 O P E X A n a l i z a 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 O P E X A n a l i z a 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 C o l u m n s \ f A c t u a l A n d B u d g e t . 5@8>4< / 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 C o l u m n s \ S t a v k a I m e A O P 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 C A P E X < / 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 C A P E X < / 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48=0  70  @50;870F8X0  =0  ?@>5:B< / K e y > < / a : K e y > < a : V a l u e   i : t y p e = " T a b l e W i d g e t B a s e V i e w S t a t e " / > < / a : K e y V a l u e O f D i a g r a m O b j e c t K e y a n y T y p e z b w N T n L X > < a : K e y V a l u e O f D i a g r a m O b j e c t K e y a n y T y p e z b w N T n L X > < a : K e y > < K e y > C o l u m n s \ @>X  =0  X02=0  =0102:0  ( ?;0=) < / K e y > < / a : K e y > < a : V a l u e   i : t y p e = " T a b l e W i d g e t B a s e V i e w S t a t e " / > < / a : K e y V a l u e O f D i a g r a m O b j e c t K e y a n y T y p e z b w N T n L X > < a : K e y V a l u e O f D i a g r a m O b j e c t K e y a n y T y p e z b w N T n L X > < a : K e y > < K e y > C o l u m n s \ @54<5B  =0  4>3>2>@>B  70  X02=0  =0102:0< / K e y > < / a : K e y > < a : V a l u e   i : t y p e = " T a b l e W i d g e t B a s e V i e w S t a t e " / > < / a : K e y V a l u e O f D i a g r a m O b j e c t K e y a n y T y p e z b w N T n L X > < a : K e y V a l u e O f D i a g r a m O b j e c t K e y a n y T y p e z b w N T n L X > < a : K e y > < K e y > C o l u m n s \ G5:C20=  40BC<  =0  ?;0\0Z5< / K e y > < / a : K e y > < a : V a l u e   i : t y p e = " T a b l e W i d g e t B a s e V i e w S t a t e " / > < / a : K e y V a l u e O f D i a g r a m O b j e c t K e y a n y T y p e z b w N T n L X > < a : K e y V a l u e O f D i a g r a m O b j e c t K e y a n y T y p e z b w N T n L X > < a : K e y > < K e y > C o l u m n s \ G5:C20=  40BC<  70  AB020Z5  2>  C?>B@510  ( <5A5F) < / K e y > < / a : K e y > < a : V a l u e   i : t y p e = " T a b l e W i d g e t B a s e V i e w S t a t e " / > < / a : K e y V a l u e O f D i a g r a m O b j e c t K e y a n y T y p e z b w N T n L X > < a : K e y V a l u e O f D i a g r a m O b j e c t K e y a n y T y p e z b w N T n L X > < a : K e y > < K e y > C o l u m n s \ @>F5=5B0  2@54=>AB  =0  =0102:0  A>    ( 45=0@8) < / K e y > < / a : K e y > < a : V a l u e   i : t y p e = " T a b l e W i d g e t B a s e V i e w S t a t e " / > < / a : K e y V a l u e O f D i a g r a m O b j e c t K e y a n y T y p e z b w N T n L X > < a : K e y V a l u e O f D i a g r a m O b j e c t K e y a n y T y p e z b w N T n L X > < a : K e y > < K e y > C o l u m n s \ !B0?:0  =0  0<>@B870F8X0< / K e y > < / a : K e y > < a : V a l u e   i : t y p e = " T a b l e W i d g e t B a s e V i e w S t a t e " / > < / a : K e y V a l u e O f D i a g r a m O b j e c t K e y a n y T y p e z b w N T n L X > < a : K e y V a l u e O f D i a g r a m O b j e c t K e y a n y T y p e z b w N T n L X > < a : K e y > < K e y > C o l u m n s \ >=B>  !@54AB20< / K e y > < / a : K e y > < a : V a l u e   i : t y p e = " T a b l e W i d g e t B a s e V i e w S t a t e " / > < / a : K e y V a l u e O f D i a g r a m O b j e c t K e y a n y T y p e z b w N T n L X > < a : K e y V a l u e O f D i a g r a m O b j e c t K e y a n y T y p e z b w N T n L X > < a : K e y > < K e y > C o l u m n s \ >=B>  <>@B870F8X0< / K e y > < / a : K e y > < a : V a l u e   i : t y p e = " T a b l e W i d g e t B a s e V i e w S t a t e " / > < / a : K e y V a l u e O f D i a g r a m O b j e c t K e y a n y T y p e z b w N T n L X > < a : K e y V a l u e O f D i a g r a m O b j e c t K e y a n y T y p e z b w N T n L X > < a : K e y > < K e y > C o l u m n s \ 7=>A  4>=0F8X0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 f O P E X < / 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 f O P E X < / 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 A m o r t i z a c i j a 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 A m o r t i z a c i j a 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X  =0  X02=0  =0102:0  ( ?;0=) < / 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 d K o n t e n P l a n 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 d K o n t e n P l a n 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 C o l u m n s \ K o n t o < / K e y > < / a : K e y > < a : V a l u e   i : t y p e = " T a b l e W i d g e t B a s e V i e w S t a t e " / > < / a : K e y V a l u e O f D i a g r a m O b j e c t K e y a n y T y p e z b w N T n L X > < a : K e y V a l u e O f D i a g r a m O b j e c t K e y a n y T y p e z b w N T n L X > < a : K e y > < K e y > C o l u m n s \ N a z i v   n a   k o n t o < / K e y > < / a : K e y > < a : V a l u e   i : t y p e = " T a b l e W i d g e t B a s e V i e w S t a t e " / > < / a : K e y V a l u e O f D i a g r a m O b j e c t K e y a n y T y p e z b w N T n L X > < a : K e y V a l u e O f D i a g r a m O b j e c t K e y a n y T y p e z b w N T n L X > < a : K e y > < K e y > C o l u m n s \ T i p I z v e s t a j I D < / K e y > < / a : K e y > < a : V a l u e   i : t y p e = " T a b l e W i d g e t B a s e V i e w S t a t e " / > < / a : K e y V a l u e O f D i a g r a m O b j e c t K e y a n y T y p e z b w N T n L X > < a : K e y V a l u e O f D i a g r a m O b j e c t K e y a n y T y p e z b w N T n L X > < a : K e y > < K e y > C o l u m n s \ O b r a z e c I D < / K e y > < / a : K e y > < a : V a l u e   i : t y p e = " T a b l e W i d g e t B a s e V i e w S t a t e " / > < / a : K e y V a l u e O f D i a g r a m O b j e c t K e y a n y T y p e z b w N T n L X > < a : K e y V a l u e O f D i a g r a m O b j e c t K e y a n y T y p e z b w N T n L X > < a : K e y > < K e y > C o l u m n s \ S t a v k a I D < / 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 C o l u m n s \ S t a v k a I m e E N < / K e y > < / a : K e y > < a : V a l u e   i : t y p e = " T a b l e W i d g e t B a s e V i e w S t a t e " / > < / a : K e y V a l u e O f D i a g r a m O b j e c t K e y a n y T y p e z b w N T n L X > < a : K e y V a l u e O f D i a g r a m O b j e c t K e y a n y T y p e z b w N T n L X > < a : K e y > < K e y > C o l u m n s \ K l a s i f i k a c i j a P r a v i l n i k < / K e y > < / a : K e y > < a : V a l u e   i : t y p e = " T a b l e W i d g e t B a s e V i e w S t a t e " / > < / a : K e y V a l u e O f D i a g r a m O b j e c t K e y a n y T y p e z b w N T n L X > < a : K e y V a l u e O f D i a g r a m O b j e c t K e y a n y T y p e z b w N T n L X > < a : K e y > < K e y > C o l u m n s \ S t a v k a G r u p a I D < / 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 C o l u m n s \ K l a s a < / K e y > < / a : K e y > < a : V a l u e   i : t y p e = " T a b l e W i d g e t B a s e V i e w S t a t e " / > < / a : K e y V a l u e O f D i a g r a m O b j e c t K e y a n y T y p e z b w N T n L X > < a : K e y V a l u e O f D i a g r a m O b j e c t K e y a n y T y p e z b w N T n L X > < a : K e y > < K e y > C o l u m n s \ Z n a k I z v e s t a j < / 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 d O b r a s c i 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 d O b r a s c i 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 C o l u m n s \ T i p I z v e s t a j I D < / K e y > < / a : K e y > < a : V a l u e   i : t y p e = " T a b l e W i d g e t B a s e V i e w S t a t e " / > < / a : K e y V a l u e O f D i a g r a m O b j e c t K e y a n y T y p e z b w N T n L X > < a : K e y V a l u e O f D i a g r a m O b j e c t K e y a n y T y p e z b w N T n L X > < a : K e y > < K e y > C o l u m n s \ O b r a z e c I D < / 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 C o l u m n s \ C o l u m n 4 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 f N a b a v k i 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 f N a b a v k i 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 C o l u m n s \ @B8:;  < / 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:0F8X0< / 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 C o l u m n s \ 0B53>@8X0  @B8:;  < / K e y > < / a : K e y > < a : V a l u e   i : t y p e = " T a b l e W i d g e t B a s e V i e w S t a t e " / > < / a : K e y V a l u e O f D i a g r a m O b j e c t K e y a n y T y p e z b w N T n L X > < a : K e y V a l u e O f D i a g r a m O b j e c t K e y a n y T y p e z b w N T n L X > < a : K e y > < K e y > C o l u m n s \ 0B53>@8X0  @B8:;< / K e y > < / a : K e y > < a : V a l u e   i : t y p e = " T a b l e W i d g e t B a s e V i e w S t a t e " / > < / a : K e y V a l u e O f D i a g r a m O b j e c t K e y a n y T y p e z b w N T n L X > < a : K e y V a l u e O f D i a g r a m O b j e c t K e y a n y T y p e z b w N T n L X > < a : K e y > < K e y > C o l u m n s \ >:0F8X0. 1 < / K e y > < / a : K e y > < a : V a l u e   i : t y p e = " T a b l e W i d g e t B a s e V i e w S t a t e " / > < / a : K e y V a l u e O f D i a g r a m O b j e c t K e y a n y T y p e z b w N T n L X > < a : K e y V a l u e O f D i a g r a m O b j e c t K e y a n y T y p e z b w N T n L X > < a : K e y > < K e y > C o l u m n s \ "8?  =0  0@B8:;< / K e y > < / a : K e y > < a : V a l u e   i : t y p e = " T a b l e W i d g e t B a s e V i e w S t a t e " / > < / a : K e y V a l u e O f D i a g r a m O b j e c t K e y a n y T y p e z b w N T n L X > < a : K e y V a l u e O f D i a g r a m O b j e c t K e y a n y T y p e z b w N T n L X > < a : K e y > < K e y > C o l u m n s \ "8?  =0  =0102:0< / K e y > < / a : K e y > < a : V a l u e   i : t y p e = " T a b l e W i d g e t B a s e V i e w S t a t e " / > < / a : K e y V a l u e O f D i a g r a m O b j e c t K e y a n y T y p e z b w N T n L X > < a : K e y V a l u e O f D i a g r a m O b j e c t K e y a n y T y p e z b w N T n L X > < a : K e y > < K e y > C o l u m n s \ @30=870F8>=0  548=8F0  >43>2>@=0  70  =0102:0B0< / 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 d O b r a z e c F i n a n s i s k i P l a n 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 d O b r a z e c F i n a n s i s k i P l a n 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  D8=0=A8A:8  ?;0=< / K e y > < / a : K e y > < a : V a l u e   i : t y p e = " T a b l e W i d g e t B a s e V i e w S t a t e " / > < / a : K e y V a l u e O f D i a g r a m O b j e c t K e y a n y T y p e z b w N T n L X > < a : K e y V a l u e O f D i a g r a m O b j e c t K e y a n y T y p e z b w N T n L X > < a : K e y > < K e y > C o l u m n s \ $- AB02:0< / K e y > < / a : K e y > < a : V a l u e   i : t y p e = " T a b l e W i d g e t B a s e V i e w S t a t e " / > < / a : K e y V a l u e O f D i a g r a m O b j e c t K e y a n y T y p e z b w N T n L X > < a : K e y V a l u e O f D i a g r a m O b j e c t K e y a n y T y p e z b w N T n L X > < a : K e y > < K e y > C o l u m n s \ $- @C?0< / K e y > < / a : K e y > < a : V a l u e   i : t y p e = " T a b l e W i d g e t B a s e V i e w S t a t e " / > < / a : K e y V a l u e O f D i a g r a m O b j e c t K e y a n y T y p e z b w N T n L X > < a : K e y V a l u e O f D i a g r a m O b j e c t K e y a n y T y p e z b w N T n L X > < a : K e y > < K e y > C o l u m n s \ $- 0B53>@8X0< / K e y > < / a : K e y > < a : V a l u e   i : t y p e = " T a b l e W i d g e t B a s e V i e w S t a t e " / > < / a : K e y V a l u e O f D i a g r a m O b j e c t K e y a n y T y p e z b w N T n L X > < a : K e y V a l u e O f D i a g r a m O b j e c t K e y a n y T y p e z b w N T n L X > < a : K e y > < K e y > C o l u m n s \ T o t a l i n g < / K e y > < / a : K e y > < a : V a l u e   i : t y p e = " T a b l e W i d g e t B a s e V i e w S t a t e " / > < / a : K e y V a l u e O f D i a g r a m O b j e c t K e y a n y T y p e z b w N T n L X > < a : K e y V a l u e O f D i a g r a m O b j e c t K e y a n y T y p e z b w N T n L X > < a : K e y > < K e y > C o l u m n s \ $  !B02:0  =0782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 A c t u a l A n d B u d g e t 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 A c t u a l A n d B u d g e t 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 C o l u m n s \ V r e d n o s t < / 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 T r a n s a k c i i 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 T r a n s a k c i i 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 538>=< / K e y > < / a : K e y > < a : V a l u e   i : t y p e = " T a b l e W i d g e t B a s e V i e w S t a t e " / > < / a : K e y V a l u e O f D i a g r a m O b j e c t K e y a n y T y p e z b w N T n L X > < a : K e y V a l u e O f D i a g r a m O b j e c t K e y a n y T y p e z b w N T n L X > < a : K e y > < K e y > C o l u m n s \ @>406=>  <5AB>< / K e y > < / a : K e y > < a : V a l u e   i : t y p e = " T a b l e W i d g e t B a s e V i e w S t a t e " / > < / a : K e y V a l u e O f D i a g r a m O b j e c t K e y a n y T y p e z b w N T n L X > < a : K e y V a l u e O f D i a g r a m O b j e c t K e y a n y T y p e z b w N T n L X > < a : K e y > < K e y > C o l u m n s \ >HB5=A:8  :>4< / K e y > < / a : K e y > < a : V a l u e   i : t y p e = " T a b l e W i d g e t B a s e V i e w S t a t e " / > < / a : K e y V a l u e O f D i a g r a m O b j e c t K e y a n y T y p e z b w N T n L X > < a : K e y V a l u e O f D i a g r a m O b j e c t K e y a n y T y p e z b w N T n L X > < a : K e y > < K e y > C o l u m n s \  538AB0@  8<5< / K e y > < / a : K e y > < a : V a l u e   i : t y p e = " T a b l e W i d g e t B a s e V i e w S t a t e " / > < / a : K e y V a l u e O f D i a g r a m O b j e c t K e y a n y T y p e z b w N T n L X > < a : K e y V a l u e O f D i a g r a m O b j e c t K e y a n y T y p e z b w N T n L X > < a : K e y > < K e y > C o l u m n s \ #A;C30  8<5< / 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 C o l u m n s \ "@0=A0:F88< / 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 f P r i h o d i R a s h o d i 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 f P r i h o d i R a s h o d i 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 C o l u m n s \ 5@8>4  ( M o n t h   I n d e x ) < / K e y > < / a : K e y > < a : V a l u e   i : t y p e = " T a b l e W i d g e t B a s e V i e w S t a t e " / > < / a : K e y V a l u e O f D i a g r a m O b j e c t K e y a n y T y p e z b w N T n L X > < a : K e y V a l u e O f D i a g r a m O b j e c t K e y a n y T y p e z b w N T n L X > < a : K e y > < K e y > C o l u m n s \ 5@8>4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 f V k u p n i R a s h o d i 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 f V k u p n i R a s h o d i 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 N a b a v k i 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 N a b a v k i 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 C o l u m n s \ @B8:;  =0782< / K e y > < / a : K e y > < a : V a l u e   i : t y p e = " T a b l e W i d g e t B a s e V i e w S t a t e " / > < / a : K e y V a l u e O f D i a g r a m O b j e c t K e y a n y T y p e z b w N T n L X > < a : K e y V a l u e O f D i a g r a m O b j e c t K e y a n y T y p e z b w N T n L X > < a : K e y > < K e y > C o l u m n s \ 5@8>4  =0  =0102:0< / K e y > < / a : K e y > < a : V a l u e   i : t y p e = " T a b l e W i d g e t B a s e V i e w S t a t e " / > < / a : K e y V a l u e O f D i a g r a m O b j e c t K e y a n y T y p e z b w N T n L X > < a : K e y V a l u e O f D i a g r a m O b j e c t K e y a n y T y p e z b w N T n L X > < a : K e y > < K e y > C o l u m n s \ >;8G8=0< / K e y > < / a : K e y > < a : V a l u e   i : t y p e = " T a b l e W i d g e t B a s e V i e w S t a t e " / > < / a : K e y V a l u e O f D i a g r a m O b j e c t K e y a n y T y p e z b w N T n L X > < a : K e y V a l u e O f D i a g r a m O b j e c t K e y a n y T y p e z b w N T n L X > < a : K e y > < K e y > C o l u m n s \ &5=0< / 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H5=  87=>A< / 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 C o l u m n s \ ?8A< / K e y > < / a : K e y > < a : V a l u e   i : t y p e = " T a b l e W i d g e t B a s e V i e w S t a t e " / > < / a : K e y V a l u e O f D i a g r a m O b j e c t K e y a n y T y p e z b w N T n L X > < a : K e y V a l u e O f D i a g r a m O b j e c t K e y a n y T y p e z b w N T n L X > < a : K e y > < K e y > C o l u m n s \ -   D8=0=A8A:8  ?;0=< / K e y > < / a : K e y > < a : V a l u e   i : t y p e = " T a b l e W i d g e t B a s e V i e w S t a t e " / > < / a : K e y V a l u e O f D i a g r a m O b j e c t K e y a n y T y p e z b w N T n L X > < a : K e y V a l u e O f D i a g r a m O b j e c t K e y a n y T y p e z b w N T n L X > < a : K e y > < K e y > C o l u m n s \ - D8=0=A8A:8  8725HB0X< / K e y > < / a : K e y > < a : V a l u e   i : t y p e = " T a b l e W i d g e t B a s e V i e w S t a t e " / > < / a : K e y V a l u e O f D i a g r a m O b j e c t K e y a n y T y p e z b w N T n L X > < a : K e y V a l u e O f D i a g r a m O b j e c t K e y a n y T y p e z b w N T n L X > < a : K e y > < K e y > C o l u m n s \ - $  =>2< / K e y > < / a : K e y > < a : V a l u e   i : t y p e = " T a b l e W i d g e t B a s e V i e w S t a t e " / > < / a : K e y V a l u e O f D i a g r a m O b j e c t K e y a n y T y p e z b w N T n L X > < a : K e y V a l u e O f D i a g r a m O b j e c t K e y a n y T y p e z b w N T n L X > < a : K e y > < K e y > C o l u m n s \ - >48H=8  A<5B:8< / 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 f V k u p n i P r i h o d i 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 f V k u p n i P r i h o d i 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 C o l u m n s \ 5@8>4  ( M o n t h   I n d e x ) < / K e y > < / a : K e y > < a : V a l u e   i : t y p e = " T a b l e W i d g e t B a s e V i e w S t a t e " / > < / a : K e y V a l u e O f D i a g r a m O b j e c t K e y a n y T y p e z b w N T n L X > < a : K e y V a l u e O f D i a g r a m O b j e c t K e y a n y T y p e z b w N T n L X > < a : K e y > < K e y > C o l u m n s \ 5@8>4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 f P r i h o d i O s t a n a t i 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 f P r i h o d i O s t a n a t i 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 C o l u m n s \ #A;C30  =0782< / 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 C o l u m n s \ @8E>48< / 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 r O b r a z e c F i n a n s i s k i P l a n 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 r O b r a z e c F i n a n s i s k i P l a n 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  D8=0=A8A:8  ?;0=< / K e y > < / a : K e y > < a : V a l u e   i : t y p e = " T a b l e W i d g e t B a s e V i e w S t a t e " / > < / a : K e y V a l u e O f D i a g r a m O b j e c t K e y a n y T y p e z b w N T n L X > < a : K e y V a l u e O f D i a g r a m O b j e c t K e y a n y T y p e z b w N T n L X > < a : K e y > < K e y > C o l u m n s \ $- AB02:0< / K e y > < / a : K e y > < a : V a l u e   i : t y p e = " T a b l e W i d g e t B a s e V i e w S t a t e " / > < / a : K e y V a l u e O f D i a g r a m O b j e c t K e y a n y T y p e z b w N T n L X > < a : K e y V a l u e O f D i a g r a m O b j e c t K e y a n y T y p e z b w N T n L X > < a : K e y > < K e y > C o l u m n s \ $- @C?0< / K e y > < / a : K e y > < a : V a l u e   i : t y p e = " T a b l e W i d g e t B a s e V i e w S t a t e " / > < / a : K e y V a l u e O f D i a g r a m O b j e c t K e y a n y T y p e z b w N T n L X > < a : K e y V a l u e O f D i a g r a m O b j e c t K e y a n y T y p e z b w N T n L X > < a : K e y > < K e y > C o l u m n s \ $- 0B53>@8X0< / K e y > < / a : K e y > < a : V a l u e   i : t y p e = " T a b l e W i d g e t B a s e V i e w S t a t e " / > < / a : K e y V a l u e O f D i a g r a m O b j e c t K e y a n y T y p e z b w N T n L X > < a : K e y V a l u e O f D i a g r a m O b j e c t K e y a n y T y p e z b w N T n L X > < a : K e y > < K e y > C o l u m n s \ T o t a l i n g 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V i e w S t a t e s > < / D i a g r a m M a n a g e r . S e r i a l i z a b l e D i a g r a m > < D i a g r a m M a n a g e r . S e r i a l i z a b l e D i a g r a m > < A d a p t e r   i : t y p e = " T a b l e W i d g e t V i e w M o d e l S a n d b o x A d a p t e r " > < T a b l e N a m e > f A r t i k l i C e n i 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 f A r t i k l i C e n i 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 C o l u m n s \ 0B53>@8X0  @B8:;< / K e y > < / a : K e y > < a : V a l u e   i : t y p e = " T a b l e W i d g e t B a s e V i e w S t a t e " / > < / a : K e y V a l u e O f D i a g r a m O b j e c t K e y a n y T y p e z b w N T n L X > < a : K e y V a l u e O f D i a g r a m O b j e c t K e y a n y T y p e z b w N T n L X > < a : K e y > < K e y > C o l u m n s \ "8?  =0  0@B8:;< / K e y > < / a : K e y > < a : V a l u e   i : t y p e = " T a b l e W i d g e t B a s e V i e w S t a t e " / > < / a : K e y V a l u e O f D i a g r a m O b j e c t K e y a n y T y p e z b w N T n L X > < a : K e y V a l u e O f D i a g r a m O b j e c t K e y a n y T y p e z b w N T n L X > < a : K e y > < K e y > C o l u m n s \ 48=5G=0  <5@:0< / K e y > < / a : K e y > < a : V a l u e   i : t y p e = " T a b l e W i d g e t B a s e V i e w S t a t e " / > < / a : K e y V a l u e O f D i a g r a m O b j e c t K e y a n y T y p e z b w N T n L X > < a : K e y V a l u e O f D i a g r a m O b j e c t K e y a n y T y p e z b w N T n L X > < a : K e y > < K e y > C o l u m n s \ >;8G8=0< / K e y > < / a : K e y > < a : V a l u e   i : t y p e = " T a b l e W i d g e t B a s e V i e w S t a t e " / > < / a : K e y V a l u e O f D i a g r a m O b j e c t K e y a n y T y p e z b w N T n L X > < a : K e y V a l u e O f D i a g r a m O b j e c t K e y a n y T y p e z b w N T n L X > < a : K e y > < K e y > C o l u m n s \ 48=5G=0  F5=0< / K e y > < / a : K e y > < a : V a l u e   i : t y p e = " T a b l e W i d g e t B a s e V i e w S t a t e " / > < / a : K e y V a l u e O f D i a g r a m O b j e c t K e y a n y T y p e z b w N T n L X > < a : K e y V a l u e O f D i a g r a m O b j e c t K e y a n y T y p e z b w N T n L X > < a : K e y > < K e y > C o l u m n s \ :C?=>  B@>H>:< / 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 r A r t i k l i _ H R _ A n a l i z a 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 r A r t i k l i _ H R _ A n a l i z a 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 C o l u m n s \ 0B53>@8X0  @B8:;< / K e y > < / a : K e y > < a : V a l u e   i : t y p e = " T a b l e W i d g e t B a s e V i e w S t a t e " / > < / a : K e y V a l u e O f D i a g r a m O b j e c t K e y a n y T y p e z b w N T n L X > < a : K e y V a l u e O f D i a g r a m O b j e c t K e y a n y T y p e z b w N T n L X > < a : K e y > < K e y > C o l u m n s \ "8?  =0  0@B8:;< / K e y > < / a : K e y > < a : V a l u e   i : t y p e = " T a b l e W i d g e t B a s e V i e w S t a t e " / > < / a : K e y V a l u e O f D i a g r a m O b j e c t K e y a n y T y p e z b w N T n L X > < a : K e y V a l u e O f D i a g r a m O b j e c t K e y a n y T y p e z b w N T n L X > < a : K e y > < K e y > C o l u m n s \ 48=5G=0  <5@:0< / K e y > < / a : K e y > < a : V a l u e   i : t y p e = " T a b l e W i d g e t B a s e V i e w S t a t e " / > < / a : K e y V a l u e O f D i a g r a m O b j e c t K e y a n y T y p e z b w N T n L X > < a : K e y V a l u e O f D i a g r a m O b j e c t K e y a n y T y p e z b w N T n L X > < a : K e y > < K e y > C o l u m n s \ >;8G8=0< / K e y > < / a : K e y > < a : V a l u e   i : t y p e = " T a b l e W i d g e t B a s e V i e w S t a t e " / > < / a : K e y V a l u e O f D i a g r a m O b j e c t K e y a n y T y p e z b w N T n L X > < a : K e y V a l u e O f D i a g r a m O b j e c t K e y a n y T y p e z b w N T n L X > < a : K e y > < K e y > C o l u m n s \ 48=5G=0  F5=0< / K e y > < / a : K e y > < a : V a l u e   i : t y p e = " T a b l e W i d g e t B a s e V i e w S t a t e " / > < / a : K e y V a l u e O f D i a g r a m O b j e c t K e y a n y T y p e z b w N T n L X > < a : K e y V a l u e O f D i a g r a m O b j e c t K e y a n y T y p e z b w N T n L X > < a : K e y > < K e y > C o l u m n s \ :C?=>  B@>H>:< / 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 C o l u m n s \ "8?  =0  2@01>BC20Z5< / K e y > < / a : K e y > < a : V a l u e   i : t y p e = " T a b l e W i d g e t B a s e V i e w S t a t e " / > < / a : K e y V a l u e O f D i a g r a m O b j e c t K e y a n y T y p e z b w N T n L X > < a : K e y V a l u e O f D i a g r a m O b j e c t K e y a n y T y p e z b w N T n L X > < a : K e y > < K e y > C o l u m n s \ ;0=8@0=  ?@8;82/ ( >4;82) < / K e y > < / a : K e y > < a : V a l u e   i : t y p e = " T a b l e W i d g e t B a s e V i e w S t a t e " / > < / a : K e y V a l u e O f D i a g r a m O b j e c t K e y a n y T y p e z b w N T n L X > < a : K e y V a l u e O f D i a g r a m O b j e c t K e y a n y T y p e z b w N T n L X > < a : K e y > < K e y > C o l u m n s \ @0X=0  A>AB>X10  2@01>B5=8< / 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 f A c t u a l A n d B u d g e t 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 f A c t u a l A n d B u d g e t 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K e y > < / a : K e y > < a : V a l u e   i : t y p e = " T a b l e W i d g e t B a s e V i e w S t a t e " / > < / a : K e y V a l u e O f D i a g r a m O b j e c t K e y a n y T y p e z b w N T n L X > < a : K e y V a l u e O f D i a g r a m O b j e c t K e y a n y T y p e z b w N T n L X > < a : K e y > < K e y > C o l u m n s \ 0782  =0  :>=B>< / K e y > < / a : K e y > < a : V a l u e   i : t y p e = " T a b l e W i d g e t B a s e V i e w S t a t e " / > < / a : K e y V a l u e O f D i a g r a m O b j e c t K e y a n y T y p e z b w N T n L X > < a : K e y V a l u e O f D i a g r a m O b j e c t K e y a n y T y p e z b w N T n L X > < a : K e y > < K e y > C o l u m n s \ 5@8>4< / K e y > < / a : K e y > < a : V a l u e   i : t y p e = " T a b l e W i d g e t B a s e V i e w S t a t e " / > < / a : K e y V a l u e O f D i a g r a m O b j e c t K e y a n y T y p e z b w N T n L X > < a : K e y V a l u e O f D i a g r a m O b j e c t K e y a n y T y p e z b w N T n L X > < a : K e y > < K e y > C o l u m n s \ 7=>A1 < / K e y > < / a : K e y > < a : V a l u e   i : t y p e = " T a b l e W i d g e t B a s e V i e w S t a t e " / > < / a : K e y V a l u e O f D i a g r a m O b j e c t K e y a n y T y p e z b w N T n L X > < a : K e y V a l u e O f D i a g r a m O b j e c t K e y a n y T y p e z b w N T n L X > < a : K e y > < K e y > C o l u m n s \ R e p o r t T y p e < / K e y > < / a : K e y > < a : V a l u e   i : t y p e = " T a b l e W i d g e t B a s e V i e w S t a t e " / > < / a : K e y V a l u e O f D i a g r a m O b j e c t K e y a n y T y p e z b w N T n L X > < a : K e y V a l u e O f D i a g r a m O b j e c t K e y a n y T y p e z b w N T n L X > < a : K e y > < K e y > C o l u m n s \ !B02:0< / K e y > < / a : K e y > < a : V a l u e   i : t y p e = " T a b l e W i d g e t B a s e V i e w S t a t e " / > < / a : K e y V a l u e O f D i a g r a m O b j e c t K e y a n y T y p e z b w N T n L X > < a : K e y V a l u e O f D i a g r a m O b j e c t K e y a n y T y p e z b w N T n L X > < a : K e y > < K e y > C o l u m n s \ @>X  =0  X02=0  =0102:0  ( ?;0=) < / K e y > < / a : K e y > < a : V a l u e   i : t y p e = " T a b l e W i d g e t B a s e V i e w S t a t e " / > < / a : K e y V a l u e O f D i a g r a m O b j e c t K e y a n y T y p e z b w N T n L X > < a : K e y V a l u e O f D i a g r a m O b j e c t K e y a n y T y p e z b w N T n L X > < a : K e y > < K e y > C o l u m n s \ S t a v k a I D < / K e y > < / a : K e y > < a : V a l u e   i : t y p e = " T a b l e W i d g e t B a s e V i e w S t a t e " / > < / a : K e y V a l u e O f D i a g r a m O b j e c t K e y a n y T y p e z b w N T n L X > < a : K e y V a l u e O f D i a g r a m O b j e c t K e y a n y T y p e z b w N T n L X > < a : K e y > < K e y > C o l u m n s \ S t a v k a I m e M K < / K e y > < / a : K e y > < a : V a l u e   i : t y p e = " T a b l e W i d g e t B a s e V i e w S t a t e " / > < / a : K e y V a l u e O f D i a g r a m O b j e c t K e y a n y T y p e z b w N T n L X > < a : K e y V a l u e O f D i a g r a m O b j e c t K e y a n y T y p e z b w N T n L X > < a : K e y > < K e y > C o l u m n s \ S t a v k a G r u p a < / K e y > < / a : K e y > < a : V a l u e   i : t y p e = " T a b l e W i d g e t B a s e V i e w S t a t e " / > < / a : K e y V a l u e O f D i a g r a m O b j e c t K e y a n y T y p e z b w N T n L X > < a : K e y V a l u e O f D i a g r a m O b j e c t K e y a n y T y p e z b w N T n L X > < a : K e y > < K e y > C o l u m n s \ S t a v k a K a t e g o r i j a < / K e y > < / a : K e y > < a : V a l u e   i : t y p e = " T a b l e W i d g e t B a s e V i e w S t a t e " / > < / a : K e y V a l u e O f D i a g r a m O b j e c t K e y a n y T y p e z b w N T n L X > < a : K e y V a l u e O f D i a g r a m O b j e c t K e y a n y T y p e z b w N T n L X > < a : K e y > < K e y > C o l u m n s \ Z n a k I z v e s t a j < / K e y > < / a : K e y > < a : V a l u e   i : t y p e = " T a b l e W i d g e t B a s e V i e w S t a t e " / > < / a : K e y V a l u e O f D i a g r a m O b j e c t K e y a n y T y p e z b w N T n L X > < a : K e y V a l u e O f D i a g r a m O b j e c t K e y a n y T y p e z b w N T n L X > < a : K e y > < K e y > C o l u m n s \ O b r a z e c I D < / K e y > < / a : K e y > < a : V a l u e   i : t y p e = " T a b l e W i d g e t B a s e V i e w S t a t e " / > < / a : K e y V a l u e O f D i a g r a m O b j e c t K e y a n y T y p e z b w N T n L X > < a : K e y V a l u e O f D i a g r a m O b j e c t K e y a n y T y p e z b w N T n L X > < a : K e y > < K e y > C o l u m n s \ S t a v k a A O P < / K e y > < / a : K e y > < a : V a l u e   i : t y p e = " T a b l e W i d g e t B a s e V i e w S t a t e " / > < / a : K e y V a l u e O f D i a g r a m O b j e c t K e y a n y T y p e z b w N T n L X > < a : K e y V a l u e O f D i a g r a m O b j e c t K e y a n y T y p e z b w N T n L X > < a : K e y > < K e y > C o l u m n s \ O b r a z e c I m e < / K e y > < / a : K e y > < a : V a l u e   i : t y p e = " T a b l e W i d g e t B a s e V i e w S t a t e " / > < / a : K e y V a l u e O f D i a g r a m O b j e c t K e y a n y T y p e z b w N T n L X > < a : K e y V a l u e O f D i a g r a m O b j e c t K e y a n y T y p e z b w N T n L X > < a : K e y > < K e y > C o l u m n s \ 7=>A< / K e y > < / a : K e y > < a : V a l u e   i : t y p e = " T a b l e W i d g e t B a s e V i e w S t a t e " / > < / a : K e y V a l u e O f D i a g r a m O b j e c t K e y a n y T y p e z b w N T n L X > < a : K e y V a l u e O f D i a g r a m O b j e c t K e y a n y T y p e z b w N T n L X > < a : K e y > < K e y > C o l u m n s \ 7=>A  ( 8;X048) < / K e y > < / a : K e y > < a : V a l u e   i : t y p e = " T a b l e W i d g e t B a s e V i e w S t a t e " / > < / a : K e y V a l u e O f D i a g r a m O b j e c t K e y a n y T y p e z b w N T n L X > < a : K e y V a l u e O f D i a g r a m O b j e c t K e y a n y T y p e z b w N T n L X > < a : K e y > < K e y > C o l u m n s \ S t a v k a I m e A O P < / K e y > < / a : K e y > < a : V a l u e   i : t y p e = " T a b l e W i d g e t B a s e V i e w S t a t e " / > < / a : K e y V a l u e O f D i a g r a m O b j e c t K e y a n y T y p e z b w N T n L X > < a : K e y V a l u e O f D i a g r a m O b j e c t K e y a n y T y p e z b w N T n L X > < a : K e y > < K e y > C o l u m n s \ >=B>  !B02:0< / 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T a b l e X M L _ f P r i h o d i R a s h o d i _ 1 2 e 2 e 5 b d - b e f 4 - 4 5 4 6 - 8 4 f a - 9 0 5 4 c b c 1 3 a d b " > < C u s t o m C o n t e n t > < ! [ C D A T A [ < T a b l e W i d g e t G r i d S e r i a l i z a t i o n   x m l n s : x s i = " h t t p : / / w w w . w 3 . o r g / 2 0 0 1 / X M L S c h e m a - i n s t a n c e "   x m l n s : x s d = " h t t p : / / w w w . w 3 . o r g / 2 0 0 1 / X M L S c h e m a " > < C o l u m n S u g g e s t e d T y p e   / > < C o l u m n F o r m a t   / > < C o l u m n A c c u r a c y   / > < C o l u m n C u r r e n c y S y m b o l   / > < C o l u m n P o s i t i v e P a t t e r n   / > < C o l u m n N e g a t i v e P a t t e r n   / > < C o l u m n W i d t h s > < i t e m > < k e y > < s t r i n g > !B02:0< / s t r i n g > < / k e y > < v a l u e > < i n t > 1 8 8 < / i n t > < / v a l u e > < / i t e m > < i t e m > < k e y > < s t r i n g > 5@8>4< / s t r i n g > < / k e y > < v a l u e > < i n t > 8 5 < / i n t > < / v a l u e > < / i t e m > < i t e m > < k e y > < s t r i n g > 7=>A< / s t r i n g > < / k e y > < v a l u e > < i n t > 9 7 < / i n t > < / v a l u e > < / i t e m > < i t e m > < k e y > < s t r i n g > >=B>< / s t r i n g > < / k e y > < v a l u e > < i n t > 7 4 < / i n t > < / v a l u e > < / i t e m > < i t e m > < k e y > < s t r i n g > 5@8>4  ( M o n t h   I n d e x ) < / s t r i n g > < / k e y > < v a l u e > < i n t > 1 7 7 < / i n t > < / v a l u e > < / i t e m > < i t e m > < k e y > < s t r i n g > 5@8>4  ( M o n t h ) < / s t r i n g > < / k e y > < v a l u e > < i n t > 1 3 9 < / i n t > < / v a l u e > < / i t e m > < / C o l u m n W i d t h s > < C o l u m n D i s p l a y I n d e x > < i t e m > < k e y > < s t r i n g > !B02:0< / s t r i n g > < / k e y > < v a l u e > < i n t > 0 < / i n t > < / v a l u e > < / i t e m > < i t e m > < k e y > < s t r i n g > 5@8>4< / s t r i n g > < / k e y > < v a l u e > < i n t > 1 < / i n t > < / v a l u e > < / i t e m > < i t e m > < k e y > < s t r i n g > 7=>A< / s t r i n g > < / k e y > < v a l u e > < i n t > 2 < / i n t > < / v a l u e > < / i t e m > < i t e m > < k e y > < s t r i n g > >=B>< / s t r i n g > < / k e y > < v a l u e > < i n t > 3 < / i n t > < / v a l u e > < / i t e m > < i t e m > < k e y > < s t r i n g > 5@8>4  ( M o n t h   I n d e x ) < / s t r i n g > < / k e y > < v a l u e > < i n t > 4 < / i n t > < / v a l u e > < / i t e m > < i t e m > < k e y > < s t r i n g > 5@8>4  ( M o n t h ) < / s t r i n g > < / k e y > < v a l u e > < i n t > 5 < / 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o O b r a z e c F i n a n s i s k i P l a n 2 0 1 9 _ 6 5 d 8 5 4 b 9 - 9 f c 1 - 4 2 a c - b 7 8 3 - b 7 3 e d b c 3 6 5 3 2 " > < C u s t o m C o n t e n t > < ! [ C D A T A [ < T a b l e W i d g e t G r i d S e r i a l i z a t i o n   x m l n s : x s i = " h t t p : / / w w w . w 3 . o r g / 2 0 0 1 / X M L S c h e m a - i n s t a n c e "   x m l n s : x s d = " h t t p : / / w w w . w 3 . o r g / 2 0 0 1 / X M L S c h e m a " > < C o l u m n S u g g e s t e d T y p e   / > < C o l u m n F o r m a t   / > < C o l u m n A c c u r a c y   / > < C o l u m n C u r r e n c y S y m b o l   / > < C o l u m n P o s i t i v e P a t t e r n   / > < C o l u m n N e g a t i v e P a t t e r n   / > < C o l u m n W i d t h s > < i t e m > < k e y > < s t r i n g > -   D8=0=A8A:8  ?;0=< / s t r i n g > < / k e y > < v a l u e > < i n t > 2 1 6 < / i n t > < / v a l u e > < / i t e m > < i t e m > < k e y > < s t r i n g > $- AB02:0< / s t r i n g > < / k e y > < v a l u e > < i n t > 1 2 5 < / i n t > < / v a l u e > < / i t e m > < i t e m > < k e y > < s t r i n g > $- @C?0< / s t r i n g > < / k e y > < v a l u e > < i n t > 1 1 9 < / i n t > < / v a l u e > < / i t e m > < i t e m > < k e y > < s t r i n g > $- 0B53>@8X0< / s t r i n g > < / k e y > < v a l u e > < i n t > 1 6 0 < / i n t > < / v a l u e > < / i t e m > < i t e m > < k e y > < s t r i n g > T o t a l i n g < / s t r i n g > < / k e y > < v a l u e > < i n t > 1 0 2 < / i n t > < / v a l u e > < / i t e m > < / C o l u m n W i d t h s > < C o l u m n D i s p l a y I n d e x > < i t e m > < k e y > < s t r i n g > -   D8=0=A8A:8  ?;0=< / s t r i n g > < / k e y > < v a l u e > < i n t > 0 < / i n t > < / v a l u e > < / i t e m > < i t e m > < k e y > < s t r i n g > $- AB02:0< / s t r i n g > < / k e y > < v a l u e > < i n t > 1 < / i n t > < / v a l u e > < / i t e m > < i t e m > < k e y > < s t r i n g > $- @C?0< / s t r i n g > < / k e y > < v a l u e > < i n t > 2 < / i n t > < / v a l u e > < / i t e m > < i t e m > < k e y > < s t r i n g > $- 0B53>@8X0< / s t r i n g > < / k e y > < v a l u e > < i n t > 3 < / i n t > < / v a l u e > < / i t e m > < i t e m > < k e y > < s t r i n g > T o t a l i n g < / s t r i n g > < / k e y > < v a l u e > < i n t > 4 < / 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f V k u p n i P r i h o d i _ d 1 7 9 e b 0 f - b 1 e a - 4 e 8 a - 8 8 1 3 - d 1 0 8 f 1 5 3 f 6 4 f " > < C u s t o m C o n t e n t > < ! [ C D A T A [ < T a b l e W i d g e t G r i d S e r i a l i z a t i o n   x m l n s : x s i = " h t t p : / / w w w . w 3 . o r g / 2 0 0 1 / X M L S c h e m a - i n s t a n c e "   x m l n s : x s d = " h t t p : / / w w w . w 3 . o r g / 2 0 0 1 / X M L S c h e m a " > < C o l u m n S u g g e s t e d T y p e   / > < C o l u m n F o r m a t   / > < C o l u m n A c c u r a c y   / > < C o l u m n C u r r e n c y S y m b o l   / > < C o l u m n P o s i t i v e P a t t e r n   / > < C o l u m n N e g a t i v e P a t t e r n   / > < C o l u m n W i d t h s > < i t e m > < k e y > < s t r i n g > 5@8>4< / s t r i n g > < / k e y > < v a l u e > < i n t > 1 7 9 < / i n t > < / v a l u e > < / i t e m > < i t e m > < k e y > < s t r i n g > >=B>< / s t r i n g > < / k e y > < v a l u e > < i n t > 9 0 < / i n t > < / v a l u e > < / i t e m > < i t e m > < k e y > < s t r i n g > 7=>A< / s t r i n g > < / k e y > < v a l u e > < i n t > 1 2 6 < / i n t > < / v a l u e > < / i t e m > < i t e m > < k e y > < s t r i n g > !B02:0< / s t r i n g > < / k e y > < v a l u e > < i n t > 1 7 9 < / i n t > < / v a l u e > < / i t e m > < / C o l u m n W i d t h s > < C o l u m n D i s p l a y I n d e x > < i t e m > < k e y > < s t r i n g > 5@8>4< / s t r i n g > < / k e y > < v a l u e > < i n t > 0 < / i n t > < / v a l u e > < / i t e m > < i t e m > < k e y > < s t r i n g > >=B>< / s t r i n g > < / k e y > < v a l u e > < i n t > 1 < / i n t > < / v a l u e > < / i t e m > < i t e m > < k e y > < s t r i n g > 7=>A< / s t r i n g > < / k e y > < v a l u e > < i n t > 3 < / i n t > < / v a l u e > < / i t e m > < i t e m > < k e y > < s t r i n g > !B02:0< / s t r i n g > < / k e y > < v a l u e > < i n t > 2 < / 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F o r m u l a B a r S t a t e " > < C u s t o m C o n t e n t > < ! [ C D A T A [ < S a n d b o x E d i t o r . F o r m u l a B a r S t a t e   x m l n s = " h t t p : / / s c h e m a s . d a t a c o n t r a c t . o r g / 2 0 0 4 / 0 7 / M i c r o s o f t . A n a l y s i s S e r v i c e s . C o m m o n "   x m l n s : i = " h t t p : / / w w w . w 3 . o r g / 2 0 0 1 / X M L S c h e m a - i n s t a n c e " > < H e i g h t > 8 1 < / H e i g h t > < / S a n d b o x E d i t o r . F o r m u l a B a r S t a t e > ] ] > < / C u s t o m C o n t e n t > < / G e m i n i > 
</file>

<file path=customXml/item43.xml>��< ? x m l   v e r s i o n = " 1 . 0 "   e n c o d i n g = " U T F - 1 6 " ? > < G e m i n i   x m l n s = " h t t p : / / g e m i n i / p i v o t c u s t o m i z a t i o n / T a b l e X M L _ d O b r a s c i _ a 3 d e f 5 d 4 - 0 8 b a - 4 2 d e - b f 4 b - 8 c a f d 2 2 6 b 7 c a " > < C u s t o m C o n t e n t > < ! [ C D A T A [ < T a b l e W i d g e t G r i d S e r i a l i z a t i o n   x m l n s : x s i = " h t t p : / / w w w . w 3 . o r g / 2 0 0 1 / X M L S c h e m a - i n s t a n c e "   x m l n s : x s d = " h t t p : / / w w w . w 3 . o r g / 2 0 0 1 / X M L S c h e m a " > < C o l u m n S u g g e s t e d T y p e   / > < C o l u m n F o r m a t   / > < C o l u m n A c c u r a c y   / > < C o l u m n C u r r e n c y S y m b o l   / > < C o l u m n P o s i t i v e P a t t e r n   / > < C o l u m n N e g a t i v e P a t t e r n   / > < C o l u m n W i d t h s > < i t e m > < k e y > < s t r i n g > T i p I z v e s t a j I D < / s t r i n g > < / k e y > < v a l u e > < i n t > 1 4 4 < / i n t > < / v a l u e > < / i t e m > < i t e m > < k e y > < s t r i n g > O b r a z e c I D < / s t r i n g > < / k e y > < v a l u e > < i n t > 1 2 5 < / i n t > < / v a l u e > < / i t e m > < i t e m > < k e y > < s t r i n g > O b r a z e c I m e < / s t r i n g > < / k e y > < v a l u e > < i n t > 1 3 7 < / i n t > < / v a l u e > < / i t e m > < / C o l u m n W i d t h s > < C o l u m n D i s p l a y I n d e x > < i t e m > < k e y > < s t r i n g > T i p I z v e s t a j I D < / s t r i n g > < / k e y > < v a l u e > < i n t > 0 < / i n t > < / v a l u e > < / i t e m > < i t e m > < k e y > < s t r i n g > O b r a z e c I D < / s t r i n g > < / k e y > < v a l u e > < i n t > 1 < / i n t > < / v a l u e > < / i t e m > < i t e m > < k e y > < s t r i n g > O b r a z e c I m e < / s t r i n g > < / k e y > < v a l u e > < i n t > 2 < / 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T a b l e X M L _ K a t e g o r i j a _ P r o e k t     2 _ 6 6 a 4 8 b 7 d - 3 d 3 8 - 4 f 3 0 - 8 9 f 7 - b 9 e 6 a f 1 6 2 5 c b " > < C u s t o m C o n t e n t   x m l n s = " h t t p : / / g e m i n i / p i v o t c u s t o m i z a t i o n / T a b l e X M L _ K a t e g o r i j a _ P r o e k t   2 _ 6 6 a 4 8 b 7 d - 3 d 3 8 - 4 f 3 0 - 8 9 f 7 - b 9 e 6 a f 1 6 2 5 c b " > < ! [ C D A T A [ < T a b l e W i d g e t G r i d S e r i a l i z a t i o n   x m l n s : x s i = " h t t p : / / w w w . w 3 . o r g / 2 0 0 1 / X M L S c h e m a - i n s t a n c e "   x m l n s : x s d = " h t t p : / / w w w . w 3 . o r g / 2 0 0 1 / X M L S c h e m a " > < C o l u m n S u g g e s t e d T y p e   / > < C o l u m n F o r m a t   / > < C o l u m n A c c u r a c y   / > < C o l u m n C u r r e n c y S y m b o l   / > < C o l u m n P o s i t i v e P a t t e r n   / > < C o l u m n N e g a t i v e P a t t e r n   / > < C o l u m n W i d t h s > < i t e m > < k e y > < s t r i n g > 0B53>@8X0  ?@>5:B  < / s t r i n g > < / k e y > < v a l u e > < i n t > 2 1 6 < / i n t > < / v a l u e > < / i t e m > < i t e m > < k e y > < s t r i n g > 0B53>@8X0  @>5:B< / s t r i n g > < / k e y > < v a l u e > < i n t > 1 9 0 < / i n t > < / v a l u e > < / i t e m > < / C o l u m n W i d t h s > < C o l u m n D i s p l a y I n d e x > < i t e m > < k e y > < s t r i n g > 0B53>@8X0  ?@>5:B  < / s t r i n g > < / k e y > < v a l u e > < i n t > 0 < / i n t > < / v a l u e > < / i t e m > < i t e m > < k e y > < s t r i n g > 0B53>@8X0  @>5:B< / s t r i n g > < / k e y > < v a l u e > < i n t > 1 < / 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L i n k e d T a b l e U p d a t e M o d e " > < C u s t o m C o n t e n t > < ! [ C D A T A [ T r u e ] ] > < / C u s t o m C o n t e n t > < / G e m i n i > 
</file>

<file path=customXml/item46.xml>��< ? x m l   v e r s i o n = " 1 . 0 "   e n c o d i n g = " u t f - 1 6 " ? > < D a t a M a s h u p   s q m i d = " 6 7 d 3 2 3 8 3 - f e 1 2 - 4 7 f 3 - b e d b - 2 a 6 e 1 8 4 1 b 4 f 9 "   x m l n s = " h t t p : / / s c h e m a s . m i c r o s o f t . c o m / D a t a M a s h u p " > A A A A A I c Q A A B Q S w M E F A A C A A g A E V V 3 U 4 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A R V X d 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V V 3 U + W z u C h / D Q A A z X 8 A A B M A H A B G b 3 J t d W x h c y 9 T Z W N 0 a W 9 u M S 5 t I K I Y A C i g F A A A A A A A A A A A A A A A A A A A A A A A A A A A A O 0 d b U 8 U S f q 7 i f + h 0 3 4 Z k o Z j R k X N n p c g s r v I C S w Q 7 7 J i S M M 0 0 D s z 3 a S n h 1 M J i W B O / b i 3 5 y X E r H q 3 m 9 z n Q f E k i P A X e v 7 R P V X d P V 1 v 3 V M 9 0 y B g r 1 n t r p e n n q p 6 3 u u p n r q x 6 J q 2 p c z 4 / x a / u X j h 4 o X 6 i u 4 Y Z W V p x F 4 z F i v m t F F v O H V T u a l U D f f i B Q X + m 7 E b z q I B J a M P F 4 3 q w F 9 s p 7 J g 2 5 X C t 2 b V G B i x L d e w 3 H p B n Z u 7 p S 9 W G q t z q 4 5 t V F x z 7 t u p + b E f 7 4 3 O z A 6 P w b N i K u G b U h o s l e b u T Y z O z D H D D j y s 1 h + q f Z p i N a p V T X G d h t G n + V g s j e v V S q O q L 5 o / 6 R N 6 2 a 4 Z d d d e N O d n 9 Y U q Q s 7 H c v 3 + m G v U b q o x r V V t 3 L T K N 1 X c S X 2 w c f + 2 7 u o P g h E u q S M r u r U M i z H 7 a N V Q A S Z u N j D r 6 F Z 9 y X Z q I 3 a 1 U b N Q Z b 2 Q i I 6 2 v q 5 6 v 3 l 7 3 p H i f f a a + C 9 v 1 z v 0 D r w P r c 3 W F j z t q z A 9 g K S 4 x k N 3 Q 1 O g w 1 v v s P U c G m z h P q 1 N e M V t W 9 v e D g L y r v U E w O x A w Z b 3 A d r s A Y g x y x 2 6 M o B Q C m B A G + g G U J 6 j N t z I i n c U g s V t 9 j E U j I j V q C 0 Y T o j K J + g H Q + A h A c w R P O x B 4 Z 7 3 7 g 8 F 6 L v r P / e J U A D A q D E 0 C k G X d T e o f I U A w o S O b 4 a C L t v e R 2 g F n Q R 1 r 6 D n Z 4 Q D v x / k B h K Y t Z 5 6 7 2 A O r 7 w P X J d p Y 9 V 2 X E w 9 Z N V G X 5 v C p o 0 a E H x Z 8 U m p H h G Z X x E U F x h S 1 L q k j m 7 p Q W K V q T l Z e k 0 8 J 1 Q R z Y m d v L b O L r O Y T 1 T v P / D c h G X f 9 5 o q L O f F C 6 Y V N z o l 1 C a n R v 9 6 Y q I M D Z Y g w C 6 p M I p r I L y m 7 b 8 R y z R j V E E g o 7 K C j 5 + m G P r i i l K 4 j 4 T V A 2 i n z q w Y h q v 2 K b p V h m I k 4 n D x O G C s z 4 P o M U C 0 9 f F U N u m u G A 6 / L / 6 A 0 b 7 Q e A G x I a l I 7 v D o w 1 U Y G R r g i j Y c v x g / + 8 A K c U P D H u K u i E n 8 s i I q 8 x 9 L 0 e P l 6 P F K 9 H g 1 e h x S N 7 K A E U 1 t y r F r t g s I f 2 / o Z c M h V i m o C c o L 7 C p o y v 2 g x X C 1 O r O o V 3 W n f h P t 9 4 M u u J 3 D Q l s X I U s K h W I H B S V i t 2 R 5 R z K Z Q D m 1 p T r B q z t s h 0 j S J w h d G T E p K V L o F c E z 7 I w p r a P S y J M p x 1 y x y 2 C t L J t 1 1 z k 5 K y k Y N 8 k 8 Y l C L s 4 u Y Z h k a R E I E 8 I 7 8 D o r k E 6 j N 9 + F m f E S 2 Q y K N 8 f T 0 m 2 + K A K i m t 9 9 6 B s 1 E 1 s F / s e 5 r C m p e g j G z C Q S A y T / G r t h r / R 3 b N i L I 8 Y w T S 8 4 k W V E r K a Q p v Y 7 + + d a 0 p q q 6 J a Q s f / V H 7 N q C a R m F 9 a V 7 Q E e W G f Q P O m p K U E z D S 8 9 b g S p a Z 1 i Z e C t 2 w z q T d V e 3 d P c 0 s k 6 I W g f W C Z t l z z o 0 A t m x z h c j b R G B S l E 2 s y A a J 9 5 6 o u f Y R W U M T e H i k e z Q l W X P 4 q v F C j d S n P E C T P X + D b X v U S l C u v U k Q O 4 z I P o B o G z S N r r t l L G N F w x b J B H E d U l 2 O k 0 j L L l R S y K 2 V i S M F Q 7 B B H t F S U e B X c h W O i 6 h + a 6 E p g z X g B / M x 9 j t T 7 / 5 I Q 3 K + Z b p 3 P D 0 v j U r v O k p k M t Y H s d C O H b x j k F u E 0 P K + 1 R F G a e q 7 T 3 d 1 V d X T W s 5 K 8 e p e N o 9 p / b j N V + 0 I b g D B E z i v c S 8 X 2 b e r z D v V 5 n 3 I e b 9 2 o m 5 X K m E j s D t W s d O t c 1 p w g n 9 s b m m W L p S E V b P m q t j j 9 c M 0 F c / j d 3 m V e z k g q M / N h Z F V T O u v l b R R T X A G g D P 4 c Y K e t S M u + O Z h 5 n C M Q l Y d w 0 H t f i h Y T i m Q Y C a g N k a 5 T u 2 a Y l U B j k z w L q M X 0 y 2 W A 3 K o T 0 C h A y q g T 8 b S + 5 k A / h K w E V h 8 0 R G Y h C m R g m H H 5 6 c Q h X t p R y d Q K / j V b 1 u L p k V L N 6 n H H 3 N r F p m J W r 4 n d N Y 9 b e K L I h e x 8 H k W r Y d 6 B x C w w 8 / W n o l p A 5 1 4 1 Q g E b e 9 x Z j 9 5 X a A p m q 0 w + i t v m h y F W p Y I 7 3 J Y f s U u 4 w F G D F Q h E P N U D f Y d 0 r x 8 e N S F s T w o t v Q q 8 N W + V a j v G y 4 U s a D 3 0 e L 8 e 3 S 8 V a o v S h b C K 1 3 o L 5 Q j S + y 8 F q H S i 1 5 r T t H I g V s F O h P 0 v h 7 o P z x T 8 o l 5 G k U S o P F q 5 p S L G n K 5 a I f q E x o O R S 0 H J R u 2 R n m N W g p 2 x A g l q 7 L N L w s C / G K 1 G y g 4 V V Z i E O y E K / J Q r w u 2 / C G 7 N D F Q e m t K U r D 9 L e 7 T y Q Z Q u p O l A x M O J t i C k r f U p q U V c Z 0 Z f f y U j j 2 F 9 W I R b F K D N Q I r 0 U U j V Y e 0 J u w Z w h d t i E B j N V E W h y s u B U v n V E N V U q n o W J m f 7 n j 7 M k R a I 2 x N A y u a 6 V q j h i W y d e q Z H U a 9 S F 2 u n j E J R T I j b Z E 6 a N U N D M e q Z + d A O t h S 6 + C X 3 4 e D v v 8 g C J 3 2 E d u z 1 k 5 6 / N + b j 0 B A t v z 9 r 1 P i r f t v c S B C q q Q j r + 9 8 p o 4 P v H e O 8 R x t 2 0 U u h A C 6 d Q S N y L D L E 2 m 7 l 8 o o A d V 6 I g b N z j A Z B k e E S H m + A R w n + N G T W G X 1 j M i P v e L t 9 9 6 6 h 2 h O J j S 2 s L n 5 y / a B 9 g v 4 c 8 v i c 1 w y E Y h G l L c m S 9 l R k v Z Z a S A C U S s i / e D D a z H 7 g 4 T v Z f d K j 5 w 3 3 H j E n J a m k k N E 7 e U Q 5 / d X y 6 h K G G 7 2 U k l b D 4 H N t z i K Q M k q e X q y 4 Y E I I Y 8 O K D i k H P a i A g d W e H d t y i + y X h w U Y W 0 O U J 0 S R s Z o U Z j Y 0 u i O E V C t I G z a L K D l t L 2 E C 5 N o G l p N S 0 d K e N j v T y H Z p M U l S Q 4 u F S o u I k U 0 x 1 A n W 9 l E b 8 v R e m N C c 6 j p H W O + J R Q z n v k k B Q Z 8 3 R c S m j Q 0 0 1 k x Q n X L 6 1 v K R i Y O 6 I m j 5 Z F R 9 h U v T h e x w 1 D + g U j w y e Z + o d H O 1 l 3 Y A n J t A n 9 j r 5 m m R P 6 A n Z 5 z 4 x b 8 E / / O N 3 n / 4 + I o 5 8 A R z f x a S a 8 o h N w X 7 D g B u j U 8 x C f a f v n 3 v / A b L f t 1 6 J 2 I A 7 5 R C + l A G y K z 0 / 9 4 9 G 3 e I x d L G 6 2 A s g o 1 x Q E G X Q 4 x D C 3 A m z i Y G J A b 3 B O 7 L 5 / V o t O Z X e R S I T X g x B f N G z r V + I g N 6 k L H n A z k O q 4 i 4 L w U b C Y O c Q y 5 g M + w i 3 4 a b H w / 7 N o R o e B L E S J w c E p L 5 r k Z / / 4 V 5 Q A R 0 o q g L n r i 1 L E e n 2 E g j n C T Q M J D g M f B l K c 2 B 3 a t F a g I x 4 b z + U d X / 1 z A p S 2 s P S 3 5 D N R v Z E T T E 4 w q Q g m O x e v F 6 p j 3 Z p u a J B N 8 s q G I B m o q a m T y S 4 7 D l I V J L B l T b f s / q S h Y q G 7 m U j Y A o + 5 I 5 U z f R J I n p q N Z G o U m c l 0 a u w k E q l 5 f O m B S 8 M k m 2 S X g s k P j A X A m W T a j J j u 1 6 A u u A C 0 F 5 F f B + 7 I I L 2 0 t 4 s A v v D u G v / 4 D E 9 5 1 5 H 1 s I 9 p y 5 i b D F k S X J p L V 0 V R y k R X Q m X B F y p T 0 5 O j 4 7 N j U k I F n g b 7 4 a / i / G T d X Q M M L L s / X d p g q q x B v F 6 w B W f G 2 T p d 9 6 2 k 4 2 2 s O d b j 5 S 0 + Q U 3 m + p a k 8 E n M I + R O c r h U Q t V 7 H Y b 4 A n 7 d p 3 u A v W H a Z T G / j z 2 2 7 H q C 1 E q Z h S 0 Q X A l X x u L x T n d D I c v L Y g l y m V c S X V 5 t o Q V e m O O R 5 0 a f m 9 z o D M H l i c 8 n m P g s k 9 j I n M w F p N / G F N H / V c V 2 F L p o K C E l h Z Y G f v 7 R O R I G Q U L V V y g L 2 o / X o 8 c b 0 W N x k H g u f o F b F f T 7 d e b 9 B v P u o 0 s W F M + Q e O o o S v y D Z a H I i B c / n D C h 6 n B G P l 0 X m 5 4 v A h H l 6 s f W x t R R K Z M 8 B n w p k 6 K Z P i A U Z g 6 e I 8 E V 5 k K e P 8 m V z k g 5 O 0 z e v T l B Z I u w r B F J 1 2 w v S 0 X L K 3 u R k s y x z V N V T 1 W Y J M + v z C K / U q P 9 d V F 8 M l / n L N Z Z S V z o P M s 1 z 3 L t K s s 1 I e K W G M X L s 2 P P a X a s Z A S c s 5 N T J L G m I e N j + f p K V 8 o k z P i V N f 0 u q e w n V g u l P v X k T t 7 z 7 6 z m 3 1 n N c o a C L v l 3 V s / Z d 1 b T f g O E E a 1 f h V p X s t X r S o x i l 7 / e I d b u x / T N K f Z D Y O m / Q Z X N x 0 2 L / H E u K W x 7 O C E q q u 2 w R y R 2 / E y Q Y K l U 2 Z M h F I h J u q f M f E a E u d q s x Z g Q p A n i g 6 L N D p x z 1 3 9 n 4 g R t j f w 2 R H 4 b I k 9 u z 2 9 D 5 A T z 5 Q k m v w 2 R 3 4 b 4 q m 9 D Z O A T 9 i Z v u 5 Y I X b L 8 8 U j M z O 6 2 Z 6 Z I s g A 0 j 6 a M l / m F y O H l Z h g Y 5 8 n x x C + n Y K n p a A G y T o j 1 L H D P r U e 3 j a p Z M 8 G + L a g K D P x D w 3 a N G f c R 8 u Z t C 2 z 0 j H a o m / x c Z t W P n V z i O 3 S p D K J R 3 g H P 7 v o h H b Y T M x J B d c N l p H F H G n X X r k W r B K W E N 8 F 9 G S C I h l H p j I R v 2 q V / T a G C N o I e R S Y R u x S / 0 Y K f 7 Z C 1 h F Q i A h h i Q 3 0 s I D F x u 9 Q h J t / v v f B e 5 1 H 5 P C q f R + X z q P x p j 8 r 3 9 s m f 0 / E T B K n i s n z Q t 3 N o t g s z h A 3 / r b O / j d W V M c G G y t N b C h w 7 H 4 c v m O b i 0 y U V B 1 w V K 4 i 4 y k S 1 4 3 Q u D m / j 3 + v r V 9 o F 7 d h 1 K k J h Y s e p N g t / k B S b 8 K 2 n v j X i 2 3 i w t G r 4 8 e L 0 4 F 6 i 7 c E N 9 p C b F v p g + F d o / g e t M T e g o Z o E A z Y D t 2 w T u 2 T 4 5 2 G w Q X T Y A y L b M G h 7 Q m 1 v 9 A i z e B N Q 6 W W S r + H 9 P c Y U f O V + 5 C 4 j P o c C x O m 9 g a W k I r G C z 2 E q a O 2 Q K 7 B H 3 E E 8 w L + V E z j l q C W a G r T d O V F M f v f e 9 D D a G x j h C H c 7 Q C s Y B R 9 g u 9 B I H / 3 5 9 X s 7 I a 3 2 M N j b 0 G 0 M h t j B y W 6 B k t x D p H q A A h H Z D I Z / t w h 1 a 2 2 S A G W P 0 R g 5 c R 7 y q P P f 9 8 x / 3 7 P X I / D 8 9 z 1 5 8 y y l b Z W B l X c C 5 l m 6 Z E 8 + K 6 f 7 b A b x p 9 f n v 5 + e T 5 H W Q H + G n j E G M / p t l N O c Z 0 R k + w j v + w 0 U Y 3 + g h o D 3 z f 8 B U E s B A i 0 A F A A C A A g A E V V 3 U 4 U q Y V m m A A A A + Q A A A B I A A A A A A A A A A A A A A A A A A A A A A E N v b m Z p Z y 9 Q Y W N r Y W d l L n h t b F B L A Q I t A B Q A A g A I A B F V d 1 M P y u m r p A A A A O k A A A A T A A A A A A A A A A A A A A A A A P I A A A B b Q 2 9 u d G V u d F 9 U e X B l c 1 0 u e G 1 s U E s B A i 0 A F A A C A A g A E V V 3 U + W z u C h / D Q A A z X 8 A A B M A A A A A A A A A A A A A A A A A 4 w E A A E Z v c m 1 1 b G F z L 1 N l Y 3 R p b 2 4 x L m 1 Q S w U G A A A A A A M A A w D C A A A A r w 8 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l l n A Q A A A A A A N 2 c 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U U F B Q U F B Q U F B Q W 8 x e V B m c 2 0 w a F J J W n Z O Z W V S T T V J V U M x c G h J R W w 2 Z G 1 W e m R H R n B B Q U F B Q U F B Q S I g L z 4 8 L 1 N 0 Y W J s Z U V u d H J p Z X M + P C 9 J d G V t P j x J d G V t P j x J d G V t T G 9 j Y X R p b 2 4 + P E l 0 Z W 1 U e X B l P k Z v c m 1 1 b G E 8 L 0 l 0 Z W 1 U e X B l P j x J d G V t U G F 0 a D 5 T Z W N 0 a W 9 u M S 9 m U H J p a G 9 k a V J l Z 2 l z d H J p P C 9 J d G V t U G F 0 a D 4 8 L 0 l 0 Z W 1 M b 2 N h d G l v b j 4 8 U 3 R h Y m x l R W 5 0 c m l l c z 4 8 R W 5 0 c n k g V H l w Z T 0 i S X N Q c m l 2 Y X R l I i B W Y W x 1 Z T 0 i b D A i I C 8 + P E V u d H J 5 I F R 5 c G U 9 I k J 1 Z m Z l c k 5 l e H R S Z W Z y Z X N o I i B W Y W x 1 Z T 0 i b D E 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G a W x s Z W R D b 2 1 w b G V 0 Z V J l c 3 V s d F R v V 2 9 y a 3 N o Z W V 0 I i B W Y W x 1 Z T 0 i b D A i I C 8 + P E V u d H J 5 I F R 5 c G U 9 I l F 1 Z X J 5 S U Q i I F Z h b H V l P S J z M j E x M j R i M G Q t Z m F h Y S 0 0 N T E z L T l i Y m Q t N j M 2 M T J j N z Z m N z I 4 I i A v P j x F b n R y e S B U e X B l P S J G a W x s T G F z d F V w Z G F 0 Z W Q i I F Z h b H V l P S J k M j A x O S 0 x M S 0 w M 1 Q w M T o 0 M j o z N i 4 3 O T M 4 M z A 2 W i I g L z 4 8 R W 5 0 c n k g V H l w Z T 0 i R m l s b E N v b H V t b l R 5 c G V z I i B W Y W x 1 Z T 0 i c 0 F B W U p B d 0 1 E Q X d Z P S I g L z 4 8 R W 5 0 c n k g V H l w Z T 0 i R m l s b E V y c m 9 y Q 2 9 k Z S I g V m F s d W U 9 I n N V b m t u b 3 d u I i A v P j x F b n R y e S B U e X B l P S J B Z G R l Z F R v R G F 0 Y U 1 v Z G V s I i B W Y W x 1 Z T 0 i b D A i I C 8 + P E V u d H J 5 I F R 5 c G U 9 I k Z p b G x D b 2 x 1 b W 5 O Y W 1 l c y I g V m F s d W U 9 I n N b J n F 1 b 3 Q 7 0 K D Q t d C z 0 L j R g d G C 0 L D R g C Z x d W 9 0 O y w m c X V v d D v Q o 9 G B 0 L v R g 9 C z 0 L A g 0 L 3 Q s N C 3 0 L j Q s i Z x d W 9 0 O y w m c X V v d D v Q n 9 C 1 0 Y D Q u N C + 0 L Q m c X V v d D s s J n F 1 b 3 Q 7 0 K L R g N C w 0 L 3 R g d C w 0 L r R h t C 4 0 L g m c X V v d D s s J n F 1 b 3 Q 7 0 K b Q t d C 9 0 L A m c X V v d D s s J n F 1 b 3 Q 7 0 J T Q u N G B 0 L r Q v t C 9 0 Y I m c X V v d D s s J n F 1 b 3 Q 7 0 J / R g N C 4 0 Y X Q v t C 0 0 L g m c X V v d D s s J n F 1 b 3 Q 7 0 J r Q v t C 9 0 Y L Q v i 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2 Z Q c m l o b 2 R p U m V n a X N 0 c m k v Z l B y a W h v Z G l S Z W d p c 3 R y a V 9 U Y W J s Z S 5 7 0 K D Q t d C z 0 L j R g d G C 0 L D R g C w w f S Z x d W 9 0 O y w m c X V v d D t T Z W N 0 a W 9 u M S 9 m U H J p a G 9 k a V J l Z 2 l z d H J p L 0 N o Y W 5 n Z W Q g V H l w Z S 5 7 0 K P R g d C 7 0 Y P Q s 9 C w I N C 9 0 L D Q t 9 C 4 0 L I s M X 0 m c X V v d D s s J n F 1 b 3 Q 7 U 2 V j d G l v b j E v Z l B y a W h v Z G l S Z W d p c 3 R y a S 9 D a G F u Z 2 V k I F R 5 c G U u e 9 C f 0 L X R g N C 4 0 L 7 Q t C w y f S Z x d W 9 0 O y w m c X V v d D t T Z W N 0 a W 9 u M S 9 m U H J p a G 9 k a V J l Z 2 l z d H J p L 0 N o Y W 5 n Z W Q g V H l w Z S 5 7 0 K L R g N C w 0 L 3 R g d C w 0 L r R h t C 4 0 L g s M 3 0 m c X V v d D s s J n F 1 b 3 Q 7 U 2 V j d G l v b j E v Z l B y a W h v Z G l S Z W d p c 3 R y a S 9 D a G F u Z 2 V k I F R 5 c G U u e 9 C m 0 L X Q v d C w L D R 9 J n F 1 b 3 Q 7 L C Z x d W 9 0 O 1 N l Y 3 R p b 2 4 x L 2 Z Q c m l o b 2 R p U m V n a X N 0 c m k v Q 2 h h b m d l Z C B U e X B l L n v Q l N C 4 0 Y H Q u t C + 0 L 3 R g i w 1 f S Z x d W 9 0 O y w m c X V v d D t T Z W N 0 a W 9 u M S 9 m U H J p a G 9 k a V J l Z 2 l z d H J p L 0 N o Y W 5 n Z W Q g V H l w Z S 5 7 0 J / R g N C 4 0 Y X Q v t C 0 0 L g s N n 0 m c X V v d D s s J n F 1 b 3 Q 7 U 2 V j d G l v b j E v Z l B y a W h v Z G l S Z W d p c 3 R y a S 9 D a G F u Z 2 V k I F R 5 c G U u e 9 C a 0 L 7 Q v d G C 0 L 4 s N 3 0 m c X V v d D t d L C Z x d W 9 0 O 0 N v b H V t b k N v d W 5 0 J n F 1 b 3 Q 7 O j g s J n F 1 b 3 Q 7 S 2 V 5 Q 2 9 s d W 1 u T m F t Z X M m c X V v d D s 6 W 1 0 s J n F 1 b 3 Q 7 Q 2 9 s d W 1 u S W R l b n R p d G l l c y Z x d W 9 0 O z p b J n F 1 b 3 Q 7 U 2 V j d G l v b j E v Z l B y a W h v Z G l S Z W d p c 3 R y a S 9 m U H J p a G 9 k a V J l Z 2 l z d H J p X 1 R h Y m x l L n v Q o N C 1 0 L P Q u N G B 0 Y L Q s N G A L D B 9 J n F 1 b 3 Q 7 L C Z x d W 9 0 O 1 N l Y 3 R p b 2 4 x L 2 Z Q c m l o b 2 R p U m V n a X N 0 c m k v Q 2 h h b m d l Z C B U e X B l L n v Q o 9 G B 0 L v R g 9 C z 0 L A g 0 L 3 Q s N C 3 0 L j Q s i w x f S Z x d W 9 0 O y w m c X V v d D t T Z W N 0 a W 9 u M S 9 m U H J p a G 9 k a V J l Z 2 l z d H J p L 0 N o Y W 5 n Z W Q g V H l w Z S 5 7 0 J / Q t d G A 0 L j Q v t C 0 L D J 9 J n F 1 b 3 Q 7 L C Z x d W 9 0 O 1 N l Y 3 R p b 2 4 x L 2 Z Q c m l o b 2 R p U m V n a X N 0 c m k v Q 2 h h b m d l Z C B U e X B l L n v Q o t G A 0 L D Q v d G B 0 L D Q u t G G 0 L j Q u C w z f S Z x d W 9 0 O y w m c X V v d D t T Z W N 0 a W 9 u M S 9 m U H J p a G 9 k a V J l Z 2 l z d H J p L 0 N o Y W 5 n Z W Q g V H l w Z S 5 7 0 K b Q t d C 9 0 L A s N H 0 m c X V v d D s s J n F 1 b 3 Q 7 U 2 V j d G l v b j E v Z l B y a W h v Z G l S Z W d p c 3 R y a S 9 D a G F u Z 2 V k I F R 5 c G U u e 9 C U 0 L j R g d C 6 0 L 7 Q v d G C L D V 9 J n F 1 b 3 Q 7 L C Z x d W 9 0 O 1 N l Y 3 R p b 2 4 x L 2 Z Q c m l o b 2 R p U m V n a X N 0 c m k v Q 2 h h b m d l Z C B U e X B l L n v Q n 9 G A 0 L j R h d C + 0 L T Q u C w 2 f S Z x d W 9 0 O y w m c X V v d D t T Z W N 0 a W 9 u M S 9 m U H J p a G 9 k a V J l Z 2 l z d H J p L 0 N o Y W 5 n Z W Q g V H l w Z S 5 7 0 J r Q v t C 9 0 Y L Q v i w 3 f S Z x d W 9 0 O 1 0 s J n F 1 b 3 Q 7 U m V s Y X R p b 2 5 z a G l w S W 5 m b y Z x d W 9 0 O z p b X X 0 i I C 8 + P C 9 T d G F i b G V F b n R y a W V z P j w v S X R l b T 4 8 S X R l b T 4 8 S X R l b U x v Y 2 F 0 a W 9 u P j x J d G V t V H l w Z T 5 G b 3 J t d W x h P C 9 J d G V t V H l w Z T 4 8 S X R l b V B h d G g + U 2 V j d G l v b j E v Z l B y a W h v Z G l S Z W d p c 3 R y a S 9 T b 3 V y Y 2 U 8 L 0 l 0 Z W 1 Q Y X R o P j w v S X R l b U x v Y 2 F 0 a W 9 u P j x T d G F i b G V F b n R y a W V z I C 8 + P C 9 J d G V t P j x J d G V t P j x J d G V t T G 9 j Y X R p b 2 4 + P E l 0 Z W 1 U e X B l P k Z v c m 1 1 b G E 8 L 0 l 0 Z W 1 U e X B l P j x J d G V t U G F 0 a D 5 T Z W N 0 a W 9 u M S 9 m U H J p a G 9 k a V J l Z 2 l z d H J p L 2 Z Q c m l o b 2 R p U m V n a X N 0 c m l f V G F i b G U 8 L 0 l 0 Z W 1 Q Y X R o P j w v S X R l b U x v Y 2 F 0 a W 9 u P j x T d G F i b G V F b n R y a W V z I C 8 + P C 9 J d G V t P j x J d G V t P j x J d G V t T G 9 j Y X R p b 2 4 + P E l 0 Z W 1 U e X B l P k Z v c m 1 1 b G E 8 L 0 l 0 Z W 1 U e X B l P j x J d G V t U G F 0 a D 5 T Z W N 0 a W 9 u M S 9 m U H J p a G 9 k a V J l Z 2 l z d H J p L 0 N o Y W 5 n Z W Q l M j B U e X B l P C 9 J d G V t U G F 0 a D 4 8 L 0 l 0 Z W 1 M b 2 N h d G l v b j 4 8 U 3 R h Y m x l R W 5 0 c m l l c y A v P j w v S X R l b T 4 8 S X R l b T 4 8 S X R l b U x v Y 2 F 0 a W 9 u P j x J d G V t V H l w Z T 5 G b 3 J t d W x h P C 9 J d G V t V H l w Z T 4 8 S X R l b V B h d G g + U 2 V j d G l v b j E v Z l B y a W h v Z G l P c 3 R h b m F 0 a T w v S X R l b V B h d G g + P C 9 J d G V t T G 9 j Y X R p b 2 4 + P F N 0 Y W J s Z U V u d H J p Z X M + P E V u d H J 5 I F R 5 c G U 9 I k l z U H J p d m F 0 Z S I g V m F s d W U 9 I m w w I i A v P j x F b n R y e S B U e X B l P S J O Y W 1 l V X B k Y X R l Z E F m d G V y R m l s b C I g V m F s d W U 9 I m w w I i A v P j x F b n R y e S B U e X B l P S J O Y X Z p Z 2 F 0 a W 9 u U 3 R l c E 5 h b W U i I F Z h b H V l P S J z T m F 2 a W d h d G l v b i I g L z 4 8 R W 5 0 c n k g V H l w Z T 0 i Q n V m Z m V y T m V 4 d F J l Z n J l c 2 g i I F Z h b H V l P S J s M S I g L z 4 8 R W 5 0 c n k g V H l w Z T 0 i U m V z d W x 0 V H l w Z S I g V m F s d W U 9 I n N U Y W J s Z 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T G F z d F V w Z G F 0 Z W Q i I F Z h b H V l P S J k M j A x O S 0 x M S 0 w M 1 Q w M T o 0 M j o z N i 4 4 N z g 0 O D c 3 W i I g L z 4 8 R W 5 0 c n k g V H l w Z T 0 i R m l s b E N v b H V t b l R 5 c G V z I i B W Y W x 1 Z T 0 i c 0 J n a 0 R C Z z 0 9 I i A v P j x F b n R y e S B U e X B l P S J G a W x s R X J y b 3 J D b 2 R l I i B W Y W x 1 Z T 0 i c 1 V u a 2 5 v d 2 4 i I C 8 + P E V u d H J 5 I F R 5 c G U 9 I k F k Z G V k V G 9 E Y X R h T W 9 k Z W w i I F Z h b H V l P S J s M C I g L z 4 8 R W 5 0 c n k g V H l w Z T 0 i R m l s b E N v b H V t b k 5 h b W V z I i B W Y W x 1 Z T 0 i c 1 s m c X V v d D v Q o 9 G B 0 L v R g 9 C z 0 L A g 0 L 3 Q s N C 3 0 L j Q s i Z x d W 9 0 O y w m c X V v d D v Q n 9 C 1 0 Y D Q u N C + 0 L Q m c X V v d D s s J n F 1 b 3 Q 7 0 J / R g N C 4 0 Y X Q v t C 0 0 L g m c X V v d D s s J n F 1 b 3 Q 7 0 J r Q v t C 9 0 Y L Q v 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2 Z Q c m l o b 2 R p T 3 N 0 Y W 5 h d G k v Q 2 h h b m d l Z C B U e X B l L n v Q o 9 G B 0 L v R g 9 C z 0 L A g 0 L 3 Q s N C 3 0 L j Q s i w w f S Z x d W 9 0 O y w m c X V v d D t T Z W N 0 a W 9 u M S 9 m U H J p a G 9 k a U 9 z d G F u Y X R p L 0 N o Y W 5 n Z W Q g V H l w Z S 5 7 0 J / Q t d G A 0 L j Q v t C 0 L D F 9 J n F 1 b 3 Q 7 L C Z x d W 9 0 O 1 N l Y 3 R p b 2 4 x L 2 Z Q c m l o b 2 R p T 3 N 0 Y W 5 h d G k v Q 2 h h b m d l Z C B U e X B l L n v Q n 9 G A 0 L j R h d C + 0 L T Q u C w y f S Z x d W 9 0 O y w m c X V v d D t T Z W N 0 a W 9 u M S 9 m U H J p a G 9 k a U 9 z d G F u Y X R p L 0 N o Y W 5 n Z W Q g V H l w Z S 5 7 0 J r Q v t C 9 0 Y L Q v i w z f S Z x d W 9 0 O 1 0 s J n F 1 b 3 Q 7 Q 2 9 s d W 1 u Q 2 9 1 b n Q m c X V v d D s 6 N C w m c X V v d D t L Z X l D b 2 x 1 b W 5 O Y W 1 l c y Z x d W 9 0 O z p b X S w m c X V v d D t D b 2 x 1 b W 5 J Z G V u d G l 0 a W V z J n F 1 b 3 Q 7 O l s m c X V v d D t T Z W N 0 a W 9 u M S 9 m U H J p a G 9 k a U 9 z d G F u Y X R p L 0 N o Y W 5 n Z W Q g V H l w Z S 5 7 0 K P R g d C 7 0 Y P Q s 9 C w I N C 9 0 L D Q t 9 C 4 0 L I s M H 0 m c X V v d D s s J n F 1 b 3 Q 7 U 2 V j d G l v b j E v Z l B y a W h v Z G l P c 3 R h b m F 0 a S 9 D a G F u Z 2 V k I F R 5 c G U u e 9 C f 0 L X R g N C 4 0 L 7 Q t C w x f S Z x d W 9 0 O y w m c X V v d D t T Z W N 0 a W 9 u M S 9 m U H J p a G 9 k a U 9 z d G F u Y X R p L 0 N o Y W 5 n Z W Q g V H l w Z S 5 7 0 J / R g N C 4 0 Y X Q v t C 0 0 L g s M n 0 m c X V v d D s s J n F 1 b 3 Q 7 U 2 V j d G l v b j E v Z l B y a W h v Z G l P c 3 R h b m F 0 a S 9 D a G F u Z 2 V k I F R 5 c G U u e 9 C a 0 L 7 Q v d G C 0 L 4 s M 3 0 m c X V v d D t d L C Z x d W 9 0 O 1 J l b G F 0 a W 9 u c 2 h p c E l u Z m 8 m c X V v d D s 6 W 1 1 9 I i A v P j w v U 3 R h Y m x l R W 5 0 c m l l c z 4 8 L 0 l 0 Z W 0 + P E l 0 Z W 0 + P E l 0 Z W 1 M b 2 N h d G l v b j 4 8 S X R l b V R 5 c G U + R m 9 y b X V s Y T w v S X R l b V R 5 c G U + P E l 0 Z W 1 Q Y X R o P l N l Y 3 R p b 2 4 x L 2 Z Q c m l o b 2 R p T 3 N 0 Y W 5 h d G k v U 2 9 1 c m N l P C 9 J d G V t U G F 0 a D 4 8 L 0 l 0 Z W 1 M b 2 N h d G l v b j 4 8 U 3 R h Y m x l R W 5 0 c m l l c y A v P j w v S X R l b T 4 8 S X R l b T 4 8 S X R l b U x v Y 2 F 0 a W 9 u P j x J d G V t V H l w Z T 5 G b 3 J t d W x h P C 9 J d G V t V H l w Z T 4 8 S X R l b V B h d G g + U 2 V j d G l v b j E v Z l B y a W h v Z G l P c 3 R h b m F 0 a S 9 m U H J p a G 9 k a U 9 z d G F u Y X R p X 1 R h Y m x l P C 9 J d G V t U G F 0 a D 4 8 L 0 l 0 Z W 1 M b 2 N h d G l v b j 4 8 U 3 R h Y m x l R W 5 0 c m l l c y A v P j w v S X R l b T 4 8 S X R l b T 4 8 S X R l b U x v Y 2 F 0 a W 9 u P j x J d G V t V H l w Z T 5 G b 3 J t d W x h P C 9 J d G V t V H l w Z T 4 8 S X R l b V B h d G g + U 2 V j d G l v b j E v Z l B y a W h v Z G l P c 3 R h b m F 0 a S 9 D a G F u Z 2 V k J T I w V H l w Z T w v S X R l b V B h d G g + P C 9 J d G V t T G 9 j Y X R p b 2 4 + P F N 0 Y W J s Z U V u d H J p Z X M g L z 4 8 L 0 l 0 Z W 0 + P E l 0 Z W 0 + P E l 0 Z W 1 M b 2 N h d G l v b j 4 8 S X R l b V R 5 c G U + R m 9 y b X V s Y T w v S X R l b V R 5 c G U + P E l 0 Z W 1 Q Y X R o P l N l Y 3 R p b 2 4 x L 2 Z Q c m l o b 2 R p U m F z a G 9 k a U Z p b l B s Y W 4 8 L 0 l 0 Z W 1 Q Y X R o P j w v S X R l b U x v Y 2 F 0 a W 9 u P j x T d G F i b G V F b n R y a W V z P j x F b n R y e S B U e X B l P S J J c 1 B y a X Z h d G U i I F Z h b H V l P S J s M C I g L z 4 8 R W 5 0 c n k g V H l w Z T 0 i U m V z d W x 0 V H l w Z S I g V m F s d W U 9 I n N U Y W J s Z S I g L z 4 8 R W 5 0 c n k g V H l w Z T 0 i R m l s b E V u Y W J s Z W Q i I F Z h b H V l P S J s M C I g L z 4 8 R W 5 0 c n k g V H l w Z T 0 i R m l s b E 9 i a m V j d F R 5 c G U i I F Z h b H V l P S J z Q 2 9 u b m V j d G l v b k 9 u b H k i I C 8 + P E V u d H J 5 I F R 5 c G U 9 I k Z p b G x U b 0 R h d G F N b 2 R l b E V u Y W J s Z W Q i I F Z h b H V l P S J s M C I g L z 4 8 R W 5 0 c n k g V H l w Z T 0 i T m F t Z V V w Z G F 0 Z W R B Z n R l c k Z p b G w i I F Z h b H V l P S J s M C I g L z 4 8 R W 5 0 c n k g V H l w Z T 0 i T m F 2 a W d h d G l v b l N 0 Z X B O Y W 1 l I i B W Y W x 1 Z T 0 i c 0 5 h d m l n Y X R p b 2 4 i I C 8 + P E V u d H J 5 I F R 5 c G U 9 I k J 1 Z m Z l c k 5 l e H R S Z W Z y Z X N o I i B W Y W x 1 Z T 0 i b D E i I C 8 + P E V u d H J 5 I F R 5 c G U 9 I k Z p b G x l Z E N v b X B s Z X R l U m V z d W x 0 V G 9 X b 3 J r c 2 h l Z X Q i I F Z h b H V l P S J s M C I g L z 4 8 R W 5 0 c n k g V H l w Z T 0 i R m l s b E x h c 3 R V c G R h d G V k I i B W Y W x 1 Z T 0 i Z D I w M T k t M T E t M D l U M D g 6 N T Y 6 N T c u M T I 1 N D Q y N 1 o i I C 8 + P E V u d H J 5 I F R 5 c G U 9 I l F 1 Z X J 5 S U Q i I F Z h b H V l P S J z N T l m O D Q 2 Y j U t M m E 5 N i 0 0 N j Y 1 L T g 1 N 2 Y t Y T Q 4 N W Y 3 M D Q 1 O G U 2 I i A v P j x F b n R y e S B U e X B l P S J G a W x s Q 2 9 s d W 1 u V H l w Z X M i I F Z h b H V l P S J z Q m d Z S k F 3 P T 0 i I C 8 + P E V u d H J 5 I F R 5 c G U 9 I k Z p b G x F c n J v c k N v Z G U i I F Z h b H V l P S J z V W 5 r b m 9 3 b i I g L z 4 8 R W 5 0 c n k g V H l w Z T 0 i Q W R k Z W R U b 0 R h d G F N b 2 R l b C I g V m F s d W U 9 I m w w I i A v P j x F b n R y e S B U e X B l P S J G a W x s Q 2 9 s d W 1 u T m F t Z X M i I F Z h b H V l P S J z W y Z x d W 9 0 O 9 C h 0 Y L Q s N C y 0 L r Q s C Z x d W 9 0 O y w m c X V v d D v Q m t C + 0 L 3 R g t C + J n F 1 b 3 Q 7 L C Z x d W 9 0 O 9 C f 0 L X R g N C 4 0 L 7 Q t C Z x d W 9 0 O y w m c X V v d D t W c m V k b m 9 z d 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2 Z Q c m l o b 2 R p U m F z a G 9 k a U Z p b l B s Y W 4 v U 2 9 1 c m N l L n v Q o d G C 0 L D Q s t C 6 0 L A s M H 0 m c X V v d D s s J n F 1 b 3 Q 7 U 2 V j d G l v b j E v Z l B y a W h v Z G l S Y X N o b 2 R p R m l u U G x h b i 9 T b 3 V y Y 2 U u e 9 C a 0 L 7 Q v d G C 0 L 4 s M X 0 m c X V v d D s s J n F 1 b 3 Q 7 U 2 V j d G l v b j E v Z l B y a W h v Z G l S Y X N o b 2 R p R m l u U G x h b i 9 T b 3 V y Y 2 U u e 9 C f 0 L X R g N C 4 0 L 7 Q t C w y f S Z x d W 9 0 O y w m c X V v d D t T Z W N 0 a W 9 u M S 9 m U H J p a G 9 k a V J h c 2 h v Z G l G a W 5 Q b G F u L 1 N v d X J j Z S 5 7 0 J j Q t 9 C 9 0 L 7 R g S w z f S Z x d W 9 0 O 1 0 s J n F 1 b 3 Q 7 Q 2 9 s d W 1 u Q 2 9 1 b n Q m c X V v d D s 6 N C w m c X V v d D t L Z X l D b 2 x 1 b W 5 O Y W 1 l c y Z x d W 9 0 O z p b X S w m c X V v d D t D b 2 x 1 b W 5 J Z G V u d G l 0 a W V z J n F 1 b 3 Q 7 O l s m c X V v d D t T Z W N 0 a W 9 u M S 9 m U H J p a G 9 k a V J h c 2 h v Z G l G a W 5 Q b G F u L 1 N v d X J j Z S 5 7 0 K H R g t C w 0 L L Q u t C w L D B 9 J n F 1 b 3 Q 7 L C Z x d W 9 0 O 1 N l Y 3 R p b 2 4 x L 2 Z Q c m l o b 2 R p U m F z a G 9 k a U Z p b l B s Y W 4 v U 2 9 1 c m N l L n v Q m t C + 0 L 3 R g t C + L D F 9 J n F 1 b 3 Q 7 L C Z x d W 9 0 O 1 N l Y 3 R p b 2 4 x L 2 Z Q c m l o b 2 R p U m F z a G 9 k a U Z p b l B s Y W 4 v U 2 9 1 c m N l L n v Q n 9 C 1 0 Y D Q u N C + 0 L Q s M n 0 m c X V v d D s s J n F 1 b 3 Q 7 U 2 V j d G l v b j E v Z l B y a W h v Z G l S Y X N o b 2 R p R m l u U G x h b i 9 T b 3 V y Y 2 U u e 9 C Y 0 L f Q v d C + 0 Y E s M 3 0 m c X V v d D t d L C Z x d W 9 0 O 1 J l b G F 0 a W 9 u c 2 h p c E l u Z m 8 m c X V v d D s 6 W 1 1 9 I i A v P j w v U 3 R h Y m x l R W 5 0 c m l l c z 4 8 L 0 l 0 Z W 0 + P E l 0 Z W 0 + P E l 0 Z W 1 M b 2 N h d G l v b j 4 8 S X R l b V R 5 c G U + R m 9 y b X V s Y T w v S X R l b V R 5 c G U + P E l 0 Z W 1 Q Y X R o P l N l Y 3 R p b 2 4 x L 2 Z Q c m l o b 2 R p U m F z a G 9 k a U Z p b l B s Y W 4 v U 2 9 1 c m N l P C 9 J d G V t U G F 0 a D 4 8 L 0 l 0 Z W 1 M b 2 N h d G l v b j 4 8 U 3 R h Y m x l R W 5 0 c m l l c y A v P j w v S X R l b T 4 8 S X R l b T 4 8 S X R l b U x v Y 2 F 0 a W 9 u P j x J d G V t V H l w Z T 5 G b 3 J t d W x h P C 9 J d G V t V H l w Z T 4 8 S X R l b V B h d G g + U 2 V j d G l v b j E v Z l Z r d X B u a V B y a W h v Z G l G a W 5 Q b G F u P C 9 J d G V t U G F 0 a D 4 8 L 0 l 0 Z W 1 M b 2 N h d G l v b j 4 8 U 3 R h Y m x l R W 5 0 c m l l c z 4 8 R W 5 0 c n k g V H l w Z T 0 i S X N Q c m l 2 Y X R l I i B W Y W x 1 Z T 0 i b D A i I C 8 + P E V u d H J 5 I F R 5 c G U 9 I k J 1 Z m Z l c k 5 l e H R S Z W Z y Z X N o I i B W Y W x 1 Z T 0 i b D E i I C 8 + P E V u d H J 5 I F R 5 c G U 9 I k Z p b G x F b m F i b G V k I i B W Y W x 1 Z T 0 i b D A i I C 8 + P E V u d H J 5 I F R 5 c G U 9 I k Z p b G x P Y m p l Y 3 R U e X B l I i B W Y W x 1 Z T 0 i c 0 N v b m 5 l Y 3 R p b 2 5 P b m x 5 I i A v P j x F b n R y e S B U e X B l P S J G a W x s V G 9 E Y X R h T W 9 k Z W x F b m F i b G V k 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l F 1 Z X J 5 S U Q i I F Z h b H V l P S J z O D k 2 M z M 2 Z D g t M m E y M C 0 0 M z I w L T l j M m E t N z V m Y j E x N j g 2 M D F h I i A v P j x F b n R y e S B U e X B l P S J G a W x s T G F z d F V w Z G F 0 Z W Q i I F Z h b H V l P S J k M j A x O S 0 x M S 0 y N l Q x M D o z N D o 1 O S 4 w N T g 3 N D Y z W i I g L z 4 8 R W 5 0 c n k g V H l w Z T 0 i R m l s b E N v b H V t b l R 5 c G V z I i B W Y W x 1 Z T 0 i c 0 J n a 0 R B Q T 0 9 I i A v P j x F b n R y e S B U e X B l P S J G a W x s Q 2 9 s d W 1 u T m F t Z X M i I F Z h b H V l P S J z W y Z x d W 9 0 O 9 C a 0 L 7 Q v d G C 0 L 4 m c X V v d D s s J n F 1 b 3 Q 7 0 J / Q t d G A 0 L j Q v t C 0 J n F 1 b 3 Q 7 L C Z x d W 9 0 O 9 C Y 0 L f Q v d C + 0 Y E m c X V v d D s s J n F 1 b 3 Q 7 0 K D Q t d C z 0 L j R g d G C 0 L D R g 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2 Z W a 3 V w b m l Q c m l o b 2 R p R m l u U G x h b i 9 D a G F u Z 2 V k I F R 5 c G U u e 9 C a 0 L 7 Q v d G C 0 L 4 s M H 0 m c X V v d D s s J n F 1 b 3 Q 7 U 2 V j d G l v b j E v Z l Z r d X B u a V B y a W h v Z G l G a W 5 Q b G F u L 1 N v d X J j Z S 5 7 0 J / Q t d G A 0 L j Q v t C 0 L D F 9 J n F 1 b 3 Q 7 L C Z x d W 9 0 O 1 N l Y 3 R p b 2 4 x L 2 Z W a 3 V w b m l Q c m l o b 2 R p R m l u U G x h b i 9 T b 3 V y Y 2 U u e 9 C f 0 Y D Q u N G F 0 L 7 Q t N C 4 L D J 9 J n F 1 b 3 Q 7 L C Z x d W 9 0 O 1 N l Y 3 R p b 2 4 x L 2 Z W a 3 V w b m l Q c m l o b 2 R p R m l u U G x h b i 9 T b 3 V y Y 2 U u e 9 C g 0 L X Q s 9 C 4 0 Y H R g t C w 0 Y A s N H 0 m c X V v d D t d L C Z x d W 9 0 O 0 N v b H V t b k N v d W 5 0 J n F 1 b 3 Q 7 O j Q s J n F 1 b 3 Q 7 S 2 V 5 Q 2 9 s d W 1 u T m F t Z X M m c X V v d D s 6 W 1 0 s J n F 1 b 3 Q 7 Q 2 9 s d W 1 u S W R l b n R p d G l l c y Z x d W 9 0 O z p b J n F 1 b 3 Q 7 U 2 V j d G l v b j E v Z l Z r d X B u a V B y a W h v Z G l G a W 5 Q b G F u L 0 N o Y W 5 n Z W Q g V H l w Z S 5 7 0 J r Q v t C 9 0 Y L Q v i w w f S Z x d W 9 0 O y w m c X V v d D t T Z W N 0 a W 9 u M S 9 m V m t 1 c G 5 p U H J p a G 9 k a U Z p b l B s Y W 4 v U 2 9 1 c m N l L n v Q n 9 C 1 0 Y D Q u N C + 0 L Q s M X 0 m c X V v d D s s J n F 1 b 3 Q 7 U 2 V j d G l v b j E v Z l Z r d X B u a V B y a W h v Z G l G a W 5 Q b G F u L 1 N v d X J j Z S 5 7 0 J / R g N C 4 0 Y X Q v t C 0 0 L g s M n 0 m c X V v d D s s J n F 1 b 3 Q 7 U 2 V j d G l v b j E v Z l Z r d X B u a V B y a W h v Z G l G a W 5 Q b G F u L 1 N v d X J j Z S 5 7 0 K D Q t d C z 0 L j R g d G C 0 L D R g C w 0 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2 Z W a 3 V w b m l Q c m l o b 2 R p R m l u U G x h b i 9 T b 3 V y Y 2 U 8 L 0 l 0 Z W 1 Q Y X R o P j w v S X R l b U x v Y 2 F 0 a W 9 u P j x T d G F i b G V F b n R y a W V z I C 8 + P C 9 J d G V t P j x J d G V t P j x J d G V t T G 9 j Y X R p b 2 4 + P E l 0 Z W 1 U e X B l P k Z v c m 1 1 b G E 8 L 0 l 0 Z W 1 U e X B l P j x J d G V t U G F 0 a D 5 T Z W N 0 a W 9 u M S 9 m V m t 1 c G 5 p U H J p a G 9 k a U Z p b l B s Y W 4 v U m V u Y W 1 l Z C U y M E N v b H V t b n M 8 L 0 l 0 Z W 1 Q Y X R o P j w v S X R l b U x v Y 2 F 0 a W 9 u P j x T d G F i b G V F b n R y a W V z I C 8 + P C 9 J d G V t P j x J d G V t P j x J d G V t T G 9 j Y X R p b 2 4 + P E l 0 Z W 1 U e X B l P k Z v c m 1 1 b G E 8 L 0 l 0 Z W 1 U e X B l P j x J d G V t U G F 0 a D 5 T Z W N 0 a W 9 u M S 9 m V m t 1 c G 5 p U H J p a G 9 k a U Z p b l B s Y W 4 v U m V t b 3 Z l Z C U y M E N v b H V t b n M 8 L 0 l 0 Z W 1 Q Y X R o P j w v S X R l b U x v Y 2 F 0 a W 9 u P j x T d G F i b G V F b n R y a W V z I C 8 + P C 9 J d G V t P j x J d G V t P j x J d G V t T G 9 j Y X R p b 2 4 + P E l 0 Z W 1 U e X B l P k Z v c m 1 1 b G E 8 L 0 l 0 Z W 1 U e X B l P j x J d G V t U G F 0 a D 5 T Z W N 0 a W 9 u M S 9 m V m t 1 c G 5 p U m F z a G 9 k a U Z p b l B s Y W 4 8 L 0 l 0 Z W 1 Q Y X R o P j w v S X R l b U x v Y 2 F 0 a W 9 u P j x T d G F i b G V F b n R y a W V z P j x F b n R y e S B U e X B l P S J J c 1 B y a X Z h d G U i I F Z h b H V l P S J s M C I g L z 4 8 R W 5 0 c n k g V H l w Z T 0 i U m V z d W x 0 V H l w Z S I g V m F s d W U 9 I n N U Y W J s Z S I g L z 4 8 R W 5 0 c n k g V H l w Z T 0 i R m l s b E V u Y W J s Z W Q i I F Z h b H V l P S J s M C I g L z 4 8 R W 5 0 c n k g V H l w Z T 0 i R m l s b E 9 i a m V j d F R 5 c G U i I F Z h b H V l P S J z Q 2 9 u b m V j d G l v b k 9 u b H k i I C 8 + P E V u d H J 5 I F R 5 c G U 9 I k Z p b G x U b 0 R h d G F N b 2 R l b E V u Y W J s Z W Q i I F Z h b H V l P S J s M C I g L z 4 8 R W 5 0 c n k g V H l w Z T 0 i T m F t Z V V w Z G F 0 Z W R B Z n R l c k Z p b G w i I F Z h b H V l P S J s M C I g L z 4 8 R W 5 0 c n k g V H l w Z T 0 i T m F 2 a W d h d G l v b l N 0 Z X B O Y W 1 l I i B W Y W x 1 Z T 0 i c 0 5 h d m l n Y X R p b 2 4 i I C 8 + P E V u d H J 5 I F R 5 c G U 9 I k J 1 Z m Z l c k 5 l e H R S Z W Z y Z X N o I i B W Y W x 1 Z T 0 i b D E i I C 8 + P E V u d H J 5 I F R 5 c G U 9 I k Z p b G x l Z E N v b X B s Z X R l U m V z d W x 0 V G 9 X b 3 J r c 2 h l Z X Q i I F Z h b H V l P S J s M C I g L z 4 8 R W 5 0 c n k g V H l w Z T 0 i U X V l c n l J R C I g V m F s d W U 9 I n N j M D I 1 O T g 1 N i 0 w Z T M 3 L T Q 4 Y W Q t O W J j O S 1 i Y W N i M j E 3 M D R k Z T Y i I C 8 + P E V u d H J 5 I F R 5 c G U 9 I k Z p b G x M Y X N 0 V X B k Y X R l Z C I g V m F s d W U 9 I m Q y M D E 5 L T E x L T A 5 V D A 4 O j U 2 O j U 3 L j A 3 O D U 5 M T h a I i A v P j x F b n R y e S B U e X B l P S J G a W x s Q 2 9 s d W 1 u V H l w Z X M i I F Z h b H V l P S J z Q m d r R C I g L z 4 8 R W 5 0 c n k g V H l w Z T 0 i R m l s b E V y c m 9 y Q 2 9 k Z S I g V m F s d W U 9 I n N V b m t u b 3 d u I i A v P j x F b n R y e S B U e X B l P S J B Z G R l Z F R v R G F 0 Y U 1 v Z G V s I i B W Y W x 1 Z T 0 i b D A i I C 8 + P E V u d H J 5 I F R 5 c G U 9 I k Z p b G x D b 2 x 1 b W 5 O Y W 1 l c y I g V m F s d W U 9 I n N b J n F 1 b 3 Q 7 0 J r Q v t C 9 0 Y L Q v i Z x d W 9 0 O y w m c X V v d D v Q n 9 C 1 0 Y D Q u N C + 0 L Q m c X V v d D s s J n F 1 b 3 Q 7 0 J j Q t 9 C 9 0 L 7 R g S 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2 Z W a 3 V w b m l S Y X N o b 2 R p R m l u U G x h b i 9 T b 3 V y Y 2 U u e 9 C a 0 L 7 Q v d G C 0 L 4 s M 3 0 m c X V v d D s s J n F 1 b 3 Q 7 U 2 V j d G l v b j E v Z l Z r d X B u a V J h c 2 h v Z G l G a W 5 Q b G F u L 1 N v d X J j Z S 5 7 0 J / Q t d G A 0 L j Q v t C 0 L D F 9 J n F 1 b 3 Q 7 L C Z x d W 9 0 O 1 N l Y 3 R p b 2 4 x L 2 Z W a 3 V w b m l S Y X N o b 2 R p R m l u U G x h b i 9 T b 3 V y Y 2 U u e 9 C Y 0 L f Q v d C + 0 Y E s M n 0 m c X V v d D t d L C Z x d W 9 0 O 0 N v b H V t b k N v d W 5 0 J n F 1 b 3 Q 7 O j M s J n F 1 b 3 Q 7 S 2 V 5 Q 2 9 s d W 1 u T m F t Z X M m c X V v d D s 6 W 1 0 s J n F 1 b 3 Q 7 Q 2 9 s d W 1 u S W R l b n R p d G l l c y Z x d W 9 0 O z p b J n F 1 b 3 Q 7 U 2 V j d G l v b j E v Z l Z r d X B u a V J h c 2 h v Z G l G a W 5 Q b G F u L 1 N v d X J j Z S 5 7 0 J r Q v t C 9 0 Y L Q v i w z f S Z x d W 9 0 O y w m c X V v d D t T Z W N 0 a W 9 u M S 9 m V m t 1 c G 5 p U m F z a G 9 k a U Z p b l B s Y W 4 v U 2 9 1 c m N l L n v Q n 9 C 1 0 Y D Q u N C + 0 L Q s M X 0 m c X V v d D s s J n F 1 b 3 Q 7 U 2 V j d G l v b j E v Z l Z r d X B u a V J h c 2 h v Z G l G a W 5 Q b G F u L 1 N v d X J j Z S 5 7 0 J j Q t 9 C 9 0 L 7 R g S w y f S Z x d W 9 0 O 1 0 s J n F 1 b 3 Q 7 U m V s Y X R p b 2 5 z a G l w S W 5 m b y Z x d W 9 0 O z p b X X 0 i I C 8 + P C 9 T d G F i b G V F b n R y a W V z P j w v S X R l b T 4 8 S X R l b T 4 8 S X R l b U x v Y 2 F 0 a W 9 u P j x J d G V t V H l w Z T 5 G b 3 J t d W x h P C 9 J d G V t V H l w Z T 4 8 S X R l b V B h d G g + U 2 V j d G l v b j E v Z l Z r d X B u a V J h c 2 h v Z G l G a W 5 Q b G F u L 1 N v d X J j Z T w v S X R l b V B h d G g + P C 9 J d G V t T G 9 j Y X R p b 2 4 + P F N 0 Y W J s Z U V u d H J p Z X M g L z 4 8 L 0 l 0 Z W 0 + P E l 0 Z W 0 + P E l 0 Z W 1 M b 2 N h d G l v b j 4 8 S X R l b V R 5 c G U + R m 9 y b X V s Y T w v S X R l b V R 5 c G U + P E l 0 Z W 1 Q Y X R o P l N l Y 3 R p b 2 4 x L 2 Z W a 3 V w b m l Q c m l o b 2 R p R m l u U G x h b i 9 S Z W 9 y Z G V y Z W Q l M j B D b 2 x 1 b W 5 z M T w v S X R l b V B h d G g + P C 9 J d G V t T G 9 j Y X R p b 2 4 + P F N 0 Y W J s Z U V u d H J p Z X M g L z 4 8 L 0 l 0 Z W 0 + P E l 0 Z W 0 + P E l 0 Z W 1 M b 2 N h d G l v b j 4 8 S X R l b V R 5 c G U + R m 9 y b X V s Y T w v S X R l b V R 5 c G U + P E l 0 Z W 1 Q Y X R o P l N l Y 3 R p b 2 4 x L 2 R L b 2 5 0 Z W 5 Q b G F u P C 9 J d G V t U G F 0 a D 4 8 L 0 l 0 Z W 1 M b 2 N h d G l v b j 4 8 U 3 R h Y m x l R W 5 0 c m l l c z 4 8 R W 5 0 c n k g V H l w Z T 0 i S X N Q c m l 2 Y X R l I i B W Y W x 1 Z T 0 i b D A i I C 8 + P E V u d H J 5 I F R 5 c G U 9 I k 5 h b W V V c G R h d G V k Q W Z 0 Z X J G a W x s I i B W Y W x 1 Z T 0 i b D A i I C 8 + P E V u d H J 5 I F R 5 c G U 9 I k Z p b G x F b m F i b G V k I i B W Y W x 1 Z T 0 i b D A i I C 8 + P E V u d H J 5 I F R 5 c G U 9 I k Z p b G x P Y m p l Y 3 R U e X B l I i B W Y W x 1 Z T 0 i c 1 B p d m 9 0 V G F i b G U i I C 8 + P E V u d H J 5 I F R 5 c G U 9 I k Z p b G x U b 0 R h d G F N b 2 R l b E V u Y W J s Z W Q i I F Z h b H V l P S J s M S I g L z 4 8 R W 5 0 c n k g V H l w Z T 0 i U m V z d W x 0 V H l w Z S I g V m F s d W U 9 I n N U Y W J s Z S I g L z 4 8 R W 5 0 c n k g V H l w Z T 0 i Q n V m Z m V y T m V 4 d F J l Z n J l c 2 g i I F Z h b H V l P S J s M S I g L z 4 8 R W 5 0 c n k g V H l w Z T 0 i T m F 2 a W d h d G l v b l N 0 Z X B O Y W 1 l I i B W Y W x 1 Z T 0 i c 0 5 h d m l n Y X R p b 2 4 i I C 8 + P E V u d H J 5 I F R 5 c G U 9 I k Z p b G x l Z E N v b X B s Z X R l U m V z d W x 0 V G 9 X b 3 J r c 2 h l Z X Q i I F Z h b H V l P S J s M C I g L z 4 8 R W 5 0 c n k g V H l w Z T 0 i U X V l c n l J R C I g V m F s d W U 9 I n N j Y T V i Y 2 M 5 M C 1 k O D Q 2 L T R h Y z g t O T M z M C 0 4 M z I 0 M G F j Y j U z Z G U i I C 8 + P E V u d H J 5 I F R 5 c G U 9 I l B p d m 9 0 T 2 J q Z W N 0 T m F t Z S I g V m F s d W U 9 I n N D V U J F M i F G S U 5 Q T E F O I i A v P j x F b n R y e S B U e X B l P S J G a W x s T G F z d F V w Z G F 0 Z W Q i I F Z h b H V l P S J k M j A x O S 0 x M S 0 w N V Q x N D o w M T o 0 O S 4 1 N D Y 1 M T U y W i I g L z 4 8 R W 5 0 c n k g V H l w Z T 0 i R m l s b E N v b H V t b l R 5 c G V z I i B W Y W x 1 Z T 0 i c 0 J n W U R B d 0 1 H Q m d Z R 0 J n W U d C Z 0 1 H I i A v P j x F b n R y e S B U e X B l P S J G a W x s Q 2 9 s d W 1 u T m F t Z X M i I F Z h b H V l P S J z W y Z x d W 9 0 O 0 t v b n R v J n F 1 b 3 Q 7 L C Z x d W 9 0 O 0 5 h e m l 2 I G 5 h I G t v b n R v J n F 1 b 3 Q 7 L C Z x d W 9 0 O 1 R p c E l 6 d m V z d G F q S U Q m c X V v d D s s J n F 1 b 3 Q 7 T 2 J y Y X p l Y 0 l E J n F 1 b 3 Q 7 L C Z x d W 9 0 O 1 N 0 Y X Z r Y U l E J n F 1 b 3 Q 7 L C Z x d W 9 0 O 1 N 0 Y X Z r Y U l t Z U 1 L J n F 1 b 3 Q 7 L C Z x d W 9 0 O 1 N 0 Y X Z r Y U F P U C Z x d W 9 0 O y w m c X V v d D t T d G F 2 a 2 F J b W V F T i Z x d W 9 0 O y w m c X V v d D t L b G F z a W Z p a 2 F j a W p h U H J h d m l s b m l r J n F 1 b 3 Q 7 L C Z x d W 9 0 O 1 N 0 Y X Z r Y U d y d X B h S U Q m c X V v d D s s J n F 1 b 3 Q 7 U 3 R h d m t h R 3 J 1 c G E m c X V v d D s s J n F 1 b 3 Q 7 U 3 R h d m t h S 2 F 0 Z W d v c m l q Y S Z x d W 9 0 O y w m c X V v d D t L b G F z Y S Z x d W 9 0 O y w m c X V v d D t a b m F r S X p 2 Z X N 0 Y W o m c X V v d D s s J n F 1 b 3 Q 7 T 2 J y Y X p l Y 0 l t Z S Z x d W 9 0 O 1 0 i I C 8 + P E V u d H J 5 I F R 5 c G U 9 I k Z p b G x T d G F 0 d X M i I F Z h b H V l P S J z Q 2 9 t c G x l d G U i I C 8 + P E V u d H J 5 I F R 5 c G U 9 I k Z p b G x F c n J v c k N v d W 5 0 I i B W Y W x 1 Z T 0 i b D E 3 M S I g L z 4 8 R W 5 0 c n k g V H l w Z T 0 i Q W R k Z W R U b 0 R h d G F N b 2 R l b C I g V m F s d W U 9 I m w x I i A v P j x F b n R y e S B U e X B l P S J S Z W x h d G l v b n N o a X B J b m Z v Q 2 9 u d G F p b m V y I i B W Y W x 1 Z T 0 i c 3 s m c X V v d D t j b 2 x 1 b W 5 D b 3 V u d C Z x d W 9 0 O z o x N S w m c X V v d D t r Z X l D b 2 x 1 b W 5 O Y W 1 l c y Z x d W 9 0 O z p b X S w m c X V v d D t x d W V y e V J l b G F 0 a W 9 u c 2 h p c H M m c X V v d D s 6 W 3 s m c X V v d D t r Z X l D b 2 x 1 b W 5 D b 3 V u d C Z x d W 9 0 O z o x L C Z x d W 9 0 O 2 t l e U N v b H V t b i Z x d W 9 0 O z o 0 L C Z x d W 9 0 O 2 9 0 a G V y S 2 V 5 Q 2 9 s d W 1 u S W R l b n R p d H k m c X V v d D s 6 J n F 1 b 3 Q 7 U 2 V j d G l v b j E v Z F N 0 Y X Z r a S 9 D a G F u Z 2 V k I F R 5 c G U u e 1 N 0 Y X Z r Y U l E L D J 9 J n F 1 b 3 Q 7 L C Z x d W 9 0 O 0 t l e U N v b H V t b k N v d W 5 0 J n F 1 b 3 Q 7 O j F 9 L H s m c X V v d D t r Z X l D b 2 x 1 b W 5 D b 3 V u d C Z x d W 9 0 O z o x L C Z x d W 9 0 O 2 t l e U N v b H V t b i Z x d W 9 0 O z o z L C Z x d W 9 0 O 2 9 0 a G V y S 2 V 5 Q 2 9 s d W 1 u S W R l b n R p d H k m c X V v d D s 6 J n F 1 b 3 Q 7 U 2 V j d G l v b j E v Z E 9 i c m F z Y 2 k v Q 2 h h b m d l Z C B U e X B l L n t P Y n J h e m V j S U Q s M X 0 m c X V v d D s s J n F 1 b 3 Q 7 S 2 V 5 Q 2 9 s d W 1 u Q 2 9 1 b n Q m c X V v d D s 6 M X 1 d L C Z x d W 9 0 O 2 N v b H V t b k l k Z W 5 0 a X R p Z X M m c X V v d D s 6 W y Z x d W 9 0 O 1 N l Y 3 R p b 2 4 x L 2 R L b 2 5 0 Z W 5 Q b G F u L 0 N o Y W 5 n Z W Q g V H l w Z S 5 7 S 2 9 u d G 8 s M H 0 m c X V v d D s s J n F 1 b 3 Q 7 U 2 V j d G l v b j E v Z E t v b n R l b l B s Y W 4 v Q 2 h h b m d l Z C B U e X B l L n t O Y X p p d i B u Y S B r b 2 5 0 b y w x f S Z x d W 9 0 O y w m c X V v d D t T Z W N 0 a W 9 u M S 9 k S 2 9 u d G V u U G x h b i 9 D a G F u Z 2 V k I F R 5 c G U u e 1 R p c E l 6 d m V z d G F q S U Q s M n 0 m c X V v d D s s J n F 1 b 3 Q 7 U 2 V j d G l v b j E v Z E t v b n R l b l B s Y W 4 v Q 2 h h b m d l Z C B U e X B l L n t P Y n J h e m V j S U Q s M 3 0 m c X V v d D s s J n F 1 b 3 Q 7 U 2 V j d G l v b j E v Z E t v b n R l b l B s Y W 4 v Q 2 h h b m d l Z C B U e X B l L n t T d G F 2 a 2 F J R C w 0 f S Z x d W 9 0 O y w m c X V v d D t T Z W N 0 a W 9 u M S 9 k S 2 9 u d G V u U G x h b i 9 D a G F u Z 2 V k I F R 5 c G U u e 1 N 0 Y X Z r Y U l t Z U 1 L L D Z 9 J n F 1 b 3 Q 7 L C Z x d W 9 0 O 1 N l Y 3 R p b 2 4 x L 2 R T d G F 2 a 2 k v Q 2 h h b m d l Z C B U e X B l L n t T d G F 2 a 2 F B T 1 A s M X 0 m c X V v d D s s J n F 1 b 3 Q 7 U 2 V j d G l v b j E v Z F N 0 Y X Z r a S 9 D a G F u Z 2 V k I F R 5 c G U u e 1 N 0 Y X Z r Y U l t Z U V O L D R 9 J n F 1 b 3 Q 7 L C Z x d W 9 0 O 1 N l Y 3 R p b 2 4 x L 2 R T d G F 2 a 2 k v Q 2 h h b m d l Z C B U e X B l L n t L b G F z a W Z p a 2 F j a W p h U H J h d m l s b m l r L D V 9 J n F 1 b 3 Q 7 L C Z x d W 9 0 O 1 N l Y 3 R p b 2 4 x L 2 R T d G F 2 a 2 k v Q 2 h h b m d l Z C B U e X B l L n t T d G F 2 a 2 F H c n V w Y U l E L D Z 9 J n F 1 b 3 Q 7 L C Z x d W 9 0 O 1 N l Y 3 R p b 2 4 x L 2 R T d G F 2 a 2 k v Q 2 h h b m d l Z C B U e X B l L n t T d G F 2 a 2 F H c n V w Y S w 3 f S Z x d W 9 0 O y w m c X V v d D t T Z W N 0 a W 9 u M S 9 k U 3 R h d m t p L 0 N o Y W 5 n Z W Q g V H l w Z S 5 7 U 3 R h d m t h S 2 F 0 Z W d v c m l q Y S w 4 f S Z x d W 9 0 O y w m c X V v d D t T Z W N 0 a W 9 u M S 9 k U 3 R h d m t p L 0 N o Y W 5 n Z W Q g V H l w Z S 5 7 S 2 x h c 2 E s O X 0 m c X V v d D s s J n F 1 b 3 Q 7 U 2 V j d G l v b j E v Z F N 0 Y X Z r a S 9 D a G F u Z 2 V k I F R 5 c G U u e 1 p u Y W t J e n Z l c 3 R h a i w x M H 0 m c X V v d D s s J n F 1 b 3 Q 7 U 2 V j d G l v b j E v Z E 9 i c m F z Y 2 k v Q 2 h h b m d l Z C B U e X B l L n t P Y n J h e m V j S W 1 l L D J 9 J n F 1 b 3 Q 7 X S w m c X V v d D t D b 2 x 1 b W 5 D b 3 V u d C Z x d W 9 0 O z o x N S w m c X V v d D t L Z X l D b 2 x 1 b W 5 O Y W 1 l c y Z x d W 9 0 O z p b X S w m c X V v d D t D b 2 x 1 b W 5 J Z G V u d G l 0 a W V z J n F 1 b 3 Q 7 O l s m c X V v d D t T Z W N 0 a W 9 u M S 9 k S 2 9 u d G V u U G x h b i 9 D a G F u Z 2 V k I F R 5 c G U u e 0 t v b n R v L D B 9 J n F 1 b 3 Q 7 L C Z x d W 9 0 O 1 N l Y 3 R p b 2 4 x L 2 R L b 2 5 0 Z W 5 Q b G F u L 0 N o Y W 5 n Z W Q g V H l w Z S 5 7 T m F 6 a X Y g b m E g a 2 9 u d G 8 s M X 0 m c X V v d D s s J n F 1 b 3 Q 7 U 2 V j d G l v b j E v Z E t v b n R l b l B s Y W 4 v Q 2 h h b m d l Z C B U e X B l L n t U a X B J e n Z l c 3 R h a k l E L D J 9 J n F 1 b 3 Q 7 L C Z x d W 9 0 O 1 N l Y 3 R p b 2 4 x L 2 R L b 2 5 0 Z W 5 Q b G F u L 0 N o Y W 5 n Z W Q g V H l w Z S 5 7 T 2 J y Y X p l Y 0 l E L D N 9 J n F 1 b 3 Q 7 L C Z x d W 9 0 O 1 N l Y 3 R p b 2 4 x L 2 R L b 2 5 0 Z W 5 Q b G F u L 0 N o Y W 5 n Z W Q g V H l w Z S 5 7 U 3 R h d m t h S U Q s N H 0 m c X V v d D s s J n F 1 b 3 Q 7 U 2 V j d G l v b j E v Z E t v b n R l b l B s Y W 4 v Q 2 h h b m d l Z C B U e X B l L n t T d G F 2 a 2 F J b W V N S y w 2 f S Z x d W 9 0 O y w m c X V v d D t T Z W N 0 a W 9 u M S 9 k U 3 R h d m t p L 0 N o Y W 5 n Z W Q g V H l w Z S 5 7 U 3 R h d m t h Q U 9 Q L D F 9 J n F 1 b 3 Q 7 L C Z x d W 9 0 O 1 N l Y 3 R p b 2 4 x L 2 R T d G F 2 a 2 k v Q 2 h h b m d l Z C B U e X B l L n t T d G F 2 a 2 F J b W V F T i w 0 f S Z x d W 9 0 O y w m c X V v d D t T Z W N 0 a W 9 u M S 9 k U 3 R h d m t p L 0 N o Y W 5 n Z W Q g V H l w Z S 5 7 S 2 x h c 2 l m a W t h Y 2 l q Y V B y Y X Z p b G 5 p a y w 1 f S Z x d W 9 0 O y w m c X V v d D t T Z W N 0 a W 9 u M S 9 k U 3 R h d m t p L 0 N o Y W 5 n Z W Q g V H l w Z S 5 7 U 3 R h d m t h R 3 J 1 c G F J R C w 2 f S Z x d W 9 0 O y w m c X V v d D t T Z W N 0 a W 9 u M S 9 k U 3 R h d m t p L 0 N o Y W 5 n Z W Q g V H l w Z S 5 7 U 3 R h d m t h R 3 J 1 c G E s N 3 0 m c X V v d D s s J n F 1 b 3 Q 7 U 2 V j d G l v b j E v Z F N 0 Y X Z r a S 9 D a G F u Z 2 V k I F R 5 c G U u e 1 N 0 Y X Z r Y U t h d G V n b 3 J p a m E s O H 0 m c X V v d D s s J n F 1 b 3 Q 7 U 2 V j d G l v b j E v Z F N 0 Y X Z r a S 9 D a G F u Z 2 V k I F R 5 c G U u e 0 t s Y X N h L D l 9 J n F 1 b 3 Q 7 L C Z x d W 9 0 O 1 N l Y 3 R p b 2 4 x L 2 R T d G F 2 a 2 k v Q 2 h h b m d l Z C B U e X B l L n t a b m F r S X p 2 Z X N 0 Y W o s M T B 9 J n F 1 b 3 Q 7 L C Z x d W 9 0 O 1 N l Y 3 R p b 2 4 x L 2 R P Y n J h c 2 N p L 0 N o Y W 5 n Z W Q g V H l w Z S 5 7 T 2 J y Y X p l Y 0 l t Z S w y f S Z x d W 9 0 O 1 0 s J n F 1 b 3 Q 7 U m V s Y X R p b 2 5 z a G l w S W 5 m b y Z x d W 9 0 O z p b e y Z x d W 9 0 O 2 t l e U N v b H V t b k N v d W 5 0 J n F 1 b 3 Q 7 O j E s J n F 1 b 3 Q 7 a 2 V 5 Q 2 9 s d W 1 u J n F 1 b 3 Q 7 O j Q s J n F 1 b 3 Q 7 b 3 R o Z X J L Z X l D b 2 x 1 b W 5 J Z G V u d G l 0 e S Z x d W 9 0 O z o m c X V v d D t T Z W N 0 a W 9 u M S 9 k U 3 R h d m t p L 0 N o Y W 5 n Z W Q g V H l w Z S 5 7 U 3 R h d m t h S U Q s M n 0 m c X V v d D s s J n F 1 b 3 Q 7 S 2 V 5 Q 2 9 s d W 1 u Q 2 9 1 b n Q m c X V v d D s 6 M X 0 s e y Z x d W 9 0 O 2 t l e U N v b H V t b k N v d W 5 0 J n F 1 b 3 Q 7 O j E s J n F 1 b 3 Q 7 a 2 V 5 Q 2 9 s d W 1 u J n F 1 b 3 Q 7 O j M s J n F 1 b 3 Q 7 b 3 R o Z X J L Z X l D b 2 x 1 b W 5 J Z G V u d G l 0 e S Z x d W 9 0 O z o m c X V v d D t T Z W N 0 a W 9 u M S 9 k T 2 J y Y X N j a S 9 D a G F u Z 2 V k I F R 5 c G U u e 0 9 i c m F 6 Z W N J R C w x f S Z x d W 9 0 O y w m c X V v d D t L Z X l D b 2 x 1 b W 5 D b 3 V u d C Z x d W 9 0 O z o x f V 1 9 I i A v P j x F b n R y e S B U e X B l P S J G a W x s Q 2 9 1 b n Q i I F Z h b H V l P S J s M T E 2 N i I g L z 4 8 R W 5 0 c n k g V H l w Z T 0 i R m l s b E V y c m 9 y Q 2 9 k Z S I g V m F s d W U 9 I n N V b m t u b 3 d u I i A v P j w v U 3 R h Y m x l R W 5 0 c m l l c z 4 8 L 0 l 0 Z W 0 + P E l 0 Z W 0 + P E l 0 Z W 1 M b 2 N h d G l v b j 4 8 S X R l b V R 5 c G U + R m 9 y b X V s Y T w v S X R l b V R 5 c G U + P E l 0 Z W 1 Q Y X R o P l N l Y 3 R p b 2 4 x L 2 R L b 2 5 0 Z W 5 Q b G F u L 1 N v d X J j Z T w v S X R l b V B h d G g + P C 9 J d G V t T G 9 j Y X R p b 2 4 + P F N 0 Y W J s Z U V u d H J p Z X M g L z 4 8 L 0 l 0 Z W 0 + P E l 0 Z W 0 + P E l 0 Z W 1 M b 2 N h d G l v b j 4 8 S X R l b V R 5 c G U + R m 9 y b X V s Y T w v S X R l b V R 5 c G U + P E l 0 Z W 1 Q Y X R o P l N l Y 3 R p b 2 4 x L 2 Z Q c m l o b 2 R p U m F z a G 9 k a U Z p b l B s Y W 4 v U m V u Y W 1 l Z C U y M E N v b H V t b n M 8 L 0 l 0 Z W 1 Q Y X R o P j w v S X R l b U x v Y 2 F 0 a W 9 u P j x T d G F i b G V F b n R y a W V z I C 8 + P C 9 J d G V t P j x J d G V t P j x J d G V t T G 9 j Y X R p b 2 4 + P E l 0 Z W 1 U e X B l P k Z v c m 1 1 b G E 8 L 0 l 0 Z W 1 U e X B l P j x J d G V t U G F 0 a D 5 T Z W N 0 a W 9 u M S 9 m V m t 1 c G 5 p U H J p a G 9 k a U Z p b l B s Y W 4 v Q 2 h h b m d l Z C U y M F R 5 c G U 8 L 0 l 0 Z W 1 Q Y X R o P j w v S X R l b U x v Y 2 F 0 a W 9 u P j x T d G F i b G V F b n R y a W V z I C 8 + P C 9 J d G V t P j x J d G V t P j x J d G V t T G 9 j Y X R p b 2 4 + P E l 0 Z W 1 U e X B l P k Z v c m 1 1 b G E 8 L 0 l 0 Z W 1 U e X B l P j x J d G V t U G F 0 a D 5 T Z W N 0 a W 9 u M S 9 m Q W N 0 d W F s Q W 5 k Q n V k Z 2 V 0 P C 9 J d G V t U G F 0 a D 4 8 L 0 l 0 Z W 1 M b 2 N h d G l v b j 4 8 U 3 R h Y m x l R W 5 0 c m l l c z 4 8 R W 5 0 c n k g V H l w Z T 0 i S X N Q c m l 2 Y X R l I i B W Y W x 1 Z T 0 i b D A i I C 8 + P E V u d H J 5 I F R 5 c G U 9 I l J l c 3 V s d F R 5 c G U i I F Z h b H V l P S J z V G F i b G U i I C 8 + P E V u d H J 5 I F R 5 c G U 9 I k Z p b G x F b m F i b G V k I i B W Y W x 1 Z T 0 i b D A i I C 8 + P E V u d H J 5 I F R 5 c G U 9 I k Z p b G x P Y m p l Y 3 R U e X B l I i B W Y W x 1 Z T 0 i c 1 B p d m 9 0 V G F i b G U i I C 8 + P E V u d H J 5 I F R 5 c G U 9 I k Z p b G x U b 0 R h d G F N b 2 R l b E V u Y W J s Z W Q i I F Z h b H V l P S J s M S I g L z 4 8 R W 5 0 c n k g V H l w Z T 0 i T m F t Z V V w Z G F 0 Z W R B Z n R l c k Z p b G w i I F Z h b H V l P S J s M C I g L z 4 8 R W 5 0 c n k g V H l w Z T 0 i T m F 2 a W d h d G l v b l N 0 Z X B O Y W 1 l I i B W Y W x 1 Z T 0 i c 0 5 h d m l n Y X R p b 2 4 i I C 8 + P E V u d H J 5 I F R 5 c G U 9 I k J 1 Z m Z l c k 5 l e H R S Z W Z y Z X N o I i B W Y W x 1 Z T 0 i b D E i I C 8 + P E V u d H J 5 I F R 5 c G U 9 I k Z p b G x l Z E N v b X B s Z X R l U m V z d W x 0 V G 9 X b 3 J r c 2 h l Z X Q i I F Z h b H V l P S J s M C I g L z 4 8 R W 5 0 c n k g V H l w Z T 0 i U X V l c n l J R C I g V m F s d W U 9 I n M 1 M D U z N T g 0 Y S 1 k O T B k L T R j N G U t Y m R h Z S 1 h Y j k x O T F j M T J k Y 2 U i I C 8 + P E V u d H J 5 I F R 5 c G U 9 I l B p d m 9 0 T 2 J q Z W N 0 T m F t Z S I g V m F s d W U 9 I n M 1 L i B T c G V j L i B u Y S B m a W t z b m k g c y 1 2 Y S B p I G F t b 3 J 0 I V B p d m 9 0 V G F i b G U 0 I i A v P j x F b n R y e S B U e X B l P S J R d W V y e U d y b 3 V w S U Q i I F Z h b H V l P S J z Z G Y y M 2 Q 3 M j g t N m R i M i 0 0 N D I x L T g 2 N m Y t M z V l N z k x M z M 5 M j E 0 I i A v P j x F b n R y e S B U e X B l P S J G a W x s T G F z d F V w Z G F 0 Z W Q i I F Z h b H V l P S J k M j A y M S 0 x M S 0 y M 1 Q w O T o 0 M D o x N S 4 x M z g 0 N z k 3 W i I g L z 4 8 R W 5 0 c n k g V H l w Z T 0 i R m l s b E V y c m 9 y Q 2 9 1 b n Q i I F Z h b H V l P S J s M S I g L z 4 8 R W 5 0 c n k g V H l w Z T 0 i R m l s b E N v b H V t b l R 5 c G V z I i B W Y W x 1 Z T 0 i c 0 J n W U p B d 1 l H Q m d N R 0 J n W U R B d 1 l H I i A v P j x F b n R y e S B U e X B l P S J G a W x s R X J y b 3 J D b 2 R l I i B W Y W x 1 Z T 0 i c 1 V u a 2 5 v d 2 4 i I C 8 + P E V u d H J 5 I F R 5 c G U 9 I k Z p b G x D b 2 x 1 b W 5 O Y W 1 l c y I g V m F s d W U 9 I n N b J n F 1 b 3 Q 7 0 J r Q v t C 9 0 Y L Q v i Z x d W 9 0 O y w m c X V v d D v Q n d C w 0 L f Q u N C y I N C 9 0 L A g 0 L r Q v t C 9 0 Y L Q v i Z x d W 9 0 O y w m c X V v d D v Q n 9 C 1 0 Y D Q u N C + 0 L Q m c X V v d D s s J n F 1 b 3 Q 7 0 J j Q t 9 C 9 0 L 7 R g T E m c X V v d D s s J n F 1 b 3 Q 7 U m V w b 3 J 0 V H l w Z S Z x d W 9 0 O y w m c X V v d D v Q o d G C 0 L D Q s t C 6 0 L A m c X V v d D s s J n F 1 b 3 Q 7 0 J H R g N C + 0 Z g g 0 L 3 Q s C D R m N C w 0 L L Q v d C w I N C 9 0 L D Q s d C w 0 L L Q u t C w I C j Q v 9 C 7 0 L D Q v S k m c X V v d D s s J n F 1 b 3 Q 7 U 3 R h d m t h S U Q m c X V v d D s s J n F 1 b 3 Q 7 U 3 R h d m t h S W 1 l T U s m c X V v d D s s J n F 1 b 3 Q 7 U 3 R h d m t h R 3 J 1 c G E m c X V v d D s s J n F 1 b 3 Q 7 U 3 R h d m t h S 2 F 0 Z W d v c m l q Y S Z x d W 9 0 O y w m c X V v d D t a b m F r S X p 2 Z X N 0 Y W o m c X V v d D s s J n F 1 b 3 Q 7 T 2 J y Y X p l Y 0 l E J n F 1 b 3 Q 7 L C Z x d W 9 0 O 1 N 0 Y X Z r Y U F P U C Z x d W 9 0 O y w m c X V v d D t P Y n J h e m V j S W 1 l J n F 1 b 3 Q 7 X S I g L z 4 8 R W 5 0 c n k g V H l w Z T 0 i R m l s b E N v d W 5 0 I i B W Y W x 1 Z T 0 i b D I 0 N T Y w I i A v P j x F b n R y e S B U e X B l P S J G a W x s U 3 R h d H V z I i B W Y W x 1 Z T 0 i c 0 N v b X B s Z X R l I i A v P j x F b n R y e S B U e X B l P S J B Z G R l Z F R v R G F 0 Y U 1 v Z G V s I i B W Y W x 1 Z T 0 i b D E i I C 8 + P E V u d H J 5 I F R 5 c G U 9 I l J l b G F 0 a W 9 u c 2 h p c E l u Z m 9 D b 2 5 0 Y W l u Z X I i I F Z h b H V l P S J z e y Z x d W 9 0 O 2 N v b H V t b k N v d W 5 0 J n F 1 b 3 Q 7 O j E 1 L C Z x d W 9 0 O 2 t l e U N v b H V t b k 5 h b W V z J n F 1 b 3 Q 7 O l t d L C Z x d W 9 0 O 3 F 1 Z X J 5 U m V s Y X R p b 2 5 z a G l w c y Z x d W 9 0 O z p b e y Z x d W 9 0 O 2 t l e U N v b H V t b k N v d W 5 0 J n F 1 b 3 Q 7 O j E s J n F 1 b 3 Q 7 a 2 V 5 Q 2 9 s d W 1 u J n F 1 b 3 Q 7 O j A s J n F 1 b 3 Q 7 b 3 R o Z X J L Z X l D b 2 x 1 b W 5 J Z G V u d G l 0 e S Z x d W 9 0 O z o m c X V v d D t T Z W N 0 a W 9 u M S 9 k T W F w c G l u Z y 9 D a G F u Z 2 V k I F R 5 c G U u e 0 t v b n R v L D B 9 J n F 1 b 3 Q 7 L C Z x d W 9 0 O 0 t l e U N v b H V t b k N v d W 5 0 J n F 1 b 3 Q 7 O j F 9 L H s m c X V v d D t r Z X l D b 2 x 1 b W 5 D b 3 V u d C Z x d W 9 0 O z o x L C Z x d W 9 0 O 2 t l e U N v b H V t b i Z x d W 9 0 O z o 3 L C Z x d W 9 0 O 2 9 0 a G V y S 2 V 5 Q 2 9 s d W 1 u S W R l b n R p d H k m c X V v d D s 6 J n F 1 b 3 Q 7 U 2 V j d G l v b j E v Z F N 0 Y X Z r a S 9 D a G F u Z 2 V k I F R 5 c G U u e 1 N 0 Y X Z r Y U l E L D J 9 J n F 1 b 3 Q 7 L C Z x d W 9 0 O 0 t l e U N v b H V t b k N v d W 5 0 J n F 1 b 3 Q 7 O j F 9 L H s m c X V v d D t r Z X l D b 2 x 1 b W 5 D b 3 V u d C Z x d W 9 0 O z o x L C Z x d W 9 0 O 2 t l e U N v b H V t b i Z x d W 9 0 O z o x M i w m c X V v d D t v d G h l c k t l e U N v b H V t b k l k Z W 5 0 a X R 5 J n F 1 b 3 Q 7 O i Z x d W 9 0 O 1 N l Y 3 R p b 2 4 x L 2 R P Y n J h c 2 N p L 0 N o Y W 5 n Z W Q g V H l w Z S 5 7 T 2 J y Y X p l Y 0 l E L D F 9 J n F 1 b 3 Q 7 L C Z x d W 9 0 O 0 t l e U N v b H V t b k N v d W 5 0 J n F 1 b 3 Q 7 O j F 9 L H s m c X V v d D t r Z X l D b 2 x 1 b W 5 D b 3 V u d C Z x d W 9 0 O z o x L C Z x d W 9 0 O 2 t l e U N v b H V t b i Z x d W 9 0 O z o w L C Z x d W 9 0 O 2 9 0 a G V y S 2 V 5 Q 2 9 s d W 1 u S W R l b n R p d H k m c X V v d D s 6 J n F 1 b 3 Q 7 U 2 V j d G l v b j E v Z k F y d G l r b G l D Z W 5 p L 0 N o Y W 5 n Z W Q g V H l w Z S 5 7 0 J r Q v t C 9 0 Y L Q v i w x M X 0 m c X V v d D s s J n F 1 b 3 Q 7 S 2 V 5 Q 2 9 s d W 1 u Q 2 9 1 b n Q m c X V v d D s 6 M X 1 d L C Z x d W 9 0 O 2 N v b H V t b k l k Z W 5 0 a X R p Z X M m c X V v d D s 6 W y Z x d W 9 0 O 1 N l Y 3 R p b 2 4 x L 2 Z B Y 3 R 1 Y W x B b m R C d W R n Z X Q v U 2 9 1 c m N l L n v Q m t C + 0 L 3 R g t C + L D B 9 J n F 1 b 3 Q 7 L C Z x d W 9 0 O 1 N l Y 3 R p b 2 4 x L 2 Z B Y 3 R 1 Y W x B b m R C d W R n Z X Q v U 2 9 1 c m N l L n v Q n d C w 0 L f Q u N C y I N C 9 0 L A g 0 L r Q v t C 9 0 Y L Q v i w x f S Z x d W 9 0 O y w m c X V v d D t T Z W N 0 a W 9 u M S 9 m Q W N 0 d W F s Q W 5 k Q n V k Z 2 V 0 L 1 N v d X J j Z S 5 7 0 J / Q t d G A 0 L j Q v t C 0 L D J 9 J n F 1 b 3 Q 7 L C Z x d W 9 0 O 1 N l Y 3 R p b 2 4 x L 2 Z B Y 3 R 1 Y W x B b m R C d W R n Z X Q v U 2 9 1 c m N l L n v Q m N C 3 0 L 3 Q v t G B M S w z f S Z x d W 9 0 O y w m c X V v d D t T Z W N 0 a W 9 u M S 9 m Q W N 0 d W F s Q W 5 k Q n V k Z 2 V 0 L 1 N v d X J j Z S 5 7 U m V w b 3 J 0 V H l w Z S w 0 f S Z x d W 9 0 O y w m c X V v d D t T Z W N 0 a W 9 u M S 9 m Q W N 0 d W F s Q W 5 k Q n V k Z 2 V 0 L 1 N v d X J j Z S 5 7 0 K H R g t C w 0 L L Q u t C w L D V 9 J n F 1 b 3 Q 7 L C Z x d W 9 0 O 1 N l Y 3 R p b 2 4 x L 2 Z B Y 3 R 1 Y W x B b m R C d W R n Z X Q v U 2 9 1 c m N l L n v Q k d G A 0 L 7 R m C D Q v d C w I N G Y 0 L D Q s t C 9 0 L A g 0 L 3 Q s N C x 0 L D Q s t C 6 0 L A g K N C / 0 L v Q s N C 9 K S w 2 f S Z x d W 9 0 O y w m c X V v d D t T Z W N 0 a W 9 u M S 9 k T W F w c G l u Z y 9 D a G F u Z 2 V k I F R 5 c G U u e 1 N 0 Y X Z r Y U l E L D R 9 J n F 1 b 3 Q 7 L C Z x d W 9 0 O 1 N l Y 3 R p b 2 4 x L 2 R N Y X B w a W 5 n L 0 N o Y W 5 n Z W Q g V H l w Z S 5 7 U 3 R h d m t h S W 1 l T U s s N n 0 m c X V v d D s s J n F 1 b 3 Q 7 U 2 V j d G l v b j E v Z F N 0 Y X Z r a S 9 D a G F u Z 2 V k I F R 5 c G U u e 1 N 0 Y X Z r Y U d y d X B h L D d 9 J n F 1 b 3 Q 7 L C Z x d W 9 0 O 1 N l Y 3 R p b 2 4 x L 2 R T d G F 2 a 2 k v Q 2 h h b m d l Z C B U e X B l L n t T d G F 2 a 2 F L Y X R l Z 2 9 y a W p h L D h 9 J n F 1 b 3 Q 7 L C Z x d W 9 0 O 1 N l Y 3 R p b 2 4 x L 2 R T d G F 2 a 2 k v Q 2 h h b m d l Z C B U e X B l L n t a b m F r S X p 2 Z X N 0 Y W o s M T B 9 J n F 1 b 3 Q 7 L C Z x d W 9 0 O 1 N l Y 3 R p b 2 4 x L 2 R T d G F 2 a 2 k v Q 2 h h b m d l Z C B U e X B l L n t P Y n J h e m V j S U Q s M H 0 m c X V v d D s s J n F 1 b 3 Q 7 U 2 V j d G l v b j E v Z F N 0 Y X Z r a S 9 D a G F u Z 2 V k I F R 5 c G U u e 1 N 0 Y X Z r Y U F P U C w x f S Z x d W 9 0 O y w m c X V v d D t T Z W N 0 a W 9 u M S 9 k T 2 J y Y X N j a S 9 D a G F u Z 2 V k I F R 5 c G U u e 0 9 i c m F 6 Z W N J b W U s M n 0 m c X V v d D t d L C Z x d W 9 0 O 0 N v b H V t b k N v d W 5 0 J n F 1 b 3 Q 7 O j E 1 L C Z x d W 9 0 O 0 t l e U N v b H V t b k 5 h b W V z J n F 1 b 3 Q 7 O l t d L C Z x d W 9 0 O 0 N v b H V t b k l k Z W 5 0 a X R p Z X M m c X V v d D s 6 W y Z x d W 9 0 O 1 N l Y 3 R p b 2 4 x L 2 Z B Y 3 R 1 Y W x B b m R C d W R n Z X Q v U 2 9 1 c m N l L n v Q m t C + 0 L 3 R g t C + L D B 9 J n F 1 b 3 Q 7 L C Z x d W 9 0 O 1 N l Y 3 R p b 2 4 x L 2 Z B Y 3 R 1 Y W x B b m R C d W R n Z X Q v U 2 9 1 c m N l L n v Q n d C w 0 L f Q u N C y I N C 9 0 L A g 0 L r Q v t C 9 0 Y L Q v i w x f S Z x d W 9 0 O y w m c X V v d D t T Z W N 0 a W 9 u M S 9 m Q W N 0 d W F s Q W 5 k Q n V k Z 2 V 0 L 1 N v d X J j Z S 5 7 0 J / Q t d G A 0 L j Q v t C 0 L D J 9 J n F 1 b 3 Q 7 L C Z x d W 9 0 O 1 N l Y 3 R p b 2 4 x L 2 Z B Y 3 R 1 Y W x B b m R C d W R n Z X Q v U 2 9 1 c m N l L n v Q m N C 3 0 L 3 Q v t G B M S w z f S Z x d W 9 0 O y w m c X V v d D t T Z W N 0 a W 9 u M S 9 m Q W N 0 d W F s Q W 5 k Q n V k Z 2 V 0 L 1 N v d X J j Z S 5 7 U m V w b 3 J 0 V H l w Z S w 0 f S Z x d W 9 0 O y w m c X V v d D t T Z W N 0 a W 9 u M S 9 m Q W N 0 d W F s Q W 5 k Q n V k Z 2 V 0 L 1 N v d X J j Z S 5 7 0 K H R g t C w 0 L L Q u t C w L D V 9 J n F 1 b 3 Q 7 L C Z x d W 9 0 O 1 N l Y 3 R p b 2 4 x L 2 Z B Y 3 R 1 Y W x B b m R C d W R n Z X Q v U 2 9 1 c m N l L n v Q k d G A 0 L 7 R m C D Q v d C w I N G Y 0 L D Q s t C 9 0 L A g 0 L 3 Q s N C x 0 L D Q s t C 6 0 L A g K N C / 0 L v Q s N C 9 K S w 2 f S Z x d W 9 0 O y w m c X V v d D t T Z W N 0 a W 9 u M S 9 k T W F w c G l u Z y 9 D a G F u Z 2 V k I F R 5 c G U u e 1 N 0 Y X Z r Y U l E L D R 9 J n F 1 b 3 Q 7 L C Z x d W 9 0 O 1 N l Y 3 R p b 2 4 x L 2 R N Y X B w a W 5 n L 0 N o Y W 5 n Z W Q g V H l w Z S 5 7 U 3 R h d m t h S W 1 l T U s s N n 0 m c X V v d D s s J n F 1 b 3 Q 7 U 2 V j d G l v b j E v Z F N 0 Y X Z r a S 9 D a G F u Z 2 V k I F R 5 c G U u e 1 N 0 Y X Z r Y U d y d X B h L D d 9 J n F 1 b 3 Q 7 L C Z x d W 9 0 O 1 N l Y 3 R p b 2 4 x L 2 R T d G F 2 a 2 k v Q 2 h h b m d l Z C B U e X B l L n t T d G F 2 a 2 F L Y X R l Z 2 9 y a W p h L D h 9 J n F 1 b 3 Q 7 L C Z x d W 9 0 O 1 N l Y 3 R p b 2 4 x L 2 R T d G F 2 a 2 k v Q 2 h h b m d l Z C B U e X B l L n t a b m F r S X p 2 Z X N 0 Y W o s M T B 9 J n F 1 b 3 Q 7 L C Z x d W 9 0 O 1 N l Y 3 R p b 2 4 x L 2 R T d G F 2 a 2 k v Q 2 h h b m d l Z C B U e X B l L n t P Y n J h e m V j S U Q s M H 0 m c X V v d D s s J n F 1 b 3 Q 7 U 2 V j d G l v b j E v Z F N 0 Y X Z r a S 9 D a G F u Z 2 V k I F R 5 c G U u e 1 N 0 Y X Z r Y U F P U C w x f S Z x d W 9 0 O y w m c X V v d D t T Z W N 0 a W 9 u M S 9 k T 2 J y Y X N j a S 9 D a G F u Z 2 V k I F R 5 c G U u e 0 9 i c m F 6 Z W N J b W U s M n 0 m c X V v d D t d L C Z x d W 9 0 O 1 J l b G F 0 a W 9 u c 2 h p c E l u Z m 8 m c X V v d D s 6 W 3 s m c X V v d D t r Z X l D b 2 x 1 b W 5 D b 3 V u d C Z x d W 9 0 O z o x L C Z x d W 9 0 O 2 t l e U N v b H V t b i Z x d W 9 0 O z o w L C Z x d W 9 0 O 2 9 0 a G V y S 2 V 5 Q 2 9 s d W 1 u S W R l b n R p d H k m c X V v d D s 6 J n F 1 b 3 Q 7 U 2 V j d G l v b j E v Z E 1 h c H B p b m c v Q 2 h h b m d l Z C B U e X B l L n t L b 2 5 0 b y w w f S Z x d W 9 0 O y w m c X V v d D t L Z X l D b 2 x 1 b W 5 D b 3 V u d C Z x d W 9 0 O z o x f S x 7 J n F 1 b 3 Q 7 a 2 V 5 Q 2 9 s d W 1 u Q 2 9 1 b n Q m c X V v d D s 6 M S w m c X V v d D t r Z X l D b 2 x 1 b W 4 m c X V v d D s 6 N y w m c X V v d D t v d G h l c k t l e U N v b H V t b k l k Z W 5 0 a X R 5 J n F 1 b 3 Q 7 O i Z x d W 9 0 O 1 N l Y 3 R p b 2 4 x L 2 R T d G F 2 a 2 k v Q 2 h h b m d l Z C B U e X B l L n t T d G F 2 a 2 F J R C w y f S Z x d W 9 0 O y w m c X V v d D t L Z X l D b 2 x 1 b W 5 D b 3 V u d C Z x d W 9 0 O z o x f S x 7 J n F 1 b 3 Q 7 a 2 V 5 Q 2 9 s d W 1 u Q 2 9 1 b n Q m c X V v d D s 6 M S w m c X V v d D t r Z X l D b 2 x 1 b W 4 m c X V v d D s 6 M T I s J n F 1 b 3 Q 7 b 3 R o Z X J L Z X l D b 2 x 1 b W 5 J Z G V u d G l 0 e S Z x d W 9 0 O z o m c X V v d D t T Z W N 0 a W 9 u M S 9 k T 2 J y Y X N j a S 9 D a G F u Z 2 V k I F R 5 c G U u e 0 9 i c m F 6 Z W N J R C w x f S Z x d W 9 0 O y w m c X V v d D t L Z X l D b 2 x 1 b W 5 D b 3 V u d C Z x d W 9 0 O z o x f S x 7 J n F 1 b 3 Q 7 a 2 V 5 Q 2 9 s d W 1 u Q 2 9 1 b n Q m c X V v d D s 6 M S w m c X V v d D t r Z X l D b 2 x 1 b W 4 m c X V v d D s 6 M C w m c X V v d D t v d G h l c k t l e U N v b H V t b k l k Z W 5 0 a X R 5 J n F 1 b 3 Q 7 O i Z x d W 9 0 O 1 N l Y 3 R p b 2 4 x L 2 Z B c n R p a 2 x p Q 2 V u a S 9 D a G F u Z 2 V k I F R 5 c G U u e 9 C a 0 L 7 Q v d G C 0 L 4 s M T F 9 J n F 1 b 3 Q 7 L C Z x d W 9 0 O 0 t l e U N v b H V t b k N v d W 5 0 J n F 1 b 3 Q 7 O j F 9 X X 0 i I C 8 + P C 9 T d G F i b G V F b n R y a W V z P j w v S X R l b T 4 8 S X R l b T 4 8 S X R l b U x v Y 2 F 0 a W 9 u P j x J d G V t V H l w Z T 5 G b 3 J t d W x h P C 9 J d G V t V H l w Z T 4 8 S X R l b V B h d G g + U 2 V j d G l v b j E v Z k F j d H V h b E F u Z E J 1 Z G d l d C 9 T b 3 V y Y 2 U 8 L 0 l 0 Z W 1 Q Y X R o P j w v S X R l b U x v Y 2 F 0 a W 9 u P j x T d G F i b G V F b n R y a W V z I C 8 + P C 9 J d G V t P j x J d G V t P j x J d G V t T G 9 j Y X R p b 2 4 + P E l 0 Z W 1 U e X B l P k Z v c m 1 1 b G E 8 L 0 l 0 Z W 1 U e X B l P j x J d G V t U G F 0 a D 5 T Z W N 0 a W 9 u M S 9 m Q 2 9 2 Z W N r a V J l c 3 V y c 2 k 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V G F i b G U i I C 8 + P E V u d H J 5 I F R 5 c G U 9 I k J 1 Z m Z l c k 5 l e H R S Z W Z y Z X N o I i B W Y W x 1 Z T 0 i b D E i I C 8 + P E V u d H J 5 I F R 5 c G U 9 I k Z p b G x l Z E N v b X B s Z X R l U m V z d W x 0 V G 9 X b 3 J r c 2 h l Z X Q i I F Z h b H V l P S J s M C I g L z 4 8 R W 5 0 c n k g V H l w Z T 0 i U X V l c n l J R C I g V m F s d W U 9 I n N i Z W M 2 Z D c 0 N S 0 1 N z Z l L T Q 5 M D E t O G U y O S 0 2 Z G Y 3 O G U z N z d j N j c i I C 8 + P E V u d H J 5 I F R 5 c G U 9 I k Z p b G x M Y X N 0 V X B k Y X R l Z C I g V m F s d W U 9 I m Q y M D I x L T E x L T I z V D A 5 O j Q w O j E 1 L j A 5 N D U 1 M z l a I i A v P j x F b n R y e S B U e X B l P S J G a W x s R X J y b 3 J D b 3 V u d C I g V m F s d W U 9 I m w w I i A v P j x F b n R y e S B U e X B l P S J G a W x s Q 2 9 s d W 1 u V H l w Z X M i I F Z h b H V l P S J z Q m d Z R E N R T U R C Z 1 k 9 I i A v P j x F b n R y e S B U e X B l P S J G a W x s R X J y b 3 J D b 2 R l I i B W Y W x 1 Z T 0 i c 1 V u a 2 5 v d 2 4 i I C 8 + P E V u d H J 5 I F R 5 c G U 9 I k Z p b G x D b 2 x 1 b W 5 O Y W 1 l c y I g V m F s d W U 9 I n N b J n F 1 b 3 Q 7 0 K H R g t C w 0 L L Q u t C w J n F 1 b 3 Q 7 L C Z x d W 9 0 O 9 C i 0 L j Q v y D Q v d C w I N C y 0 Y D Q s N C x 0 L 7 R g t G D 0 L L Q s N G a 0 L U m c X V v d D s s J n F 1 b 3 Q 7 0 J / Q u 9 C w 0 L 3 Q u N G A 0 L D Q v S D Q v 9 G A 0 L j Q u 9 C 4 0 L I v K N C + 0 L T Q u 9 C 4 0 L I p J n F 1 b 3 Q 7 L C Z x d W 9 0 O 9 C f 0 L X R g N C 4 0 L 7 Q t C Z x d W 9 0 O y w m c X V v d D v Q m t G A 0 L D R m N C 9 0 L A g 0 Y H Q v t G B 0 Y L Q v t G Y 0 L H Q s C D Q s t G A 0 L D Q s d C + 0 Y L Q t d C 9 0 L g m c X V v d D s s J n F 1 b 3 Q 7 0 J j Q t 9 C 9 0 L 7 R g S Z x d W 9 0 O y w m c X V v d D v Q m t C + 0 L 3 R g t C + J n F 1 b 3 Q 7 L C Z x d W 9 0 O 1 J l c G 9 y d F R 5 c G U m c X V v d D t d I i A v P j x F b n R y e S B U e X B l P S J G a W x s Q 2 9 1 b n Q i I F Z h b H V l P S J s M T Y z I i A v P j x F b n R y e S B U e X B l P S J G a W x s U 3 R h d H V z I i B W Y W x 1 Z T 0 i c 0 N v b X B s Z X R l I i A v P j x F b n R y e S B U e X B l P S J B Z G R l Z F R v R G F 0 Y U 1 v Z G V s I i B W Y W x 1 Z T 0 i b D E i I C 8 + P E V u d H J 5 I F R 5 c G U 9 I l J l b G F 0 a W 9 u c 2 h p c E l u Z m 9 D b 2 5 0 Y W l u Z X I i I F Z h b H V l P S J z e y Z x d W 9 0 O 2 N v b H V t b k N v d W 5 0 J n F 1 b 3 Q 7 O j g s J n F 1 b 3 Q 7 a 2 V 5 Q 2 9 s d W 1 u T m F t Z X M m c X V v d D s 6 W 1 0 s J n F 1 b 3 Q 7 c X V l c n l S Z W x h d G l v b n N o a X B z J n F 1 b 3 Q 7 O l t d L C Z x d W 9 0 O 2 N v b H V t b k l k Z W 5 0 a X R p Z X M m c X V v d D s 6 W y Z x d W 9 0 O 1 N l Y 3 R p b 2 4 x L 2 Z D b 3 Z l Y 2 t p U m V z d X J z a S 9 D a G F u Z 2 V k I F R 5 c G U u e 9 C i 0 L j Q v y D Q v d C w I N C 9 0 L D Q t N C + 0 L z Q t d G B 0 Y L Q v t C 6 L D B 9 J n F 1 b 3 Q 7 L C Z x d W 9 0 O 1 N l Y 3 R p b 2 4 x L 2 Z D b 3 Z l Y 2 t p U m V z d X J z a S 9 D a G F u Z 2 V k I F R 5 c G U u e 9 C i 0 L j Q v y D Q v d C w I N C y 0 Y D Q s N C x 0 L 7 R g t G D 0 L L Q s N G a 0 L U s M X 0 m c X V v d D s s J n F 1 b 3 Q 7 U 2 V j d G l v b j E v Z k N v d m V j a 2 l S Z X N 1 c n N p L 0 N o Y W 5 n Z W Q g V H l w Z S 5 7 0 J / Q u 9 C w 0 L 3 Q u N G A 0 L D Q v S D Q v 9 G A 0 L j Q u 9 C 4 0 L I v K N C + 0 L T Q u 9 C 4 0 L I p L D R 9 J n F 1 b 3 Q 7 L C Z x d W 9 0 O 1 N l Y 3 R p b 2 4 x L 2 Z D b 3 Z l Y 2 t p U m V z d X J z a S 9 D a G F u Z 2 V k I F R 5 c G U u e 9 C f 0 L X R g N C 4 0 L 7 Q t C w 1 f S Z x d W 9 0 O y w m c X V v d D t T Z W N 0 a W 9 u M S 9 m Q 2 9 2 Z W N r a V J l c 3 V y c 2 k v Q 2 h h b m d l Z C B U e X B l L n v Q m t G A 0 L D R m N C 9 0 L A g 0 Y H Q v t G B 0 Y L Q v t G Y 0 L H Q s C D Q s t G A 0 L D Q s d C + 0 Y L Q t d C 9 0 L g s N n 0 m c X V v d D s s J n F 1 b 3 Q 7 U 2 V j d G l v b j E v Z k N v d m V j a 2 l S Z X N 1 c n N p L 0 N o Y W 5 n Z W Q g V H l w Z S 5 7 0 J j Q t 9 C 9 0 L 7 R g S w 4 f S Z x d W 9 0 O y w m c X V v d D t T Z W N 0 a W 9 u M S 9 m Q 2 9 2 Z W N r a V J l c 3 V y c 2 k v Q 2 h h b m d l Z C B U e X B l L n v Q m t C + 0 L 3 R g t C + L D l 9 J n F 1 b 3 Q 7 L C Z x d W 9 0 O 1 N l Y 3 R p b 2 4 x L 2 Z D b 3 Z l Y 2 t p U m V z d X J z a S 9 D a G F u Z 2 V k I F R 5 c G U u e 1 J l c G 9 y d F R 5 c G U s M T B 9 J n F 1 b 3 Q 7 X S w m c X V v d D t D b 2 x 1 b W 5 D b 3 V u d C Z x d W 9 0 O z o 4 L C Z x d W 9 0 O 0 t l e U N v b H V t b k 5 h b W V z J n F 1 b 3 Q 7 O l t d L C Z x d W 9 0 O 0 N v b H V t b k l k Z W 5 0 a X R p Z X M m c X V v d D s 6 W y Z x d W 9 0 O 1 N l Y 3 R p b 2 4 x L 2 Z D b 3 Z l Y 2 t p U m V z d X J z a S 9 D a G F u Z 2 V k I F R 5 c G U u e 9 C i 0 L j Q v y D Q v d C w I N C 9 0 L D Q t N C + 0 L z Q t d G B 0 Y L Q v t C 6 L D B 9 J n F 1 b 3 Q 7 L C Z x d W 9 0 O 1 N l Y 3 R p b 2 4 x L 2 Z D b 3 Z l Y 2 t p U m V z d X J z a S 9 D a G F u Z 2 V k I F R 5 c G U u e 9 C i 0 L j Q v y D Q v d C w I N C y 0 Y D Q s N C x 0 L 7 R g t G D 0 L L Q s N G a 0 L U s M X 0 m c X V v d D s s J n F 1 b 3 Q 7 U 2 V j d G l v b j E v Z k N v d m V j a 2 l S Z X N 1 c n N p L 0 N o Y W 5 n Z W Q g V H l w Z S 5 7 0 J / Q u 9 C w 0 L 3 Q u N G A 0 L D Q v S D Q v 9 G A 0 L j Q u 9 C 4 0 L I v K N C + 0 L T Q u 9 C 4 0 L I p L D R 9 J n F 1 b 3 Q 7 L C Z x d W 9 0 O 1 N l Y 3 R p b 2 4 x L 2 Z D b 3 Z l Y 2 t p U m V z d X J z a S 9 D a G F u Z 2 V k I F R 5 c G U u e 9 C f 0 L X R g N C 4 0 L 7 Q t C w 1 f S Z x d W 9 0 O y w m c X V v d D t T Z W N 0 a W 9 u M S 9 m Q 2 9 2 Z W N r a V J l c 3 V y c 2 k v Q 2 h h b m d l Z C B U e X B l L n v Q m t G A 0 L D R m N C 9 0 L A g 0 Y H Q v t G B 0 Y L Q v t G Y 0 L H Q s C D Q s t G A 0 L D Q s d C + 0 Y L Q t d C 9 0 L g s N n 0 m c X V v d D s s J n F 1 b 3 Q 7 U 2 V j d G l v b j E v Z k N v d m V j a 2 l S Z X N 1 c n N p L 0 N o Y W 5 n Z W Q g V H l w Z S 5 7 0 J j Q t 9 C 9 0 L 7 R g S w 4 f S Z x d W 9 0 O y w m c X V v d D t T Z W N 0 a W 9 u M S 9 m Q 2 9 2 Z W N r a V J l c 3 V y c 2 k v Q 2 h h b m d l Z C B U e X B l L n v Q m t C + 0 L 3 R g t C + L D l 9 J n F 1 b 3 Q 7 L C Z x d W 9 0 O 1 N l Y 3 R p b 2 4 x L 2 Z D b 3 Z l Y 2 t p U m V z d X J z a S 9 D a G F u Z 2 V k I F R 5 c G U u e 1 J l c G 9 y d F R 5 c G U s M T B 9 J n F 1 b 3 Q 7 X S w m c X V v d D t S Z W x h d G l v b n N o a X B J b m Z v J n F 1 b 3 Q 7 O l t d f S I g L z 4 8 L 1 N 0 Y W J s Z U V u d H J p Z X M + P C 9 J d G V t P j x J d G V t P j x J d G V t T G 9 j Y X R p b 2 4 + P E l 0 Z W 1 U e X B l P k Z v c m 1 1 b G E 8 L 0 l 0 Z W 1 U e X B l P j x J d G V t U G F 0 a D 5 T Z W N 0 a W 9 u M S 9 m Q 2 9 2 Z W N r a V J l c 3 V y c 2 k v U 2 9 1 c m N l P C 9 J d G V t U G F 0 a D 4 8 L 0 l 0 Z W 1 M b 2 N h d G l v b j 4 8 U 3 R h Y m x l R W 5 0 c m l l c y A v P j w v S X R l b T 4 8 S X R l b T 4 8 S X R l b U x v Y 2 F 0 a W 9 u P j x J d G V t V H l w Z T 5 G b 3 J t d W x h P C 9 J d G V t V H l w Z T 4 8 S X R l b V B h d G g + U 2 V j d G l v b j E v Z k N v d m V j a 2 l S Z X N 1 c n N p L 2 Z L Y W x r d W x h Y 2 l q Y U 5 h Z G 9 t Z X N 0 b 2 N p X 1 R h Y m x l P C 9 J d G V t U G F 0 a D 4 8 L 0 l 0 Z W 1 M b 2 N h d G l v b j 4 8 U 3 R h Y m x l R W 5 0 c m l l c y A v P j w v S X R l b T 4 8 S X R l b T 4 8 S X R l b U x v Y 2 F 0 a W 9 u P j x J d G V t V H l w Z T 5 G b 3 J t d W x h P C 9 J d G V t V H l w Z T 4 8 S X R l b V B h d G g + U 2 V j d G l v b j E v Z k N v d m V j a 2 l S Z X N 1 c n N p L 0 N o Y W 5 n Z W Q l M j B U e X B l P C 9 J d G V t U G F 0 a D 4 8 L 0 l 0 Z W 1 M b 2 N h d G l v b j 4 8 U 3 R h Y m x l R W 5 0 c m l l c y A v P j w v S X R l b T 4 8 S X R l b T 4 8 S X R l b U x v Y 2 F 0 a W 9 u P j x J d G V t V H l w Z T 5 G b 3 J t d W x h P C 9 J d G V t V H l w Z T 4 8 S X R l b V B h d G g + U 2 V j d G l v b j E v Z k N v d m V j a 2 l S Z X N 1 c n N p L 1 J l b W 9 2 Z W Q l M j B D b 2 x 1 b W 5 z P C 9 J d G V t U G F 0 a D 4 8 L 0 l 0 Z W 1 M b 2 N h d G l v b j 4 8 U 3 R h Y m x l R W 5 0 c m l l c y A v P j w v S X R l b T 4 8 S X R l b T 4 8 S X R l b U x v Y 2 F 0 a W 9 u P j x J d G V t V H l w Z T 5 G b 3 J t d W x h P C 9 J d G V t V H l w Z T 4 8 S X R l b V B h d G g + U 2 V j d G l v b j E v Z k N v d m V j a 2 l S Z X N 1 c n N p L 1 J l b m F t Z W Q l M j B D b 2 x 1 b W 5 z P C 9 J d G V t U G F 0 a D 4 8 L 0 l 0 Z W 1 M b 2 N h d G l v b j 4 8 U 3 R h Y m x l R W 5 0 c m l l c y A v P j w v S X R l b T 4 8 S X R l b T 4 8 S X R l b U x v Y 2 F 0 a W 9 u P j x J d G V t V H l w Z T 5 G b 3 J t d W x h P C 9 J d G V t V H l w Z T 4 8 S X R l b V B h d G g + U 2 V j d G l v b j E v Q 0 F Q R V g 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V G F i b G U i I C 8 + P E V u d H J 5 I F R 5 c G U 9 I k J 1 Z m Z l c k 5 l e H R S Z W Z y Z X N o I i B W Y W x 1 Z T 0 i b D E i I C 8 + P E V u d H J 5 I F R 5 c G U 9 I k Z p b G x l Z E N v b X B s Z X R l U m V z d W x 0 V G 9 X b 3 J r c 2 h l Z X Q i I F Z h b H V l P S J s M C I g L z 4 8 R W 5 0 c n k g V H l w Z T 0 i U X V l c n l J R C I g V m F s d W U 9 I n N k M D I 2 Z T k 0 N S 0 z M D Z h L T R h O T Y t Y W U 4 N i 0 5 Z T Q w Y m I 5 M 2 J i Z G E i I C 8 + P E V u d H J 5 I F R 5 c G U 9 I k Z p b G x M Y X N 0 V X B k Y X R l Z C I g V m F s d W U 9 I m Q y M D I x L T E x L T I z V D A 5 O j Q w O j E 1 L j A 0 N j Q z O D J a I i A v P j x F b n R y e S B U e X B l P S J G a W x s R X J y b 3 J D b 3 V u d C I g V m F s d W U 9 I m w w I i A v P j x F b n R y e S B U e X B l P S J G a W x s Q 2 9 s d W 1 u V H l w Z X M i I F Z h b H V l P S J z Q X d Z R 0 N R a 0 R C Q V l H Q X c 9 P S I g L z 4 8 R W 5 0 c n k g V H l w Z T 0 i R m l s b E V y c m 9 y Q 2 9 k Z S I g V m F s d W U 9 I n N V b m t u b 3 d u I i A v P j x F b n R y e S B U e X B l P S J G a W x s Q 2 9 s d W 1 u T m F t Z X M i I F Z h b H V l P S J z W y Z x d W 9 0 O 9 C T 0 L 7 Q t N C 4 0 L 3 Q s C D Q t 9 C w I N G A 0 L X Q s N C 7 0 L j Q t 9 C w 0 Y b Q u N G Y 0 L A g 0 L 3 Q s C D Q v 9 G A 0 L 7 Q t d C 6 0 Y I m c X V v d D s s J n F 1 b 3 Q 7 0 J H R g N C + 0 Z g g 0 L 3 Q s C D R m N C w 0 L L Q v d C w I N C 9 0 L D Q s d C w 0 L L Q u t C w I C j Q v 9 C 7 0 L D Q v S k m c X V v d D s s J n F 1 b 3 Q 7 0 J / R g N C 1 0 L T Q v N C 1 0 Y I g 0 L 3 Q s C D Q t N C + 0 L P Q v t C y 0 L 7 R g N C + 0 Y I g 0 L f Q s C D R m N C w 0 L L Q v d C w I N C 9 0 L D Q s d C w 0 L L Q u t C w J n F 1 b 3 Q 7 L C Z x d W 9 0 O 9 C e 0 Y f Q t d C 6 0 Y P Q s t C w 0 L 0 g 0 L T Q s N G C 0 Y P Q v C D Q v d C w I N C / 0 L v Q s N G c 0 L D R m t C 1 J n F 1 b 3 Q 7 L C Z x d W 9 0 O 9 C e 0 Y f Q t d C 6 0 Y P Q s t C w 0 L 0 g 0 L T Q s N G C 0 Y P Q v C D Q t 9 C w I N G B 0 Y L Q s N C y 0 L D R m t C 1 I N C y 0 L 4 g 0 Y P Q v 9 C + 0 Y L R g N C 1 0 L H Q s C A o 0 L z Q t d G B 0 L X R h i k m c X V v d D s s J n F 1 b 3 Q 7 0 J / R g N C + 0 Y b Q t d C 9 0 L X R g t C w I N C y 0 Y D Q t d C 0 0 L 3 Q v t G B 0 Y I g 0 L 3 Q s C D Q v d C w 0 L H Q s N C y 0 L r Q s C D R g d C + I N C U 0 J T Q k i A o 0 L T Q t d C 9 0 L D R g N C 4 K S Z x d W 9 0 O y w m c X V v d D v Q o d G C 0 L D Q v 9 C 6 0 L A g 0 L 3 Q s C D Q s N C 8 0 L 7 R g N G C 0 L j Q t 9 C w 0 Y b Q u N G Y 0 L A m c X V v d D s s J n F 1 b 3 Q 7 0 J r Q v t C 9 0 Y L Q v i D Q o d G A 0 L X Q t N G B 0 Y L Q s t C w J n F 1 b 3 Q 7 L C Z x d W 9 0 O 9 C a 0 L 7 Q v d G C 0 L 4 g 0 J D Q v N C + 0 Y D R g t C 4 0 L f Q s N G G 0 L j R m N C w J n F 1 b 3 Q 7 L C Z x d W 9 0 O 9 C Y 0 L f Q v d C + 0 Y E g 0 L T Q v t C 9 0 L D R h t C 4 0 Z j Q s C Z x d W 9 0 O 1 0 i I C 8 + P E V u d H J 5 I F R 5 c G U 9 I k Z p b G x D b 3 V u d C I g V m F s d W U 9 I m w y O S I g L z 4 8 R W 5 0 c n k g V H l w Z T 0 i R m l s b F N 0 Y X R 1 c y I g V m F s d W U 9 I n N D b 2 1 w b G V 0 Z S I g L z 4 8 R W 5 0 c n k g V H l w Z T 0 i Q W R k Z W R U b 0 R h d G F N b 2 R l b C I g V m F s d W U 9 I m w x I i A v P j x F b n R y e S B U e X B l P S J S Z W x h d G l v b n N o a X B J b m Z v Q 2 9 u d G F p b m V y I i B W Y W x 1 Z T 0 i c 3 s m c X V v d D t j b 2 x 1 b W 5 D b 3 V u d C Z x d W 9 0 O z o x M C w m c X V v d D t r Z X l D b 2 x 1 b W 5 O Y W 1 l c y Z x d W 9 0 O z p b X S w m c X V v d D t x d W V y e V J l b G F 0 a W 9 u c 2 h p c H M m c X V v d D s 6 W 1 0 s J n F 1 b 3 Q 7 Y 2 9 s d W 1 u S W R l b n R p d G l l c y Z x d W 9 0 O z p b J n F 1 b 3 Q 7 U 2 V j d G l v b j E v Q 0 F Q R V g v Q 2 h h b m d l Z C B U e X B l L n v Q k 9 C + 0 L T Q u N C 9 0 L A g 0 L f Q s C D R g N C 1 0 L D Q u 9 C 4 0 L f Q s N G G 0 L j R m N C w I N C 9 0 L A g 0 L / R g N C + 0 L X Q u t G C L D B 9 J n F 1 b 3 Q 7 L C Z x d W 9 0 O 1 N l Y 3 R p b 2 4 x L 0 N B U E V Y L 0 N o Y W 5 n Z W Q g V H l w Z S 5 7 0 J H R g N C + 0 Z g g 0 L 3 Q s C D R m N C w 0 L L Q v d C w I N C 9 0 L D Q s d C w 0 L L Q u t C w I C j Q v 9 C 7 0 L D Q v S k s M X 0 m c X V v d D s s J n F 1 b 3 Q 7 U 2 V j d G l v b j E v Q 0 F Q R V g v Q 2 h h b m d l Z C B U e X B l L n v Q n 9 G A 0 L X Q t N C 8 0 L X R g i D Q v d C w I N C 0 0 L 7 Q s 9 C + 0 L L Q v t G A 0 L 7 R g i D Q t 9 C w I N G Y 0 L D Q s t C 9 0 L A g 0 L 3 Q s N C x 0 L D Q s t C 6 0 L A s M n 0 m c X V v d D s s J n F 1 b 3 Q 7 U 2 V j d G l v b j E v Q 0 F Q R V g v Q 2 h h b m d l Z C B U e X B l L n v Q n t G H 0 L X Q u t G D 0 L L Q s N C 9 I N C 0 0 L D R g t G D 0 L w g 0 L 3 Q s C D Q v 9 C 7 0 L D R n N C w 0 Z r Q t S w z f S Z x d W 9 0 O y w m c X V v d D t T Z W N 0 a W 9 u M S 9 D Q V B F W C 9 D a G F u Z 2 V k I F R 5 c G U u e 9 C e 0 Y f Q t d C 6 0 Y P Q s t C w 0 L 0 g 0 L T Q s N G C 0 Y P Q v C D Q t 9 C w I N G B 0 Y L Q s N C y 0 L D R m t C 1 I N C y 0 L 4 g 0 Y P Q v 9 C + 0 Y L R g N C 1 0 L H Q s C A o 0 L z Q t d G B 0 L X R h i k s N H 0 m c X V v d D s s J n F 1 b 3 Q 7 U 2 V j d G l v b j E v Q 0 F Q R V g v Q 2 h h b m d l Z C B U e X B l L n v Q n 9 G A 0 L 7 R h t C 1 0 L 3 Q t d G C 0 L A g 0 L L R g N C 1 0 L T Q v d C + 0 Y H R g i D Q v d C w I N C 9 0 L D Q s d C w 0 L L Q u t C w I N G B 0 L 4 g 0 J T Q l N C S I C j Q t N C 1 0 L 3 Q s N G A 0 L g p L D V 9 J n F 1 b 3 Q 7 L C Z x d W 9 0 O 1 N l Y 3 R p b 2 4 x L 0 N B U E V Y L 0 N o Y W 5 n Z W Q g V H l w Z S 5 7 0 K H R g t C w 0 L / Q u t C w I N C 9 0 L A g 0 L D Q v N C + 0 Y D R g t C 4 0 L f Q s N G G 0 L j R m N C w L D Z 9 J n F 1 b 3 Q 7 L C Z x d W 9 0 O 1 N l Y 3 R p b 2 4 x L 0 N B U E V Y L 0 N o Y W 5 n Z W Q g V H l w Z S 5 7 0 J r Q v t C 9 0 Y L Q v i D Q o d G A 0 L X Q t N G B 0 Y L Q s t C w L D d 9 J n F 1 b 3 Q 7 L C Z x d W 9 0 O 1 N l Y 3 R p b 2 4 x L 0 N B U E V Y L 0 N o Y W 5 n Z W Q g V H l w Z S 5 7 0 J r Q v t C 9 0 Y L Q v i D Q k N C 8 0 L 7 R g N G C 0 L j Q t 9 C w 0 Y b Q u N G Y 0 L A s O H 0 m c X V v d D s s J n F 1 b 3 Q 7 U 2 V j d G l v b j E v Q 0 F Q R V g v Q 2 h h b m d l Z C B U e X B l L n v Q m N C 3 0 L 3 Q v t G B I N C 0 0 L 7 Q v d C w 0 Y b Q u N G Y 0 L A s O X 0 m c X V v d D t d L C Z x d W 9 0 O 0 N v b H V t b k N v d W 5 0 J n F 1 b 3 Q 7 O j E w L C Z x d W 9 0 O 0 t l e U N v b H V t b k 5 h b W V z J n F 1 b 3 Q 7 O l t d L C Z x d W 9 0 O 0 N v b H V t b k l k Z W 5 0 a X R p Z X M m c X V v d D s 6 W y Z x d W 9 0 O 1 N l Y 3 R p b 2 4 x L 0 N B U E V Y L 0 N o Y W 5 n Z W Q g V H l w Z S 5 7 0 J P Q v t C 0 0 L j Q v d C w I N C 3 0 L A g 0 Y D Q t d C w 0 L v Q u N C 3 0 L D R h t C 4 0 Z j Q s C D Q v d C w I N C / 0 Y D Q v t C 1 0 L r R g i w w f S Z x d W 9 0 O y w m c X V v d D t T Z W N 0 a W 9 u M S 9 D Q V B F W C 9 D a G F u Z 2 V k I F R 5 c G U u e 9 C R 0 Y D Q v t G Y I N C 9 0 L A g 0 Z j Q s N C y 0 L 3 Q s C D Q v d C w 0 L H Q s N C y 0 L r Q s C A o 0 L / Q u 9 C w 0 L 0 p L D F 9 J n F 1 b 3 Q 7 L C Z x d W 9 0 O 1 N l Y 3 R p b 2 4 x L 0 N B U E V Y L 0 N o Y W 5 n Z W Q g V H l w Z S 5 7 0 J / R g N C 1 0 L T Q v N C 1 0 Y I g 0 L 3 Q s C D Q t N C + 0 L P Q v t C y 0 L 7 R g N C + 0 Y I g 0 L f Q s C D R m N C w 0 L L Q v d C w I N C 9 0 L D Q s d C w 0 L L Q u t C w L D J 9 J n F 1 b 3 Q 7 L C Z x d W 9 0 O 1 N l Y 3 R p b 2 4 x L 0 N B U E V Y L 0 N o Y W 5 n Z W Q g V H l w Z S 5 7 0 J 7 R h 9 C 1 0 L r R g 9 C y 0 L D Q v S D Q t N C w 0 Y L R g 9 C 8 I N C 9 0 L A g 0 L / Q u 9 C w 0 Z z Q s N G a 0 L U s M 3 0 m c X V v d D s s J n F 1 b 3 Q 7 U 2 V j d G l v b j E v Q 0 F Q R V g v Q 2 h h b m d l Z C B U e X B l L n v Q n t G H 0 L X Q u t G D 0 L L Q s N C 9 I N C 0 0 L D R g t G D 0 L w g 0 L f Q s C D R g d G C 0 L D Q s t C w 0 Z r Q t S D Q s t C + I N G D 0 L / Q v t G C 0 Y D Q t d C x 0 L A g K N C 8 0 L X R g d C 1 0 Y Y p L D R 9 J n F 1 b 3 Q 7 L C Z x d W 9 0 O 1 N l Y 3 R p b 2 4 x L 0 N B U E V Y L 0 N o Y W 5 n Z W Q g V H l w Z S 5 7 0 J / R g N C + 0 Y b Q t d C 9 0 L X R g t C w I N C y 0 Y D Q t d C 0 0 L 3 Q v t G B 0 Y I g 0 L 3 Q s C D Q v d C w 0 L H Q s N C y 0 L r Q s C D R g d C + I N C U 0 J T Q k i A o 0 L T Q t d C 9 0 L D R g N C 4 K S w 1 f S Z x d W 9 0 O y w m c X V v d D t T Z W N 0 a W 9 u M S 9 D Q V B F W C 9 D a G F u Z 2 V k I F R 5 c G U u e 9 C h 0 Y L Q s N C / 0 L r Q s C D Q v d C w I N C w 0 L z Q v t G A 0 Y L Q u N C 3 0 L D R h t C 4 0 Z j Q s C w 2 f S Z x d W 9 0 O y w m c X V v d D t T Z W N 0 a W 9 u M S 9 D Q V B F W C 9 D a G F u Z 2 V k I F R 5 c G U u e 9 C a 0 L 7 Q v d G C 0 L 4 g 0 K H R g N C 1 0 L T R g d G C 0 L L Q s C w 3 f S Z x d W 9 0 O y w m c X V v d D t T Z W N 0 a W 9 u M S 9 D Q V B F W C 9 D a G F u Z 2 V k I F R 5 c G U u e 9 C a 0 L 7 Q v d G C 0 L 4 g 0 J D Q v N C + 0 Y D R g t C 4 0 L f Q s N G G 0 L j R m N C w L D h 9 J n F 1 b 3 Q 7 L C Z x d W 9 0 O 1 N l Y 3 R p b 2 4 x L 0 N B U E V Y L 0 N o Y W 5 n Z W Q g V H l w Z S 5 7 0 J j Q t 9 C 9 0 L 7 R g S D Q t N C + 0 L 3 Q s N G G 0 L j R m N C w L D l 9 J n F 1 b 3 Q 7 X S w m c X V v d D t S Z W x h d G l v b n N o a X B J b m Z v J n F 1 b 3 Q 7 O l t d f S I g L z 4 8 L 1 N 0 Y W J s Z U V u d H J p Z X M + P C 9 J d G V t P j x J d G V t P j x J d G V t T G 9 j Y X R p b 2 4 + P E l 0 Z W 1 U e X B l P k Z v c m 1 1 b G E 8 L 0 l 0 Z W 1 U e X B l P j x J d G V t U G F 0 a D 5 T Z W N 0 a W 9 u M S 9 D Q V B F W C 9 T b 3 V y Y 2 U 8 L 0 l 0 Z W 1 Q Y X R o P j w v S X R l b U x v Y 2 F 0 a W 9 u P j x T d G F i b G V F b n R y a W V z I C 8 + P C 9 J d G V t P j x J d G V t P j x J d G V t T G 9 j Y X R p b 2 4 + P E l 0 Z W 1 U e X B l P k Z v c m 1 1 b G E 8 L 0 l 0 Z W 1 U e X B l P j x J d G V t U G F 0 a D 5 T Z W N 0 a W 9 u M S 9 B b W 9 y d G l 6 Y W N p a m E 8 L 0 l 0 Z W 1 Q Y X R o P j w v S X R l b U x v Y 2 F 0 a W 9 u P j x T d G F i b G V F b n R y a W V z P j x F b n R y e S B U e X B l P S J J c 1 B y a X Z h d G U i I F Z h b H V l P S J s M C I g L z 4 8 R W 5 0 c n k g V H l w Z T 0 i T m F 2 a W d h d G l v b l N 0 Z X B O Y W 1 l I i B W Y W x 1 Z T 0 i c 0 5 h d m l n Y X R p b 2 4 i I C 8 + P E V u d H J 5 I F R 5 c G U 9 I k Z p b G x F b m F i b G V k I i B W Y W x 1 Z T 0 i b D A i I C 8 + P E V u d H J 5 I F R 5 c G U 9 I k 5 h b W V V c G R h d G V k Q W Z 0 Z X J G a W x s I i B W Y W x 1 Z T 0 i b D A i I C 8 + P E V u d H J 5 I F R 5 c G U 9 I l J l c 3 V s d F R 5 c G U i I F Z h b H V l P S J z V G F i b G U i I C 8 + P E V u d H J 5 I F R 5 c G U 9 I k J 1 Z m Z l c k 5 l e H R S Z W Z y Z X N o I i B W Y W x 1 Z T 0 i b D E i I C 8 + P E V u d H J 5 I F R 5 c G U 9 I k Z p b G x l Z E N v b X B s Z X R l U m V z d W x 0 V G 9 X b 3 J r c 2 h l Z X Q i I F Z h b H V l P S J s M C I g L z 4 8 R W 5 0 c n k g V H l w Z T 0 i U X V l c n l J R C I g V m F s d W U 9 I n M z O T k 1 M 2 J j M C 0 y M z g 2 L T R i Z D I t O D U y O S 1 k N D V l Y W R m N W I 3 M T g i I C 8 + P E V u d H J 5 I F R 5 c G U 9 I l B p d m 9 0 T 2 J q Z W N 0 T m F t Z S I g V m F s d W U 9 I n N B b W 9 y d G l 6 Y W N p a m F f Q 1 V C R S F Q a X Z v d F R h Y m x l N i I g L z 4 8 R W 5 0 c n k g V H l w Z T 0 i R m l s b F R v R G F 0 Y U 1 v Z G V s R W 5 h Y m x l Z C I g V m F s d W U 9 I m w x I i A v P j x F b n R y e S B U e X B l P S J G a W x s T 2 J q Z W N 0 V H l w Z S I g V m F s d W U 9 I n N Q a X Z v d F R h Y m x l I i A v P j x F b n R y e S B U e X B l P S J G a W x s T G F z d F V w Z G F 0 Z W Q i I F Z h b H V l P S J k M j A y M S 0 x M S 0 y M 1 Q w O T o 0 M D o x N S 4 w N j Y z O D M w W i I g L z 4 8 R W 5 0 c n k g V H l w Z T 0 i R m l s b E V y c m 9 y Q 2 9 1 b n Q i I F Z h b H V l P S J s M C I g L z 4 8 R W 5 0 c n k g V H l w Z T 0 i R m l s b E N v b H V t b l R 5 c G V z I i B W Y W x 1 Z T 0 i c 0 J n W U p B d 1 l H I i A v P j x F b n R y e S B U e X B l P S J G a W x s R X J y b 3 J D b 2 R l I i B W Y W x 1 Z T 0 i c 1 V u a 2 5 v d 2 4 i I C 8 + P E V u d H J 5 I F R 5 c G U 9 I k Z p b G x D b 2 x 1 b W 5 O Y W 1 l c y I g V m F s d W U 9 I n N b J n F 1 b 3 Q 7 0 J H R g N C + 0 Z g g 0 L 3 Q s C D R m N C w 0 L L Q v d C w I N C 9 0 L D Q s d C w 0 L L Q u t C w I C j Q v 9 C 7 0 L D Q v S k m c X V v d D s s J n F 1 b 3 Q 7 0 K H R g t C w 0 L L Q u t C w J n F 1 b 3 Q 7 L C Z x d W 9 0 O 9 C f 0 L X R g N C 4 0 L 7 Q t C Z x d W 9 0 O y w m c X V v d D v Q m N C 3 0 L 3 Q v t G B J n F 1 b 3 Q 7 L C Z x d W 9 0 O 9 C a 0 L 7 Q v d G C 0 L 4 m c X V v d D s s J n F 1 b 3 Q 7 U m V w b 3 J 0 V H l w Z S Z x d W 9 0 O 1 0 i I C 8 + P E V u d H J 5 I F R 5 c G U 9 I k Z p b G x D b 3 V u d C I g V m F s d W U 9 I m w 5 M y I g L z 4 8 R W 5 0 c n k g V H l w Z T 0 i R m l s b F N 0 Y X R 1 c y I g V m F s d W U 9 I n N D b 2 1 w b G V 0 Z S I g L z 4 8 R W 5 0 c n k g V H l w Z T 0 i Q W R k Z W R U b 0 R h d G F N b 2 R l b C I g V m F s d W U 9 I m w x I i A v P j x F b n R y e S B U e X B l P S J S Z W x h d G l v b n N o a X B J b m Z v Q 2 9 u d G F p b m V y I i B W Y W x 1 Z T 0 i c 3 s m c X V v d D t j b 2 x 1 b W 5 D b 3 V u d C Z x d W 9 0 O z o 2 L C Z x d W 9 0 O 2 t l e U N v b H V t b k 5 h b W V z J n F 1 b 3 Q 7 O l t d L C Z x d W 9 0 O 3 F 1 Z X J 5 U m V s Y X R p b 2 5 z a G l w c y Z x d W 9 0 O z p b X S w m c X V v d D t j b 2 x 1 b W 5 J Z G V u d G l 0 a W V z J n F 1 b 3 Q 7 O l s m c X V v d D t T Z W N 0 a W 9 u M S 9 B b W 9 y d G l 6 Y W N p a m E v Q 2 h h b m d l Z C B U e X B l L n v Q k d G A 0 L 7 R m C D Q v d C w I N G Y 0 L D Q s t C 9 0 L A g 0 L 3 Q s N C x 0 L D Q s t C 6 0 L A g K N C / 0 L v Q s N C 9 K S w w f S Z x d W 9 0 O y w m c X V v d D t T Z W N 0 a W 9 u M S 9 B b W 9 y d G l 6 Y W N p a m E v Q 2 h h b m d l Z C B U e X B l L n v Q n 9 G A 0 L X Q t N C 8 0 L X R g i D Q v d C w I N C 0 0 L 7 Q s 9 C + 0 L L Q v t G A 0 L 7 R g i D Q t 9 C w I N G Y 0 L D Q s t C 9 0 L A g 0 L 3 Q s N C x 0 L D Q s t C 6 0 L A s M X 0 m c X V v d D s s J n F 1 b 3 Q 7 U 2 V j d G l v b j E v Q W 1 v c n R p e m F j a W p h L 0 N o Y W 5 n Z W Q g V H l w Z S 5 7 0 J 7 R h 9 C 1 0 L r R g 9 C y 0 L D Q v S D Q t N C w 0 Y L R g 9 C 8 I N C 3 0 L A g 0 Y H R g t C w 0 L L Q s N G a 0 L U g 0 L L Q v i D R g 9 C / 0 L 7 R g t G A 0 L X Q s d C w I C j Q v N C 1 0 Y H Q t d G G K S w y f S Z x d W 9 0 O y w m c X V v d D t T Z W N 0 a W 9 u M S 9 B b W 9 y d G l 6 Y W N p a m E v Q 2 h h b m d l Z C B U e X B l L n v Q n N C 1 0 Y H Q t d G H 0 L X Q v S D Q u N C 3 0 L 3 Q v t G B I N C 9 0 L A g 0 L D Q v N C + 0 Y D R g t C 4 0 L f Q s N G G 0 L j R m N C w L D N 9 J n F 1 b 3 Q 7 L C Z x d W 9 0 O 1 N l Y 3 R p b 2 4 x L 0 F t b 3 J 0 a X p h Y 2 l q Y S 9 D a G F u Z 2 V k I F R 5 c G U u e 9 C a 0 L 7 Q v d G C 0 L 4 s N H 0 m c X V v d D s s J n F 1 b 3 Q 7 U 2 V j d G l v b j E v Q W 1 v c n R p e m F j a W p h L 0 N o Y W 5 n Z W Q g V H l w Z S 5 7 U m V w b 3 J 0 V H l w Z S w 1 f S Z x d W 9 0 O 1 0 s J n F 1 b 3 Q 7 Q 2 9 s d W 1 u Q 2 9 1 b n Q m c X V v d D s 6 N i w m c X V v d D t L Z X l D b 2 x 1 b W 5 O Y W 1 l c y Z x d W 9 0 O z p b X S w m c X V v d D t D b 2 x 1 b W 5 J Z G V u d G l 0 a W V z J n F 1 b 3 Q 7 O l s m c X V v d D t T Z W N 0 a W 9 u M S 9 B b W 9 y d G l 6 Y W N p a m E v Q 2 h h b m d l Z C B U e X B l L n v Q k d G A 0 L 7 R m C D Q v d C w I N G Y 0 L D Q s t C 9 0 L A g 0 L 3 Q s N C x 0 L D Q s t C 6 0 L A g K N C / 0 L v Q s N C 9 K S w w f S Z x d W 9 0 O y w m c X V v d D t T Z W N 0 a W 9 u M S 9 B b W 9 y d G l 6 Y W N p a m E v Q 2 h h b m d l Z C B U e X B l L n v Q n 9 G A 0 L X Q t N C 8 0 L X R g i D Q v d C w I N C 0 0 L 7 Q s 9 C + 0 L L Q v t G A 0 L 7 R g i D Q t 9 C w I N G Y 0 L D Q s t C 9 0 L A g 0 L 3 Q s N C x 0 L D Q s t C 6 0 L A s M X 0 m c X V v d D s s J n F 1 b 3 Q 7 U 2 V j d G l v b j E v Q W 1 v c n R p e m F j a W p h L 0 N o Y W 5 n Z W Q g V H l w Z S 5 7 0 J 7 R h 9 C 1 0 L r R g 9 C y 0 L D Q v S D Q t N C w 0 Y L R g 9 C 8 I N C 3 0 L A g 0 Y H R g t C w 0 L L Q s N G a 0 L U g 0 L L Q v i D R g 9 C / 0 L 7 R g t G A 0 L X Q s d C w I C j Q v N C 1 0 Y H Q t d G G K S w y f S Z x d W 9 0 O y w m c X V v d D t T Z W N 0 a W 9 u M S 9 B b W 9 y d G l 6 Y W N p a m E v Q 2 h h b m d l Z C B U e X B l L n v Q n N C 1 0 Y H Q t d G H 0 L X Q v S D Q u N C 3 0 L 3 Q v t G B I N C 9 0 L A g 0 L D Q v N C + 0 Y D R g t C 4 0 L f Q s N G G 0 L j R m N C w L D N 9 J n F 1 b 3 Q 7 L C Z x d W 9 0 O 1 N l Y 3 R p b 2 4 x L 0 F t b 3 J 0 a X p h Y 2 l q Y S 9 D a G F u Z 2 V k I F R 5 c G U u e 9 C a 0 L 7 Q v d G C 0 L 4 s N H 0 m c X V v d D s s J n F 1 b 3 Q 7 U 2 V j d G l v b j E v Q W 1 v c n R p e m F j a W p h L 0 N o Y W 5 n Z W Q g V H l w Z S 5 7 U m V w b 3 J 0 V H l w Z S w 1 f S Z x d W 9 0 O 1 0 s J n F 1 b 3 Q 7 U m V s Y X R p b 2 5 z a G l w S W 5 m b y Z x d W 9 0 O z p b X X 0 i I C 8 + P C 9 T d G F i b G V F b n R y a W V z P j w v S X R l b T 4 8 S X R l b T 4 8 S X R l b U x v Y 2 F 0 a W 9 u P j x J d G V t V H l w Z T 5 G b 3 J t d W x h P C 9 J d G V t V H l w Z T 4 8 S X R l b V B h d G g + U 2 V j d G l v b j E v Q W 1 v c n R p e m F j a W p h L 1 N v d X J j Z T w v S X R l b V B h d G g + P C 9 J d G V t T G 9 j Y X R p b 2 4 + P F N 0 Y W J s Z U V u d H J p Z X M g L z 4 8 L 0 l 0 Z W 0 + P E l 0 Z W 0 + P E l 0 Z W 1 M b 2 N h d G l v b j 4 8 S X R l b V R 5 c G U + R m 9 y b X V s Y T w v S X R l b V R 5 c G U + P E l 0 Z W 1 Q Y X R o P l N l Y 3 R p b 2 4 x L 0 F t b 3 J 0 a X p h Y 2 l q Y S 9 B b W 9 y d G l 6 Y W N p a m F f U 2 h l Z X Q 8 L 0 l 0 Z W 1 Q Y X R o P j w v S X R l b U x v Y 2 F 0 a W 9 u P j x T d G F i b G V F b n R y a W V z I C 8 + P C 9 J d G V t P j x J d G V t P j x J d G V t T G 9 j Y X R p b 2 4 + P E l 0 Z W 1 U e X B l P k Z v c m 1 1 b G E 8 L 0 l 0 Z W 1 U e X B l P j x J d G V t U G F 0 a D 5 T Z W N 0 a W 9 u M S 9 k S 2 9 u d G V u U G x h b i 9 G a W x 0 Z X J l Z C U y M F J v d 3 M x P C 9 J d G V t U G F 0 a D 4 8 L 0 l 0 Z W 1 M b 2 N h d G l v b j 4 8 U 3 R h Y m x l R W 5 0 c m l l c y A v P j w v S X R l b T 4 8 S X R l b T 4 8 S X R l b U x v Y 2 F 0 a W 9 u P j x J d G V t V H l w Z T 5 G b 3 J t d W x h P C 9 J d G V t V H l w Z T 4 8 S X R l b V B h d G g + U 2 V j d G l v b j E v Z E t v b n R l b l B s Y W 4 v U m V t b 3 Z l Z C U y M E 9 0 a G V y J T I w Q 2 9 s d W 1 u c z w v S X R l b V B h d G g + P C 9 J d G V t T G 9 j Y X R p b 2 4 + P F N 0 Y W J s Z U V u d H J p Z X M g L z 4 8 L 0 l 0 Z W 0 + P E l 0 Z W 0 + P E l 0 Z W 1 M b 2 N h d G l v b j 4 8 S X R l b V R 5 c G U + R m 9 y b X V s Y T w v S X R l b V R 5 c G U + P E l 0 Z W 1 Q Y X R o P l N l Y 3 R p b 2 4 x L 2 R L b 2 5 0 Z W 5 Q b G F u L 0 V 4 c G F u Z G V k J T I w R G F 0 Y T w v S X R l b V B h d G g + P C 9 J d G V t T G 9 j Y X R p b 2 4 + P F N 0 Y W J s Z U V u d H J p Z X M g L z 4 8 L 0 l 0 Z W 0 + P E l 0 Z W 0 + P E l 0 Z W 1 M b 2 N h d G l v b j 4 8 S X R l b V R 5 c G U + R m 9 y b X V s Y T w v S X R l b V R 5 c G U + P E l 0 Z W 1 Q Y X R o P l N l Y 3 R p b 2 4 x L 2 R L b 2 5 0 Z W 5 Q b G F u L 1 B y b 2 1 v d G V k J T I w S G V h Z G V y c z w v S X R l b V B h d G g + P C 9 J d G V t T G 9 j Y X R p b 2 4 + P F N 0 Y W J s Z U V u d H J p Z X M g L z 4 8 L 0 l 0 Z W 0 + P E l 0 Z W 0 + P E l 0 Z W 1 M b 2 N h d G l v b j 4 8 S X R l b V R 5 c G U + R m 9 y b X V s Y T w v S X R l b V R 5 c G U + P E l 0 Z W 1 Q Y X R o P l N l Y 3 R p b 2 4 x L 2 R L b 2 5 0 Z W 5 Q b G F u L 0 N o Y W 5 n Z W Q l M j B U e X B l P C 9 J d G V t U G F 0 a D 4 8 L 0 l 0 Z W 1 M b 2 N h d G l v b j 4 8 U 3 R h Y m x l R W 5 0 c m l l c y A v P j w v S X R l b T 4 8 S X R l b T 4 8 S X R l b U x v Y 2 F 0 a W 9 u P j x J d G V t V H l w Z T 5 G b 3 J t d W x h P C 9 J d G V t V H l w Z T 4 8 S X R l b V B h d G g + U 2 V j d G l v b j E v Z F N 0 Y X Z r a 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O Y X Z p Z 2 F 0 a W 9 u U 3 R l c E 5 h b W U i I F Z h b H V l P S J z T m F 2 a W d h d G l v b i I g L z 4 8 R W 5 0 c n k g V H l w Z T 0 i R m l s b G V k Q 2 9 t c G x l d G V S Z X N 1 b H R U b 1 d v c m t z a G V l d C I g V m F s d W U 9 I m w w I i A v P j x F b n R y e S B U e X B l P S J R d W V y e U l E I i B W Y W x 1 Z T 0 i c 2 E 1 M j c 5 M m U 5 L T A w M m M t N D E 0 N i 1 h N D g 0 L W Q z Z G F j Y z V h N m J m M S I g L z 4 8 R W 5 0 c n k g V H l w Z T 0 i R m l s b E x h c 3 R V c G R h d G V k I i B W Y W x 1 Z T 0 i Z D I w M T k t M T E t M D V U M D E 6 M z M 6 M z Q u N j E 1 M T M 4 N V o i I C 8 + P E V u d H J 5 I F R 5 c G U 9 I k Z p b G x D b 2 x 1 b W 5 U e X B l c y I g V m F s d W U 9 I n N B d 1 l E Q m d Z R 0 J n W U d C Z 0 0 9 I i A v P j x F b n R y e S B U e X B l P S J G a W x s Q 2 9 s d W 1 u T m F t Z X M i I F Z h b H V l P S J z W y Z x d W 9 0 O 0 9 i c m F 6 Z W N J R C Z x d W 9 0 O y w m c X V v d D t T d G F 2 a 2 F B T 1 A m c X V v d D s s J n F 1 b 3 Q 7 U 3 R h d m t h S U Q m c X V v d D s s J n F 1 b 3 Q 7 U 3 R h d m t h S W 1 l T U s m c X V v d D s s J n F 1 b 3 Q 7 U 3 R h d m t h S W 1 l R U 4 m c X V v d D s s J n F 1 b 3 Q 7 S 2 x h c 2 l m a W t h Y 2 l q Y V B y Y X Z p b G 5 p a y Z x d W 9 0 O y w m c X V v d D t T d G F 2 a 2 F H c n V w Y U l E J n F 1 b 3 Q 7 L C Z x d W 9 0 O 1 N 0 Y X Z r Y U d y d X B h J n F 1 b 3 Q 7 L C Z x d W 9 0 O 1 N 0 Y X Z r Y U t h d G V n b 3 J p a m E m c X V v d D s s J n F 1 b 3 Q 7 S 2 x h c 2 E m c X V v d D s s J n F 1 b 3 Q 7 W m 5 h a 0 l 6 d m V z d G F q J n F 1 b 3 Q 7 X S I g L z 4 8 R W 5 0 c n k g V H l w Z T 0 i R m l s b F N 0 Y X R 1 c y I g V m F s d W U 9 I n N D b 2 1 w b G V 0 Z S I g L z 4 8 R W 5 0 c n k g V H l w Z T 0 i R m l s b E V y c m 9 y Q 2 9 k Z S I g V m F s d W U 9 I n N V b m t u b 3 d u I i A v P j x F b n R y e S B U e X B l P S J M b 2 F k Z W R U b 0 F u Y W x 5 c 2 l z U 2 V y d m l j Z X M i I F Z h b H V l P S J s M C 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Z F N 0 Y X Z r a S 9 D a G F u Z 2 V k I F R 5 c G U u e 0 9 i c m F 6 Z W N J R C w w f S Z x d W 9 0 O y w m c X V v d D t T Z W N 0 a W 9 u M S 9 k U 3 R h d m t p L 0 N o Y W 5 n Z W Q g V H l w Z S 5 7 U 3 R h d m t h Q U 9 Q L D F 9 J n F 1 b 3 Q 7 L C Z x d W 9 0 O 1 N l Y 3 R p b 2 4 x L 2 R T d G F 2 a 2 k v Q 2 h h b m d l Z C B U e X B l L n t T d G F 2 a 2 F J R C w y f S Z x d W 9 0 O y w m c X V v d D t T Z W N 0 a W 9 u M S 9 k U 3 R h d m t p L 0 N o Y W 5 n Z W Q g V H l w Z S 5 7 U 3 R h d m t h S W 1 l T U s s M 3 0 m c X V v d D s s J n F 1 b 3 Q 7 U 2 V j d G l v b j E v Z F N 0 Y X Z r a S 9 D a G F u Z 2 V k I F R 5 c G U u e 1 N 0 Y X Z r Y U l t Z U V O L D R 9 J n F 1 b 3 Q 7 L C Z x d W 9 0 O 1 N l Y 3 R p b 2 4 x L 2 R T d G F 2 a 2 k v Q 2 h h b m d l Z C B U e X B l L n t L b G F z a W Z p a 2 F j a W p h U H J h d m l s b m l r L D V 9 J n F 1 b 3 Q 7 L C Z x d W 9 0 O 1 N l Y 3 R p b 2 4 x L 2 R T d G F 2 a 2 k v Q 2 h h b m d l Z C B U e X B l L n t T d G F 2 a 2 F H c n V w Y U l E L D Z 9 J n F 1 b 3 Q 7 L C Z x d W 9 0 O 1 N l Y 3 R p b 2 4 x L 2 R T d G F 2 a 2 k v Q 2 h h b m d l Z C B U e X B l L n t T d G F 2 a 2 F H c n V w Y S w 3 f S Z x d W 9 0 O y w m c X V v d D t T Z W N 0 a W 9 u M S 9 k U 3 R h d m t p L 0 N o Y W 5 n Z W Q g V H l w Z S 5 7 U 3 R h d m t h S 2 F 0 Z W d v c m l q Y S w 4 f S Z x d W 9 0 O y w m c X V v d D t T Z W N 0 a W 9 u M S 9 k U 3 R h d m t p L 0 N o Y W 5 n Z W Q g V H l w Z S 5 7 S 2 x h c 2 E s O X 0 m c X V v d D s s J n F 1 b 3 Q 7 U 2 V j d G l v b j E v Z F N 0 Y X Z r a S 9 D a G F u Z 2 V k I F R 5 c G U u e 1 p u Y W t J e n Z l c 3 R h a i w x M H 0 m c X V v d D t d L C Z x d W 9 0 O 0 N v b H V t b k N v d W 5 0 J n F 1 b 3 Q 7 O j E x L C Z x d W 9 0 O 0 t l e U N v b H V t b k 5 h b W V z J n F 1 b 3 Q 7 O l t d L C Z x d W 9 0 O 0 N v b H V t b k l k Z W 5 0 a X R p Z X M m c X V v d D s 6 W y Z x d W 9 0 O 1 N l Y 3 R p b 2 4 x L 2 R T d G F 2 a 2 k v Q 2 h h b m d l Z C B U e X B l L n t P Y n J h e m V j S U Q s M H 0 m c X V v d D s s J n F 1 b 3 Q 7 U 2 V j d G l v b j E v Z F N 0 Y X Z r a S 9 D a G F u Z 2 V k I F R 5 c G U u e 1 N 0 Y X Z r Y U F P U C w x f S Z x d W 9 0 O y w m c X V v d D t T Z W N 0 a W 9 u M S 9 k U 3 R h d m t p L 0 N o Y W 5 n Z W Q g V H l w Z S 5 7 U 3 R h d m t h S U Q s M n 0 m c X V v d D s s J n F 1 b 3 Q 7 U 2 V j d G l v b j E v Z F N 0 Y X Z r a S 9 D a G F u Z 2 V k I F R 5 c G U u e 1 N 0 Y X Z r Y U l t Z U 1 L L D N 9 J n F 1 b 3 Q 7 L C Z x d W 9 0 O 1 N l Y 3 R p b 2 4 x L 2 R T d G F 2 a 2 k v Q 2 h h b m d l Z C B U e X B l L n t T d G F 2 a 2 F J b W V F T i w 0 f S Z x d W 9 0 O y w m c X V v d D t T Z W N 0 a W 9 u M S 9 k U 3 R h d m t p L 0 N o Y W 5 n Z W Q g V H l w Z S 5 7 S 2 x h c 2 l m a W t h Y 2 l q Y V B y Y X Z p b G 5 p a y w 1 f S Z x d W 9 0 O y w m c X V v d D t T Z W N 0 a W 9 u M S 9 k U 3 R h d m t p L 0 N o Y W 5 n Z W Q g V H l w Z S 5 7 U 3 R h d m t h R 3 J 1 c G F J R C w 2 f S Z x d W 9 0 O y w m c X V v d D t T Z W N 0 a W 9 u M S 9 k U 3 R h d m t p L 0 N o Y W 5 n Z W Q g V H l w Z S 5 7 U 3 R h d m t h R 3 J 1 c G E s N 3 0 m c X V v d D s s J n F 1 b 3 Q 7 U 2 V j d G l v b j E v Z F N 0 Y X Z r a S 9 D a G F u Z 2 V k I F R 5 c G U u e 1 N 0 Y X Z r Y U t h d G V n b 3 J p a m E s O H 0 m c X V v d D s s J n F 1 b 3 Q 7 U 2 V j d G l v b j E v Z F N 0 Y X Z r a S 9 D a G F u Z 2 V k I F R 5 c G U u e 0 t s Y X N h L D l 9 J n F 1 b 3 Q 7 L C Z x d W 9 0 O 1 N l Y 3 R p b 2 4 x L 2 R T d G F 2 a 2 k v Q 2 h h b m d l Z C B U e X B l L n t a b m F r S X p 2 Z X N 0 Y W o s M T B 9 J n F 1 b 3 Q 7 X S w m c X V v d D t S Z W x h d G l v b n N o a X B J b m Z v J n F 1 b 3 Q 7 O l t d f S I g L z 4 8 L 1 N 0 Y W J s Z U V u d H J p Z X M + P C 9 J d G V t P j x J d G V t P j x J d G V t T G 9 j Y X R p b 2 4 + P E l 0 Z W 1 U e X B l P k Z v c m 1 1 b G E 8 L 0 l 0 Z W 1 U e X B l P j x J d G V t U G F 0 a D 5 T Z W N 0 a W 9 u M S 9 k U 3 R h d m t p L 1 N v d X J j Z T w v S X R l b V B h d G g + P C 9 J d G V t T G 9 j Y X R p b 2 4 + P F N 0 Y W J s Z U V u d H J p Z X M g L z 4 8 L 0 l 0 Z W 0 + P E l 0 Z W 0 + P E l 0 Z W 1 M b 2 N h d G l v b j 4 8 S X R l b V R 5 c G U + R m 9 y b X V s Y T w v S X R l b V R 5 c G U + P E l 0 Z W 1 Q Y X R o P l N l Y 3 R p b 2 4 x L 2 R T d G F 2 a 2 k v R m l s d G V y Z W Q l M j B S b 3 d z M T w v S X R l b V B h d G g + P C 9 J d G V t T G 9 j Y X R p b 2 4 + P F N 0 Y W J s Z U V u d H J p Z X M g L z 4 8 L 0 l 0 Z W 0 + P E l 0 Z W 0 + P E l 0 Z W 1 M b 2 N h d G l v b j 4 8 S X R l b V R 5 c G U + R m 9 y b X V s Y T w v S X R l b V R 5 c G U + P E l 0 Z W 1 Q Y X R o P l N l Y 3 R p b 2 4 x L 2 R T d G F 2 a 2 k v U m V t b 3 Z l Z C U y M E 9 0 a G V y J T I w Q 2 9 s d W 1 u c z w v S X R l b V B h d G g + P C 9 J d G V t T G 9 j Y X R p b 2 4 + P F N 0 Y W J s Z U V u d H J p Z X M g L z 4 8 L 0 l 0 Z W 0 + P E l 0 Z W 0 + P E l 0 Z W 1 M b 2 N h d G l v b j 4 8 S X R l b V R 5 c G U + R m 9 y b X V s Y T w v S X R l b V R 5 c G U + P E l 0 Z W 1 Q Y X R o P l N l Y 3 R p b 2 4 x L 2 R T d G F 2 a 2 k v R X h w Y W 5 k Z W Q l M j B E Y X R h P C 9 J d G V t U G F 0 a D 4 8 L 0 l 0 Z W 1 M b 2 N h d G l v b j 4 8 U 3 R h Y m x l R W 5 0 c m l l c y A v P j w v S X R l b T 4 8 S X R l b T 4 8 S X R l b U x v Y 2 F 0 a W 9 u P j x J d G V t V H l w Z T 5 G b 3 J t d W x h P C 9 J d G V t V H l w Z T 4 8 S X R l b V B h d G g + U 2 V j d G l v b j E v Z F N 0 Y X Z r a S 9 Q c m 9 t b 3 R l Z C U y M E h l Y W R l c n M 8 L 0 l 0 Z W 1 Q Y X R o P j w v S X R l b U x v Y 2 F 0 a W 9 u P j x T d G F i b G V F b n R y a W V z I C 8 + P C 9 J d G V t P j x J d G V t P j x J d G V t T G 9 j Y X R p b 2 4 + P E l 0 Z W 1 U e X B l P k Z v c m 1 1 b G E 8 L 0 l 0 Z W 1 U e X B l P j x J d G V t U G F 0 a D 5 T Z W N 0 a W 9 u M S 9 k U 3 R h d m t p L 0 N o Y W 5 n Z W Q l M j B U e X B l P C 9 J d G V t U G F 0 a D 4 8 L 0 l 0 Z W 1 M b 2 N h d G l v b j 4 8 U 3 R h Y m x l R W 5 0 c m l l c y A v P j w v S X R l b T 4 8 S X R l b T 4 8 S X R l b U x v Y 2 F 0 a W 9 u P j x J d G V t V H l w Z T 5 G b 3 J t d W x h P C 9 J d G V t V H l w Z T 4 8 S X R l b V B h d G g + U 2 V j d G l v b j E v Z E t v b n R l b l B s Y W 4 v U m V t b 3 Z l Z C U y M E N v b H V t b n M 8 L 0 l 0 Z W 1 Q Y X R o P j w v S X R l b U x v Y 2 F 0 a W 9 u P j x T d G F i b G V F b n R y a W V z I C 8 + P C 9 J d G V t P j x J d G V t P j x J d G V t T G 9 j Y X R p b 2 4 + P E l 0 Z W 1 U e X B l P k Z v c m 1 1 b G E 8 L 0 l 0 Z W 1 U e X B l P j x J d G V t U G F 0 a D 5 T Z W N 0 a W 9 u M S 9 k S 2 9 u d G V u U G x h b i 9 N Z X J n Z W Q l M j B R d W V y a W V z P C 9 J d G V t U G F 0 a D 4 8 L 0 l 0 Z W 1 M b 2 N h d G l v b j 4 8 U 3 R h Y m x l R W 5 0 c m l l c y A v P j w v S X R l b T 4 8 S X R l b T 4 8 S X R l b U x v Y 2 F 0 a W 9 u P j x J d G V t V H l w Z T 5 G b 3 J t d W x h P C 9 J d G V t V H l w Z T 4 8 S X R l b V B h d G g + U 2 V j d G l v b j E v Z E t v b n R l b l B s Y W 4 v R X h w Y W 5 k Z W Q l M j B k U 3 R h d m t p P C 9 J d G V t U G F 0 a D 4 8 L 0 l 0 Z W 1 M b 2 N h d G l v b j 4 8 U 3 R h Y m x l R W 5 0 c m l l c y A v P j w v S X R l b T 4 8 S X R l b T 4 8 S X R l b U x v Y 2 F 0 a W 9 u P j x J d G V t V H l w Z T 5 G b 3 J t d W x h P C 9 J d G V t V H l w Z T 4 8 S X R l b V B h d G g + U 2 V j d G l v b j E v Z k 9 Q R V g 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T m F 2 a W d h d G l v b l N 0 Z X B O Y W 1 l I i B W Y W x 1 Z T 0 i c 0 5 h d m l n Y X R p b 2 4 i I C 8 + P E V u d H J 5 I F R 5 c G U 9 I k Z p b G x l Z E N v b X B s Z X R l U m V z d W x 0 V G 9 X b 3 J r c 2 h l Z X Q i I F Z h b H V l P S J s M C I g L z 4 8 R W 5 0 c n k g V H l w Z T 0 i U X V l c n l J R C I g V m F s d W U 9 I n M x N j B j M G Z m N y 0 4 N W Q 0 L T Q 1 M z k t Y j c x Z C 0 w M m E 1 N T Q z N 2 J i M j Q i I C 8 + P E V u d H J 5 I F R 5 c G U 9 I k Z p b G x M Y X N 0 V X B k Y X R l Z C I g V m F s d W U 9 I m Q y M D I x L T E x L T I z V D A 5 O j Q w O j E 1 L j E y N T U 0 O T N a I i A v P j x F b n R y e S B U e X B l P S J G a W x s R X J y b 3 J D b 3 V u d C I g V m F s d W U 9 I m w x I i A v P j x F b n R y e S B U e X B l P S J G a W x s Q 2 9 s d W 1 u V H l w Z X M i I F Z h b H V l P S J z Q m d Z S k F 3 W T 0 i I C 8 + P E V u d H J 5 I F R 5 c G U 9 I k Z p b G x F c n J v c k N v Z G U i I F Z h b H V l P S J z V W 5 r b m 9 3 b i I g L z 4 8 R W 5 0 c n k g V H l w Z T 0 i R m l s b E N v b H V t b k 5 h b W V z I i B W Y W x 1 Z T 0 i c 1 s m c X V v d D v Q m t C + 0 L 3 R g t C + J n F 1 b 3 Q 7 L C Z x d W 9 0 O 9 C h 0 Y L Q s N C y 0 L r Q s C Z x d W 9 0 O y w m c X V v d D v Q n 9 C 1 0 Y D Q u N C + 0 L Q m c X V v d D s s J n F 1 b 3 Q 7 0 J j Q t 9 C 9 0 L 7 R g S Z x d W 9 0 O y w m c X V v d D t S Z X B v c n R U e X B l J n F 1 b 3 Q 7 X S I g L z 4 8 R W 5 0 c n k g V H l w Z T 0 i R m l s b E N v d W 5 0 I i B W Y W x 1 Z T 0 i b D E x O T k i I C 8 + P E V u d H J 5 I F R 5 c G U 9 I k Z p b G x T d G F 0 d X M i I F Z h b H V l P S J z Q 2 9 t c G x l d G U i I C 8 + P E V u d H J 5 I F R 5 c G U 9 I k F k Z G V k V G 9 E Y X R h T W 9 k Z W w i I F Z h b H V l P S J s M S I g L z 4 8 R W 5 0 c n k g V H l w Z T 0 i U m V s Y X R p b 2 5 z a G l w S W 5 m b 0 N v b n R h a W 5 l c i I g V m F s d W U 9 I n N 7 J n F 1 b 3 Q 7 Y 2 9 s d W 1 u Q 2 9 1 b n Q m c X V v d D s 6 N S w m c X V v d D t r Z X l D b 2 x 1 b W 5 O Y W 1 l c y Z x d W 9 0 O z p b X S w m c X V v d D t x d W V y e V J l b G F 0 a W 9 u c 2 h p c H M m c X V v d D s 6 W 1 0 s J n F 1 b 3 Q 7 Y 2 9 s d W 1 u S W R l b n R p d G l l c y Z x d W 9 0 O z p b J n F 1 b 3 Q 7 U 2 V j d G l v b j E v Z k 9 Q R V g v Q 2 h h b m d l Z C B U e X B l M S 5 7 0 J r Q v t C 9 0 Y L Q v i w w f S Z x d W 9 0 O y w m c X V v d D t T Z W N 0 a W 9 u M S 9 m T 1 B F W C 9 D a G F u Z 2 V k I F R 5 c G U x L n v Q o d G C 0 L D Q s t C 6 0 L A s M X 0 m c X V v d D s s J n F 1 b 3 Q 7 U 2 V j d G l v b j E v Z k 9 Q R V g v Q 2 h h b m d l Z C B U e X B l M S 5 7 0 J / Q t d G A 0 L j Q v t C 0 I N C 9 0 L A g 0 L 3 Q s N C x 0 L D Q s t C 6 0 L A s M n 0 m c X V v d D s s J n F 1 b 3 Q 7 U 2 V j d G l v b j E v Z k 9 Q R V g v Q 2 h h b m d l Z C B U e X B l M S 5 7 0 J j Q t 9 C 9 0 L 7 R g S w z f S Z x d W 9 0 O y w m c X V v d D t T Z W N 0 a W 9 u M S 9 m T 1 B F W C 9 D a G F u Z 2 V k I F R 5 c G U x L n t S Z X B v c n R U e X B l L D R 9 J n F 1 b 3 Q 7 X S w m c X V v d D t D b 2 x 1 b W 5 D b 3 V u d C Z x d W 9 0 O z o 1 L C Z x d W 9 0 O 0 t l e U N v b H V t b k 5 h b W V z J n F 1 b 3 Q 7 O l t d L C Z x d W 9 0 O 0 N v b H V t b k l k Z W 5 0 a X R p Z X M m c X V v d D s 6 W y Z x d W 9 0 O 1 N l Y 3 R p b 2 4 x L 2 Z P U E V Y L 0 N o Y W 5 n Z W Q g V H l w Z T E u e 9 C a 0 L 7 Q v d G C 0 L 4 s M H 0 m c X V v d D s s J n F 1 b 3 Q 7 U 2 V j d G l v b j E v Z k 9 Q R V g v Q 2 h h b m d l Z C B U e X B l M S 5 7 0 K H R g t C w 0 L L Q u t C w L D F 9 J n F 1 b 3 Q 7 L C Z x d W 9 0 O 1 N l Y 3 R p b 2 4 x L 2 Z P U E V Y L 0 N o Y W 5 n Z W Q g V H l w Z T E u e 9 C f 0 L X R g N C 4 0 L 7 Q t C D Q v d C w I N C 9 0 L D Q s d C w 0 L L Q u t C w L D J 9 J n F 1 b 3 Q 7 L C Z x d W 9 0 O 1 N l Y 3 R p b 2 4 x L 2 Z P U E V Y L 0 N o Y W 5 n Z W Q g V H l w Z T E u e 9 C Y 0 L f Q v d C + 0 Y E s M 3 0 m c X V v d D s s J n F 1 b 3 Q 7 U 2 V j d G l v b j E v Z k 9 Q R V g v Q 2 h h b m d l Z C B U e X B l M S 5 7 U m V w b 3 J 0 V H l w Z S w 0 f S Z x d W 9 0 O 1 0 s J n F 1 b 3 Q 7 U m V s Y X R p b 2 5 z a G l w S W 5 m b y Z x d W 9 0 O z p b X X 0 i I C 8 + P C 9 T d G F i b G V F b n R y a W V z P j w v S X R l b T 4 8 S X R l b T 4 8 S X R l b U x v Y 2 F 0 a W 9 u P j x J d G V t V H l w Z T 5 G b 3 J t d W x h P C 9 J d G V t V H l w Z T 4 8 S X R l b V B h d G g + U 2 V j d G l v b j E v Z k 9 Q R V g v U 2 9 1 c m N l P C 9 J d G V t U G F 0 a D 4 8 L 0 l 0 Z W 1 M b 2 N h d G l v b j 4 8 U 3 R h Y m x l R W 5 0 c m l l c y A v P j w v S X R l b T 4 8 S X R l b T 4 8 S X R l b U x v Y 2 F 0 a W 9 u P j x J d G V t V H l w Z T 5 G b 3 J t d W x h P C 9 J d G V t V H l w Z T 4 8 S X R l b V B h d G g + U 2 V j d G l v b j E v Z k 9 Q R V g v R m l s d G V y Z W Q l M j B S b 3 d z P C 9 J d G V t U G F 0 a D 4 8 L 0 l 0 Z W 1 M b 2 N h d G l v b j 4 8 U 3 R h Y m x l R W 5 0 c m l l c y A v P j w v S X R l b T 4 8 S X R l b T 4 8 S X R l b U x v Y 2 F 0 a W 9 u P j x J d G V t V H l w Z T 5 G b 3 J t d W x h P C 9 J d G V t V H l w Z T 4 8 S X R l b V B h d G g + U 2 V j d G l v b j E v Z k 9 Q R V g v U m V t b 3 Z l Z C U y M E 9 0 a G V y J T I w Q 2 9 s d W 1 u c z w v S X R l b V B h d G g + P C 9 J d G V t T G 9 j Y X R p b 2 4 + P F N 0 Y W J s Z U V u d H J p Z X M g L z 4 8 L 0 l 0 Z W 0 + P E l 0 Z W 0 + P E l 0 Z W 1 M b 2 N h d G l v b j 4 8 S X R l b V R 5 c G U + R m 9 y b X V s Y T w v S X R l b V R 5 c G U + P E l 0 Z W 1 Q Y X R o P l N l Y 3 R p b 2 4 x L 2 Z P U E V Y L 0 V 4 c G F u Z G V k J T I w R G F 0 Y T w v S X R l b V B h d G g + P C 9 J d G V t T G 9 j Y X R p b 2 4 + P F N 0 Y W J s Z U V u d H J p Z X M g L z 4 8 L 0 l 0 Z W 0 + P E l 0 Z W 0 + P E l 0 Z W 1 M b 2 N h d G l v b j 4 8 S X R l b V R 5 c G U + R m 9 y b X V s Y T w v S X R l b V R 5 c G U + P E l 0 Z W 1 Q Y X R o P l N l Y 3 R p b 2 4 x L 2 Z P U E V Y L 1 B y b 2 1 v d G V k J T I w S G V h Z G V y c z w v S X R l b V B h d G g + P C 9 J d G V t T G 9 j Y X R p b 2 4 + P F N 0 Y W J s Z U V u d H J p Z X M g L z 4 8 L 0 l 0 Z W 0 + P E l 0 Z W 0 + P E l 0 Z W 1 M b 2 N h d G l v b j 4 8 S X R l b V R 5 c G U + R m 9 y b X V s Y T w v S X R l b V R 5 c G U + P E l 0 Z W 1 Q Y X R o P l N l Y 3 R p b 2 4 x L 2 Z P U E V Y L 1 J l b m F t Z W Q l M j B D b 2 x 1 b W 5 z P C 9 J d G V t U G F 0 a D 4 8 L 0 l 0 Z W 1 M b 2 N h d G l v b j 4 8 U 3 R h Y m x l R W 5 0 c m l l c y A v P j w v S X R l b T 4 8 S X R l b T 4 8 S X R l b U x v Y 2 F 0 a W 9 u P j x J d G V t V H l w Z T 5 G b 3 J t d W x h P C 9 J d G V t V H l w Z T 4 8 S X R l b V B h d G g + U 2 V j d G l v b j E v Z E 1 h c H B p b m c 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T m F 2 a W d h d G l v b l N 0 Z X B O Y W 1 l I i B W Y W x 1 Z T 0 i c 0 5 h d m l n Y X R p b 2 4 i I C 8 + P E V u d H J 5 I F R 5 c G U 9 I k Z p b G x l Z E N v b X B s Z X R l U m V z d W x 0 V G 9 X b 3 J r c 2 h l Z X Q i I F Z h b H V l P S J s M C I g L z 4 8 R W 5 0 c n k g V H l w Z T 0 i R m l s b E x h c 3 R V c G R h d G V k I i B W Y W x 1 Z T 0 i Z D I w M T k t M T E t M D V U M D E 6 M z M 6 N T E u M j g x N j M 4 M l o i I C 8 + P E V u d H J 5 I F R 5 c G U 9 I k Z p b G x D b 2 x 1 b W 5 U e X B l c y I g V m F s d W U 9 I n N C Z 1 l E Q X d N R 0 J n P T 0 i I C 8 + P E V u d H J 5 I F R 5 c G U 9 I k Z p b G x T d G F 0 d X M i I F Z h b H V l P S J z Q 2 9 t c G x l d G U i I C 8 + P E V u d H J 5 I F R 5 c G U 9 I k Z p b G x F c n J v c k N v Z G U i I F Z h b H V l P S J z V W 5 r b m 9 3 b i I g L z 4 8 R W 5 0 c n k g V H l w Z T 0 i R m l s b E N v b H V t b k 5 h b W V z I i B W Y W x 1 Z T 0 i c 1 s m c X V v d D t L b 2 5 0 b y Z x d W 9 0 O y w m c X V v d D t O Y X p p d i B u Y S B r b 2 5 0 b y Z x d W 9 0 O y w m c X V v d D t U a X B J e n Z l c 3 R h a k l E J n F 1 b 3 Q 7 L C Z x d W 9 0 O 0 9 i c m F 6 Z W N J R C Z x d W 9 0 O y w m c X V v d D t T d G F 2 a 2 F J R C Z x d W 9 0 O y w m c X V v d D t G U C B z d G F y J n F 1 b 3 Q 7 L C Z x d W 9 0 O 1 N 0 Y X Z r Y U l t Z U 1 L J n F 1 b 3 Q 7 X S I g L z 4 8 R W 5 0 c n k g V H l w Z T 0 i T G 9 h Z G V k V G 9 B b m F s e X N p c 1 N l c n Z p Y 2 V z I i B W Y W x 1 Z T 0 i b D A i I C 8 + P E V u d H J 5 I F R 5 c G U 9 I k F k Z G V k V G 9 E Y X R h T W 9 k Z W w i I F Z h b H V l P S J s M C I g L z 4 8 R W 5 0 c n k g V H l w Z T 0 i U m V s Y X R p b 2 5 z a G l w S W 5 m b 0 N v b n R h a W 5 l c i I g V m F s d W U 9 I n N 7 J n F 1 b 3 Q 7 Y 2 9 s d W 1 u Q 2 9 1 b n Q m c X V v d D s 6 N y w m c X V v d D t r Z X l D b 2 x 1 b W 5 O Y W 1 l c y Z x d W 9 0 O z p b X S w m c X V v d D t x d W V y e V J l b G F 0 a W 9 u c 2 h p c H M m c X V v d D s 6 W 1 0 s J n F 1 b 3 Q 7 Y 2 9 s d W 1 u S W R l b n R p d G l l c y Z x d W 9 0 O z p b J n F 1 b 3 Q 7 U 2 V j d G l v b j E v Z E 1 h c H B p b m c v Q 2 h h b m d l Z C B U e X B l L n t L b 2 5 0 b y w w f S Z x d W 9 0 O y w m c X V v d D t T Z W N 0 a W 9 u M S 9 k T W F w c G l u Z y 9 D a G F u Z 2 V k I F R 5 c G U u e 0 5 h e m l 2 I G 5 h I G t v b n R v L D F 9 J n F 1 b 3 Q 7 L C Z x d W 9 0 O 1 N l Y 3 R p b 2 4 x L 2 R N Y X B w a W 5 n L 0 N o Y W 5 n Z W Q g V H l w Z S 5 7 V G l w S X p 2 Z X N 0 Y W p J R C w y f S Z x d W 9 0 O y w m c X V v d D t T Z W N 0 a W 9 u M S 9 k T W F w c G l u Z y 9 D a G F u Z 2 V k I F R 5 c G U u e 0 9 i c m F 6 Z W N J R C w z f S Z x d W 9 0 O y w m c X V v d D t T Z W N 0 a W 9 u M S 9 k T W F w c G l u Z y 9 D a G F u Z 2 V k I F R 5 c G U u e 1 N 0 Y X Z r Y U l E L D R 9 J n F 1 b 3 Q 7 L C Z x d W 9 0 O 1 N l Y 3 R p b 2 4 x L 2 R N Y X B w a W 5 n L 0 N o Y W 5 n Z W Q g V H l w Z S 5 7 R l A g c 3 R h c i w 1 f S Z x d W 9 0 O y w m c X V v d D t T Z W N 0 a W 9 u M S 9 k T W F w c G l u Z y 9 D a G F u Z 2 V k I F R 5 c G U u e 1 N 0 Y X Z r Y U l t Z U 1 L L D Z 9 J n F 1 b 3 Q 7 X S w m c X V v d D t D b 2 x 1 b W 5 D b 3 V u d C Z x d W 9 0 O z o 3 L C Z x d W 9 0 O 0 t l e U N v b H V t b k 5 h b W V z J n F 1 b 3 Q 7 O l t d L C Z x d W 9 0 O 0 N v b H V t b k l k Z W 5 0 a X R p Z X M m c X V v d D s 6 W y Z x d W 9 0 O 1 N l Y 3 R p b 2 4 x L 2 R N Y X B w a W 5 n L 0 N o Y W 5 n Z W Q g V H l w Z S 5 7 S 2 9 u d G 8 s M H 0 m c X V v d D s s J n F 1 b 3 Q 7 U 2 V j d G l v b j E v Z E 1 h c H B p b m c v Q 2 h h b m d l Z C B U e X B l L n t O Y X p p d i B u Y S B r b 2 5 0 b y w x f S Z x d W 9 0 O y w m c X V v d D t T Z W N 0 a W 9 u M S 9 k T W F w c G l u Z y 9 D a G F u Z 2 V k I F R 5 c G U u e 1 R p c E l 6 d m V z d G F q S U Q s M n 0 m c X V v d D s s J n F 1 b 3 Q 7 U 2 V j d G l v b j E v Z E 1 h c H B p b m c v Q 2 h h b m d l Z C B U e X B l L n t P Y n J h e m V j S U Q s M 3 0 m c X V v d D s s J n F 1 b 3 Q 7 U 2 V j d G l v b j E v Z E 1 h c H B p b m c v Q 2 h h b m d l Z C B U e X B l L n t T d G F 2 a 2 F J R C w 0 f S Z x d W 9 0 O y w m c X V v d D t T Z W N 0 a W 9 u M S 9 k T W F w c G l u Z y 9 D a G F u Z 2 V k I F R 5 c G U u e 0 Z Q I H N 0 Y X I s N X 0 m c X V v d D s s J n F 1 b 3 Q 7 U 2 V j d G l v b j E v Z E 1 h c H B p b m c v Q 2 h h b m d l Z C B U e X B l L n t T d G F 2 a 2 F J b W V N S y w 2 f S Z x d W 9 0 O 1 0 s J n F 1 b 3 Q 7 U m V s Y X R p b 2 5 z a G l w S W 5 m b y Z x d W 9 0 O z p b X X 0 i I C 8 + P C 9 T d G F i b G V F b n R y a W V z P j w v S X R l b T 4 8 S X R l b T 4 8 S X R l b U x v Y 2 F 0 a W 9 u P j x J d G V t V H l w Z T 5 G b 3 J t d W x h P C 9 J d G V t V H l w Z T 4 8 S X R l b V B h d G g + U 2 V j d G l v b j E v Z E 1 h c H B p b m c v U 2 9 1 c m N l P C 9 J d G V t U G F 0 a D 4 8 L 0 l 0 Z W 1 M b 2 N h d G l v b j 4 8 U 3 R h Y m x l R W 5 0 c m l l c y A v P j w v S X R l b T 4 8 S X R l b T 4 8 S X R l b U x v Y 2 F 0 a W 9 u P j x J d G V t V H l w Z T 5 G b 3 J t d W x h P C 9 J d G V t V H l w Z T 4 8 S X R l b V B h d G g + U 2 V j d G l v b j E v Z E 1 h c H B p b m c v R m l s d G V y Z W Q l M j B S b 3 d z M T w v S X R l b V B h d G g + P C 9 J d G V t T G 9 j Y X R p b 2 4 + P F N 0 Y W J s Z U V u d H J p Z X M g L z 4 8 L 0 l 0 Z W 0 + P E l 0 Z W 0 + P E l 0 Z W 1 M b 2 N h d G l v b j 4 8 S X R l b V R 5 c G U + R m 9 y b X V s Y T w v S X R l b V R 5 c G U + P E l 0 Z W 1 Q Y X R o P l N l Y 3 R p b 2 4 x L 2 R N Y X B w a W 5 n L 1 J l b W 9 2 Z W Q l M j B P d G h l c i U y M E N v b H V t b n M 8 L 0 l 0 Z W 1 Q Y X R o P j w v S X R l b U x v Y 2 F 0 a W 9 u P j x T d G F i b G V F b n R y a W V z I C 8 + P C 9 J d G V t P j x J d G V t P j x J d G V t T G 9 j Y X R p b 2 4 + P E l 0 Z W 1 U e X B l P k Z v c m 1 1 b G E 8 L 0 l 0 Z W 1 U e X B l P j x J d G V t U G F 0 a D 5 T Z W N 0 a W 9 u M S 9 k T W F w c G l u Z y 9 F e H B h b m R l Z C U y M E R h d G E 8 L 0 l 0 Z W 1 Q Y X R o P j w v S X R l b U x v Y 2 F 0 a W 9 u P j x T d G F i b G V F b n R y a W V z I C 8 + P C 9 J d G V t P j x J d G V t P j x J d G V t T G 9 j Y X R p b 2 4 + P E l 0 Z W 1 U e X B l P k Z v c m 1 1 b G E 8 L 0 l 0 Z W 1 U e X B l P j x J d G V t U G F 0 a D 5 T Z W N 0 a W 9 u M S 9 k T W F w c G l u Z y 9 Q c m 9 t b 3 R l Z C U y M E h l Y W R l c n M 8 L 0 l 0 Z W 1 Q Y X R o P j w v S X R l b U x v Y 2 F 0 a W 9 u P j x T d G F i b G V F b n R y a W V z I C 8 + P C 9 J d G V t P j x J d G V t P j x J d G V t T G 9 j Y X R p b 2 4 + P E l 0 Z W 1 U e X B l P k Z v c m 1 1 b G E 8 L 0 l 0 Z W 1 U e X B l P j x J d G V t U G F 0 a D 5 T Z W N 0 a W 9 u M S 9 k T W F w c G l u Z y 9 D a G F u Z 2 V k J T I w V H l w Z T w v S X R l b V B h d G g + P C 9 J d G V t T G 9 j Y X R p b 2 4 + P F N 0 Y W J s Z U V u d H J p Z X M g L z 4 8 L 0 l 0 Z W 0 + P E l 0 Z W 0 + P E l 0 Z W 1 M b 2 N h d G l v b j 4 8 S X R l b V R 5 c G U + R m 9 y b X V s Y T w v S X R l b V R 5 c G U + P E l 0 Z W 1 Q Y X R o P l N l Y 3 R p b 2 4 x L 2 Z B Y 3 R 1 Y W x B b m R C d W R n Z X Q v T W V y Z 2 V k J T I w U X V l c m l l c z w v S X R l b V B h d G g + P C 9 J d G V t T G 9 j Y X R p b 2 4 + P F N 0 Y W J s Z U V u d H J p Z X M g L z 4 8 L 0 l 0 Z W 0 + P E l 0 Z W 0 + P E l 0 Z W 1 M b 2 N h d G l v b j 4 8 S X R l b V R 5 c G U + R m 9 y b X V s Y T w v S X R l b V R 5 c G U + P E l 0 Z W 1 Q Y X R o P l N l Y 3 R p b 2 4 x L 2 R N Y X B w a W 5 n L 0 Z p b H R l c m V k J T I w U m 9 3 c z w v S X R l b V B h d G g + P C 9 J d G V t T G 9 j Y X R p b 2 4 + P F N 0 Y W J s Z U V u d H J p Z X M g L z 4 8 L 0 l 0 Z W 0 + P E l 0 Z W 0 + P E l 0 Z W 1 M b 2 N h d G l v b j 4 8 S X R l b V R 5 c G U + R m 9 y b X V s Y T w v S X R l b V R 5 c G U + P E l 0 Z W 1 Q Y X R o P l N l Y 3 R p b 2 4 x L 2 Z B Y 3 R 1 Y W x B b m R C d W R n Z X Q v T W V y Z 2 V k J T I w U X V l c m l l c z E 8 L 0 l 0 Z W 1 Q Y X R o P j w v S X R l b U x v Y 2 F 0 a W 9 u P j x T d G F i b G V F b n R y a W V z I C 8 + P C 9 J d G V t P j x J d G V t P j x J d G V t T G 9 j Y X R p b 2 4 + P E l 0 Z W 1 U e X B l P k Z v c m 1 1 b G E 8 L 0 l 0 Z W 1 U e X B l P j x J d G V t U G F 0 a D 5 T Z W N 0 a W 9 u M S 9 m Q W N 0 d W F s Q W 5 k Q n V k Z 2 V 0 L 0 V 4 c G F u Z G V k J T I w Z F N 0 Y X Z r a T w v S X R l b V B h d G g + P C 9 J d G V t T G 9 j Y X R p b 2 4 + P F N 0 Y W J s Z U V u d H J p Z X M g L z 4 8 L 0 l 0 Z W 0 + P E l 0 Z W 0 + P E l 0 Z W 1 M b 2 N h d G l v b j 4 8 S X R l b V R 5 c G U + R m 9 y b X V s Y T w v S X R l b V R 5 c G U + P E l 0 Z W 1 Q Y X R o P l N l Y 3 R p b 2 4 x L 2 Z B Y 3 R 1 Y W x B b m R C d W R n Z X Q v R m l s d G V y Z W Q l M j B S b 3 d z P C 9 J d G V t U G F 0 a D 4 8 L 0 l 0 Z W 1 M b 2 N h d G l v b j 4 8 U 3 R h Y m x l R W 5 0 c m l l c y A v P j w v S X R l b T 4 8 S X R l b T 4 8 S X R l b U x v Y 2 F 0 a W 9 u P j x J d G V t V H l w Z T 5 G b 3 J t d W x h P C 9 J d G V t V H l w Z T 4 8 S X R l b V B h d G g + U 2 V j d G l v b j E v Z E 9 i c m F z Y 2 k 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T m F 2 a W d h d G l v b l N 0 Z X B O Y W 1 l I i B W Y W x 1 Z T 0 i c 0 5 h d m l n Y X R p b 2 4 i I C 8 + P E V u d H J 5 I F R 5 c G U 9 I k Z p b G x l Z E N v b X B s Z X R l U m V z d W x 0 V G 9 X b 3 J r c 2 h l Z X Q i I F Z h b H V l P S J s M C I g L z 4 8 R W 5 0 c n k g V H l w Z T 0 i R m l s b E V y c m 9 y Q 2 9 k Z S I g V m F s d W U 9 I n N V b m t u b 3 d u I i A v P j x F b n R y e S B U e X B l P S J G a W x s U 3 R h d H V z I i B W Y W x 1 Z T 0 i c 0 N v b X B s Z X R l I i A v P j x F b n R y e S B U e X B l P S J M b 2 F k Z W R U b 0 F u Y W x 5 c 2 l z U 2 V y d m l j Z X M i I F Z h b H V l P S J s M C I g L z 4 8 R W 5 0 c n k g V H l w Z T 0 i R m l s b E x h c 3 R V c G R h d G V k I i B W Y W x 1 Z T 0 i Z D I w M T k t M T E t M D V U M j E 6 M D g 6 M D U u N z Q y N z U w N V o i I C 8 + P E V u d H J 5 I F R 5 c G U 9 I k Z p b G x D b 2 x 1 b W 5 U e X B l c y I g V m F s d W U 9 I n N B d 0 1 H I i A v P j x F b n R y e S B U e X B l P S J G a W x s Q 2 9 s d W 1 u T m F t Z X M i I F Z h b H V l P S J z W y Z x d W 9 0 O 1 R p c E l 6 d m V z d G F q S U Q m c X V v d D s s J n F 1 b 3 Q 7 T 2 J y Y X p l Y 0 l E J n F 1 b 3 Q 7 L C Z x d W 9 0 O 0 9 i c m F 6 Z W N J b W U m c X V v d D t d I i A v P j x F b n R y e S B U e X B l P S J S Z W x h d G l v b n N o a X B J b m Z v Q 2 9 u d G F p b m V y I i B W Y W x 1 Z T 0 i c 3 s m c X V v d D t j b 2 x 1 b W 5 D b 3 V u d C Z x d W 9 0 O z o z L C Z x d W 9 0 O 2 t l e U N v b H V t b k 5 h b W V z J n F 1 b 3 Q 7 O l t d L C Z x d W 9 0 O 3 F 1 Z X J 5 U m V s Y X R p b 2 5 z a G l w c y Z x d W 9 0 O z p b X S w m c X V v d D t j b 2 x 1 b W 5 J Z G V u d G l 0 a W V z J n F 1 b 3 Q 7 O l s m c X V v d D t T Z W N 0 a W 9 u M S 9 k T 2 J y Y X N j a S 9 D a G F u Z 2 V k I F R 5 c G U u e 1 R p c E l 6 d m V z d G F q S U Q s M H 0 m c X V v d D s s J n F 1 b 3 Q 7 U 2 V j d G l v b j E v Z E 9 i c m F z Y 2 k v Q 2 h h b m d l Z C B U e X B l L n t P Y n J h e m V j S U Q s M X 0 m c X V v d D s s J n F 1 b 3 Q 7 U 2 V j d G l v b j E v Z E 9 i c m F z Y 2 k v Q 2 h h b m d l Z C B U e X B l L n t P Y n J h e m V j S W 1 l L D J 9 J n F 1 b 3 Q 7 X S w m c X V v d D t D b 2 x 1 b W 5 D b 3 V u d C Z x d W 9 0 O z o z L C Z x d W 9 0 O 0 t l e U N v b H V t b k 5 h b W V z J n F 1 b 3 Q 7 O l t d L C Z x d W 9 0 O 0 N v b H V t b k l k Z W 5 0 a X R p Z X M m c X V v d D s 6 W y Z x d W 9 0 O 1 N l Y 3 R p b 2 4 x L 2 R P Y n J h c 2 N p L 0 N o Y W 5 n Z W Q g V H l w Z S 5 7 V G l w S X p 2 Z X N 0 Y W p J R C w w f S Z x d W 9 0 O y w m c X V v d D t T Z W N 0 a W 9 u M S 9 k T 2 J y Y X N j a S 9 D a G F u Z 2 V k I F R 5 c G U u e 0 9 i c m F 6 Z W N J R C w x f S Z x d W 9 0 O y w m c X V v d D t T Z W N 0 a W 9 u M S 9 k T 2 J y Y X N j a S 9 D a G F u Z 2 V k I F R 5 c G U u e 0 9 i c m F 6 Z W N J b W U s M n 0 m c X V v d D t d L C Z x d W 9 0 O 1 J l b G F 0 a W 9 u c 2 h p c E l u Z m 8 m c X V v d D s 6 W 1 1 9 I i A v P j x F b n R y e S B U e X B l P S J R d W V y e U l E I i B W Y W x 1 Z T 0 i c z g 4 M W Q 3 Z G U 3 L T M x Y W Q t N D U 5 Y i 0 4 Y 2 Y z L W Y 3 Z T A 0 O D k 5 N m M 5 M C I g L z 4 8 R W 5 0 c n k g V H l w Z T 0 i Q W R k Z W R U b 0 R h d G F N b 2 R l b C I g V m F s d W U 9 I m w w I i A v P j w v U 3 R h Y m x l R W 5 0 c m l l c z 4 8 L 0 l 0 Z W 0 + P E l 0 Z W 0 + P E l 0 Z W 1 M b 2 N h d G l v b j 4 8 S X R l b V R 5 c G U + R m 9 y b X V s Y T w v S X R l b V R 5 c G U + P E l 0 Z W 1 Q Y X R o P l N l Y 3 R p b 2 4 x L 2 R P Y n J h c 2 N p L 1 N v d X J j Z T w v S X R l b V B h d G g + P C 9 J d G V t T G 9 j Y X R p b 2 4 + P F N 0 Y W J s Z U V u d H J p Z X M g L z 4 8 L 0 l 0 Z W 0 + P E l 0 Z W 0 + P E l 0 Z W 1 M b 2 N h d G l v b j 4 8 S X R l b V R 5 c G U + R m 9 y b X V s Y T w v S X R l b V R 5 c G U + P E l 0 Z W 1 Q Y X R o P l N l Y 3 R p b 2 4 x L 2 R P Y n J h c 2 N p L 0 Z p b H R l c m V k J T I w U m 9 3 c z E 8 L 0 l 0 Z W 1 Q Y X R o P j w v S X R l b U x v Y 2 F 0 a W 9 u P j x T d G F i b G V F b n R y a W V z I C 8 + P C 9 J d G V t P j x J d G V t P j x J d G V t T G 9 j Y X R p b 2 4 + P E l 0 Z W 1 U e X B l P k Z v c m 1 1 b G E 8 L 0 l 0 Z W 1 U e X B l P j x J d G V t U G F 0 a D 5 T Z W N 0 a W 9 u M S 9 k T 2 J y Y X N j a S 9 S Z W 1 v d m V k J T I w T 3 R o Z X I l M j B D b 2 x 1 b W 5 z P C 9 J d G V t U G F 0 a D 4 8 L 0 l 0 Z W 1 M b 2 N h d G l v b j 4 8 U 3 R h Y m x l R W 5 0 c m l l c y A v P j w v S X R l b T 4 8 S X R l b T 4 8 S X R l b U x v Y 2 F 0 a W 9 u P j x J d G V t V H l w Z T 5 G b 3 J t d W x h P C 9 J d G V t V H l w Z T 4 8 S X R l b V B h d G g + U 2 V j d G l v b j E v Z E 9 i c m F z Y 2 k v R X h w Y W 5 k Z W Q l M j B E Y X R h P C 9 J d G V t U G F 0 a D 4 8 L 0 l 0 Z W 1 M b 2 N h d G l v b j 4 8 U 3 R h Y m x l R W 5 0 c m l l c y A v P j w v S X R l b T 4 8 S X R l b T 4 8 S X R l b U x v Y 2 F 0 a W 9 u P j x J d G V t V H l w Z T 5 G b 3 J t d W x h P C 9 J d G V t V H l w Z T 4 8 S X R l b V B h d G g + U 2 V j d G l v b j E v Z E 9 i c m F z Y 2 k v U H J v b W 9 0 Z W Q l M j B I Z W F k Z X J z P C 9 J d G V t U G F 0 a D 4 8 L 0 l 0 Z W 1 M b 2 N h d G l v b j 4 8 U 3 R h Y m x l R W 5 0 c m l l c y A v P j w v S X R l b T 4 8 S X R l b T 4 8 S X R l b U x v Y 2 F 0 a W 9 u P j x J d G V t V H l w Z T 5 G b 3 J t d W x h P C 9 J d G V t V H l w Z T 4 8 S X R l b V B h d G g + U 2 V j d G l v b j E v Z E 9 i c m F z Y 2 k v Q 2 h h b m d l Z C U y M F R 5 c G U 8 L 0 l 0 Z W 1 Q Y X R o P j w v S X R l b U x v Y 2 F 0 a W 9 u P j x T d G F i b G V F b n R y a W V z I C 8 + P C 9 J d G V t P j x J d G V t P j x J d G V t T G 9 j Y X R p b 2 4 + P E l 0 Z W 1 U e X B l P k Z v c m 1 1 b G E 8 L 0 l 0 Z W 1 U e X B l P j x J d G V t U G F 0 a D 5 T Z W N 0 a W 9 u M S 9 k S 2 9 u d G V u U G x h b i 9 N Z X J n Z W Q l M j B R d W V y a W V z M T w v S X R l b V B h d G g + P C 9 J d G V t T G 9 j Y X R p b 2 4 + P F N 0 Y W J s Z U V u d H J p Z X M g L z 4 8 L 0 l 0 Z W 0 + P E l 0 Z W 0 + P E l 0 Z W 1 M b 2 N h d G l v b j 4 8 S X R l b V R 5 c G U + R m 9 y b X V s Y T w v S X R l b V R 5 c G U + P E l 0 Z W 1 Q Y X R o P l N l Y 3 R p b 2 4 x L 2 R L b 2 5 0 Z W 5 Q b G F u L 0 V 4 c G F u Z G V k J T I w Z E 9 i c m F z Y 2 k 8 L 0 l 0 Z W 1 Q Y X R o P j w v S X R l b U x v Y 2 F 0 a W 9 u P j x T d G F i b G V F b n R y a W V z I C 8 + P C 9 J d G V t P j x J d G V t P j x J d G V t T G 9 j Y X R p b 2 4 + P E l 0 Z W 1 U e X B l P k Z v c m 1 1 b G E 8 L 0 l 0 Z W 1 U e X B l P j x J d G V t U G F 0 a D 5 T Z W N 0 a W 9 u M S 9 k T 2 J y Y X N j a S 9 S Z W 1 v d m V k J T I w Q 2 9 s d W 1 u c z w v S X R l b V B h d G g + P C 9 J d G V t T G 9 j Y X R p b 2 4 + P F N 0 Y W J s Z U V u d H J p Z X M g L z 4 8 L 0 l 0 Z W 0 + P E l 0 Z W 0 + P E l 0 Z W 1 M b 2 N h d G l v b j 4 8 S X R l b V R 5 c G U + R m 9 y b X V s Y T w v S X R l b V R 5 c G U + P E l 0 Z W 1 Q Y X R o P l N l Y 3 R p b 2 4 x L 2 Z B Y 3 R 1 Y W x B b m R C d W R n Z X Q v T W V y Z 2 V k J T I w U X V l c m l l c z I 8 L 0 l 0 Z W 1 Q Y X R o P j w v S X R l b U x v Y 2 F 0 a W 9 u P j x T d G F i b G V F b n R y a W V z I C 8 + P C 9 J d G V t P j x J d G V t P j x J d G V t T G 9 j Y X R p b 2 4 + P E l 0 Z W 1 U e X B l P k Z v c m 1 1 b G E 8 L 0 l 0 Z W 1 U e X B l P j x J d G V t U G F 0 a D 5 T Z W N 0 a W 9 u M S 9 m Q W N 0 d W F s Q W 5 k Q n V k Z 2 V 0 L 0 V 4 c G F u Z G V k J T I w Z E 9 i c m F z Y 2 k 8 L 0 l 0 Z W 1 Q Y X R o P j w v S X R l b U x v Y 2 F 0 a W 9 u P j x T d G F i b G V F b n R y a W V z I C 8 + P C 9 J d G V t P j x J d G V t P j x J d G V t T G 9 j Y X R p b 2 4 + P E l 0 Z W 1 U e X B l P k Z v c m 1 1 b G E 8 L 0 l 0 Z W 1 U e X B l P j x J d G V t U G F 0 a D 5 T Z W N 0 a W 9 u M S 9 m Q W N 0 d W F s P C 9 J d G V t U G F 0 a D 4 8 L 0 l 0 Z W 1 M b 2 N h d G l v b j 4 8 U 3 R h Y m x l R W 5 0 c m l l c z 4 8 R W 5 0 c n k g V H l w Z T 0 i S X N Q c m l 2 Y X R l I i B W Y W x 1 Z T 0 i b D A i I C 8 + P E V u d H J 5 I F R 5 c G U 9 I k J 1 Z m Z l c k 5 l e H R S Z W Z y Z X N o I i B W Y W x 1 Z T 0 i b D E 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G a W x s Z W R D b 2 1 w b G V 0 Z V J l c 3 V s d F R v V 2 9 y a 3 N o Z W V 0 I i B W Y W x 1 Z T 0 i b D A i I C 8 + P E V u d H J 5 I F R 5 c G U 9 I k Z p b G x T d G F 0 d X M i I F Z h b H V l P S J z Q 2 9 t c G x l d G U i I C 8 + P E V u d H J 5 I F R 5 c G U 9 I k Z p b G x M Y X N 0 V X B k Y X R l Z C I g V m F s d W U 9 I m Q y M D I x L T E x L T A y V D E 0 O j U 2 O j Q z L j c 2 N D k 5 N z J a I i A v P j x F b n R y e S B U e X B l P S J G a W x s R X J y b 3 J D b 2 R l I i B W Y W x 1 Z T 0 i c 1 V u a 2 5 v d 2 4 i I C 8 + P E V u d H J 5 I F R 5 c G U 9 I k F k Z G V k V G 9 E Y X R h T W 9 k Z W w i I F Z h b H V l P S J s M C I g L z 4 8 L 1 N 0 Y W J s Z U V u d H J p Z X M + P C 9 J d G V t P j x J d G V t P j x J d G V t T G 9 j Y X R p b 2 4 + P E l 0 Z W 1 U e X B l P k Z v c m 1 1 b G E 8 L 0 l 0 Z W 1 U e X B l P j x J d G V t U G F 0 a D 5 T Z W N 0 a W 9 u M S 9 m Q W N 0 d W F s L 1 N v d X J j Z T w v S X R l b V B h d G g + P C 9 J d G V t T G 9 j Y X R p b 2 4 + P F N 0 Y W J s Z U V u d H J p Z X M g L z 4 8 L 0 l 0 Z W 0 + P E l 0 Z W 0 + P E l 0 Z W 1 M b 2 N h d G l v b j 4 8 S X R l b V R 5 c G U + R m 9 y b X V s Y T w v S X R l b V R 5 c G U + P E l 0 Z W 1 Q Y X R o P l N l Y 3 R p b 2 4 x L 2 Z B Y 3 R 1 Y W w v U m V t b 3 Z l Z C U y M E 9 0 a G V y J T I w Q 2 9 s d W 1 u c z w v S X R l b V B h d G g + P C 9 J d G V t T G 9 j Y X R p b 2 4 + P F N 0 Y W J s Z U V u d H J p Z X M g L z 4 8 L 0 l 0 Z W 0 + P E l 0 Z W 0 + P E l 0 Z W 1 M b 2 N h d G l v b j 4 8 S X R l b V R 5 c G U + R m 9 y b X V s Y T w v S X R l b V R 5 c G U + P E l 0 Z W 1 Q Y X R o P l N l Y 3 R p b 2 4 x L 2 Z B Y 3 R 1 Y W w v R X h w Y W 5 k Z W Q l M j B E Y X R h P C 9 J d G V t U G F 0 a D 4 8 L 0 l 0 Z W 1 M b 2 N h d G l v b j 4 8 U 3 R h Y m x l R W 5 0 c m l l c y A v P j w v S X R l b T 4 8 S X R l b T 4 8 S X R l b U x v Y 2 F 0 a W 9 u P j x J d G V t V H l w Z T 5 G b 3 J t d W x h P C 9 J d G V t V H l w Z T 4 8 S X R l b V B h d G g + U 2 V j d G l v b j E v Z k F j d H V h b C 9 Q c m 9 t b 3 R l Z C U y M E h l Y W R l c n M 8 L 0 l 0 Z W 1 Q Y X R o P j w v S X R l b U x v Y 2 F 0 a W 9 u P j x T d G F i b G V F b n R y a W V z I C 8 + P C 9 J d G V t P j x J d G V t P j x J d G V t T G 9 j Y X R p b 2 4 + P E l 0 Z W 1 U e X B l P k Z v c m 1 1 b G E 8 L 0 l 0 Z W 1 U e X B l P j x J d G V t U G F 0 a D 5 T Z W N 0 a W 9 u M S 9 m T 1 B F W C 9 S Z W 1 v d m V k J T I w Q 2 9 s d W 1 u c z w v S X R l b V B h d G g + P C 9 J d G V t T G 9 j Y X R p b 2 4 + P F N 0 Y W J s Z U V u d H J p Z X M g L z 4 8 L 0 l 0 Z W 0 + P E l 0 Z W 0 + P E l 0 Z W 1 M b 2 N h d G l v b j 4 8 S X R l b V R 5 c G U + R m 9 y b X V s Y T w v S X R l b V R 5 c G U + P E l 0 Z W 1 Q Y X R o P l N l Y 3 R p b 2 4 x L 2 Z P U E V Y L 0 N o Y W 5 n Z W Q l M j B U e X B l M T w v S X R l b V B h d G g + P C 9 J d G V t T G 9 j Y X R p b 2 4 + P F N 0 Y W J s Z U V u d H J p Z X M g L z 4 8 L 0 l 0 Z W 0 + P E l 0 Z W 0 + P E l 0 Z W 1 M b 2 N h d G l v b j 4 8 S X R l b V R 5 c G U + R m 9 y b X V s Y T w v S X R l b V R 5 c G U + P E l 0 Z W 1 Q Y X R o P l N l Y 3 R p b 2 4 x L 0 F t b 3 J 0 a X p h Y 2 l q Y S 9 D a G F u Z 2 V k J T I w V H l w Z T w v S X R l b V B h d G g + P C 9 J d G V t T G 9 j Y X R p b 2 4 + P F N 0 Y W J s Z U V u d H J p Z X M g L z 4 8 L 0 l 0 Z W 0 + P E l 0 Z W 0 + P E l 0 Z W 1 M b 2 N h d G l v b j 4 8 S X R l b V R 5 c G U + R m 9 y b X V s Y T w v S X R l b V R 5 c G U + P E l 0 Z W 1 Q Y X R o P l N l Y 3 R p b 2 4 x L 0 F t b 3 J 0 a X p h Y 2 l q Y S 9 S Z W 5 h b W V k J T I w Q 2 9 s d W 1 u c z w v S X R l b V B h d G g + P C 9 J d G V t T G 9 j Y X R p b 2 4 + P F N 0 Y W J s Z U V u d H J p Z X M g L z 4 8 L 0 l 0 Z W 0 + P E l 0 Z W 0 + P E l 0 Z W 1 M b 2 N h d G l v b j 4 8 S X R l b V R 5 c G U + R m 9 y b X V s Y T w v S X R l b V R 5 c G U + P E l 0 Z W 1 Q Y X R o P l N l Y 3 R p b 2 4 x L 2 Z W a 3 V w b m l S Y X N o b 2 R p R m l u U G x h b i 9 S Z W 1 v d m V k J T I w Q 2 9 s d W 1 u c z w v S X R l b V B h d G g + P C 9 J d G V t T G 9 j Y X R p b 2 4 + P F N 0 Y W J s Z U V u d H J p Z X M g L z 4 8 L 0 l 0 Z W 0 + P E l 0 Z W 0 + P E l 0 Z W 1 M b 2 N h d G l v b j 4 8 S X R l b V R 5 c G U + R m 9 y b X V s Y T w v S X R l b V R 5 c G U + P E l 0 Z W 1 Q Y X R o P l N l Y 3 R p b 2 4 x L 0 F t b 3 J 0 a X p h Y 2 l q Y S 9 S Z W 5 h b W V k J T I w Q 2 9 s d W 1 u c z E 8 L 0 l 0 Z W 1 Q Y X R o P j w v S X R l b U x v Y 2 F 0 a W 9 u P j x T d G F i b G V F b n R y a W V z I C 8 + P C 9 J d G V t P j x J d G V t P j x J d G V t T G 9 j Y X R p b 2 4 + P E l 0 Z W 1 U e X B l P k Z v c m 1 1 b G E 8 L 0 l 0 Z W 1 U e X B l P j x J d G V t U G F 0 a D 5 T Z W N 0 a W 9 u M S 9 m Q W N 0 d W F s Q W 5 k Q n V k Z 2 V 0 L 0 V 4 c G F u Z G V k J T I w Z E 1 h c H B p b m c 8 L 0 l 0 Z W 1 Q Y X R o P j w v S X R l b U x v Y 2 F 0 a W 9 u P j x T d G F i b G V F b n R y a W V z I C 8 + P C 9 J d G V t P j x J d G V t P j x J d G V t T G 9 j Y X R p b 2 4 + P E l 0 Z W 1 U e X B l P k Z v c m 1 1 b G E 8 L 0 l 0 Z W 1 U e X B l P j x J d G V t U G F 0 a D 5 T Z W N 0 a W 9 u M S 9 D Q V B F W C 9 G a W x 0 Z X J l Z C U y M F J v d 3 M 8 L 0 l 0 Z W 1 Q Y X R o P j w v S X R l b U x v Y 2 F 0 a W 9 u P j x T d G F i b G V F b n R y a W V z I C 8 + P C 9 J d G V t P j x J d G V t P j x J d G V t T G 9 j Y X R p b 2 4 + P E l 0 Z W 1 U e X B l P k Z v c m 1 1 b G E 8 L 0 l 0 Z W 1 U e X B l P j x J d G V t U G F 0 a D 5 T Z W N 0 a W 9 u M S 9 D Q V B F W C 9 S Z W 1 v d m V k J T I w T 3 R o Z X I l M j B D b 2 x 1 b W 5 z P C 9 J d G V t U G F 0 a D 4 8 L 0 l 0 Z W 1 M b 2 N h d G l v b j 4 8 U 3 R h Y m x l R W 5 0 c m l l c y A v P j w v S X R l b T 4 8 S X R l b T 4 8 S X R l b U x v Y 2 F 0 a W 9 u P j x J d G V t V H l w Z T 5 G b 3 J t d W x h P C 9 J d G V t V H l w Z T 4 8 S X R l b V B h d G g + U 2 V j d G l v b j E v Q 0 F Q R V g v R X h w Y W 5 k Z W Q l M j B E Y X R h P C 9 J d G V t U G F 0 a D 4 8 L 0 l 0 Z W 1 M b 2 N h d G l v b j 4 8 U 3 R h Y m x l R W 5 0 c m l l c y A v P j w v S X R l b T 4 8 S X R l b T 4 8 S X R l b U x v Y 2 F 0 a W 9 u P j x J d G V t V H l w Z T 5 G b 3 J t d W x h P C 9 J d G V t V H l w Z T 4 8 S X R l b V B h d G g + U 2 V j d G l v b j E v Q 0 F Q R V g v Q 2 h h b m d l Z C U y M F R 5 c G U 8 L 0 l 0 Z W 1 Q Y X R o P j w v S X R l b U x v Y 2 F 0 a W 9 u P j x T d G F i b G V F b n R y a W V z I C 8 + P C 9 J d G V t P j x J d G V t P j x J d G V t T G 9 j Y X R p b 2 4 + P E l 0 Z W 1 U e X B l P k Z v c m 1 1 b G E 8 L 0 l 0 Z W 1 U e X B l P j x J d G V t U G F 0 a D 5 T Z W N 0 a W 9 u M S 9 m Q X J 0 a W t s a U N l b m k 8 L 0 l 0 Z W 1 Q Y X R o P j w v S X R l b U x v Y 2 F 0 a W 9 u P j x T d G F i b G V F b n R y a W V z P j x F b n R y e S B U e X B l P S J J c 1 B y a X Z h d G U i I F Z h b H V l P S J s M C I g L z 4 8 R W 5 0 c n k g V H l w Z T 0 i T m F 2 a W d h d G l v b l N 0 Z X B O Y W 1 l I i B W Y W x 1 Z T 0 i c 0 5 h d m l n Y X R p b 2 4 i I C 8 + P E V u d H J 5 I F R 5 c G U 9 I k Z p b G x F b m F i b G V k I i B W Y W x 1 Z T 0 i b D A i I C 8 + P E V u d H J 5 I F R 5 c G U 9 I k 5 h b W V V c G R h d G V k Q W Z 0 Z X J G a W x s I i B W Y W x 1 Z T 0 i b D A i I C 8 + P E V u d H J 5 I F R 5 c G U 9 I l J l c 3 V s d F R 5 c G U i I F Z h b H V l P S J z V G F i b G U i I C 8 + P E V u d H J 5 I F R 5 c G U 9 I k J 1 Z m Z l c k 5 l e H R S Z W Z y Z X N o I i B W Y W x 1 Z T 0 i b D E i I C 8 + P E V u d H J 5 I F R 5 c G U 9 I k Z p b G x l Z E N v b X B s Z X R l U m V z d W x 0 V G 9 X b 3 J r c 2 h l Z X Q i I F Z h b H V l P S J s M C I g L z 4 8 R W 5 0 c n k g V H l w Z T 0 i U X V l c n l J R C I g V m F s d W U 9 I n M w Z G F l Y m Y 1 Y i 1 h N D k 2 L T R l M m Q t O W U w Z i 1 l N W Y z N W V l N z B l M j k i I C 8 + P E V u d H J 5 I F R 5 c G U 9 I k Z p b G x U b 0 R h d G F N b 2 R l b E V u Y W J s Z W Q i I F Z h b H V l P S J s M S I g L z 4 8 R W 5 0 c n k g V H l w Z T 0 i T G 9 h Z G V k V G 9 B b m F s e X N p c 1 N l c n Z p Y 2 V z I i B W Y W x 1 Z T 0 i b D A i I C 8 + P E V u d H J 5 I F R 5 c G U 9 I k Z p b G x P Y m p l Y 3 R U e X B l I i B W Y W x 1 Z T 0 i c 0 N v b m 5 l Y 3 R p b 2 5 P b m x 5 I i A v P j x F b n R y e S B U e X B l P S J G a W x s T G F z d F V w Z G F 0 Z W Q i I F Z h b H V l P S J k M j A y M S 0 x M S 0 y M 1 Q w O T o 0 M D o x N S 4 y N D I 1 N T Q z W i I g L z 4 8 R W 5 0 c n k g V H l w Z T 0 i R m l s b E V y c m 9 y Q 2 9 1 b n Q i I F Z h b H V l P S J s M C I g L z 4 8 R W 5 0 c n k g V H l w Z T 0 i R m l s b E N v b H V t b l R 5 c G V z I i B W Y W x 1 Z T 0 i c 0 J n W U d C Z 1 V E Q l F R R k J n W U p C Z 1 l H Q m d Z P S I g L z 4 8 R W 5 0 c n k g V H l w Z T 0 i R m l s b E V y c m 9 y Q 2 9 k Z S I g V m F s d W U 9 I n N V b m t u b 3 d u I i A v P j x F b n R y e S B U e X B l P S J G a W x s Q 2 9 s d W 1 u T m F t Z X M i I F Z h b H V l P S J z W y Z x d W 9 0 O 9 C h 0 Y L Q s N C y 0 L r Q s C Z x d W 9 0 O y w m c X V v d D v Q m t C w 0 Y L Q t d C z 0 L 7 R g N C 4 0 Z j Q s C D Q k N G A 0 Y L Q u N C 6 0 L s m c X V v d D s s J n F 1 b 3 Q 7 0 K L Q u N C / I N C 9 0 L A g 0 L D R g N G C 0 L j Q u t C 7 J n F 1 b 3 Q 7 L C Z x d W 9 0 O 9 C V 0 L T Q u N C 9 0 L X R h 9 C 9 0 L A g 0 L z Q t d G A 0 L r Q s C Z x d W 9 0 O y w m c X V v d D v Q m t C + 0 L v Q u N G H 0 L j Q v d C w J n F 1 b 3 Q 7 L C Z x d W 9 0 O 9 C V 0 L T Q u N C 9 0 L X R h 9 C 9 0 L A g 0 Y b Q t d C 9 0 L A m c X V v d D s s J n F 1 b 3 Q 7 0 J L Q u t G D 0 L / Q v d C + I N G C 0 Y D Q v t G I 0 L 7 Q u i Z x d W 9 0 O y w m c X V v d D v Q l N C U 0 J I m c X V v d D s s J n F 1 b 3 Q 7 0 J j Q t 9 C 9 0 L 7 R g S Z x d W 9 0 O y w m c X V v d D v Q m t C + 0 L 3 R g t C + J n F 1 b 3 Q 7 L C Z x d W 9 0 O 1 J l c G 9 y d F R 5 c G U m c X V v d D s s J n F 1 b 3 Q 7 0 J / Q t d G A 0 L j Q v t C 0 J n F 1 b 3 Q 7 L C Z x d W 9 0 O 1 N 0 Y X Z r Y U l t Z U 1 L J n F 1 b 3 Q 7 L C Z x d W 9 0 O 1 N 0 Y X Z r Y U F P U C Z x d W 9 0 O y w m c X V v d D t T d G F 2 a 2 F H c n V w Y S Z x d W 9 0 O y w m c X V v d D t T d G F 2 a 2 F L Y X R l Z 2 9 y a W p h J n F 1 b 3 Q 7 L C Z x d W 9 0 O 0 9 i c m F 6 Z W N J b W U m c X V v d D t d I i A v P j x F b n R y e S B U e X B l P S J G a W x s Q 2 9 1 b n Q i I F Z h b H V l P S J s N j g 1 I i A v P j x F b n R y e S B U e X B l P S J G a W x s U 3 R h d H V z I i B W Y W x 1 Z T 0 i c 0 N v b X B s Z X R l I i A v P j x F b n R y e S B U e X B l P S J B Z G R l Z F R v R G F 0 Y U 1 v Z G V s I i B W Y W x 1 Z T 0 i b D E i I C 8 + P E V u d H J 5 I F R 5 c G U 9 I l J l b G F 0 a W 9 u c 2 h p c E l u Z m 9 D b 2 5 0 Y W l u Z X I i I F Z h b H V l P S J z e y Z x d W 9 0 O 2 N v b H V t b k N v d W 5 0 J n F 1 b 3 Q 7 O j E 3 L C Z x d W 9 0 O 2 t l e U N v b H V t b k 5 h b W V z J n F 1 b 3 Q 7 O l t d L C Z x d W 9 0 O 3 F 1 Z X J 5 U m V s Y X R p b 2 5 z a G l w c y Z x d W 9 0 O z p b e y Z x d W 9 0 O 2 t l e U N v b H V t b k N v d W 5 0 J n F 1 b 3 Q 7 O j E s J n F 1 b 3 Q 7 a 2 V 5 Q 2 9 s d W 1 u J n F 1 b 3 Q 7 O j k s J n F 1 b 3 Q 7 b 3 R o Z X J L Z X l D b 2 x 1 b W 5 J Z G V u d G l 0 e S Z x d W 9 0 O z o m c X V v d D t T Z W N 0 a W 9 u M S 9 k S 2 9 u d G V u U G x h b i 9 D a G F u Z 2 V k I F R 5 c G U u e 0 t v b n R v L D B 9 J n F 1 b 3 Q 7 L C Z x d W 9 0 O 0 t l e U N v b H V t b k N v d W 5 0 J n F 1 b 3 Q 7 O j F 9 X S w m c X V v d D t j b 2 x 1 b W 5 J Z G V u d G l 0 a W V z J n F 1 b 3 Q 7 O l s m c X V v d D t T Z W N 0 a W 9 u M S 9 m Q X J 0 a W t s a U N l b m k v Q 2 h h b m d l Z C B U e X B l L n v Q k N G A 0 Y L Q u N C 6 0 L s g 0 L 3 Q s N C 3 0 L j Q s i w x f S Z x d W 9 0 O y w m c X V v d D t T Z W N 0 a W 9 u M S 9 m Q X J 0 a W t s a U N l b m k v Q 2 h h b m d l Z C B U e X B l L n v Q m t C w 0 Y L Q t d C z 0 L 7 R g N C 4 0 Z j Q s C D Q k N G A 0 Y L Q u N C 6 0 L s s M 3 0 m c X V v d D s s J n F 1 b 3 Q 7 U 2 V j d G l v b j E v Z k F y d G l r b G l D Z W 5 p L 0 N o Y W 5 n Z W Q g V H l w Z S 5 7 0 K L Q u N C / I N C 9 0 L A g 0 L D R g N G C 0 L j Q u t C 7 L D R 9 J n F 1 b 3 Q 7 L C Z x d W 9 0 O 1 N l Y 3 R p b 2 4 x L 2 Z B c n R p a 2 x p Q 2 V u a S 9 D a G F u Z 2 V k I F R 5 c G U u e 9 C V 0 L T Q u N C 9 0 L X R h 9 C 9 0 L A g 0 L z Q t d G A 0 L r Q s C w 1 f S Z x d W 9 0 O y w m c X V v d D t T Z W N 0 a W 9 u M S 9 m Q X J 0 a W t s a U N l b m k v Q 2 h h b m d l Z C B U e X B l L n v Q m t C + 0 L v Q u N G H 0 L j Q v d C w L D Z 9 J n F 1 b 3 Q 7 L C Z x d W 9 0 O 1 N l Y 3 R p b 2 4 x L 2 Z B c n R p a 2 x p Q 2 V u a S 9 D a G F u Z 2 V k I F R 5 c G U u e 9 C V 0 L T Q u N C 9 0 L X R h 9 C 9 0 L A g 0 Y b Q t d C 9 0 L A s N 3 0 m c X V v d D s s J n F 1 b 3 Q 7 U 2 V j d G l v b j E v Z k F y d G l r b G l D Z W 5 p L 0 N o Y W 5 n Z W Q g V H l w Z S 5 7 0 J L Q u t G D 0 L / Q v d C + I N G C 0 Y D Q v t G I 0 L 7 Q u i w 4 f S Z x d W 9 0 O y w m c X V v d D t T Z W N 0 a W 9 u M S 9 m Q X J 0 a W t s a U N l b m k v Q 2 h h b m d l Z C B U e X B l L n v Q l N C U 0 J I s O X 0 m c X V v d D s s J n F 1 b 3 Q 7 U 2 V j d G l v b j E v Z k F y d G l r b G l D Z W 5 p L 0 N o Y W 5 n Z W Q g V H l w Z S 5 7 0 J L Q u t G D 0 L / Q v d C + I N G C 0 Y D Q v t G I 0 L 7 Q u i D R g d C + I N C U 0 J T Q k i w x M H 0 m c X V v d D s s J n F 1 b 3 Q 7 U 2 V j d G l v b j E v Z k F y d G l r b G l D Z W 5 p L 0 N o Y W 5 n Z W Q g V H l w Z S 5 7 0 J r Q v t C 9 0 Y L Q v i w x M X 0 m c X V v d D s s J n F 1 b 3 Q 7 U 2 V j d G l v b j E v Z k F y d G l r b G l D Z W 5 p L 0 N o Y W 5 n Z W Q g V H l w Z S 5 7 U m V w b 3 J 0 V H l w Z S w x M n 0 m c X V v d D s s J n F 1 b 3 Q 7 U 2 V j d G l v b j E v Z k F y d G l r b G l D Z W 5 p L 0 N o Y W 5 n Z W Q g V H l w Z S 5 7 0 J / Q t d G A 0 L j Q v t C 0 L D E z f S Z x d W 9 0 O y w m c X V v d D t T Z W N 0 a W 9 u M S 9 k S 2 9 u d G V u U G x h b i 9 D a G F u Z 2 V k I F R 5 c G U u e 1 N 0 Y X Z r Y U l t Z U 1 L L D Z 9 J n F 1 b 3 Q 7 L C Z x d W 9 0 O 1 N l Y 3 R p b 2 4 x L 2 R T d G F 2 a 2 k v Q 2 h h b m d l Z C B U e X B l L n t T d G F 2 a 2 F B T 1 A s M X 0 m c X V v d D s s J n F 1 b 3 Q 7 U 2 V j d G l v b j E v Z F N 0 Y X Z r a S 9 D a G F u Z 2 V k I F R 5 c G U u e 1 N 0 Y X Z r Y U d y d X B h L D d 9 J n F 1 b 3 Q 7 L C Z x d W 9 0 O 1 N l Y 3 R p b 2 4 x L 2 R T d G F 2 a 2 k v Q 2 h h b m d l Z C B U e X B l L n t T d G F 2 a 2 F L Y X R l Z 2 9 y a W p h L D h 9 J n F 1 b 3 Q 7 L C Z x d W 9 0 O 1 N l Y 3 R p b 2 4 x L 2 R P Y n J h c 2 N p L 0 N o Y W 5 n Z W Q g V H l w Z S 5 7 T 2 J y Y X p l Y 0 l t Z S w y f S Z x d W 9 0 O 1 0 s J n F 1 b 3 Q 7 Q 2 9 s d W 1 u Q 2 9 1 b n Q m c X V v d D s 6 M T c s J n F 1 b 3 Q 7 S 2 V 5 Q 2 9 s d W 1 u T m F t Z X M m c X V v d D s 6 W 1 0 s J n F 1 b 3 Q 7 Q 2 9 s d W 1 u S W R l b n R p d G l l c y Z x d W 9 0 O z p b J n F 1 b 3 Q 7 U 2 V j d G l v b j E v Z k F y d G l r b G l D Z W 5 p L 0 N o Y W 5 n Z W Q g V H l w Z S 5 7 0 J D R g N G C 0 L j Q u t C 7 I N C 9 0 L D Q t 9 C 4 0 L I s M X 0 m c X V v d D s s J n F 1 b 3 Q 7 U 2 V j d G l v b j E v Z k F y d G l r b G l D Z W 5 p L 0 N o Y W 5 n Z W Q g V H l w Z S 5 7 0 J r Q s N G C 0 L X Q s 9 C + 0 Y D Q u N G Y 0 L A g 0 J D R g N G C 0 L j Q u t C 7 L D N 9 J n F 1 b 3 Q 7 L C Z x d W 9 0 O 1 N l Y 3 R p b 2 4 x L 2 Z B c n R p a 2 x p Q 2 V u a S 9 D a G F u Z 2 V k I F R 5 c G U u e 9 C i 0 L j Q v y D Q v d C w I N C w 0 Y D R g t C 4 0 L r Q u y w 0 f S Z x d W 9 0 O y w m c X V v d D t T Z W N 0 a W 9 u M S 9 m Q X J 0 a W t s a U N l b m k v Q 2 h h b m d l Z C B U e X B l L n v Q l d C 0 0 L j Q v d C 1 0 Y f Q v d C w I N C 8 0 L X R g N C 6 0 L A s N X 0 m c X V v d D s s J n F 1 b 3 Q 7 U 2 V j d G l v b j E v Z k F y d G l r b G l D Z W 5 p L 0 N o Y W 5 n Z W Q g V H l w Z S 5 7 0 J r Q v t C 7 0 L j R h 9 C 4 0 L 3 Q s C w 2 f S Z x d W 9 0 O y w m c X V v d D t T Z W N 0 a W 9 u M S 9 m Q X J 0 a W t s a U N l b m k v Q 2 h h b m d l Z C B U e X B l L n v Q l d C 0 0 L j Q v d C 1 0 Y f Q v d C w I N G G 0 L X Q v d C w L D d 9 J n F 1 b 3 Q 7 L C Z x d W 9 0 O 1 N l Y 3 R p b 2 4 x L 2 Z B c n R p a 2 x p Q 2 V u a S 9 D a G F u Z 2 V k I F R 5 c G U u e 9 C S 0 L r R g 9 C / 0 L 3 Q v i D R g t G A 0 L 7 R i N C + 0 L o s O H 0 m c X V v d D s s J n F 1 b 3 Q 7 U 2 V j d G l v b j E v Z k F y d G l r b G l D Z W 5 p L 0 N o Y W 5 n Z W Q g V H l w Z S 5 7 0 J T Q l N C S L D l 9 J n F 1 b 3 Q 7 L C Z x d W 9 0 O 1 N l Y 3 R p b 2 4 x L 2 Z B c n R p a 2 x p Q 2 V u a S 9 D a G F u Z 2 V k I F R 5 c G U u e 9 C S 0 L r R g 9 C / 0 L 3 Q v i D R g t G A 0 L 7 R i N C + 0 L o g 0 Y H Q v i D Q l N C U 0 J I s M T B 9 J n F 1 b 3 Q 7 L C Z x d W 9 0 O 1 N l Y 3 R p b 2 4 x L 2 Z B c n R p a 2 x p Q 2 V u a S 9 D a G F u Z 2 V k I F R 5 c G U u e 9 C a 0 L 7 Q v d G C 0 L 4 s M T F 9 J n F 1 b 3 Q 7 L C Z x d W 9 0 O 1 N l Y 3 R p b 2 4 x L 2 Z B c n R p a 2 x p Q 2 V u a S 9 D a G F u Z 2 V k I F R 5 c G U u e 1 J l c G 9 y d F R 5 c G U s M T J 9 J n F 1 b 3 Q 7 L C Z x d W 9 0 O 1 N l Y 3 R p b 2 4 x L 2 Z B c n R p a 2 x p Q 2 V u a S 9 D a G F u Z 2 V k I F R 5 c G U u e 9 C f 0 L X R g N C 4 0 L 7 Q t C w x M 3 0 m c X V v d D s s J n F 1 b 3 Q 7 U 2 V j d G l v b j E v Z E t v b n R l b l B s Y W 4 v Q 2 h h b m d l Z C B U e X B l L n t T d G F 2 a 2 F J b W V N S y w 2 f S Z x d W 9 0 O y w m c X V v d D t T Z W N 0 a W 9 u M S 9 k U 3 R h d m t p L 0 N o Y W 5 n Z W Q g V H l w Z S 5 7 U 3 R h d m t h Q U 9 Q L D F 9 J n F 1 b 3 Q 7 L C Z x d W 9 0 O 1 N l Y 3 R p b 2 4 x L 2 R T d G F 2 a 2 k v Q 2 h h b m d l Z C B U e X B l L n t T d G F 2 a 2 F H c n V w Y S w 3 f S Z x d W 9 0 O y w m c X V v d D t T Z W N 0 a W 9 u M S 9 k U 3 R h d m t p L 0 N o Y W 5 n Z W Q g V H l w Z S 5 7 U 3 R h d m t h S 2 F 0 Z W d v c m l q Y S w 4 f S Z x d W 9 0 O y w m c X V v d D t T Z W N 0 a W 9 u M S 9 k T 2 J y Y X N j a S 9 D a G F u Z 2 V k I F R 5 c G U u e 0 9 i c m F 6 Z W N J b W U s M n 0 m c X V v d D t d L C Z x d W 9 0 O 1 J l b G F 0 a W 9 u c 2 h p c E l u Z m 8 m c X V v d D s 6 W 3 s m c X V v d D t r Z X l D b 2 x 1 b W 5 D b 3 V u d C Z x d W 9 0 O z o x L C Z x d W 9 0 O 2 t l e U N v b H V t b i Z x d W 9 0 O z o 5 L C Z x d W 9 0 O 2 9 0 a G V y S 2 V 5 Q 2 9 s d W 1 u S W R l b n R p d H k m c X V v d D s 6 J n F 1 b 3 Q 7 U 2 V j d G l v b j E v Z E t v b n R l b l B s Y W 4 v Q 2 h h b m d l Z C B U e X B l L n t L b 2 5 0 b y w w f S Z x d W 9 0 O y w m c X V v d D t L Z X l D b 2 x 1 b W 5 D b 3 V u d C Z x d W 9 0 O z o x f V 1 9 I i A v P j w v U 3 R h Y m x l R W 5 0 c m l l c z 4 8 L 0 l 0 Z W 0 + P E l 0 Z W 0 + P E l 0 Z W 1 M b 2 N h d G l v b j 4 8 S X R l b V R 5 c G U + R m 9 y b X V s Y T w v S X R l b V R 5 c G U + P E l 0 Z W 1 Q Y X R o P l N l Y 3 R p b 2 4 x L 2 Z B c n R p a 2 x p Q 2 V u a S 9 T b 3 V y Y 2 U 8 L 0 l 0 Z W 1 Q Y X R o P j w v S X R l b U x v Y 2 F 0 a W 9 u P j x T d G F i b G V F b n R y a W V z I C 8 + P C 9 J d G V t P j x J d G V t P j x J d G V t T G 9 j Y X R p b 2 4 + P E l 0 Z W 1 U e X B l P k Z v c m 1 1 b G E 8 L 0 l 0 Z W 1 U e X B l P j x J d G V t U G F 0 a D 5 T Z W N 0 a W 9 u M S 9 m Q X J 0 a W t s a U N l b m k v U m V t b 3 Z l Z C U y M E 9 0 a G V y J T I w Q 2 9 s d W 1 u c z w v S X R l b V B h d G g + P C 9 J d G V t T G 9 j Y X R p b 2 4 + P F N 0 Y W J s Z U V u d H J p Z X M g L z 4 8 L 0 l 0 Z W 0 + P E l 0 Z W 0 + P E l 0 Z W 1 M b 2 N h d G l v b j 4 8 S X R l b V R 5 c G U + R m 9 y b X V s Y T w v S X R l b V R 5 c G U + P E l 0 Z W 1 Q Y X R o P l N l Y 3 R p b 2 4 x L 2 Z B c n R p a 2 x p Q 2 V u a S 9 G a W x 0 Z X J l Z C U y M F J v d 3 M 8 L 0 l 0 Z W 1 Q Y X R o P j w v S X R l b U x v Y 2 F 0 a W 9 u P j x T d G F i b G V F b n R y a W V z I C 8 + P C 9 J d G V t P j x J d G V t P j x J d G V t T G 9 j Y X R p b 2 4 + P E l 0 Z W 1 U e X B l P k Z v c m 1 1 b G E 8 L 0 l 0 Z W 1 U e X B l P j x J d G V t U G F 0 a D 5 T Z W N 0 a W 9 u M S 9 m Q X J 0 a W t s a U N l b m k v R X h w Y W 5 k Z W Q l M j B E Y X R h P C 9 J d G V t U G F 0 a D 4 8 L 0 l 0 Z W 1 M b 2 N h d G l v b j 4 8 U 3 R h Y m x l R W 5 0 c m l l c y A v P j w v S X R l b T 4 8 S X R l b T 4 8 S X R l b U x v Y 2 F 0 a W 9 u P j x J d G V t V H l w Z T 5 G b 3 J t d W x h P C 9 J d G V t V H l w Z T 4 8 S X R l b V B h d G g + U 2 V j d G l v b j E v Z k F y d G l r b G l D Z W 5 p L 0 N o Y W 5 n Z W Q l M j B U e X B l P C 9 J d G V t U G F 0 a D 4 8 L 0 l 0 Z W 1 M b 2 N h d G l v b j 4 8 U 3 R h Y m x l R W 5 0 c m l l c y A v P j w v S X R l b T 4 8 S X R l b T 4 8 S X R l b U x v Y 2 F 0 a W 9 u P j x J d G V t V H l w Z T 5 G b 3 J t d W x h P C 9 J d G V t V H l w Z T 4 8 S X R l b V B h d G g + U 2 V j d G l v b j E v Z k F y d G l r b G l D Z W 5 p L 0 1 l c m d l Z C U y M F F 1 Z X J p Z X M 8 L 0 l 0 Z W 1 Q Y X R o P j w v S X R l b U x v Y 2 F 0 a W 9 u P j x T d G F i b G V F b n R y a W V z I C 8 + P C 9 J d G V t P j x J d G V t P j x J d G V t T G 9 j Y X R p b 2 4 + P E l 0 Z W 1 U e X B l P k Z v c m 1 1 b G E 8 L 0 l 0 Z W 1 U e X B l P j x J d G V t U G F 0 a D 5 T Z W N 0 a W 9 u M S 9 m Q X J 0 a W t s a U N l b m k v R X h w Y W 5 k Z W Q l M j B k S 2 9 u d G V u U G x h b j w v S X R l b V B h d G g + P C 9 J d G V t T G 9 j Y X R p b 2 4 + P F N 0 Y W J s Z U V u d H J p Z X M g L z 4 8 L 0 l 0 Z W 0 + P E l 0 Z W 0 + P E l 0 Z W 1 M b 2 N h d G l v b j 4 8 S X R l b V R 5 c G U + R m 9 y b X V s Y T w v S X R l b V R 5 c G U + P E l 0 Z W 1 Q Y X R o P l N l Y 3 R p b 2 4 x L 2 Z B c n R p a 2 x p Q 2 V u a S 9 G a W x 0 Z X J l Z C U y M F J v d 3 M x P C 9 J d G V t U G F 0 a D 4 8 L 0 l 0 Z W 1 M b 2 N h d G l v b j 4 8 U 3 R h Y m x l R W 5 0 c m l l c y A v P j w v S X R l b T 4 8 S X R l b T 4 8 S X R l b U x v Y 2 F 0 a W 9 u P j x J d G V t V H l w Z T 5 G b 3 J t d W x h P C 9 J d G V t V H l w Z T 4 8 S X R l b V B h d G g + U 2 V j d G l v b j E v Z k N v d m V j a 2 l S Z X N 1 c n N p J T I w K D I p P C 9 J d G V t U G F 0 a D 4 8 L 0 l 0 Z W 1 M b 2 N h d G l v b j 4 8 U 3 R h Y m x l R W 5 0 c m l l c z 4 8 R W 5 0 c n k g V H l w Z T 0 i S X N Q c m l 2 Y X R l I i B W Y W x 1 Z T 0 i b D A i I C 8 + P E V u d H J 5 I F R 5 c G U 9 I k J 1 Z m Z l c k 5 l e H R S Z W Z y Z X N o I i B W Y W x 1 Z T 0 i b D E 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G a W x s Z W R D b 2 1 w b G V 0 Z V J l c 3 V s d F R v V 2 9 y a 3 N o Z W V 0 I i B W Y W x 1 Z T 0 i b D A i I C 8 + P E V u d H J 5 I F R 5 c G U 9 I l F 1 Z X J 5 S U Q i I F Z h b H V l P S J z Z m M x N 2 U 1 M G I t M z M y N i 0 0 Y T N i L W J l Z T k t Z T E 5 M z k 4 M z B h Z T Q 0 I i A v P j x F b n R y e S B U e X B l P S J G a W x s Q 2 9 s d W 1 u V H l w Z X M i I F Z h b H V l P S J z Q m d V R 0 J n W U d C Z 1 l H I i A v P j x F b n R y e S B U e X B l P S J G a W x s Q 2 9 s d W 1 u T m F t Z X M i I F Z h b H V l P S J z W y Z x d W 9 0 O 9 C h 0 Y L Q s N C y 0 L r Q s C Z x d W 9 0 O y w m c X V v d D v Q m N C 3 0 L 3 Q v t G B J n F 1 b 3 Q 7 L C Z x d W 9 0 O 9 C a 0 L 7 Q v d G C 0 L 4 m c X V v d D s s J n F 1 b 3 Q 7 U m V w b 3 J 0 V H l w Z S Z x d W 9 0 O y w m c X V v d D t T d G F 2 a 2 F J b W V N S y Z x d W 9 0 O y w m c X V v d D t T d G F 2 a 2 F B T 1 A m c X V v d D s s J n F 1 b 3 Q 7 U 3 R h d m t h R 3 J 1 c G E m c X V v d D s s J n F 1 b 3 Q 7 U 3 R h d m t h S 2 F 0 Z W d v c m l q Y S Z x d W 9 0 O y w m c X V v d D t P Y n J h e m V j S W 1 l J n F 1 b 3 Q 7 X S I g L z 4 8 R W 5 0 c n k g V H l w Z T 0 i R m l s b E x h c 3 R V c G R h d G V k I i B W Y W x 1 Z T 0 i Z D I w M T k t M T E t M T N U M T k 6 N D E 6 M T M u O T U x N D Y 3 N l o i I C 8 + P E V u d H J 5 I F R 5 c G U 9 I k Z p b G x T d G F 0 d X M i I F Z h b H V l P S J z Q 2 9 t c G x l d G U i I C 8 + P E V u d H J 5 I F R 5 c G U 9 I l J l b G F 0 a W 9 u c 2 h p c E l u Z m 9 D b 2 5 0 Y W l u Z X I i I F Z h b H V l P S J z e y Z x d W 9 0 O 2 N v b H V t b k N v d W 5 0 J n F 1 b 3 Q 7 O j k s J n F 1 b 3 Q 7 a 2 V 5 Q 2 9 s d W 1 u T m F t Z X M m c X V v d D s 6 W 1 0 s J n F 1 b 3 Q 7 c X V l c n l S Z W x h d G l v b n N o a X B z J n F 1 b 3 Q 7 O l t 7 J n F 1 b 3 Q 7 a 2 V 5 Q 2 9 s d W 1 u Q 2 9 1 b n Q m c X V v d D s 6 M S w m c X V v d D t r Z X l D b 2 x 1 b W 4 m c X V v d D s 6 M i w m c X V v d D t v d G h l c k t l e U N v b H V t b k l k Z W 5 0 a X R 5 J n F 1 b 3 Q 7 O i Z x d W 9 0 O 1 N l Y 3 R p b 2 4 x L 2 R L b 2 5 0 Z W 5 Q b G F u L 0 N o Y W 5 n Z W Q g V H l w Z S 5 7 S 2 9 u d G 8 s M H 0 m c X V v d D s s J n F 1 b 3 Q 7 S 2 V 5 Q 2 9 s d W 1 u Q 2 9 1 b n Q m c X V v d D s 6 M X 1 d L C Z x d W 9 0 O 2 N v b H V t b k l k Z W 5 0 a X R p Z X M m c X V v d D s 6 W y Z x d W 9 0 O 1 N l Y 3 R p b 2 4 x L 2 Z D b 3 Z l Y 2 t p U m V z d X J z a S A o M i k v Q 2 h h b m d l Z C B U e X B l L n v Q o t C 4 0 L 8 g 0 L 3 Q s C D Q v d C w 0 L T Q v t C 8 0 L X R g d G C 0 L 7 Q u i w w f S Z x d W 9 0 O y w m c X V v d D t T Z W N 0 a W 9 u M S 9 m Q 2 9 2 Z W N r a V J l c 3 V y c 2 k g K D I p L 0 N o Y W 5 n Z W Q g V H l w Z T E u e 9 C Y 0 L f Q v d C + 0 Y E s M X 0 m c X V v d D s s J n F 1 b 3 Q 7 U 2 V j d G l v b j E v Z k N v d m V j a 2 l S Z X N 1 c n N p I C g y K S 9 D a G F u Z 2 V k I F R 5 c G U u e 9 C a 0 L 7 Q v d G C 0 L 4 s O X 0 m c X V v d D s s J n F 1 b 3 Q 7 U 2 V j d G l v b j E v Z k N v d m V j a 2 l S Z X N 1 c n N p I C g y K S 9 D a G F u Z 2 V k I F R 5 c G U u e 1 J l c G 9 y d F R 5 c G U s M T B 9 J n F 1 b 3 Q 7 L C Z x d W 9 0 O 1 N l Y 3 R p b 2 4 x L 2 R L b 2 5 0 Z W 5 Q b G F u L 0 N o Y W 5 n Z W Q g V H l w Z S 5 7 U 3 R h d m t h S W 1 l T U s s N n 0 m c X V v d D s s J n F 1 b 3 Q 7 U 2 V j d G l v b j E v Z F N 0 Y X Z r a S 9 D a G F u Z 2 V k I F R 5 c G U u e 1 N 0 Y X Z r Y U F P U C w x f S Z x d W 9 0 O y w m c X V v d D t T Z W N 0 a W 9 u M S 9 k U 3 R h d m t p L 0 N o Y W 5 n Z W Q g V H l w Z S 5 7 U 3 R h d m t h R 3 J 1 c G E s N 3 0 m c X V v d D s s J n F 1 b 3 Q 7 U 2 V j d G l v b j E v Z F N 0 Y X Z r a S 9 D a G F u Z 2 V k I F R 5 c G U u e 1 N 0 Y X Z r Y U t h d G V n b 3 J p a m E s O H 0 m c X V v d D s s J n F 1 b 3 Q 7 U 2 V j d G l v b j E v Z E 9 i c m F z Y 2 k v Q 2 h h b m d l Z C B U e X B l L n t P Y n J h e m V j S W 1 l L D J 9 J n F 1 b 3 Q 7 X S w m c X V v d D t D b 2 x 1 b W 5 D b 3 V u d C Z x d W 9 0 O z o 5 L C Z x d W 9 0 O 0 t l e U N v b H V t b k 5 h b W V z J n F 1 b 3 Q 7 O l t d L C Z x d W 9 0 O 0 N v b H V t b k l k Z W 5 0 a X R p Z X M m c X V v d D s 6 W y Z x d W 9 0 O 1 N l Y 3 R p b 2 4 x L 2 Z D b 3 Z l Y 2 t p U m V z d X J z a S A o M i k v Q 2 h h b m d l Z C B U e X B l L n v Q o t C 4 0 L 8 g 0 L 3 Q s C D Q v d C w 0 L T Q v t C 8 0 L X R g d G C 0 L 7 Q u i w w f S Z x d W 9 0 O y w m c X V v d D t T Z W N 0 a W 9 u M S 9 m Q 2 9 2 Z W N r a V J l c 3 V y c 2 k g K D I p L 0 N o Y W 5 n Z W Q g V H l w Z T E u e 9 C Y 0 L f Q v d C + 0 Y E s M X 0 m c X V v d D s s J n F 1 b 3 Q 7 U 2 V j d G l v b j E v Z k N v d m V j a 2 l S Z X N 1 c n N p I C g y K S 9 D a G F u Z 2 V k I F R 5 c G U u e 9 C a 0 L 7 Q v d G C 0 L 4 s O X 0 m c X V v d D s s J n F 1 b 3 Q 7 U 2 V j d G l v b j E v Z k N v d m V j a 2 l S Z X N 1 c n N p I C g y K S 9 D a G F u Z 2 V k I F R 5 c G U u e 1 J l c G 9 y d F R 5 c G U s M T B 9 J n F 1 b 3 Q 7 L C Z x d W 9 0 O 1 N l Y 3 R p b 2 4 x L 2 R L b 2 5 0 Z W 5 Q b G F u L 0 N o Y W 5 n Z W Q g V H l w Z S 5 7 U 3 R h d m t h S W 1 l T U s s N n 0 m c X V v d D s s J n F 1 b 3 Q 7 U 2 V j d G l v b j E v Z F N 0 Y X Z r a S 9 D a G F u Z 2 V k I F R 5 c G U u e 1 N 0 Y X Z r Y U F P U C w x f S Z x d W 9 0 O y w m c X V v d D t T Z W N 0 a W 9 u M S 9 k U 3 R h d m t p L 0 N o Y W 5 n Z W Q g V H l w Z S 5 7 U 3 R h d m t h R 3 J 1 c G E s N 3 0 m c X V v d D s s J n F 1 b 3 Q 7 U 2 V j d G l v b j E v Z F N 0 Y X Z r a S 9 D a G F u Z 2 V k I F R 5 c G U u e 1 N 0 Y X Z r Y U t h d G V n b 3 J p a m E s O H 0 m c X V v d D s s J n F 1 b 3 Q 7 U 2 V j d G l v b j E v Z E 9 i c m F z Y 2 k v Q 2 h h b m d l Z C B U e X B l L n t P Y n J h e m V j S W 1 l L D J 9 J n F 1 b 3 Q 7 X S w m c X V v d D t S Z W x h d G l v b n N o a X B J b m Z v J n F 1 b 3 Q 7 O l t 7 J n F 1 b 3 Q 7 a 2 V 5 Q 2 9 s d W 1 u Q 2 9 1 b n Q m c X V v d D s 6 M S w m c X V v d D t r Z X l D b 2 x 1 b W 4 m c X V v d D s 6 M i w m c X V v d D t v d G h l c k t l e U N v b H V t b k l k Z W 5 0 a X R 5 J n F 1 b 3 Q 7 O i Z x d W 9 0 O 1 N l Y 3 R p b 2 4 x L 2 R L b 2 5 0 Z W 5 Q b G F u L 0 N o Y W 5 n Z W Q g V H l w Z S 5 7 S 2 9 u d G 8 s M H 0 m c X V v d D s s J n F 1 b 3 Q 7 S 2 V 5 Q 2 9 s d W 1 u Q 2 9 1 b n Q m c X V v d D s 6 M X 1 d f S I g L z 4 8 R W 5 0 c n k g V H l w Z T 0 i R m l s b E V y c m 9 y Q 2 9 k Z S I g V m F s d W U 9 I n N V b m t u b 3 d u I i A v P j x F b n R y e S B U e X B l P S J B Z G R l Z F R v R G F 0 Y U 1 v Z G V s I i B W Y W x 1 Z T 0 i b D A i I C 8 + P E V u d H J 5 I F R 5 c G U 9 I k x v Y W R l Z F R v Q W 5 h b H l z a X N T Z X J 2 a W N l c y I g V m F s d W U 9 I m w w I i A v P j w v U 3 R h Y m x l R W 5 0 c m l l c z 4 8 L 0 l 0 Z W 0 + P E l 0 Z W 0 + P E l 0 Z W 1 M b 2 N h d G l v b j 4 8 S X R l b V R 5 c G U + R m 9 y b X V s Y T w v S X R l b V R 5 c G U + P E l 0 Z W 1 Q Y X R o P l N l Y 3 R p b 2 4 x L 2 Z D b 3 Z l Y 2 t p U m V z d X J z a S U y M C g y K S 9 T b 3 V y Y 2 U 8 L 0 l 0 Z W 1 Q Y X R o P j w v S X R l b U x v Y 2 F 0 a W 9 u P j x T d G F i b G V F b n R y a W V z I C 8 + P C 9 J d G V t P j x J d G V t P j x J d G V t T G 9 j Y X R p b 2 4 + P E l 0 Z W 1 U e X B l P k Z v c m 1 1 b G E 8 L 0 l 0 Z W 1 U e X B l P j x J d G V t U G F 0 a D 5 T Z W N 0 a W 9 u M S 9 m Q 2 9 2 Z W N r a V J l c 3 V y c 2 k l M j A o M i k v Z k t h b G t 1 b G F j a W p h T m F k b 2 1 l c 3 R v Y 2 l f V G F i b G U 8 L 0 l 0 Z W 1 Q Y X R o P j w v S X R l b U x v Y 2 F 0 a W 9 u P j x T d G F i b G V F b n R y a W V z I C 8 + P C 9 J d G V t P j x J d G V t P j x J d G V t T G 9 j Y X R p b 2 4 + P E l 0 Z W 1 U e X B l P k Z v c m 1 1 b G E 8 L 0 l 0 Z W 1 U e X B l P j x J d G V t U G F 0 a D 5 T Z W N 0 a W 9 u M S 9 m Q 2 9 2 Z W N r a V J l c 3 V y c 2 k l M j A o M i k v Q 2 h h b m d l Z C U y M F R 5 c G U 8 L 0 l 0 Z W 1 Q Y X R o P j w v S X R l b U x v Y 2 F 0 a W 9 u P j x T d G F i b G V F b n R y a W V z I C 8 + P C 9 J d G V t P j x J d G V t P j x J d G V t T G 9 j Y X R p b 2 4 + P E l 0 Z W 1 U e X B l P k Z v c m 1 1 b G E 8 L 0 l 0 Z W 1 U e X B l P j x J d G V t U G F 0 a D 5 T Z W N 0 a W 9 u M S 9 m Q 2 9 2 Z W N r a V J l c 3 V y c 2 k l M j A o M i k v U m V t b 3 Z l Z C U y M E N v b H V t b n M 8 L 0 l 0 Z W 1 Q Y X R o P j w v S X R l b U x v Y 2 F 0 a W 9 u P j x T d G F i b G V F b n R y a W V z I C 8 + P C 9 J d G V t P j x J d G V t P j x J d G V t T G 9 j Y X R p b 2 4 + P E l 0 Z W 1 U e X B l P k Z v c m 1 1 b G E 8 L 0 l 0 Z W 1 U e X B l P j x J d G V t U G F 0 a D 5 T Z W N 0 a W 9 u M S 9 m Q 2 9 2 Z W N r a V J l c 3 V y c 2 k l M j A o M i k v U m V u Y W 1 l Z C U y M E N v b H V t b n M 8 L 0 l 0 Z W 1 Q Y X R o P j w v S X R l b U x v Y 2 F 0 a W 9 u P j x T d G F i b G V F b n R y a W V z I C 8 + P C 9 J d G V t P j x J d G V t P j x J d G V t T G 9 j Y X R p b 2 4 + P E l 0 Z W 1 U e X B l P k Z v c m 1 1 b G E 8 L 0 l 0 Z W 1 U e X B l P j x J d G V t U G F 0 a D 5 T Z W N 0 a W 9 u M S 9 m Q 2 9 2 Z W N r a V J l c 3 V y c 2 k l M j A o M i k v T W V y Z 2 V k J T I w U X V l c m l l c z w v S X R l b V B h d G g + P C 9 J d G V t T G 9 j Y X R p b 2 4 + P F N 0 Y W J s Z U V u d H J p Z X M g L z 4 8 L 0 l 0 Z W 0 + P E l 0 Z W 0 + P E l 0 Z W 1 M b 2 N h d G l v b j 4 8 S X R l b V R 5 c G U + R m 9 y b X V s Y T w v S X R l b V R 5 c G U + P E l 0 Z W 1 Q Y X R o P l N l Y 3 R p b 2 4 x L 2 Z D b 3 Z l Y 2 t p U m V z d X J z a S U y M C g y K S 9 F e H B h b m R l Z C U y M G R L b 2 5 0 Z W 5 Q b G F u P C 9 J d G V t U G F 0 a D 4 8 L 0 l 0 Z W 1 M b 2 N h d G l v b j 4 8 U 3 R h Y m x l R W 5 0 c m l l c y A v P j w v S X R l b T 4 8 S X R l b T 4 8 S X R l b U x v Y 2 F 0 a W 9 u P j x J d G V t V H l w Z T 5 G b 3 J t d W x h P C 9 J d G V t V H l w Z T 4 8 S X R l b V B h d G g + U 2 V j d G l v b j E v Z k N v d m V j a 2 l S Z X N 1 c n N p J T I w K D I p L 1 J l b W 9 2 Z W Q l M j B D b 2 x 1 b W 5 z M T w v S X R l b V B h d G g + P C 9 J d G V t T G 9 j Y X R p b 2 4 + P F N 0 Y W J s Z U V u d H J p Z X M g L z 4 8 L 0 l 0 Z W 0 + P E l 0 Z W 0 + P E l 0 Z W 1 M b 2 N h d G l v b j 4 8 S X R l b V R 5 c G U + R m 9 y b X V s Y T w v S X R l b V R 5 c G U + P E l 0 Z W 1 Q Y X R o P l N l Y 3 R p b 2 4 x L 2 Z D b 3 Z l Y 2 t p U m V z d X J z a S U y M C g y K S 9 D a G F u Z 2 V k J T I w V H l w Z T E 8 L 0 l 0 Z W 1 Q Y X R o P j w v S X R l b U x v Y 2 F 0 a W 9 u P j x T d G F i b G V F b n R y a W V z I C 8 + P C 9 J d G V t P j x J d G V t P j x J d G V t T G 9 j Y X R p b 2 4 + P E l 0 Z W 1 U e X B l P k Z v c m 1 1 b G E 8 L 0 l 0 Z W 1 U e X B l P j x J d G V t U G F 0 a D 5 T Z W N 0 a W 9 u M S 9 P U E V Y Q W 5 h b G l 6 Y T w v S X R l b V B h d G g + P C 9 J d G V t T G 9 j Y X R p b 2 4 + P F N 0 Y W J s Z U V u d H J p Z X M + P E V u d H J 5 I F R 5 c G U 9 I k l z U H J p d m F 0 Z S I g V m F s d W U 9 I m w w I i A v P j x F b n R y e S B U e X B l P S J G a W x s R W 5 h Y m x l Z C I g V m F s d W U 9 I m w w I i A v P j x F b n R y e S B U e X B l P S J C d W Z m Z X J O Z X h 0 U m V m c m V z a C I g V m F s d W U 9 I m w x I i A v P j x F b n R y e S B U e X B l P S J O Y X Z p Z 2 F 0 a W 9 u U 3 R l c E 5 h b W U i I F Z h b H V l P S J z T m F 2 a W d h d G l v b i I g L z 4 8 R W 5 0 c n k g V H l w Z T 0 i T m F t Z V V w Z G F 0 Z W R B Z n R l c k Z p b G w i I F Z h b H V l P S J s M C I g L z 4 8 R W 5 0 c n k g V H l w Z T 0 i U m V z d W x 0 V H l w Z S I g V m F s d W U 9 I n N U Y W J s Z S I g L z 4 8 R W 5 0 c n k g V H l w Z T 0 i R m l s b G V k Q 2 9 t c G x l d G V S Z X N 1 b H R U b 1 d v c m t z a G V l d C I g V m F s d W U 9 I m w w I i A v P j x F b n R y e S B U e X B l P S J R d W V y e U l E I i B W Y W x 1 Z T 0 i c 2 U 2 Z G R j Y z k y L T l j N D Q t N D U x N S 1 i Z W E 3 L T d m Y T R i N W I 1 Y T Y 4 N C I g L z 4 8 R W 5 0 c n k g V H l w Z T 0 i R m l s b F R v R G F 0 Y U 1 v Z G V s R W 5 h Y m x l Z C I g V m F s d W U 9 I m w x I i A v P j x F b n R y e S B U e X B l P S J G a W x s T 2 J q Z W N 0 V H l w Z S I g V m F s d W U 9 I n N D b 2 5 u Z W N 0 a W 9 u T 2 5 s e S I g L z 4 8 R W 5 0 c n k g V H l w Z T 0 i R m l s b E x h c 3 R V c G R h d G V k I i B W Y W x 1 Z T 0 i Z D I w M j E t M T E t M j N U M D k 6 N D A 6 M T U u M T Q 5 N D Q 5 O V o i I C 8 + P E V u d H J 5 I F R 5 c G U 9 I k Z p b G x F c n J v c k N v d W 5 0 I i B W Y W x 1 Z T 0 i b D A i I C 8 + P E V u d H J 5 I F R 5 c G U 9 I k Z p b G x D b 2 x 1 b W 5 U e X B l c y I g V m F s d W U 9 I n N C Z 1 V H Q m d Z R 0 J n W U p C Z z 0 9 I i A v P j x F b n R y e S B U e X B l P S J G a W x s R X J y b 3 J D b 2 R l I i B W Y W x 1 Z T 0 i c 1 V u a 2 5 v d 2 4 i I C 8 + P E V u d H J 5 I F R 5 c G U 9 I k Z p b G x D b 2 x 1 b W 5 O Y W 1 l c y I g V m F s d W U 9 I n N b J n F 1 b 3 Q 7 0 K H R g t C w 0 L L Q u t C w J n F 1 b 3 Q 7 L C Z x d W 9 0 O 9 C Y 0 L f Q v d C + 0 Y E m c X V v d D s s J n F 1 b 3 Q 7 0 J r Q v t C 9 0 Y L Q v i Z x d W 9 0 O y w m c X V v d D t T d G F 2 a 2 F J b W V N S y Z x d W 9 0 O y w m c X V v d D t T d G F 2 a 2 F B T 1 A m c X V v d D s s J n F 1 b 3 Q 7 U 3 R h d m t h R 3 J 1 c G E m c X V v d D s s J n F 1 b 3 Q 7 U 3 R h d m t h S 2 F 0 Z W d v c m l q Y S Z x d W 9 0 O y w m c X V v d D t P Y n J h e m V j S W 1 l J n F 1 b 3 Q 7 L C Z x d W 9 0 O 9 C f 0 L X R g N C 4 0 L 7 Q t C Z x d W 9 0 O y w m c X V v d D t S Z X B v c n R U e X B l J n F 1 b 3 Q 7 X S I g L z 4 8 R W 5 0 c n k g V H l w Z T 0 i R m l s b E N v d W 5 0 I i B W Y W x 1 Z T 0 i b D c 0 M j I x I i A v P j x F b n R y e S B U e X B l P S J G a W x s U 3 R h d H V z I i B W Y W x 1 Z T 0 i c 0 N v b X B s Z X R l I i A v P j x F b n R y e S B U e X B l P S J B Z G R l Z F R v R G F 0 Y U 1 v Z G V s I i B W Y W x 1 Z T 0 i b D E i I C 8 + P E V u d H J 5 I F R 5 c G U 9 I l J l b G F 0 a W 9 u c 2 h p c E l u Z m 9 D b 2 5 0 Y W l u Z X I i I F Z h b H V l P S J z e y Z x d W 9 0 O 2 N v b H V t b k N v d W 5 0 J n F 1 b 3 Q 7 O j E w L C Z x d W 9 0 O 2 t l e U N v b H V t b k 5 h b W V z J n F 1 b 3 Q 7 O l t d L C Z x d W 9 0 O 3 F 1 Z X J 5 U m V s Y X R p b 2 5 z a G l w c y Z x d W 9 0 O z p b X S w m c X V v d D t j b 2 x 1 b W 5 J Z G V u d G l 0 a W V z J n F 1 b 3 Q 7 O l s m c X V v d D t T Z W N 0 a W 9 u M S 9 P U E V Y Q W 5 h b G l 6 Y S 9 T b 3 V y Y 2 U u e 9 C h 0 Y L Q s N C y 0 L r Q s C w w f S Z x d W 9 0 O y w m c X V v d D t T Z W N 0 a W 9 u M S 9 P U E V Y Q W 5 h b G l 6 Y S 9 T b 3 V y Y 2 U u e 9 C Y 0 L f Q v d C + 0 Y E s M X 0 m c X V v d D s s J n F 1 b 3 Q 7 U 2 V j d G l v b j E v T 1 B F W E F u Y W x p e m E v U 2 9 1 c m N l L n v Q m t C + 0 L 3 R g t C + L D J 9 J n F 1 b 3 Q 7 L C Z x d W 9 0 O 1 N l Y 3 R p b 2 4 x L 0 9 Q R V h B b m F s a X p h L 1 N v d X J j Z S 5 7 U 3 R h d m t h S W 1 l T U s s M 3 0 m c X V v d D s s J n F 1 b 3 Q 7 U 2 V j d G l v b j E v T 1 B F W E F u Y W x p e m E v U 2 9 1 c m N l L n t T d G F 2 a 2 F B T 1 A s N H 0 m c X V v d D s s J n F 1 b 3 Q 7 U 2 V j d G l v b j E v T 1 B F W E F u Y W x p e m E v U 2 9 1 c m N l L n t T d G F 2 a 2 F H c n V w Y S w 1 f S Z x d W 9 0 O y w m c X V v d D t T Z W N 0 a W 9 u M S 9 P U E V Y Q W 5 h b G l 6 Y S 9 T b 3 V y Y 2 U u e 1 N 0 Y X Z r Y U t h d G V n b 3 J p a m E s N n 0 m c X V v d D s s J n F 1 b 3 Q 7 U 2 V j d G l v b j E v T 1 B F W E F u Y W x p e m E v U 2 9 1 c m N l L n t P Y n J h e m V j S W 1 l L D d 9 J n F 1 b 3 Q 7 L C Z x d W 9 0 O 1 N l Y 3 R p b 2 4 x L 0 9 Q R V h B b m F s a X p h L 1 N v d X J j Z S 5 7 0 J / Q t d G A 0 L j Q v t C 0 L D h 9 J n F 1 b 3 Q 7 L C Z x d W 9 0 O 1 N l Y 3 R p b 2 4 x L 0 9 Q R V h B b m F s a X p h L 1 N v d X J j Z S 5 7 U m V w b 3 J 0 V H l w Z S w 5 f S Z x d W 9 0 O 1 0 s J n F 1 b 3 Q 7 Q 2 9 s d W 1 u Q 2 9 1 b n Q m c X V v d D s 6 M T A s J n F 1 b 3 Q 7 S 2 V 5 Q 2 9 s d W 1 u T m F t Z X M m c X V v d D s 6 W 1 0 s J n F 1 b 3 Q 7 Q 2 9 s d W 1 u S W R l b n R p d G l l c y Z x d W 9 0 O z p b J n F 1 b 3 Q 7 U 2 V j d G l v b j E v T 1 B F W E F u Y W x p e m E v U 2 9 1 c m N l L n v Q o d G C 0 L D Q s t C 6 0 L A s M H 0 m c X V v d D s s J n F 1 b 3 Q 7 U 2 V j d G l v b j E v T 1 B F W E F u Y W x p e m E v U 2 9 1 c m N l L n v Q m N C 3 0 L 3 Q v t G B L D F 9 J n F 1 b 3 Q 7 L C Z x d W 9 0 O 1 N l Y 3 R p b 2 4 x L 0 9 Q R V h B b m F s a X p h L 1 N v d X J j Z S 5 7 0 J r Q v t C 9 0 Y L Q v i w y f S Z x d W 9 0 O y w m c X V v d D t T Z W N 0 a W 9 u M S 9 P U E V Y Q W 5 h b G l 6 Y S 9 T b 3 V y Y 2 U u e 1 N 0 Y X Z r Y U l t Z U 1 L L D N 9 J n F 1 b 3 Q 7 L C Z x d W 9 0 O 1 N l Y 3 R p b 2 4 x L 0 9 Q R V h B b m F s a X p h L 1 N v d X J j Z S 5 7 U 3 R h d m t h Q U 9 Q L D R 9 J n F 1 b 3 Q 7 L C Z x d W 9 0 O 1 N l Y 3 R p b 2 4 x L 0 9 Q R V h B b m F s a X p h L 1 N v d X J j Z S 5 7 U 3 R h d m t h R 3 J 1 c G E s N X 0 m c X V v d D s s J n F 1 b 3 Q 7 U 2 V j d G l v b j E v T 1 B F W E F u Y W x p e m E v U 2 9 1 c m N l L n t T d G F 2 a 2 F L Y X R l Z 2 9 y a W p h L D Z 9 J n F 1 b 3 Q 7 L C Z x d W 9 0 O 1 N l Y 3 R p b 2 4 x L 0 9 Q R V h B b m F s a X p h L 1 N v d X J j Z S 5 7 T 2 J y Y X p l Y 0 l t Z S w 3 f S Z x d W 9 0 O y w m c X V v d D t T Z W N 0 a W 9 u M S 9 P U E V Y Q W 5 h b G l 6 Y S 9 T b 3 V y Y 2 U u e 9 C f 0 L X R g N C 4 0 L 7 Q t C w 4 f S Z x d W 9 0 O y w m c X V v d D t T Z W N 0 a W 9 u M S 9 P U E V Y Q W 5 h b G l 6 Y S 9 T b 3 V y Y 2 U u e 1 J l c G 9 y d F R 5 c G U s O X 0 m c X V v d D t d L C Z x d W 9 0 O 1 J l b G F 0 a W 9 u c 2 h p c E l u Z m 8 m c X V v d D s 6 W 1 1 9 I i A v P j w v U 3 R h Y m x l R W 5 0 c m l l c z 4 8 L 0 l 0 Z W 0 + P E l 0 Z W 0 + P E l 0 Z W 1 M b 2 N h d G l v b j 4 8 S X R l b V R 5 c G U + R m 9 y b X V s Y T w v S X R l b V R 5 c G U + P E l 0 Z W 1 Q Y X R o P l N l Y 3 R p b 2 4 x L 0 9 Q R V h B b m F s a X p h L 1 N v d X J j Z T w v S X R l b V B h d G g + P C 9 J d G V t T G 9 j Y X R p b 2 4 + P F N 0 Y W J s Z U V u d H J p Z X M g L z 4 8 L 0 l 0 Z W 0 + P E l 0 Z W 0 + P E l 0 Z W 1 M b 2 N h d G l v b j 4 8 S X R l b V R 5 c G U + R m 9 y b X V s Y T w v S X R l b V R 5 c G U + P E l 0 Z W 1 Q Y X R o P l N l Y 3 R p b 2 4 x L 2 Z D b 3 Z l Y 2 t p U m V z d X J z a S U y M C g y K S 9 G a W x 0 Z X J l Z C U y M F J v d 3 M 8 L 0 l 0 Z W 1 Q Y X R o P j w v S X R l b U x v Y 2 F 0 a W 9 u P j x T d G F i b G V F b n R y a W V z I C 8 + P C 9 J d G V t P j x J d G V t P j x J d G V t T G 9 j Y X R p b 2 4 + P E l 0 Z W 1 U e X B l P k Z v c m 1 1 b G E 8 L 0 l 0 Z W 1 U e X B l P j x J d G V t U G F 0 a D 5 T Z W N 0 a W 9 u M S 9 D Q V B F W C 1 K T j w v S X R l b V B h d G g + P C 9 J d G V t T G 9 j Y X R p b 2 4 + P F N 0 Y W J s Z U V u d H J p Z X M + P E V u d H J 5 I F R 5 c G U 9 I k l z U H J p d m F 0 Z S I g V m F s d W U 9 I m w w I i A v P j x F b n R y e S B U e X B l P S J C d W Z m Z X J O Z X h 0 U m V m c m V z a C I g V m F s d W U 9 I m w x I i A v P j x F b n R y e S B U e X B l P S J G a W x s R W 5 h Y m x l Z C I g V m F s d W U 9 I m w x I i A v P j x F b n R y e S B U e X B l P S J G a W x s T 2 J q Z W N 0 V H l w Z S I g V m F s d W U 9 I n N U Y W J s Z S I g L z 4 8 R W 5 0 c n k g V H l w Z T 0 i R m l s b F R v R G F 0 Y U 1 v Z G V s R W 5 h Y m x l Z 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F y Z 2 V 0 I i B W Y W x 1 Z T 0 i c 0 N B U E V Y X 0 p O I i A v P j x F b n R y e S B U e X B l P S J M b 2 F k Z W R U b 0 F u Y W x 5 c 2 l z U 2 V y d m l j Z X M i I F Z h b H V l P S J s M C I g L z 4 8 R W 5 0 c n k g V H l w Z T 0 i U m V j b 3 Z l c n l U Y X J n Z X R T a G V l d C I g V m F s d W U 9 I n N T a G V l d D E i I C 8 + P E V u d H J 5 I F R 5 c G U 9 I l J l Y 2 9 2 Z X J 5 V G F y Z 2 V 0 Q 2 9 s d W 1 u I i B W Y W x 1 Z T 0 i b D E i I C 8 + P E V u d H J 5 I F R 5 c G U 9 I l J l Y 2 9 2 Z X J 5 V G F y Z 2 V 0 U m 9 3 I i B W Y W x 1 Z T 0 i b D E i I C 8 + P E V u d H J 5 I F R 5 c G U 9 I l F 1 Z X J 5 S U Q i I F Z h b H V l P S J z M 2 Z l M z U 2 N 2 U t Z j k 5 M y 0 0 M D R h L W F i O D Q t O G Q 3 N D I w N G R i Z j V m I i A v P j x F b n R y e S B U e X B l P S J G a W x s T G F z d F V w Z G F 0 Z W Q i I F Z h b H V l P S J k M j A y M S 0 x M S 0 y M 1 Q w O T o 0 M D o z N C 4 0 N z c z N D I 4 W i I g L z 4 8 R W 5 0 c n k g V H l w Z T 0 i R m l s b E V y c m 9 y Q 2 9 1 b n Q i I F Z h b H V l P S J s M C I g L z 4 8 R W 5 0 c n k g V H l w Z T 0 i R m l s b E N v b H V t b l R 5 c G V z I i B W Y W x 1 Z T 0 i c 0 J n a 0 R C Z 1 k 9 I i A v P j x F b n R y e S B U e X B l P S J G a W x s R X J y b 3 J D b 2 R l I i B W Y W x 1 Z T 0 i c 1 V u a 2 5 v d 2 4 i I C 8 + P E V u d H J 5 I F R 5 c G U 9 I k Z p b G x D b 2 x 1 b W 5 O Y W 1 l c y I g V m F s d W U 9 I n N b J n F 1 b 3 Q 7 0 J / R g N C 1 0 L T Q v N C 1 0 Y I g 0 L 3 Q s C D R m N C w 0 L L Q v d C w I N C 9 0 L D Q s d C w 0 L L Q u t C w J n F 1 b 3 Q 7 L C Z x d W 9 0 O 9 C f 0 Y D Q t d C 0 0 L L Q u N C 0 0 L X Q v S D Q t N C w 0 Y L R g 9 C 8 I N C 9 0 L A g 0 L 3 Q s N C x 0 L D Q s t C 6 0 L A m c X V v d D s s J n F 1 b 3 Q 7 0 J / R g N C + 0 Y b Q t d C 9 0 L X R g t C w I N C y 0 Y D Q t d C 0 0 L 3 Q v t G B 0 Y I g 0 L 3 Q s C D Q v d C w 0 L H Q s N C y 0 L r Q s C D R g d C + I N C U 0 J T Q k i A o 0 L T Q t d C 9 0 L D R g N C 4 K S Z x d W 9 0 O y w m c X V v d D v Q m t C + 0 L 3 R g t C + J n F 1 b 3 Q 7 L C Z x d W 9 0 O 1 J l c G 9 y d F R 5 c G U m c X V v d D t d I i A v P j x F b n R y e S B U e X B l P S J G a W x s Q 2 9 1 b n Q i I F Z h b H V l P S J s M j k i I C 8 + P E V u d H J 5 I F R 5 c G U 9 I k Z p b G x T d G F 0 d X M i I F Z h b H V l P S J z Q 2 9 t c G x l d G U i I C 8 + P E V u d H J 5 I F R 5 c G U 9 I k F k Z G V k V G 9 E Y X R h T W 9 k Z W w i I F Z h b H V l P S J s M C I g L z 4 8 R W 5 0 c n k g V H l w Z T 0 i U m V s Y X R p b 2 5 z a G l w S W 5 m b 0 N v b n R h a W 5 l c i I g V m F s d W U 9 I n N 7 J n F 1 b 3 Q 7 Y 2 9 s d W 1 u Q 2 9 1 b n Q m c X V v d D s 6 N S w m c X V v d D t r Z X l D b 2 x 1 b W 5 O Y W 1 l c y Z x d W 9 0 O z p b X S w m c X V v d D t x d W V y e V J l b G F 0 a W 9 u c 2 h p c H M m c X V v d D s 6 W 1 0 s J n F 1 b 3 Q 7 Y 2 9 s d W 1 u S W R l b n R p d G l l c y Z x d W 9 0 O z p b J n F 1 b 3 Q 7 U 2 V j d G l v b j E v Q 0 F Q R V g t S k 4 v T W V y Z 2 V k I E N v b H V t b n M u e 9 C f 0 Y D Q t d C 0 0 L z Q t d G C I N C 9 0 L A g 0 L T Q v t C z 0 L 7 Q s t C + 0 Y D Q v t G C I N C 3 0 L A g 0 Z j Q s N C y 0 L 3 Q s C D Q v d C w 0 L H Q s N C y 0 L r Q s C w w f S Z x d W 9 0 O y w m c X V v d D t T Z W N 0 a W 9 u M S 9 D Q V B F W C 1 K T i 9 D a G F u Z 2 V k I F R 5 c G U u e 9 C e 0 Y f Q t d C 6 0 Y P Q s t C w 0 L 0 g 0 L T Q s N G C 0 Y P Q v C D Q v d C w I N C / 0 L v Q s N G c 0 L D R m t C 1 L D N 9 J n F 1 b 3 Q 7 L C Z x d W 9 0 O 1 N l Y 3 R p b 2 4 x L 0 N B U E V Y L U p O L 0 N o Y W 5 n Z W Q g V H l w Z S 5 7 0 J / R g N C + 0 Y b Q t d C 9 0 L X R g t C w I N C y 0 Y D Q t d C 0 0 L 3 Q v t G B 0 Y I g 0 L 3 Q s C D Q v d C w 0 L H Q s N C y 0 L r Q s C D R g d C + I N C U 0 J T Q k i A o 0 L T Q t d C 9 0 L D R g N C 4 K S w 1 f S Z x d W 9 0 O y w m c X V v d D t T Z W N 0 a W 9 u M S 9 D Q V B F W C 1 K T i 9 D a G F u Z 2 V k I F R 5 c G U u e 9 C a 0 L 7 Q v d G C 0 L 4 g 0 K H R g N C 1 0 L T R g d G C 0 L L Q s C w 3 f S Z x d W 9 0 O y w m c X V v d D t T Z W N 0 a W 9 u M S 9 D Q V B F W C 1 K T i 9 D a G F u Z 2 V k I F R 5 c G U x L n t S Z X B v c n Q g V H l w Z S w 0 f S Z x d W 9 0 O 1 0 s J n F 1 b 3 Q 7 Q 2 9 s d W 1 u Q 2 9 1 b n Q m c X V v d D s 6 N S w m c X V v d D t L Z X l D b 2 x 1 b W 5 O Y W 1 l c y Z x d W 9 0 O z p b X S w m c X V v d D t D b 2 x 1 b W 5 J Z G V u d G l 0 a W V z J n F 1 b 3 Q 7 O l s m c X V v d D t T Z W N 0 a W 9 u M S 9 D Q V B F W C 1 K T i 9 N Z X J n Z W Q g Q 2 9 s d W 1 u c y 5 7 0 J / R g N C 1 0 L T Q v N C 1 0 Y I g 0 L 3 Q s C D Q t N C + 0 L P Q v t C y 0 L 7 R g N C + 0 Y I g 0 L f Q s C D R m N C w 0 L L Q v d C w I N C 9 0 L D Q s d C w 0 L L Q u t C w L D B 9 J n F 1 b 3 Q 7 L C Z x d W 9 0 O 1 N l Y 3 R p b 2 4 x L 0 N B U E V Y L U p O L 0 N o Y W 5 n Z W Q g V H l w Z S 5 7 0 J 7 R h 9 C 1 0 L r R g 9 C y 0 L D Q v S D Q t N C w 0 Y L R g 9 C 8 I N C 9 0 L A g 0 L / Q u 9 C w 0 Z z Q s N G a 0 L U s M 3 0 m c X V v d D s s J n F 1 b 3 Q 7 U 2 V j d G l v b j E v Q 0 F Q R V g t S k 4 v Q 2 h h b m d l Z C B U e X B l L n v Q n 9 G A 0 L 7 R h t C 1 0 L 3 Q t d G C 0 L A g 0 L L R g N C 1 0 L T Q v d C + 0 Y H R g i D Q v d C w I N C 9 0 L D Q s d C w 0 L L Q u t C w I N G B 0 L 4 g 0 J T Q l N C S I C j Q t N C 1 0 L 3 Q s N G A 0 L g p L D V 9 J n F 1 b 3 Q 7 L C Z x d W 9 0 O 1 N l Y 3 R p b 2 4 x L 0 N B U E V Y L U p O L 0 N o Y W 5 n Z W Q g V H l w Z S 5 7 0 J r Q v t C 9 0 Y L Q v i D Q o d G A 0 L X Q t N G B 0 Y L Q s t C w L D d 9 J n F 1 b 3 Q 7 L C Z x d W 9 0 O 1 N l Y 3 R p b 2 4 x L 0 N B U E V Y L U p O L 0 N o Y W 5 n Z W Q g V H l w Z T E u e 1 J l c G 9 y d C B U e X B l L D R 9 J n F 1 b 3 Q 7 X S w m c X V v d D t S Z W x h d G l v b n N o a X B J b m Z v J n F 1 b 3 Q 7 O l t d f S I g L z 4 8 L 1 N 0 Y W J s Z U V u d H J p Z X M + P C 9 J d G V t P j x J d G V t P j x J d G V t T G 9 j Y X R p b 2 4 + P E l 0 Z W 1 U e X B l P k Z v c m 1 1 b G E 8 L 0 l 0 Z W 1 U e X B l P j x J d G V t U G F 0 a D 5 T Z W N 0 a W 9 u M S 9 D Q V B F W C 1 K T i 9 T b 3 V y Y 2 U 8 L 0 l 0 Z W 1 Q Y X R o P j w v S X R l b U x v Y 2 F 0 a W 9 u P j x T d G F i b G V F b n R y a W V z I C 8 + P C 9 J d G V t P j x J d G V t P j x J d G V t T G 9 j Y X R p b 2 4 + P E l 0 Z W 1 U e X B l P k Z v c m 1 1 b G E 8 L 0 l 0 Z W 1 U e X B l P j x J d G V t U G F 0 a D 5 T Z W N 0 a W 9 u M S 9 D Q V B F W C 1 K T i 9 G a W x 0 Z X J l Z C U y M F J v d 3 M 8 L 0 l 0 Z W 1 Q Y X R o P j w v S X R l b U x v Y 2 F 0 a W 9 u P j x T d G F i b G V F b n R y a W V z I C 8 + P C 9 J d G V t P j x J d G V t P j x J d G V t T G 9 j Y X R p b 2 4 + P E l 0 Z W 1 U e X B l P k Z v c m 1 1 b G E 8 L 0 l 0 Z W 1 U e X B l P j x J d G V t U G F 0 a D 5 T Z W N 0 a W 9 u M S 9 D Q V B F W C 1 K T i 9 S Z W 1 v d m V k J T I w T 3 R o Z X I l M j B D b 2 x 1 b W 5 z P C 9 J d G V t U G F 0 a D 4 8 L 0 l 0 Z W 1 M b 2 N h d G l v b j 4 8 U 3 R h Y m x l R W 5 0 c m l l c y A v P j w v S X R l b T 4 8 S X R l b T 4 8 S X R l b U x v Y 2 F 0 a W 9 u P j x J d G V t V H l w Z T 5 G b 3 J t d W x h P C 9 J d G V t V H l w Z T 4 8 S X R l b V B h d G g + U 2 V j d G l v b j E v Q 0 F Q R V g t S k 4 v R X h w Y W 5 k Z W Q l M j B E Y X R h P C 9 J d G V t U G F 0 a D 4 8 L 0 l 0 Z W 1 M b 2 N h d G l v b j 4 8 U 3 R h Y m x l R W 5 0 c m l l c y A v P j w v S X R l b T 4 8 S X R l b T 4 8 S X R l b U x v Y 2 F 0 a W 9 u P j x J d G V t V H l w Z T 5 G b 3 J t d W x h P C 9 J d G V t V H l w Z T 4 8 S X R l b V B h d G g + U 2 V j d G l v b j E v Q 0 F Q R V g t S k 4 v Q 2 h h b m d l Z C U y M F R 5 c G U 8 L 0 l 0 Z W 1 Q Y X R o P j w v S X R l b U x v Y 2 F 0 a W 9 u P j x T d G F i b G V F b n R y a W V z I C 8 + P C 9 J d G V t P j x J d G V t P j x J d G V t T G 9 j Y X R p b 2 4 + P E l 0 Z W 1 U e X B l P k Z v c m 1 1 b G E 8 L 0 l 0 Z W 1 U e X B l P j x J d G V t U G F 0 a D 5 T Z W N 0 a W 9 u M S 9 D Q V B F W C 1 K T i 9 S Z W 1 v d m V k J T I w Q 2 9 s d W 1 u c z w v S X R l b V B h d G g + P C 9 J d G V t T G 9 j Y X R p b 2 4 + P F N 0 Y W J s Z U V u d H J p Z X M g L z 4 8 L 0 l 0 Z W 0 + P E l 0 Z W 0 + P E l 0 Z W 1 M b 2 N h d G l v b j 4 8 S X R l b V R 5 c G U + R m 9 y b X V s Y T w v S X R l b V R 5 c G U + P E l 0 Z W 1 Q Y X R o P l N l Y 3 R p b 2 4 x L 0 N B U E V Y L U p O L 1 J l b m F t Z W Q l M j B D b 2 x 1 b W 5 z P C 9 J d G V t U G F 0 a D 4 8 L 0 l 0 Z W 1 M b 2 N h d G l v b j 4 8 U 3 R h Y m x l R W 5 0 c m l l c y A v P j w v S X R l b T 4 8 S X R l b T 4 8 S X R l b U x v Y 2 F 0 a W 9 u P j x J d G V t V H l w Z T 5 G b 3 J t d W x h P C 9 J d G V t V H l w Z T 4 8 S X R l b V B h d G g + U 2 V j d G l v b j E v Q 0 F Q R V g t S k 4 v T W V y Z 2 V k J T I w Q 2 9 s d W 1 u c z w v S X R l b V B h d G g + P C 9 J d G V t T G 9 j Y X R p b 2 4 + P F N 0 Y W J s Z U V u d H J p Z X M g L z 4 8 L 0 l 0 Z W 0 + P E l 0 Z W 0 + P E l 0 Z W 1 M b 2 N h d G l v b j 4 8 S X R l b V R 5 c G U + R m 9 y b X V s Y T w v S X R l b V R 5 c G U + P E l 0 Z W 1 Q Y X R o P l N l Y 3 R p b 2 4 x L 2 Z D b 3 Z l Y 2 t p U m V z d X J z a S U y M C 0 l R D A l O D g l R D A l O U Q 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m Q 2 9 2 Z W N r a V J l c 3 V y c 2 l f X 9 C I 0 J 0 i I C 8 + P E V u d H J 5 I F R 5 c G U 9 I k x v Y W R l Z F R v Q W 5 h b H l z a X N T Z X J 2 a W N l c y I g V m F s d W U 9 I m w w I i A v P j x F b n R y e S B U e X B l P S J S Z W N v d m V y e V R h c m d l d F N o Z W V 0 I i B W Y W x 1 Z T 0 i c 1 N o Z W V 0 M i I g L z 4 8 R W 5 0 c n k g V H l w Z T 0 i U m V j b 3 Z l c n l U Y X J n Z X R D b 2 x 1 b W 4 i I F Z h b H V l P S J s M S I g L z 4 8 R W 5 0 c n k g V H l w Z T 0 i U m V j b 3 Z l c n l U Y X J n Z X R S b 3 c i I F Z h b H V l P S J s M S I g L z 4 8 R W 5 0 c n k g V H l w Z T 0 i U X V l c n l J R C I g V m F s d W U 9 I n M w Y z c z N T E x N S 0 0 M j F j L T R m M m E t Y T M 2 M y 1 m N j c x M T E w Y T h h Y j g i I C 8 + P E V u d H J 5 I F R 5 c G U 9 I k Z p b G x M Y X N 0 V X B k Y X R l Z C I g V m F s d W U 9 I m Q y M D I x L T E x L T I z V D A 5 O j Q w O j M 0 L j U x M D I 1 N D V a I i A v P j x F b n R y e S B U e X B l P S J G a W x s R X J y b 3 J D b 3 V u d C I g V m F s d W U 9 I m w w I i A v P j x F b n R y e S B U e X B l P S J G a W x s Q 2 9 s d W 1 u V H l w Z X M i I F Z h b H V l P S J z Q m d r R E J n W T 0 i I C 8 + P E V u d H J 5 I F R 5 c G U 9 I k Z p b G x F c n J v c k N v Z G U i I F Z h b H V l P S J z V W 5 r b m 9 3 b i I g L z 4 8 R W 5 0 c n k g V H l w Z T 0 i R m l s b E N v b H V t b k 5 h b W V z I i B W Y W x 1 Z T 0 i c 1 s m c X V v d D v Q n 9 G A 0 L X Q t N C 8 0 L X R g i D Q v d C w I N G Y 0 L D Q s t C 9 0 L A g 0 L 3 Q s N C x 0 L D Q s t C 6 0 L A m c X V v d D s s J n F 1 b 3 Q 7 0 J / R g N C 1 0 L T Q s t C 4 0 L T Q t d C 9 I N C 0 0 L D R g t G D 0 L w g 0 L 3 Q s C D Q v d C w 0 L H Q s N C y 0 L r Q s C Z x d W 9 0 O y w m c X V v d D v Q n 9 G A 0 L 7 R h t C 1 0 L 3 Q t d G C 0 L A g 0 L L R g N C 1 0 L T Q v d C + 0 Y H R g i D Q v d C w I N C 9 0 L D Q s d C w 0 L L Q u t C w I N G B 0 L 4 g 0 J T Q l N C S I C j Q t N C 1 0 L 3 Q s N G A 0 L g p J n F 1 b 3 Q 7 L C Z x d W 9 0 O 9 C a 0 L 7 Q v d G C 0 L 4 m c X V v d D s s J n F 1 b 3 Q 7 U m V w b 3 J 0 V H l w Z S Z x d W 9 0 O 1 0 i I C 8 + P E V u d H J 5 I F R 5 c G U 9 I k Z p b G x D b 3 V u d C I g V m F s d W U 9 I m w x M j k i I C 8 + P E V u d H J 5 I F R 5 c G U 9 I k Z p b G x T d G F 0 d X M i I F Z h b H V l P S J z Q 2 9 t c G x l d G U i I C 8 + P E V u d H J 5 I F R 5 c G U 9 I k F k Z G V k V G 9 E Y X R h T W 9 k Z W w i I F Z h b H V l P S J s M C I g L z 4 8 R W 5 0 c n k g V H l w Z T 0 i U m V s Y X R p b 2 5 z a G l w S W 5 m b 0 N v b n R h a W 5 l c i I g V m F s d W U 9 I n N 7 J n F 1 b 3 Q 7 Y 2 9 s d W 1 u Q 2 9 1 b n Q m c X V v d D s 6 N S w m c X V v d D t r Z X l D b 2 x 1 b W 5 O Y W 1 l c y Z x d W 9 0 O z p b X S w m c X V v d D t x d W V y e V J l b G F 0 a W 9 u c 2 h p c H M m c X V v d D s 6 W 1 0 s J n F 1 b 3 Q 7 Y 2 9 s d W 1 u S W R l b n R p d G l l c y Z x d W 9 0 O z p b J n F 1 b 3 Q 7 U 2 V j d G l v b j E v Z k N v d m V j a 2 l S Z X N 1 c n N p I C 3 Q i N C d L 0 N o Y W 5 n Z W Q g V H l w Z S 5 7 0 K L Q u N C / I N C 9 0 L A g 0 L 3 Q s N C 0 0 L 7 Q v N C 1 0 Y H R g t C + 0 L o s M H 0 m c X V v d D s s J n F 1 b 3 Q 7 U 2 V j d G l v b j E v Z k N v d m V j a 2 l S Z X N 1 c n N p I C 3 Q i N C d L 0 N o Y W 5 n Z W Q g V H l w Z S 5 7 0 J / Q t d G A 0 L j Q v t C 0 L D V 9 J n F 1 b 3 Q 7 L C Z x d W 9 0 O 1 N l Y 3 R p b 2 4 x L 2 Z D b 3 Z l Y 2 t p U m V z d X J z a S A t 0 I j Q n S 9 D a G F u Z 2 V k I F R 5 c G U u e 9 C Y 0 L f Q v d C + 0 Y E s O H 0 m c X V v d D s s J n F 1 b 3 Q 7 U 2 V j d G l v b j E v Z k N v d m V j a 2 l S Z X N 1 c n N p I C 3 Q i N C d L 0 N o Y W 5 n Z W Q g V H l w Z S 5 7 0 J r Q v t C 9 0 Y L Q v i w 5 f S Z x d W 9 0 O y w m c X V v d D t T Z W N 0 a W 9 u M S 9 m Q 2 9 2 Z W N r a V J l c 3 V y c 2 k g L d C I 0 J 0 v Q 2 h h b m d l Z C B U e X B l L n t S Z X B v c n R U e X B l L D E w f S Z x d W 9 0 O 1 0 s J n F 1 b 3 Q 7 Q 2 9 s d W 1 u Q 2 9 1 b n Q m c X V v d D s 6 N S w m c X V v d D t L Z X l D b 2 x 1 b W 5 O Y W 1 l c y Z x d W 9 0 O z p b X S w m c X V v d D t D b 2 x 1 b W 5 J Z G V u d G l 0 a W V z J n F 1 b 3 Q 7 O l s m c X V v d D t T Z W N 0 a W 9 u M S 9 m Q 2 9 2 Z W N r a V J l c 3 V y c 2 k g L d C I 0 J 0 v Q 2 h h b m d l Z C B U e X B l L n v Q o t C 4 0 L 8 g 0 L 3 Q s C D Q v d C w 0 L T Q v t C 8 0 L X R g d G C 0 L 7 Q u i w w f S Z x d W 9 0 O y w m c X V v d D t T Z W N 0 a W 9 u M S 9 m Q 2 9 2 Z W N r a V J l c 3 V y c 2 k g L d C I 0 J 0 v Q 2 h h b m d l Z C B U e X B l L n v Q n 9 C 1 0 Y D Q u N C + 0 L Q s N X 0 m c X V v d D s s J n F 1 b 3 Q 7 U 2 V j d G l v b j E v Z k N v d m V j a 2 l S Z X N 1 c n N p I C 3 Q i N C d L 0 N o Y W 5 n Z W Q g V H l w Z S 5 7 0 J j Q t 9 C 9 0 L 7 R g S w 4 f S Z x d W 9 0 O y w m c X V v d D t T Z W N 0 a W 9 u M S 9 m Q 2 9 2 Z W N r a V J l c 3 V y c 2 k g L d C I 0 J 0 v Q 2 h h b m d l Z C B U e X B l L n v Q m t C + 0 L 3 R g t C + L D l 9 J n F 1 b 3 Q 7 L C Z x d W 9 0 O 1 N l Y 3 R p b 2 4 x L 2 Z D b 3 Z l Y 2 t p U m V z d X J z a S A t 0 I j Q n S 9 D a G F u Z 2 V k I F R 5 c G U u e 1 J l c G 9 y d F R 5 c G U s M T B 9 J n F 1 b 3 Q 7 X S w m c X V v d D t S Z W x h d G l v b n N o a X B J b m Z v J n F 1 b 3 Q 7 O l t d f S I g L z 4 8 L 1 N 0 Y W J s Z U V u d H J p Z X M + P C 9 J d G V t P j x J d G V t P j x J d G V t T G 9 j Y X R p b 2 4 + P E l 0 Z W 1 U e X B l P k Z v c m 1 1 b G E 8 L 0 l 0 Z W 1 U e X B l P j x J d G V t U G F 0 a D 5 T Z W N 0 a W 9 u M S 9 m Q 2 9 2 Z W N r a V J l c 3 V y c 2 k l M j A t J U Q w J T g 4 J U Q w J T l E L 1 N v d X J j Z T w v S X R l b V B h d G g + P C 9 J d G V t T G 9 j Y X R p b 2 4 + P F N 0 Y W J s Z U V u d H J p Z X M g L z 4 8 L 0 l 0 Z W 0 + P E l 0 Z W 0 + P E l 0 Z W 1 M b 2 N h d G l v b j 4 8 S X R l b V R 5 c G U + R m 9 y b X V s Y T w v S X R l b V R 5 c G U + P E l 0 Z W 1 Q Y X R o P l N l Y 3 R p b 2 4 x L 2 Z D b 3 Z l Y 2 t p U m V z d X J z a S U y M C 0 l R D A l O D g l R D A l O U Q v Z k t h b G t 1 b G F j a W p h T m F k b 2 1 l c 3 R v Y 2 l f V G F i b G U 8 L 0 l 0 Z W 1 Q Y X R o P j w v S X R l b U x v Y 2 F 0 a W 9 u P j x T d G F i b G V F b n R y a W V z I C 8 + P C 9 J d G V t P j x J d G V t P j x J d G V t T G 9 j Y X R p b 2 4 + P E l 0 Z W 1 U e X B l P k Z v c m 1 1 b G E 8 L 0 l 0 Z W 1 U e X B l P j x J d G V t U G F 0 a D 5 T Z W N 0 a W 9 u M S 9 m Q 2 9 2 Z W N r a V J l c 3 V y c 2 k l M j A t J U Q w J T g 4 J U Q w J T l E L 0 N o Y W 5 n Z W Q l M j B U e X B l P C 9 J d G V t U G F 0 a D 4 8 L 0 l 0 Z W 1 M b 2 N h d G l v b j 4 8 U 3 R h Y m x l R W 5 0 c m l l c y A v P j w v S X R l b T 4 8 S X R l b T 4 8 S X R l b U x v Y 2 F 0 a W 9 u P j x J d G V t V H l w Z T 5 G b 3 J t d W x h P C 9 J d G V t V H l w Z T 4 8 S X R l b V B h d G g + U 2 V j d G l v b j E v Z k N v d m V j a 2 l S Z X N 1 c n N p J T I w L S V E M C U 4 O C V E M C U 5 R C 9 S Z W 1 v d m V k J T I w Q 2 9 s d W 1 u c z w v S X R l b V B h d G g + P C 9 J d G V t T G 9 j Y X R p b 2 4 + P F N 0 Y W J s Z U V u d H J p Z X M g L z 4 8 L 0 l 0 Z W 0 + P E l 0 Z W 0 + P E l 0 Z W 1 M b 2 N h d G l v b j 4 8 S X R l b V R 5 c G U + R m 9 y b X V s Y T w v S X R l b V R 5 c G U + P E l 0 Z W 1 Q Y X R o P l N l Y 3 R p b 2 4 x L 2 Z D b 3 Z l Y 2 t p U m V z d X J z a S U y M C 0 l R D A l O D g l R D A l O U Q v U m V u Y W 1 l Z C U y M E N v b H V t b n M 8 L 0 l 0 Z W 1 Q Y X R o P j w v S X R l b U x v Y 2 F 0 a W 9 u P j x T d G F i b G V F b n R y a W V z I C 8 + P C 9 J d G V t P j x J d G V t P j x J d G V t T G 9 j Y X R p b 2 4 + P E l 0 Z W 1 U e X B l P k Z v c m 1 1 b G E 8 L 0 l 0 Z W 1 U e X B l P j x J d G V t U G F 0 a D 5 T Z W N 0 a W 9 u M S 9 m Q 2 9 2 Z W N r a V J l c 3 V y c 2 k l M j A t J U Q w J T g 4 J U Q w J T l E L 1 J l b W 9 2 Z W Q l M j B D b 2 x 1 b W 5 z M T w v S X R l b V B h d G g + P C 9 J d G V t T G 9 j Y X R p b 2 4 + P F N 0 Y W J s Z U V u d H J p Z X M g L z 4 8 L 0 l 0 Z W 0 + P E l 0 Z W 0 + P E l 0 Z W 1 M b 2 N h d G l v b j 4 8 S X R l b V R 5 c G U + R m 9 y b X V s Y T w v S X R l b V R 5 c G U + P E l 0 Z W 1 Q Y X R o P l N l Y 3 R p b 2 4 x L 2 Z D b 3 Z l Y 2 t p U m V z d X J z a S U y M C 0 l R D A l O D g l R D A l O U Q v U m V u Y W 1 l Z C U y M E N v b H V t b n M x P C 9 J d G V t U G F 0 a D 4 8 L 0 l 0 Z W 1 M b 2 N h d G l v b j 4 8 U 3 R h Y m x l R W 5 0 c m l l c y A v P j w v S X R l b T 4 8 S X R l b T 4 8 S X R l b U x v Y 2 F 0 a W 9 u P j x J d G V t V H l w Z T 5 G b 3 J t d W x h P C 9 J d G V t V H l w Z T 4 8 S X R l b V B h d G g + U 2 V j d G l v b j E v Q 0 F Q R V g t S k 4 v U m V u Y W 1 l Z C U y M E N v b H V t b n M x P C 9 J d G V t U G F 0 a D 4 8 L 0 l 0 Z W 1 M b 2 N h d G l v b j 4 8 U 3 R h Y m x l R W 5 0 c m l l c y A v P j w v S X R l b T 4 8 S X R l b T 4 8 S X R l b U x v Y 2 F 0 a W 9 u P j x J d G V t V H l w Z T 5 G b 3 J t d W x h P C 9 J d G V t V H l w Z T 4 8 S X R l b V B h d G g + U 2 V j d G l v b j E v S m F 2 b m k l M j B u Y W J h d m t p P C 9 J d G V t U G F 0 a D 4 8 L 0 l 0 Z W 1 M b 2 N h d G l v b j 4 8 U 3 R h Y m x l R W 5 0 c m l l c z 4 8 R W 5 0 c n k g V H l w Z T 0 i S X N Q c m l 2 Y X R l 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p h d m 5 p X 2 5 h Y m F 2 a 2 k 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l F 1 Z X J 5 S U Q i I F Z h b H V l P S J z N j c 1 Y z A z Z G U t O W J l M C 0 0 M j N l L T g 0 N m M t M D g w Y m Y 4 M G V l N m M w I i A v P j x F b n R y e S B U e X B l P S J G a W x s T G F z d F V w Z G F 0 Z W Q i I F Z h b H V l P S J k M j A y M S 0 x M S 0 y M 1 Q w O T o 0 M D o z N C 4 1 M z M x O T I 4 W i I g L z 4 8 R W 5 0 c n k g V H l w Z T 0 i R m l s b E V y c m 9 y Q 2 9 1 b n Q i I F Z h b H V l P S J s M C I g L z 4 8 R W 5 0 c n k g V H l w Z T 0 i R m l s b E N v b H V t b l R 5 c G V z I i B W Y W x 1 Z T 0 i c 0 J n a 0 R C Z 1 k 9 I i A v P j x F b n R y e S B U e X B l P S J G a W x s R X J y b 3 J D b 2 R l I i B W Y W x 1 Z T 0 i c 1 V u a 2 5 v d 2 4 i I C 8 + P E V u d H J 5 I F R 5 c G U 9 I k Z p b G x D b 2 x 1 b W 5 O Y W 1 l c y I g V m F s d W U 9 I n N b J n F 1 b 3 Q 7 0 J / R g N C 1 0 L T Q v N C 1 0 Y I g 0 L 3 Q s C D R m N C w 0 L L Q v d C w I N C 9 0 L D Q s d C w 0 L L Q u t C w J n F 1 b 3 Q 7 L C Z x d W 9 0 O 9 C f 0 Y D Q t d C 0 0 L L Q u N C 0 0 L X Q v S D Q t N C w 0 Y L R g 9 C 8 I N C 9 0 L A g 0 L 3 Q s N C x 0 L D Q s t C 6 0 L A m c X V v d D s s J n F 1 b 3 Q 7 0 J / R g N C + 0 Y b Q t d C 9 0 L X R g t C w I N C y 0 Y D Q t d C 0 0 L 3 Q v t G B 0 Y I g 0 L 3 Q s C D Q v d C w 0 L H Q s N C y 0 L r Q s C D R g d C + I N C U 0 J T Q k i A o 0 L T Q t d C 9 0 L D R g N C 4 K S Z x d W 9 0 O y w m c X V v d D v Q m t C + 0 L 3 R g t C + J n F 1 b 3 Q 7 L C Z x d W 9 0 O 1 J l c G 9 y d F R 5 c G U m c X V v d D t d I i A v P j x F b n R y e S B U e X B l P S J G a W x s Q 2 9 1 b n Q i I F Z h b H V l P S J s M T A 0 N S I g L z 4 8 R W 5 0 c n k g V H l w Z T 0 i R m l s b F N 0 Y X R 1 c y I g V m F s d W U 9 I n N D b 2 1 w b G V 0 Z S I g L z 4 8 R W 5 0 c n k g V H l w Z T 0 i Q W R k Z W R U b 0 R h d G F N b 2 R l b C I g V m F s d W U 9 I m w w I i A v P j x F b n R y e S B U e X B l P S J S Z W x h d G l v b n N o a X B J b m Z v Q 2 9 u d G F p b m V y I i B W Y W x 1 Z T 0 i c 3 s m c X V v d D t j b 2 x 1 b W 5 D b 3 V u d C Z x d W 9 0 O z o 1 L C Z x d W 9 0 O 2 t l e U N v b H V t b k 5 h b W V z J n F 1 b 3 Q 7 O l t d L C Z x d W 9 0 O 3 F 1 Z X J 5 U m V s Y X R p b 2 5 z a G l w c y Z x d W 9 0 O z p b X S w m c X V v d D t j b 2 x 1 b W 5 J Z G V u d G l 0 a W V z J n F 1 b 3 Q 7 O l s m c X V v d D t T Z W N 0 a W 9 u M S 9 K Y X Z u a S B u Y W J h d m t p L 1 N v d X J j Z S 5 7 0 J / R g N C 1 0 L T Q v N C 1 0 Y I g 0 L 3 Q s C D R m N C w 0 L L Q v d C w I N C 9 0 L D Q s d C w 0 L L Q u t C w L D B 9 J n F 1 b 3 Q 7 L C Z x d W 9 0 O 1 N l Y 3 R p b 2 4 x L 0 p h d m 5 p I G 5 h Y m F 2 a 2 k v U 2 9 1 c m N l L n v Q n 9 G A 0 L X Q t N C y 0 L j Q t N C 1 0 L 0 g 0 L T Q s N G C 0 Y P Q v C D Q v d C w I N C 9 0 L D Q s d C w 0 L L Q u t C w L D F 9 J n F 1 b 3 Q 7 L C Z x d W 9 0 O 1 N l Y 3 R p b 2 4 x L 0 p h d m 5 p I G 5 h Y m F 2 a 2 k v U 2 9 1 c m N l L n v Q n 9 G A 0 L 7 R h t C 1 0 L 3 Q t d G C 0 L A g 0 L L R g N C 1 0 L T Q v d C + 0 Y H R g i D Q v d C w I N C 9 0 L D Q s d C w 0 L L Q u t C w I N G B 0 L 4 g 0 J T Q l N C S I C j Q t N C 1 0 L 3 Q s N G A 0 L g p L D J 9 J n F 1 b 3 Q 7 L C Z x d W 9 0 O 1 N l Y 3 R p b 2 4 x L 0 p h d m 5 p I G 5 h Y m F 2 a 2 k v U 2 9 1 c m N l L n v Q m t C + 0 L 3 R g t C + L D N 9 J n F 1 b 3 Q 7 L C Z x d W 9 0 O 1 N l Y 3 R p b 2 4 x L 0 p h d m 5 p I G 5 h Y m F 2 a 2 k v U 2 9 1 c m N l L n t S Z X B v c n R U e X B l L D R 9 J n F 1 b 3 Q 7 X S w m c X V v d D t D b 2 x 1 b W 5 D b 3 V u d C Z x d W 9 0 O z o 1 L C Z x d W 9 0 O 0 t l e U N v b H V t b k 5 h b W V z J n F 1 b 3 Q 7 O l t d L C Z x d W 9 0 O 0 N v b H V t b k l k Z W 5 0 a X R p Z X M m c X V v d D s 6 W y Z x d W 9 0 O 1 N l Y 3 R p b 2 4 x L 0 p h d m 5 p I G 5 h Y m F 2 a 2 k v U 2 9 1 c m N l L n v Q n 9 G A 0 L X Q t N C 8 0 L X R g i D Q v d C w I N G Y 0 L D Q s t C 9 0 L A g 0 L 3 Q s N C x 0 L D Q s t C 6 0 L A s M H 0 m c X V v d D s s J n F 1 b 3 Q 7 U 2 V j d G l v b j E v S m F 2 b m k g b m F i Y X Z r a S 9 T b 3 V y Y 2 U u e 9 C f 0 Y D Q t d C 0 0 L L Q u N C 0 0 L X Q v S D Q t N C w 0 Y L R g 9 C 8 I N C 9 0 L A g 0 L 3 Q s N C x 0 L D Q s t C 6 0 L A s M X 0 m c X V v d D s s J n F 1 b 3 Q 7 U 2 V j d G l v b j E v S m F 2 b m k g b m F i Y X Z r a S 9 T b 3 V y Y 2 U u e 9 C f 0 Y D Q v t G G 0 L X Q v d C 1 0 Y L Q s C D Q s t G A 0 L X Q t N C 9 0 L 7 R g d G C I N C 9 0 L A g 0 L 3 Q s N C x 0 L D Q s t C 6 0 L A g 0 Y H Q v i D Q l N C U 0 J I g K N C 0 0 L X Q v d C w 0 Y D Q u C k s M n 0 m c X V v d D s s J n F 1 b 3 Q 7 U 2 V j d G l v b j E v S m F 2 b m k g b m F i Y X Z r a S 9 T b 3 V y Y 2 U u e 9 C a 0 L 7 Q v d G C 0 L 4 s M 3 0 m c X V v d D s s J n F 1 b 3 Q 7 U 2 V j d G l v b j E v S m F 2 b m k g b m F i Y X Z r a S 9 T b 3 V y Y 2 U u e 1 J l c G 9 y d F R 5 c G U s N H 0 m c X V v d D t d L C Z x d W 9 0 O 1 J l b G F 0 a W 9 u c 2 h p c E l u Z m 8 m c X V v d D s 6 W 1 1 9 I i A v P j w v U 3 R h Y m x l R W 5 0 c m l l c z 4 8 L 0 l 0 Z W 0 + P E l 0 Z W 0 + P E l 0 Z W 1 M b 2 N h d G l v b j 4 8 S X R l b V R 5 c G U + R m 9 y b X V s Y T w v S X R l b V R 5 c G U + P E l 0 Z W 1 Q Y X R o P l N l Y 3 R p b 2 4 x L 0 p h d m 5 p J T I w b m F i Y X Z r a S 9 T b 3 V y Y 2 U 8 L 0 l 0 Z W 1 Q Y X R o P j w v S X R l b U x v Y 2 F 0 a W 9 u P j x T d G F i b G V F b n R y a W V z I C 8 + P C 9 J d G V t P j x J d G V t P j x J d G V t T G 9 j Y X R p b 2 4 + P E l 0 Z W 1 U e X B l P k Z v c m 1 1 b G E 8 L 0 l 0 Z W 1 U e X B l P j x J d G V t U G F 0 a D 5 T Z W N 0 a W 9 u M S 9 K Y X Z u a S U y M G 5 h Y m F 2 a 2 k v R m l s d G V y Z W Q l M j B S b 3 d z P C 9 J d G V t U G F 0 a D 4 8 L 0 l 0 Z W 1 M b 2 N h d G l v b j 4 8 U 3 R h Y m x l R W 5 0 c m l l c y A v P j w v S X R l b T 4 8 S X R l b T 4 8 S X R l b U x v Y 2 F 0 a W 9 u P j x J d G V t V H l w Z T 5 G b 3 J t d W x h P C 9 J d G V t V H l w Z T 4 8 S X R l b V B h d G g + U 2 V j d G l v b j E v Z k F j d H V h b C 9 G a W x 0 Z X J l Z C U y M F J v d 3 M 8 L 0 l 0 Z W 1 Q Y X R o P j w v S X R l b U x v Y 2 F 0 a W 9 u P j x T d G F i b G V F b n R y a W V z I C 8 + P C 9 J d G V t P j x J d G V t P j x J d G V t T G 9 j Y X R p b 2 4 + P E l 0 Z W 1 U e X B l P k Z v c m 1 1 b G E 8 L 0 l 0 Z W 1 U e X B l P j x J d G V t U G F 0 a D 5 T Z W N 0 a W 9 u M S 9 m T 1 B F W C U y M C 0 l M j A l R D A l O D g l R D A l O U Q 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T m F 2 a W d h d G l v b l N 0 Z X B O Y W 1 l I i B W Y W x 1 Z T 0 i c 0 5 h d m l n Y X R p b 2 4 i I C 8 + P E V u d H J 5 I F R 5 c G U 9 I k Z p b G x l Z E N v b X B s Z X R l U m V z d W x 0 V G 9 X b 3 J r c 2 h l Z X Q i I F Z h b H V l P S J s M C I g L z 4 8 R W 5 0 c n k g V H l w Z T 0 i T G 9 h Z G V k V G 9 B b m F s e X N p c 1 N l c n Z p Y 2 V z I i B W Y W x 1 Z T 0 i b D A i I C 8 + P E V u d H J 5 I F R 5 c G U 9 I l F 1 Z X J 5 S U Q i I F Z h b H V l P S J z N T A z Y j k 5 Y z c t M 2 Q y Z C 0 0 N m Q 3 L T h h O G E t M 2 I w N z I 1 N T I x O W Y x I i A v P j x F b n R y e S B U e X B l P S J G a W x s T G F z d F V w Z G F 0 Z W Q i I F Z h b H V l P S J k M j A y M S 0 x M S 0 y M 1 Q w O T o 0 M D o x N S 4 x O T A 1 M D M 1 W i I g L z 4 8 R W 5 0 c n k g V H l w Z T 0 i R m l s b E V y c m 9 y Q 2 9 1 b n Q i I F Z h b H V l P S J s M C I g L z 4 8 R W 5 0 c n k g V H l w Z T 0 i R m l s b E N v b H V t b l R 5 c G V z I i B W Y W x 1 Z T 0 i c 0 J n W U p B d 1 k 9 I i A v P j x F b n R y e S B U e X B l P S J G a W x s R X J y b 3 J D b 2 R l I i B W Y W x 1 Z T 0 i c 1 V u a 2 5 v d 2 4 i I C 8 + P E V u d H J 5 I F R 5 c G U 9 I k Z p b G x D b 2 x 1 b W 5 O Y W 1 l c y I g V m F s d W U 9 I n N b J n F 1 b 3 Q 7 0 J r Q v t C 9 0 Y L Q v i Z x d W 9 0 O y w m c X V v d D v Q n 9 G A 0 L X Q t N C 8 0 L X R g i D Q v d C w I N G Y 0 L D Q s t C 9 0 L A g 0 L 3 Q s N C x 0 L D Q s t C 6 0 L A m c X V v d D s s J n F 1 b 3 Q 7 0 J / R g N C 1 0 L T Q s t C 4 0 L T Q t d C 9 I N C 0 0 L D R g t G D 0 L w g 0 L 3 Q s C D Q v d C w 0 L H Q s N C y 0 L r Q s C Z x d W 9 0 O y w m c X V v d D v Q n 9 G A 0 L 7 R h t C 1 0 L 3 Q t d G C 0 L A g 0 L L R g N C 1 0 L T Q v d C + 0 Y H R g i D Q v d C w I N C 9 0 L D Q s d C w 0 L L Q u t C w I N G B 0 L 4 g 0 J T Q l N C S I C j Q t N C 1 0 L 3 Q s N G A 0 L g p J n F 1 b 3 Q 7 L C Z x d W 9 0 O 1 J l c G 9 y d F R 5 c G U m c X V v d D t d I i A v P j x F b n R y e S B U e X B l P S J G a W x s Q 2 9 1 b n Q i I F Z h b H V l P S J s O T U x I i A v P j x F b n R y e S B U e X B l P S J G a W x s U 3 R h d H V z I i B W Y W x 1 Z T 0 i c 0 N v b X B s Z X R l I i A v P j x F b n R y e S B U e X B l P S J B Z G R l Z F R v R G F 0 Y U 1 v Z G V s I i B W Y W x 1 Z T 0 i b D E i I C 8 + P E V u d H J 5 I F R 5 c G U 9 I l J l b G F 0 a W 9 u c 2 h p c E l u Z m 9 D b 2 5 0 Y W l u Z X I i I F Z h b H V l P S J z e y Z x d W 9 0 O 2 N v b H V t b k N v d W 5 0 J n F 1 b 3 Q 7 O j U s J n F 1 b 3 Q 7 a 2 V 5 Q 2 9 s d W 1 u T m F t Z X M m c X V v d D s 6 W 1 0 s J n F 1 b 3 Q 7 c X V l c n l S Z W x h d G l v b n N o a X B z J n F 1 b 3 Q 7 O l t d L C Z x d W 9 0 O 2 N v b H V t b k l k Z W 5 0 a X R p Z X M m c X V v d D s 6 W y Z x d W 9 0 O 1 N l Y 3 R p b 2 4 x L 2 Z P U E V Y I C 0 g 0 I j Q n S 9 D a G F u Z 2 V k I F R 5 c G U x L n v Q m t C + 0 L 3 R g t C + L D B 9 J n F 1 b 3 Q 7 L C Z x d W 9 0 O 1 N l Y 3 R p b 2 4 x L 2 Z P U E V Y I C 0 g 0 I j Q n S 9 D a G F u Z 2 V k I F R 5 c G U x L n v Q o d G C 0 L D Q s t C 6 0 L A s M X 0 m c X V v d D s s J n F 1 b 3 Q 7 U 2 V j d G l v b j E v Z k 9 Q R V g g L S D Q i N C d L 0 N o Y W 5 n Z W Q g V H l w Z T E u e 9 C f 0 L X R g N C 4 0 L 7 Q t C D Q v d C w I N C 9 0 L D Q s d C w 0 L L Q u t C w L D J 9 J n F 1 b 3 Q 7 L C Z x d W 9 0 O 1 N l Y 3 R p b 2 4 x L 2 Z P U E V Y I C 0 g 0 I j Q n S 9 D a G F u Z 2 V k I F R 5 c G U x L n v Q m N C 3 0 L 3 Q v t G B L D N 9 J n F 1 b 3 Q 7 L C Z x d W 9 0 O 1 N l Y 3 R p b 2 4 x L 2 Z P U E V Y I C 0 g 0 I j Q n S 9 D a G F u Z 2 V k I F R 5 c G U x L n t S Z X B v c n R U e X B l L D R 9 J n F 1 b 3 Q 7 X S w m c X V v d D t D b 2 x 1 b W 5 D b 3 V u d C Z x d W 9 0 O z o 1 L C Z x d W 9 0 O 0 t l e U N v b H V t b k 5 h b W V z J n F 1 b 3 Q 7 O l t d L C Z x d W 9 0 O 0 N v b H V t b k l k Z W 5 0 a X R p Z X M m c X V v d D s 6 W y Z x d W 9 0 O 1 N l Y 3 R p b 2 4 x L 2 Z P U E V Y I C 0 g 0 I j Q n S 9 D a G F u Z 2 V k I F R 5 c G U x L n v Q m t C + 0 L 3 R g t C + L D B 9 J n F 1 b 3 Q 7 L C Z x d W 9 0 O 1 N l Y 3 R p b 2 4 x L 2 Z P U E V Y I C 0 g 0 I j Q n S 9 D a G F u Z 2 V k I F R 5 c G U x L n v Q o d G C 0 L D Q s t C 6 0 L A s M X 0 m c X V v d D s s J n F 1 b 3 Q 7 U 2 V j d G l v b j E v Z k 9 Q R V g g L S D Q i N C d L 0 N o Y W 5 n Z W Q g V H l w Z T E u e 9 C f 0 L X R g N C 4 0 L 7 Q t C D Q v d C w I N C 9 0 L D Q s d C w 0 L L Q u t C w L D J 9 J n F 1 b 3 Q 7 L C Z x d W 9 0 O 1 N l Y 3 R p b 2 4 x L 2 Z P U E V Y I C 0 g 0 I j Q n S 9 D a G F u Z 2 V k I F R 5 c G U x L n v Q m N C 3 0 L 3 Q v t G B L D N 9 J n F 1 b 3 Q 7 L C Z x d W 9 0 O 1 N l Y 3 R p b 2 4 x L 2 Z P U E V Y I C 0 g 0 I j Q n S 9 D a G F u Z 2 V k I F R 5 c G U x L n t S Z X B v c n R U e X B l L D R 9 J n F 1 b 3 Q 7 X S w m c X V v d D t S Z W x h d G l v b n N o a X B J b m Z v J n F 1 b 3 Q 7 O l t d f S I g L z 4 8 L 1 N 0 Y W J s Z U V u d H J p Z X M + P C 9 J d G V t P j x J d G V t P j x J d G V t T G 9 j Y X R p b 2 4 + P E l 0 Z W 1 U e X B l P k Z v c m 1 1 b G E 8 L 0 l 0 Z W 1 U e X B l P j x J d G V t U G F 0 a D 5 T Z W N 0 a W 9 u M S 9 m T 1 B F W C U y M C 0 l M j A l R D A l O D g l R D A l O U Q v U 2 9 1 c m N l P C 9 J d G V t U G F 0 a D 4 8 L 0 l 0 Z W 1 M b 2 N h d G l v b j 4 8 U 3 R h Y m x l R W 5 0 c m l l c y A v P j w v S X R l b T 4 8 S X R l b T 4 8 S X R l b U x v Y 2 F 0 a W 9 u P j x J d G V t V H l w Z T 5 G b 3 J t d W x h P C 9 J d G V t V H l w Z T 4 8 S X R l b V B h d G g + U 2 V j d G l v b j E v Z k 9 Q R V g l M j A t J T I w J U Q w J T g 4 J U Q w J T l E L 0 Z p b H R l c m V k J T I w U m 9 3 c z w v S X R l b V B h d G g + P C 9 J d G V t T G 9 j Y X R p b 2 4 + P F N 0 Y W J s Z U V u d H J p Z X M g L z 4 8 L 0 l 0 Z W 0 + P E l 0 Z W 0 + P E l 0 Z W 1 M b 2 N h d G l v b j 4 8 S X R l b V R 5 c G U + R m 9 y b X V s Y T w v S X R l b V R 5 c G U + P E l 0 Z W 1 Q Y X R o P l N l Y 3 R p b 2 4 x L 2 Z P U E V Y J T I w L S U y M C V E M C U 4 O C V E M C U 5 R C 9 S Z W 1 v d m V k J T I w T 3 R o Z X I l M j B D b 2 x 1 b W 5 z P C 9 J d G V t U G F 0 a D 4 8 L 0 l 0 Z W 1 M b 2 N h d G l v b j 4 8 U 3 R h Y m x l R W 5 0 c m l l c y A v P j w v S X R l b T 4 8 S X R l b T 4 8 S X R l b U x v Y 2 F 0 a W 9 u P j x J d G V t V H l w Z T 5 G b 3 J t d W x h P C 9 J d G V t V H l w Z T 4 8 S X R l b V B h d G g + U 2 V j d G l v b j E v Z k 9 Q R V g l M j A t J T I w J U Q w J T g 4 J U Q w J T l E L 0 V 4 c G F u Z G V k J T I w R G F 0 Y T w v S X R l b V B h d G g + P C 9 J d G V t T G 9 j Y X R p b 2 4 + P F N 0 Y W J s Z U V u d H J p Z X M g L z 4 8 L 0 l 0 Z W 0 + P E l 0 Z W 0 + P E l 0 Z W 1 M b 2 N h d G l v b j 4 8 S X R l b V R 5 c G U + R m 9 y b X V s Y T w v S X R l b V R 5 c G U + P E l 0 Z W 1 Q Y X R o P l N l Y 3 R p b 2 4 x L 2 Z P U E V Y J T I w L S U y M C V E M C U 4 O C V E M C U 5 R C 9 Q c m 9 t b 3 R l Z C U y M E h l Y W R l c n M 8 L 0 l 0 Z W 1 Q Y X R o P j w v S X R l b U x v Y 2 F 0 a W 9 u P j x T d G F i b G V F b n R y a W V z I C 8 + P C 9 J d G V t P j x J d G V t P j x J d G V t T G 9 j Y X R p b 2 4 + P E l 0 Z W 1 U e X B l P k Z v c m 1 1 b G E 8 L 0 l 0 Z W 1 U e X B l P j x J d G V t U G F 0 a D 5 T Z W N 0 a W 9 u M S 9 m T 1 B F W C U y M C 0 l M j A l R D A l O D g l R D A l O U Q v U m V t b 3 Z l Z C U y M E N v b H V t b n M 8 L 0 l 0 Z W 1 Q Y X R o P j w v S X R l b U x v Y 2 F 0 a W 9 u P j x T d G F i b G V F b n R y a W V z I C 8 + P C 9 J d G V t P j x J d G V t P j x J d G V t T G 9 j Y X R p b 2 4 + P E l 0 Z W 1 U e X B l P k Z v c m 1 1 b G E 8 L 0 l 0 Z W 1 U e X B l P j x J d G V t U G F 0 a D 5 T Z W N 0 a W 9 u M S 9 m T 1 B F W C U y M C 0 l M j A l R D A l O D g l R D A l O U Q v Q 2 h h b m d l Z C U y M F R 5 c G U x P C 9 J d G V t U G F 0 a D 4 8 L 0 l 0 Z W 1 M b 2 N h d G l v b j 4 8 U 3 R h Y m x l R W 5 0 c m l l c y A v P j w v S X R l b T 4 8 S X R l b T 4 8 S X R l b U x v Y 2 F 0 a W 9 u P j x J d G V t V H l w Z T 5 G b 3 J t d W x h P C 9 J d G V t V H l w Z T 4 8 S X R l b V B h d G g + U 2 V j d G l v b j E v Z k 9 Q R V g l M j A t J T I w J U Q w J T g 4 J U Q w J T l E L 1 J l b m F t Z W Q l M j B D b 2 x 1 b W 5 z P C 9 J d G V t U G F 0 a D 4 8 L 0 l 0 Z W 1 M b 2 N h d G l v b j 4 8 U 3 R h Y m x l R W 5 0 c m l l c y A v P j w v S X R l b T 4 8 S X R l b T 4 8 S X R l b U x v Y 2 F 0 a W 9 u P j x J d G V t V H l w Z T 5 G b 3 J t d W x h P C 9 J d G V t V H l w Z T 4 8 S X R l b V B h d G g + U 2 V j d G l v b j E v Z k 9 Q R V g l M j A t J T I w J U Q w J T g 4 J U Q w J T l E L 0 Z p b H R l c m V k J T I w U m 9 3 c z E 8 L 0 l 0 Z W 1 Q Y X R o P j w v S X R l b U x v Y 2 F 0 a W 9 u P j x T d G F i b G V F b n R y a W V z I C 8 + P C 9 J d G V t P j x J d G V t P j x J d G V t T G 9 j Y X R p b 2 4 + P E l 0 Z W 1 U e X B l P k Z v c m 1 1 b G E 8 L 0 l 0 Z W 1 U e X B l P j x J d G V t U G F 0 a D 5 T Z W N 0 a W 9 u M S 9 m Q 2 9 2 Z W N r a V J l c 3 V y c 2 k l M j A t J U Q w J T g 4 J U Q w J T l E L 0 Z p b H R l c m V k J T I w U m 9 3 c z w v S X R l b V B h d G g + P C 9 J d G V t T G 9 j Y X R p b 2 4 + P F N 0 Y W J s Z U V u d H J p Z X M g L z 4 8 L 0 l 0 Z W 0 + P E l 0 Z W 0 + P E l 0 Z W 1 M b 2 N h d G l v b j 4 8 S X R l b V R 5 c G U + R m 9 y b X V s Y T w v S X R l b V R 5 c G U + P E l 0 Z W 1 Q Y X R o P l N l Y 3 R p b 2 4 x L 0 N B U E V Y L U p O L 0 F k Z G V k J T I w Q 3 V z d G 9 t P C 9 J d G V t U G F 0 a D 4 8 L 0 l 0 Z W 1 M b 2 N h d G l v b j 4 8 U 3 R h Y m x l R W 5 0 c m l l c y A v P j w v S X R l b T 4 8 S X R l b T 4 8 S X R l b U x v Y 2 F 0 a W 9 u P j x J d G V t V H l w Z T 5 G b 3 J t d W x h P C 9 J d G V t V H l w Z T 4 8 S X R l b V B h d G g + U 2 V j d G l v b j E v Q 0 F Q R V g t S k 4 v Q 2 h h b m d l Z C U y M F R 5 c G U x P C 9 J d G V t U G F 0 a D 4 8 L 0 l 0 Z W 1 M b 2 N h d G l v b j 4 8 U 3 R h Y m x l R W 5 0 c m l l c y A v P j w v S X R l b T 4 8 S X R l b T 4 8 S X R l b U x v Y 2 F 0 a W 9 u P j x J d G V t V H l w Z T 5 G b 3 J t d W x h P C 9 J d G V t V H l w Z T 4 8 S X R l b V B h d G g + U 2 V j d G l v b j E v Q 0 F Q R V g t S k 4 v U m V u Y W 1 l Z C U y M E N v b H V t b n M y P C 9 J d G V t U G F 0 a D 4 8 L 0 l 0 Z W 1 M b 2 N h d G l v b j 4 8 U 3 R h Y m x l R W 5 0 c m l l c y A v P j w v S X R l b T 4 8 S X R l b T 4 8 S X R l b U x v Y 2 F 0 a W 9 u P j x J d G V t V H l w Z T 5 G b 3 J t d W x h P C 9 J d G V t V H l w Z T 4 8 S X R l b V B h d G g + U 2 V j d G l v b j E v Z k F j d H V h b E F u Z E J 1 Z G d l d C 9 N Z X J n Z W Q l M j B R d W V y a W V z M z w v S X R l b V B h d G g + P C 9 J d G V t T G 9 j Y X R p b 2 4 + P F N 0 Y W J s Z U V u d H J p Z X M g L z 4 8 L 0 l 0 Z W 0 + P E l 0 Z W 0 + P E l 0 Z W 1 M b 2 N h d G l v b j 4 8 S X R l b V R 5 c G U + R m 9 y b X V s Y T w v S X R l b V R 5 c G U + P E l 0 Z W 1 Q Y X R o P l N l Y 3 R p b 2 4 x L 3 J B c n R p a 2 x p Q W 5 h b G l 6 Y 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O Y X Z p Z 2 F 0 a W 9 u U 3 R l c E 5 h b W U i I F Z h b H V l P S J z T m F 2 a W d h d G l v b i I g L z 4 8 R W 5 0 c n k g V H l w Z T 0 i R m l s b G V k Q 2 9 t c G x l d G V S Z X N 1 b H R U b 1 d v c m t z a G V l d C I g V m F s d W U 9 I m w w I i A v P j x F b n R y e S B U e X B l P S J M b 2 F k Z W R U b 0 F u Y W x 5 c 2 l z U 2 V y d m l j Z X M i I F Z h b H V l P S J s M C I g L z 4 8 R W 5 0 c n k g V H l w Z T 0 i U X V l c n l H c m 9 1 c E l E I i B W Y W x 1 Z T 0 i c 2 R m M j N k N z I 4 L T Z k Y j I t N D Q y M S 0 4 N j Z m L T M 1 Z T c 5 M T M z O T I x N C I g L z 4 8 R W 5 0 c n k g V H l w Z T 0 i U X V l c n l J R C I g V m F s d W U 9 I n N m O W E z M j k z M y 0 5 Z W V l L T R j Y W E t O G J m Y y 1 i M T B l M G M 1 Y z g z N 2 E i I C 8 + P E V u d H J 5 I F R 5 c G U 9 I k Z p b G x M Y X N 0 V X B k Y X R l Z C I g V m F s d W U 9 I m Q y M D I x L T E x L T I z V D A 5 O j Q w O j E 1 L j I x N z E 3 M D B a I i A v P j x F b n R y e S B U e X B l P S J G a W x s R X J y b 3 J D b 3 V u d C I g V m F s d W U 9 I m w w I i A v P j x F b n R y e S B U e X B l P S J G a W x s Q 2 9 s d W 1 u V H l w Z X M i I F Z h b H V l P S J z Q m d V R 0 J n W U d C Z 1 l K Q m c 9 P S I g L z 4 8 R W 5 0 c n k g V H l w Z T 0 i R m l s b E V y c m 9 y Q 2 9 k Z S I g V m F s d W U 9 I n N V b m t u b 3 d u I i A v P j x F b n R y e S B U e X B l P S J G a W x s Q 2 9 s d W 1 u T m F t Z X M i I F Z h b H V l P S J z W y Z x d W 9 0 O 9 C h 0 Y L Q s N C y 0 L r Q s C Z x d W 9 0 O y w m c X V v d D v Q m N C 3 0 L 3 Q v t G B J n F 1 b 3 Q 7 L C Z x d W 9 0 O 9 C a 0 L 7 Q v d G C 0 L 4 m c X V v d D s s J n F 1 b 3 Q 7 U 3 R h d m t h S W 1 l T U s m c X V v d D s s J n F 1 b 3 Q 7 U 3 R h d m t h Q U 9 Q J n F 1 b 3 Q 7 L C Z x d W 9 0 O 1 N 0 Y X Z r Y U d y d X B h J n F 1 b 3 Q 7 L C Z x d W 9 0 O 1 N 0 Y X Z r Y U t h d G V n b 3 J p a m E m c X V v d D s s J n F 1 b 3 Q 7 T 2 J y Y X p l Y 0 l t Z S Z x d W 9 0 O y w m c X V v d D v Q n 9 C 1 0 Y D Q u N C + 0 L Q m c X V v d D s s J n F 1 b 3 Q 7 U m V w b 3 J 0 V H l w Z S Z x d W 9 0 O 1 0 i I C 8 + P E V u d H J 5 I F R 5 c G U 9 I k Z p b G x D b 3 V u d C I g V m F s d W U 9 I m w 3 M z c w N S I g L z 4 8 R W 5 0 c n k g V H l w Z T 0 i R m l s b F N 0 Y X R 1 c y I g V m F s d W U 9 I n N D b 2 1 w b G V 0 Z S I g L z 4 8 R W 5 0 c n k g V H l w Z T 0 i Q W R k Z W R U b 0 R h d G F N b 2 R l b C I g V m F s d W U 9 I m w x I i A v P j x F b n R y e S B U e X B l P S J S Z W x h d G l v b n N o a X B J b m Z v Q 2 9 u d G F p b m V y I i B W Y W x 1 Z T 0 i c 3 s m c X V v d D t j b 2 x 1 b W 5 D b 3 V u d C Z x d W 9 0 O z o x M C w m c X V v d D t r Z X l D b 2 x 1 b W 5 O Y W 1 l c y Z x d W 9 0 O z p b X S w m c X V v d D t x d W V y e V J l b G F 0 a W 9 u c 2 h p c H M m c X V v d D s 6 W 3 s m c X V v d D t r Z X l D b 2 x 1 b W 5 D b 3 V u d C Z x d W 9 0 O z o x L C Z x d W 9 0 O 2 t l e U N v b H V t b i Z x d W 9 0 O z o y L C Z x d W 9 0 O 2 9 0 a G V y S 2 V 5 Q 2 9 s d W 1 u S W R l b n R p d H k m c X V v d D s 6 J n F 1 b 3 Q 7 U 2 V j d G l v b j E v Z E t v b n R l b l B s Y W 4 v Q 2 h h b m d l Z C B U e X B l L n t L b 2 5 0 b y w w f S Z x d W 9 0 O y w m c X V v d D t L Z X l D b 2 x 1 b W 5 D b 3 V u d C Z x d W 9 0 O z o x f S x 7 J n F 1 b 3 Q 7 a 2 V 5 Q 2 9 s d W 1 u Q 2 9 1 b n Q m c X V v d D s 6 M S w m c X V v d D t r Z X l D b 2 x 1 b W 4 m c X V v d D s 6 M i w m c X V v d D t v d G h l c k t l e U N v b H V t b k l k Z W 5 0 a X R 5 J n F 1 b 3 Q 7 O i Z x d W 9 0 O 1 N l Y 3 R p b 2 4 x L 2 Z B Y 3 R 1 Y W x B b m R C d W R n Z X Q v U 2 9 1 c m N l L n v Q m t C + 0 L 3 R g t C + L D B 9 J n F 1 b 3 Q 7 L C Z x d W 9 0 O 0 t l e U N v b H V t b k N v d W 5 0 J n F 1 b 3 Q 7 O j F 9 X S w m c X V v d D t j b 2 x 1 b W 5 J Z G V u d G l 0 a W V z J n F 1 b 3 Q 7 O l s m c X V v d D t T Z W N 0 a W 9 u M S 9 y Q X J 0 a W t s a U F u Y W x p e m E v Q 2 h h b m d l Z C B U e X B l L n v Q k N G A 0 Y L Q u N C 6 0 L s g 0 L 3 Q s N C 3 0 L j Q s i w x f S Z x d W 9 0 O y w m c X V v d D t T Z W N 0 a W 9 u M S 9 y Q X J 0 a W t s a U F u Y W x p e m E v Q 2 h h b m d l Z C B U e X B l L n v Q k t C 6 0 Y P Q v 9 C 9 0 L 4 g 0 Y L R g N C + 0 Y j Q v t C 6 I N G B 0 L 4 g 0 J T Q l N C S L D E w f S Z x d W 9 0 O y w m c X V v d D t T Z W N 0 a W 9 u M S 9 y Q X J 0 a W t s a U F u Y W x p e m E v Q 2 h h b m d l Z C B U e X B l L n v Q m t C + 0 L 3 R g t C + L D E x f S Z x d W 9 0 O y w m c X V v d D t T Z W N 0 a W 9 u M S 9 k S 2 9 u d G V u U G x h b i 9 D a G F u Z 2 V k I F R 5 c G U u e 1 N 0 Y X Z r Y U l t Z U 1 L L D Z 9 J n F 1 b 3 Q 7 L C Z x d W 9 0 O 1 N l Y 3 R p b 2 4 x L 2 R T d G F 2 a 2 k v Q 2 h h b m d l Z C B U e X B l L n t T d G F 2 a 2 F B T 1 A s M X 0 m c X V v d D s s J n F 1 b 3 Q 7 U 2 V j d G l v b j E v Z F N 0 Y X Z r a S 9 D a G F u Z 2 V k I F R 5 c G U u e 1 N 0 Y X Z r Y U d y d X B h L D d 9 J n F 1 b 3 Q 7 L C Z x d W 9 0 O 1 N l Y 3 R p b 2 4 x L 2 R T d G F 2 a 2 k v Q 2 h h b m d l Z C B U e X B l L n t T d G F 2 a 2 F L Y X R l Z 2 9 y a W p h L D h 9 J n F 1 b 3 Q 7 L C Z x d W 9 0 O 1 N l Y 3 R p b 2 4 x L 2 R P Y n J h c 2 N p L 0 N o Y W 5 n Z W Q g V H l w Z S 5 7 T 2 J y Y X p l Y 0 l t Z S w y f S Z x d W 9 0 O y w m c X V v d D t T Z W N 0 a W 9 u M S 9 m Q W N 0 d W F s Q W 5 k Q n V k Z 2 V 0 L 1 N v d X J j Z S 5 7 0 J / Q t d G A 0 L j Q v t C 0 L D J 9 J n F 1 b 3 Q 7 L C Z x d W 9 0 O 1 N l Y 3 R p b 2 4 x L 2 Z B Y 3 R 1 Y W x B b m R C d W R n Z X Q v U 2 9 1 c m N l L n t S Z X B v c n R U e X B l L D R 9 J n F 1 b 3 Q 7 X S w m c X V v d D t D b 2 x 1 b W 5 D b 3 V u d C Z x d W 9 0 O z o x M C w m c X V v d D t L Z X l D b 2 x 1 b W 5 O Y W 1 l c y Z x d W 9 0 O z p b X S w m c X V v d D t D b 2 x 1 b W 5 J Z G V u d G l 0 a W V z J n F 1 b 3 Q 7 O l s m c X V v d D t T Z W N 0 a W 9 u M S 9 y Q X J 0 a W t s a U F u Y W x p e m E v Q 2 h h b m d l Z C B U e X B l L n v Q k N G A 0 Y L Q u N C 6 0 L s g 0 L 3 Q s N C 3 0 L j Q s i w x f S Z x d W 9 0 O y w m c X V v d D t T Z W N 0 a W 9 u M S 9 y Q X J 0 a W t s a U F u Y W x p e m E v Q 2 h h b m d l Z C B U e X B l L n v Q k t C 6 0 Y P Q v 9 C 9 0 L 4 g 0 Y L R g N C + 0 Y j Q v t C 6 I N G B 0 L 4 g 0 J T Q l N C S L D E w f S Z x d W 9 0 O y w m c X V v d D t T Z W N 0 a W 9 u M S 9 y Q X J 0 a W t s a U F u Y W x p e m E v Q 2 h h b m d l Z C B U e X B l L n v Q m t C + 0 L 3 R g t C + L D E x f S Z x d W 9 0 O y w m c X V v d D t T Z W N 0 a W 9 u M S 9 k S 2 9 u d G V u U G x h b i 9 D a G F u Z 2 V k I F R 5 c G U u e 1 N 0 Y X Z r Y U l t Z U 1 L L D Z 9 J n F 1 b 3 Q 7 L C Z x d W 9 0 O 1 N l Y 3 R p b 2 4 x L 2 R T d G F 2 a 2 k v Q 2 h h b m d l Z C B U e X B l L n t T d G F 2 a 2 F B T 1 A s M X 0 m c X V v d D s s J n F 1 b 3 Q 7 U 2 V j d G l v b j E v Z F N 0 Y X Z r a S 9 D a G F u Z 2 V k I F R 5 c G U u e 1 N 0 Y X Z r Y U d y d X B h L D d 9 J n F 1 b 3 Q 7 L C Z x d W 9 0 O 1 N l Y 3 R p b 2 4 x L 2 R T d G F 2 a 2 k v Q 2 h h b m d l Z C B U e X B l L n t T d G F 2 a 2 F L Y X R l Z 2 9 y a W p h L D h 9 J n F 1 b 3 Q 7 L C Z x d W 9 0 O 1 N l Y 3 R p b 2 4 x L 2 R P Y n J h c 2 N p L 0 N o Y W 5 n Z W Q g V H l w Z S 5 7 T 2 J y Y X p l Y 0 l t Z S w y f S Z x d W 9 0 O y w m c X V v d D t T Z W N 0 a W 9 u M S 9 m Q W N 0 d W F s Q W 5 k Q n V k Z 2 V 0 L 1 N v d X J j Z S 5 7 0 J / Q t d G A 0 L j Q v t C 0 L D J 9 J n F 1 b 3 Q 7 L C Z x d W 9 0 O 1 N l Y 3 R p b 2 4 x L 2 Z B Y 3 R 1 Y W x B b m R C d W R n Z X Q v U 2 9 1 c m N l L n t S Z X B v c n R U e X B l L D R 9 J n F 1 b 3 Q 7 X S w m c X V v d D t S Z W x h d G l v b n N o a X B J b m Z v J n F 1 b 3 Q 7 O l t 7 J n F 1 b 3 Q 7 a 2 V 5 Q 2 9 s d W 1 u Q 2 9 1 b n Q m c X V v d D s 6 M S w m c X V v d D t r Z X l D b 2 x 1 b W 4 m c X V v d D s 6 M i w m c X V v d D t v d G h l c k t l e U N v b H V t b k l k Z W 5 0 a X R 5 J n F 1 b 3 Q 7 O i Z x d W 9 0 O 1 N l Y 3 R p b 2 4 x L 2 R L b 2 5 0 Z W 5 Q b G F u L 0 N o Y W 5 n Z W Q g V H l w Z S 5 7 S 2 9 u d G 8 s M H 0 m c X V v d D s s J n F 1 b 3 Q 7 S 2 V 5 Q 2 9 s d W 1 u Q 2 9 1 b n Q m c X V v d D s 6 M X 0 s e y Z x d W 9 0 O 2 t l e U N v b H V t b k N v d W 5 0 J n F 1 b 3 Q 7 O j E s J n F 1 b 3 Q 7 a 2 V 5 Q 2 9 s d W 1 u J n F 1 b 3 Q 7 O j I s J n F 1 b 3 Q 7 b 3 R o Z X J L Z X l D b 2 x 1 b W 5 J Z G V u d G l 0 e S Z x d W 9 0 O z o m c X V v d D t T Z W N 0 a W 9 u M S 9 m Q W N 0 d W F s Q W 5 k Q n V k Z 2 V 0 L 1 N v d X J j Z S 5 7 0 J r Q v t C 9 0 Y L Q v i w w f S Z x d W 9 0 O y w m c X V v d D t L Z X l D b 2 x 1 b W 5 D b 3 V u d C Z x d W 9 0 O z o x f V 1 9 I i A v P j w v U 3 R h Y m x l R W 5 0 c m l l c z 4 8 L 0 l 0 Z W 0 + P E l 0 Z W 0 + P E l 0 Z W 1 M b 2 N h d G l v b j 4 8 S X R l b V R 5 c G U + R m 9 y b X V s Y T w v S X R l b V R 5 c G U + P E l 0 Z W 1 Q Y X R o P l N l Y 3 R p b 2 4 x L 3 J B c n R p a 2 x p Q W 5 h b G l 6 Y S 9 T b 3 V y Y 2 U 8 L 0 l 0 Z W 1 Q Y X R o P j w v S X R l b U x v Y 2 F 0 a W 9 u P j x T d G F i b G V F b n R y a W V z I C 8 + P C 9 J d G V t P j x J d G V t P j x J d G V t T G 9 j Y X R p b 2 4 + P E l 0 Z W 1 U e X B l P k Z v c m 1 1 b G E 8 L 0 l 0 Z W 1 U e X B l P j x J d G V t U G F 0 a D 5 T Z W N 0 a W 9 u M S 9 y Q X J 0 a W t s a U F u Y W x p e m E v R m l s d G V y Z W Q l M j B S b 3 d z P C 9 J d G V t U G F 0 a D 4 8 L 0 l 0 Z W 1 M b 2 N h d G l v b j 4 8 U 3 R h Y m x l R W 5 0 c m l l c y A v P j w v S X R l b T 4 8 S X R l b T 4 8 S X R l b U x v Y 2 F 0 a W 9 u P j x J d G V t V H l w Z T 5 G b 3 J t d W x h P C 9 J d G V t V H l w Z T 4 8 S X R l b V B h d G g + U 2 V j d G l v b j E v c k F y d G l r b G l B b m F s a X p h L 1 J l b W 9 2 Z W Q l M j B P d G h l c i U y M E N v b H V t b n M 8 L 0 l 0 Z W 1 Q Y X R o P j w v S X R l b U x v Y 2 F 0 a W 9 u P j x T d G F i b G V F b n R y a W V z I C 8 + P C 9 J d G V t P j x J d G V t P j x J d G V t T G 9 j Y X R p b 2 4 + P E l 0 Z W 1 U e X B l P k Z v c m 1 1 b G E 8 L 0 l 0 Z W 1 U e X B l P j x J d G V t U G F 0 a D 5 T Z W N 0 a W 9 u M S 9 y Q X J 0 a W t s a U F u Y W x p e m E v R X h w Y W 5 k Z W Q l M j B E Y X R h P C 9 J d G V t U G F 0 a D 4 8 L 0 l 0 Z W 1 M b 2 N h d G l v b j 4 8 U 3 R h Y m x l R W 5 0 c m l l c y A v P j w v S X R l b T 4 8 S X R l b T 4 8 S X R l b U x v Y 2 F 0 a W 9 u P j x J d G V t V H l w Z T 5 G b 3 J t d W x h P C 9 J d G V t V H l w Z T 4 8 S X R l b V B h d G g + U 2 V j d G l v b j E v c k F y d G l r b G l B b m F s a X p h L 0 N o Y W 5 n Z W Q l M j B U e X B l P C 9 J d G V t U G F 0 a D 4 8 L 0 l 0 Z W 1 M b 2 N h d G l v b j 4 8 U 3 R h Y m x l R W 5 0 c m l l c y A v P j w v S X R l b T 4 8 S X R l b T 4 8 S X R l b U x v Y 2 F 0 a W 9 u P j x J d G V t V H l w Z T 5 G b 3 J t d W x h P C 9 J d G V t V H l w Z T 4 8 S X R l b V B h d G g + U 2 V j d G l v b j E v c k F y d G l r b G l B b m F s a X p h L 0 1 l c m d l Z C U y M F F 1 Z X J p Z X M 8 L 0 l 0 Z W 1 Q Y X R o P j w v S X R l b U x v Y 2 F 0 a W 9 u P j x T d G F i b G V F b n R y a W V z I C 8 + P C 9 J d G V t P j x J d G V t P j x J d G V t T G 9 j Y X R p b 2 4 + P E l 0 Z W 1 U e X B l P k Z v c m 1 1 b G E 8 L 0 l 0 Z W 1 U e X B l P j x J d G V t U G F 0 a D 5 T Z W N 0 a W 9 u M S 9 y Q X J 0 a W t s a U F u Y W x p e m E v R X h w Y W 5 k Z W Q l M j B k S 2 9 u d G V u U G x h b j w v S X R l b V B h d G g + P C 9 J d G V t T G 9 j Y X R p b 2 4 + P F N 0 Y W J s Z U V u d H J p Z X M g L z 4 8 L 0 l 0 Z W 0 + P E l 0 Z W 0 + P E l 0 Z W 1 M b 2 N h d G l v b j 4 8 S X R l b V R 5 c G U + R m 9 y b X V s Y T w v S X R l b V R 5 c G U + P E l 0 Z W 1 Q Y X R o P l N l Y 3 R p b 2 4 x L 3 J B c n R p a 2 x p Q W 5 h b G l 6 Y S 9 G a W x 0 Z X J l Z C U y M F J v d 3 M x P C 9 J d G V t U G F 0 a D 4 8 L 0 l 0 Z W 1 M b 2 N h d G l v b j 4 8 U 3 R h Y m x l R W 5 0 c m l l c y A v P j w v S X R l b T 4 8 S X R l b T 4 8 S X R l b U x v Y 2 F 0 a W 9 u P j x J d G V t V H l w Z T 5 G b 3 J t d W x h P C 9 J d G V t V H l w Z T 4 8 S X R l b V B h d G g + U 2 V j d G l v b j E v c k F y d G l r b G l B b m F s a X p h L 1 J l b W 9 2 Z W Q l M j B D b 2 x 1 b W 5 z P C 9 J d G V t U G F 0 a D 4 8 L 0 l 0 Z W 1 M b 2 N h d G l v b j 4 8 U 3 R h Y m x l R W 5 0 c m l l c y A v P j w v S X R l b T 4 8 S X R l b T 4 8 S X R l b U x v Y 2 F 0 a W 9 u P j x J d G V t V H l w Z T 5 G b 3 J t d W x h P C 9 J d G V t V H l w Z T 4 8 S X R l b V B h d G g + U 2 V j d G l v b j E v c k F y d G l r b G l B b m F s a X p h L 1 J l b m F t Z W Q l M j B D b 2 x 1 b W 5 z P C 9 J d G V t U G F 0 a D 4 8 L 0 l 0 Z W 1 M b 2 N h d G l v b j 4 8 U 3 R h Y m x l R W 5 0 c m l l c y A v P j w v S X R l b T 4 8 S X R l b T 4 8 S X R l b U x v Y 2 F 0 a W 9 u P j x J d G V t V H l w Z T 5 G b 3 J t d W x h P C 9 J d G V t V H l w Z T 4 8 S X R l b V B h d G g + U 2 V j d G l v b j E v c k F y d G l r b G l B b m F s a X p h L 1 J l b W 9 2 Z W Q l M j B D b 2 x 1 b W 5 z M T w v S X R l b V B h d G g + P C 9 J d G V t T G 9 j Y X R p b 2 4 + P F N 0 Y W J s Z U V u d H J p Z X M g L z 4 8 L 0 l 0 Z W 0 + P E l 0 Z W 0 + P E l 0 Z W 1 M b 2 N h d G l v b j 4 8 S X R l b V R 5 c G U + R m 9 y b X V s Y T w v S X R l b V R 5 c G U + P E l 0 Z W 1 Q Y X R o P l N l Y 3 R p b 2 4 x L 3 J B c n R p a 2 x p Q W 5 h b G l 6 Y S 9 S Z W 5 h b W V k J T I w Q 2 9 s d W 1 u c z E 8 L 0 l 0 Z W 1 Q Y X R o P j w v S X R l b U x v Y 2 F 0 a W 9 u P j x T d G F i b G V F b n R y a W V z I C 8 + P C 9 J d G V t P j x J d G V t P j x J d G V t T G 9 j Y X R p b 2 4 + P E l 0 Z W 1 U e X B l P k Z v c m 1 1 b G E 8 L 0 l 0 Z W 1 U e X B l P j x J d G V t U G F 0 a D 5 T Z W N 0 a W 9 u M S 9 y Q X J 0 a W t s a U F u Y W x p e m E v T W V y Z 2 V k J T I w U X V l c m l l c z E 8 L 0 l 0 Z W 1 Q Y X R o P j w v S X R l b U x v Y 2 F 0 a W 9 u P j x T d G F i b G V F b n R y a W V z I C 8 + P C 9 J d G V t P j x J d G V t P j x J d G V t T G 9 j Y X R p b 2 4 + P E l 0 Z W 1 U e X B l P k Z v c m 1 1 b G E 8 L 0 l 0 Z W 1 U e X B l P j x J d G V t U G F 0 a D 5 T Z W N 0 a W 9 u M S 9 y Q X J 0 a W t s a U F u Y W x p e m E v R X h w Y W 5 k Z W Q l M j B m Q W N 0 d W F s Q W 5 k Q n V k Z 2 V 0 P C 9 J d G V t U G F 0 a D 4 8 L 0 l 0 Z W 1 M b 2 N h d G l v b j 4 8 U 3 R h Y m x l R W 5 0 c m l l c y A v P j w v S X R l b T 4 8 S X R l b T 4 8 S X R l b U x v Y 2 F 0 a W 9 u P j x J d G V t V H l w Z T 5 G b 3 J t d W x h P C 9 J d G V t V H l w Z T 4 8 S X R l b V B h d G g + U 2 V j d G l v b j E v Z k F y d G l r b G l D Z W 5 p L 1 J l b m F t Z W Q l M j B D b 2 x 1 b W 5 z P C 9 J d G V t U G F 0 a D 4 8 L 0 l 0 Z W 1 M b 2 N h d G l v b j 4 8 U 3 R h Y m x l R W 5 0 c m l l c y A v P j w v S X R l b T 4 8 S X R l b T 4 8 S X R l b U x v Y 2 F 0 a W 9 u P j x J d G V t V H l w Z T 5 G b 3 J t d W x h P C 9 J d G V t V H l w Z T 4 8 S X R l b V B h d G g + U 2 V j d G l v b j E v Z k F y d G l r b G l D Z W 5 p L 1 J l b W 9 2 Z W Q l M j B D b 2 x 1 b W 5 z P C 9 J d G V t U G F 0 a D 4 8 L 0 l 0 Z W 1 M b 2 N h d G l v b j 4 8 U 3 R h Y m x l R W 5 0 c m l l c y A v P j w v S X R l b T 4 8 S X R l b T 4 8 S X R l b U x v Y 2 F 0 a W 9 u P j x J d G V t V H l w Z T 5 G b 3 J t d W x h P C 9 J d G V t V H l w Z T 4 8 S X R l b V B h d G g + U 2 V j d G l v b j E v c k F y d G l r b G l f S F J f Q W 5 h b G l 6 Y T 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l F 1 Z X J 5 S U Q i I F Z h b H V l P S J z O D Z h N T h h Z T g t Y z l m N i 0 0 Y z B i L W I 3 N T Q t Z G N l Z D I 3 M D Q 5 N j c 1 I i A v P j x F b n R y e S B U e X B l P S J Q a X Z v d E 9 i a m V j d E 5 h b W U i I F Z h b H V l P S J z Q W 5 h b G l 6 Y S B P U E V Y I D I w M j E g K D I p I V B p d m 9 0 V G F i b G U y I i A v P j x F b n R y e S B U e X B l P S J G a W x s T G F z d F V w Z G F 0 Z W Q i I F Z h b H V l P S J k M j A y M S 0 x M S 0 y M 1 Q w O T o 0 M D o x N S 4 y N z Q x M D g 1 W i I g L z 4 8 R W 5 0 c n k g V H l w Z T 0 i R m l s b E V y c m 9 y Q 2 9 1 b n Q i I F Z h b H V l P S J s M C I g L z 4 8 R W 5 0 c n k g V H l w Z T 0 i R m l s b E N v b H V t b l R 5 c G V z I i B W Y W x 1 Z T 0 i c 0 J n W U d C Z 1 V E Q l F R R k J n W U p C Z 1 l H Q m d Z R 0 F 3 T U c i I C 8 + P E V u d H J 5 I F R 5 c G U 9 I k Z p b G x F c n J v c k N v Z G U i I F Z h b H V l P S J z V W 5 r b m 9 3 b i I g L z 4 8 R W 5 0 c n k g V H l w Z T 0 i R m l s b E N v b H V t b k 5 h b W V z I i B W Y W x 1 Z T 0 i c 1 s m c X V v d D v Q o d G C 0 L D Q s t C 6 0 L A m c X V v d D s s J n F 1 b 3 Q 7 0 J r Q s N G C 0 L X Q s 9 C + 0 Y D Q u N G Y 0 L A g 0 J D R g N G C 0 L j Q u t C 7 J n F 1 b 3 Q 7 L C Z x d W 9 0 O 9 C i 0 L j Q v y D Q v d C w I N C w 0 Y D R g t C 4 0 L r Q u y Z x d W 9 0 O y w m c X V v d D v Q l d C 0 0 L j Q v d C 1 0 Y f Q v d C w I N C 8 0 L X R g N C 6 0 L A m c X V v d D s s J n F 1 b 3 Q 7 0 J r Q v t C 7 0 L j R h 9 C 4 0 L 3 Q s C Z x d W 9 0 O y w m c X V v d D v Q l d C 0 0 L j Q v d C 1 0 Y f Q v d C w I N G G 0 L X Q v d C w J n F 1 b 3 Q 7 L C Z x d W 9 0 O 9 C S 0 L r R g 9 C / 0 L 3 Q v i D R g t G A 0 L 7 R i N C + 0 L o m c X V v d D s s J n F 1 b 3 Q 7 0 J T Q l N C S J n F 1 b 3 Q 7 L C Z x d W 9 0 O 9 C Y 0 L f Q v d C + 0 Y E m c X V v d D s s J n F 1 b 3 Q 7 0 J r Q v t C 9 0 Y L Q v i Z x d W 9 0 O y w m c X V v d D t S Z X B v c n R U e X B l J n F 1 b 3 Q 7 L C Z x d W 9 0 O 9 C f 0 L X R g N C 4 0 L 7 Q t C Z x d W 9 0 O y w m c X V v d D t T d G F 2 a 2 F J b W V N S y Z x d W 9 0 O y w m c X V v d D t T d G F 2 a 2 F B T 1 A m c X V v d D s s J n F 1 b 3 Q 7 U 3 R h d m t h R 3 J 1 c G E m c X V v d D s s J n F 1 b 3 Q 7 U 3 R h d m t h S 2 F 0 Z W d v c m l q Y S Z x d W 9 0 O y w m c X V v d D t P Y n J h e m V j S W 1 l J n F 1 b 3 Q 7 L C Z x d W 9 0 O 9 C i 0 L j Q v y D Q v d C w I N C y 0 Y D Q s N C x 0 L 7 R g t G D 0 L L Q s N G a 0 L U m c X V v d D s s J n F 1 b 3 Q 7 0 J / Q u 9 C w 0 L 3 Q u N G A 0 L D Q v S D Q v 9 G A 0 L j Q u 9 C 4 0 L I v K N C + 0 L T Q u 9 C 4 0 L I p J n F 1 b 3 Q 7 L C Z x d W 9 0 O 9 C a 0 Y D Q s N G Y 0 L 3 Q s C D R g d C + 0 Y H R g t C + 0 Z j Q s d C w I N C y 0 Y D Q s N C x 0 L 7 R g t C 1 0 L 3 Q u C Z x d W 9 0 O y w m c X V v d D t T d G F 2 a 2 F L Y X R l Z 2 9 y a W p h L j E m c X V v d D t d I i A v P j x F b n R y e S B U e X B l P S J G a W x s Q 2 9 1 b n Q i I F Z h b H V l P S J s M z M 4 O S I g L z 4 8 R W 5 0 c n k g V H l w Z T 0 i R m l s b F N 0 Y X R 1 c y I g V m F s d W U 9 I n N D b 2 1 w b G V 0 Z S I g L z 4 8 R W 5 0 c n k g V H l w Z T 0 i Q W R k Z W R U b 0 R h d G F N b 2 R l b C I g V m F s d W U 9 I m w x I i A v P j x F b n R y e S B U e X B l P S J S Z W x h d G l v b n N o a X B J b m Z v Q 2 9 u d G F p b m V y I i B W Y W x 1 Z T 0 i c 3 s m c X V v d D t j b 2 x 1 b W 5 D b 3 V u d C Z x d W 9 0 O z o y M S w m c X V v d D t r Z X l D b 2 x 1 b W 5 O Y W 1 l c y Z x d W 9 0 O z p b X S w m c X V v d D t x d W V y e V J l b G F 0 a W 9 u c 2 h p c H M m c X V v d D s 6 W 3 s m c X V v d D t r Z X l D b 2 x 1 b W 5 D b 3 V u d C Z x d W 9 0 O z o x L C Z x d W 9 0 O 2 t l e U N v b H V t b i Z x d W 9 0 O z o 5 L C Z x d W 9 0 O 2 9 0 a G V y S 2 V 5 Q 2 9 s d W 1 u S W R l b n R p d H k m c X V v d D s 6 J n F 1 b 3 Q 7 U 2 V j d G l v b j E v Z E t v b n R l b l B s Y W 4 v Q 2 h h b m d l Z C B U e X B l L n t L b 2 5 0 b y w w f S Z x d W 9 0 O y w m c X V v d D t L Z X l D b 2 x 1 b W 5 D b 3 V u d C Z x d W 9 0 O z o x f V 0 s J n F 1 b 3 Q 7 Y 2 9 s d W 1 u S W R l b n R p d G l l c y Z x d W 9 0 O z p b J n F 1 b 3 Q 7 U 2 V j d G l v b j E v c k F y d G l r b G l f S F J f Q W 5 h b G l 6 Y S 9 T b 3 V y Y 2 U u e 9 C h 0 Y L Q s N C y 0 L r Q s C w w f S Z x d W 9 0 O y w m c X V v d D t T Z W N 0 a W 9 u M S 9 y Q X J 0 a W t s a V 9 I U l 9 B b m F s a X p h L 1 N v d X J j Z S 5 7 0 J r Q s N G C 0 L X Q s 9 C + 0 Y D Q u N G Y 0 L A g 0 J D R g N G C 0 L j Q u t C 7 L D F 9 J n F 1 b 3 Q 7 L C Z x d W 9 0 O 1 N l Y 3 R p b 2 4 x L 3 J B c n R p a 2 x p X 0 h S X 0 F u Y W x p e m E v U 2 9 1 c m N l L n v Q o t C 4 0 L 8 g 0 L 3 Q s C D Q s N G A 0 Y L Q u N C 6 0 L s s M n 0 m c X V v d D s s J n F 1 b 3 Q 7 U 2 V j d G l v b j E v c k F y d G l r b G l f S F J f Q W 5 h b G l 6 Y S 9 T b 3 V y Y 2 U u e 9 C V 0 L T Q u N C 9 0 L X R h 9 C 9 0 L A g 0 L z Q t d G A 0 L r Q s C w z f S Z x d W 9 0 O y w m c X V v d D t T Z W N 0 a W 9 u M S 9 y Q X J 0 a W t s a V 9 I U l 9 B b m F s a X p h L 1 N v d X J j Z S 5 7 0 J r Q v t C 7 0 L j R h 9 C 4 0 L 3 Q s C w 0 f S Z x d W 9 0 O y w m c X V v d D t T Z W N 0 a W 9 u M S 9 y Q X J 0 a W t s a V 9 I U l 9 B b m F s a X p h L 1 N v d X J j Z S 5 7 0 J X Q t N C 4 0 L 3 Q t d G H 0 L 3 Q s C D R h t C 1 0 L 3 Q s C w 1 f S Z x d W 9 0 O y w m c X V v d D t T Z W N 0 a W 9 u M S 9 y Q X J 0 a W t s a V 9 I U l 9 B b m F s a X p h L 1 N v d X J j Z S 5 7 0 J L Q u t G D 0 L / Q v d C + I N G C 0 Y D Q v t G I 0 L 7 Q u i w 2 f S Z x d W 9 0 O y w m c X V v d D t T Z W N 0 a W 9 u M S 9 y Q X J 0 a W t s a V 9 I U l 9 B b m F s a X p h L 1 N v d X J j Z S 5 7 0 J T Q l N C S L D d 9 J n F 1 b 3 Q 7 L C Z x d W 9 0 O 1 N l Y 3 R p b 2 4 x L 3 J B c n R p a 2 x p X 0 h S X 0 F u Y W x p e m E v U 2 9 1 c m N l L n v Q m N C 3 0 L 3 Q v t G B L D h 9 J n F 1 b 3 Q 7 L C Z x d W 9 0 O 1 N l Y 3 R p b 2 4 x L 3 J B c n R p a 2 x p X 0 h S X 0 F u Y W x p e m E v U 2 9 1 c m N l L n v Q m t C + 0 L 3 R g t C + L D l 9 J n F 1 b 3 Q 7 L C Z x d W 9 0 O 1 N l Y 3 R p b 2 4 x L 3 J B c n R p a 2 x p X 0 h S X 0 F u Y W x p e m E v U 2 9 1 c m N l L n t S Z X B v c n R U e X B l L D E w f S Z x d W 9 0 O y w m c X V v d D t T Z W N 0 a W 9 u M S 9 y Q X J 0 a W t s a V 9 I U l 9 B b m F s a X p h L 1 N v d X J j Z S 5 7 0 J / Q t d G A 0 L j Q v t C 0 L D E x f S Z x d W 9 0 O y w m c X V v d D t T Z W N 0 a W 9 u M S 9 y Q X J 0 a W t s a V 9 I U l 9 B b m F s a X p h L 1 N v d X J j Z S 5 7 U 3 R h d m t h S W 1 l T U s s M T J 9 J n F 1 b 3 Q 7 L C Z x d W 9 0 O 1 N l Y 3 R p b 2 4 x L 3 J B c n R p a 2 x p X 0 h S X 0 F u Y W x p e m E v U 2 9 1 c m N l L n t T d G F 2 a 2 F B T 1 A s M T N 9 J n F 1 b 3 Q 7 L C Z x d W 9 0 O 1 N l Y 3 R p b 2 4 x L 3 J B c n R p a 2 x p X 0 h S X 0 F u Y W x p e m E v U 2 9 1 c m N l L n t T d G F 2 a 2 F H c n V w Y S w x N H 0 m c X V v d D s s J n F 1 b 3 Q 7 U 2 V j d G l v b j E v c k F y d G l r b G l f S F J f Q W 5 h b G l 6 Y S 9 T b 3 V y Y 2 U u e 1 N 0 Y X Z r Y U t h d G V n b 3 J p a m E s M T V 9 J n F 1 b 3 Q 7 L C Z x d W 9 0 O 1 N l Y 3 R p b 2 4 x L 3 J B c n R p a 2 x p X 0 h S X 0 F u Y W x p e m E v U 2 9 1 c m N l L n t P Y n J h e m V j S W 1 l L D E 2 f S Z x d W 9 0 O y w m c X V v d D t T Z W N 0 a W 9 u M S 9 y Q X J 0 a W t s a V 9 I U l 9 B b m F s a X p h L 1 N v d X J j Z S 5 7 0 K L Q u N C / I N C 9 0 L A g 0 L L R g N C w 0 L H Q v t G C 0 Y P Q s t C w 0 Z r Q t S w x N 3 0 m c X V v d D s s J n F 1 b 3 Q 7 U 2 V j d G l v b j E v c k F y d G l r b G l f S F J f Q W 5 h b G l 6 Y S 9 T b 3 V y Y 2 U u e 9 C f 0 L v Q s N C 9 0 L j R g N C w 0 L 0 g 0 L / R g N C 4 0 L v Q u N C y L y j Q v t C 0 0 L v Q u N C y K S w x O H 0 m c X V v d D s s J n F 1 b 3 Q 7 U 2 V j d G l v b j E v c k F y d G l r b G l f S F J f Q W 5 h b G l 6 Y S 9 T b 3 V y Y 2 U u e 9 C a 0 Y D Q s N G Y 0 L 3 Q s C D R g d C + 0 Y H R g t C + 0 Z j Q s d C w I N C y 0 Y D Q s N C x 0 L 7 R g t C 1 0 L 3 Q u C w x O X 0 m c X V v d D s s J n F 1 b 3 Q 7 U 2 V j d G l v b j E v Z F N 0 Y X Z r a S 9 D a G F u Z 2 V k I F R 5 c G U u e 1 N 0 Y X Z r Y U t h d G V n b 3 J p a m E s O H 0 m c X V v d D t d L C Z x d W 9 0 O 0 N v b H V t b k N v d W 5 0 J n F 1 b 3 Q 7 O j I x L C Z x d W 9 0 O 0 t l e U N v b H V t b k 5 h b W V z J n F 1 b 3 Q 7 O l t d L C Z x d W 9 0 O 0 N v b H V t b k l k Z W 5 0 a X R p Z X M m c X V v d D s 6 W y Z x d W 9 0 O 1 N l Y 3 R p b 2 4 x L 3 J B c n R p a 2 x p X 0 h S X 0 F u Y W x p e m E v U 2 9 1 c m N l L n v Q o d G C 0 L D Q s t C 6 0 L A s M H 0 m c X V v d D s s J n F 1 b 3 Q 7 U 2 V j d G l v b j E v c k F y d G l r b G l f S F J f Q W 5 h b G l 6 Y S 9 T b 3 V y Y 2 U u e 9 C a 0 L D R g t C 1 0 L P Q v t G A 0 L j R m N C w I N C Q 0 Y D R g t C 4 0 L r Q u y w x f S Z x d W 9 0 O y w m c X V v d D t T Z W N 0 a W 9 u M S 9 y Q X J 0 a W t s a V 9 I U l 9 B b m F s a X p h L 1 N v d X J j Z S 5 7 0 K L Q u N C / I N C 9 0 L A g 0 L D R g N G C 0 L j Q u t C 7 L D J 9 J n F 1 b 3 Q 7 L C Z x d W 9 0 O 1 N l Y 3 R p b 2 4 x L 3 J B c n R p a 2 x p X 0 h S X 0 F u Y W x p e m E v U 2 9 1 c m N l L n v Q l d C 0 0 L j Q v d C 1 0 Y f Q v d C w I N C 8 0 L X R g N C 6 0 L A s M 3 0 m c X V v d D s s J n F 1 b 3 Q 7 U 2 V j d G l v b j E v c k F y d G l r b G l f S F J f Q W 5 h b G l 6 Y S 9 T b 3 V y Y 2 U u e 9 C a 0 L 7 Q u 9 C 4 0 Y f Q u N C 9 0 L A s N H 0 m c X V v d D s s J n F 1 b 3 Q 7 U 2 V j d G l v b j E v c k F y d G l r b G l f S F J f Q W 5 h b G l 6 Y S 9 T b 3 V y Y 2 U u e 9 C V 0 L T Q u N C 9 0 L X R h 9 C 9 0 L A g 0 Y b Q t d C 9 0 L A s N X 0 m c X V v d D s s J n F 1 b 3 Q 7 U 2 V j d G l v b j E v c k F y d G l r b G l f S F J f Q W 5 h b G l 6 Y S 9 T b 3 V y Y 2 U u e 9 C S 0 L r R g 9 C / 0 L 3 Q v i D R g t G A 0 L 7 R i N C + 0 L o s N n 0 m c X V v d D s s J n F 1 b 3 Q 7 U 2 V j d G l v b j E v c k F y d G l r b G l f S F J f Q W 5 h b G l 6 Y S 9 T b 3 V y Y 2 U u e 9 C U 0 J T Q k i w 3 f S Z x d W 9 0 O y w m c X V v d D t T Z W N 0 a W 9 u M S 9 y Q X J 0 a W t s a V 9 I U l 9 B b m F s a X p h L 1 N v d X J j Z S 5 7 0 J j Q t 9 C 9 0 L 7 R g S w 4 f S Z x d W 9 0 O y w m c X V v d D t T Z W N 0 a W 9 u M S 9 y Q X J 0 a W t s a V 9 I U l 9 B b m F s a X p h L 1 N v d X J j Z S 5 7 0 J r Q v t C 9 0 Y L Q v i w 5 f S Z x d W 9 0 O y w m c X V v d D t T Z W N 0 a W 9 u M S 9 y Q X J 0 a W t s a V 9 I U l 9 B b m F s a X p h L 1 N v d X J j Z S 5 7 U m V w b 3 J 0 V H l w Z S w x M H 0 m c X V v d D s s J n F 1 b 3 Q 7 U 2 V j d G l v b j E v c k F y d G l r b G l f S F J f Q W 5 h b G l 6 Y S 9 T b 3 V y Y 2 U u e 9 C f 0 L X R g N C 4 0 L 7 Q t C w x M X 0 m c X V v d D s s J n F 1 b 3 Q 7 U 2 V j d G l v b j E v c k F y d G l r b G l f S F J f Q W 5 h b G l 6 Y S 9 T b 3 V y Y 2 U u e 1 N 0 Y X Z r Y U l t Z U 1 L L D E y f S Z x d W 9 0 O y w m c X V v d D t T Z W N 0 a W 9 u M S 9 y Q X J 0 a W t s a V 9 I U l 9 B b m F s a X p h L 1 N v d X J j Z S 5 7 U 3 R h d m t h Q U 9 Q L D E z f S Z x d W 9 0 O y w m c X V v d D t T Z W N 0 a W 9 u M S 9 y Q X J 0 a W t s a V 9 I U l 9 B b m F s a X p h L 1 N v d X J j Z S 5 7 U 3 R h d m t h R 3 J 1 c G E s M T R 9 J n F 1 b 3 Q 7 L C Z x d W 9 0 O 1 N l Y 3 R p b 2 4 x L 3 J B c n R p a 2 x p X 0 h S X 0 F u Y W x p e m E v U 2 9 1 c m N l L n t T d G F 2 a 2 F L Y X R l Z 2 9 y a W p h L D E 1 f S Z x d W 9 0 O y w m c X V v d D t T Z W N 0 a W 9 u M S 9 y Q X J 0 a W t s a V 9 I U l 9 B b m F s a X p h L 1 N v d X J j Z S 5 7 T 2 J y Y X p l Y 0 l t Z S w x N n 0 m c X V v d D s s J n F 1 b 3 Q 7 U 2 V j d G l v b j E v c k F y d G l r b G l f S F J f Q W 5 h b G l 6 Y S 9 T b 3 V y Y 2 U u e 9 C i 0 L j Q v y D Q v d C w I N C y 0 Y D Q s N C x 0 L 7 R g t G D 0 L L Q s N G a 0 L U s M T d 9 J n F 1 b 3 Q 7 L C Z x d W 9 0 O 1 N l Y 3 R p b 2 4 x L 3 J B c n R p a 2 x p X 0 h S X 0 F u Y W x p e m E v U 2 9 1 c m N l L n v Q n 9 C 7 0 L D Q v d C 4 0 Y D Q s N C 9 I N C / 0 Y D Q u N C 7 0 L j Q s i 8 o 0 L 7 Q t N C 7 0 L j Q s i k s M T h 9 J n F 1 b 3 Q 7 L C Z x d W 9 0 O 1 N l Y 3 R p b 2 4 x L 3 J B c n R p a 2 x p X 0 h S X 0 F u Y W x p e m E v U 2 9 1 c m N l L n v Q m t G A 0 L D R m N C 9 0 L A g 0 Y H Q v t G B 0 Y L Q v t G Y 0 L H Q s C D Q s t G A 0 L D Q s d C + 0 Y L Q t d C 9 0 L g s M T l 9 J n F 1 b 3 Q 7 L C Z x d W 9 0 O 1 N l Y 3 R p b 2 4 x L 2 R T d G F 2 a 2 k v Q 2 h h b m d l Z C B U e X B l L n t T d G F 2 a 2 F L Y X R l Z 2 9 y a W p h L D h 9 J n F 1 b 3 Q 7 X S w m c X V v d D t S Z W x h d G l v b n N o a X B J b m Z v J n F 1 b 3 Q 7 O l t 7 J n F 1 b 3 Q 7 a 2 V 5 Q 2 9 s d W 1 u Q 2 9 1 b n Q m c X V v d D s 6 M S w m c X V v d D t r Z X l D b 2 x 1 b W 4 m c X V v d D s 6 O S w m c X V v d D t v d G h l c k t l e U N v b H V t b k l k Z W 5 0 a X R 5 J n F 1 b 3 Q 7 O i Z x d W 9 0 O 1 N l Y 3 R p b 2 4 x L 2 R L b 2 5 0 Z W 5 Q b G F u L 0 N o Y W 5 n Z W Q g V H l w Z S 5 7 S 2 9 u d G 8 s M H 0 m c X V v d D s s J n F 1 b 3 Q 7 S 2 V 5 Q 2 9 s d W 1 u Q 2 9 1 b n Q m c X V v d D s 6 M X 1 d f S I g L z 4 8 L 1 N 0 Y W J s Z U V u d H J p Z X M + P C 9 J d G V t P j x J d G V t P j x J d G V t T G 9 j Y X R p b 2 4 + P E l 0 Z W 1 U e X B l P k Z v c m 1 1 b G E 8 L 0 l 0 Z W 1 U e X B l P j x J d G V t U G F 0 a D 5 T Z W N 0 a W 9 u M S 9 y Q X J 0 a W t s a V 9 I U l 9 B b m F s a X p h L 1 N v d X J j Z T w v S X R l b V B h d G g + P C 9 J d G V t T G 9 j Y X R p b 2 4 + P F N 0 Y W J s Z U V u d H J p Z X M g L z 4 8 L 0 l 0 Z W 0 + P E l 0 Z W 0 + P E l 0 Z W 1 M b 2 N h d G l v b j 4 8 S X R l b V R 5 c G U + R m 9 y b X V s Y T w v S X R l b V R 5 c G U + P E l 0 Z W 1 Q Y X R o P l N l Y 3 R p b 2 4 x L 3 J B c n R p a 2 x p X 0 h S X 0 F u Y W x p e m E v T W V y Z 2 V k J T I w U X V l c m l l c z w v S X R l b V B h d G g + P C 9 J d G V t T G 9 j Y X R p b 2 4 + P F N 0 Y W J s Z U V u d H J p Z X M g L z 4 8 L 0 l 0 Z W 0 + P E l 0 Z W 0 + P E l 0 Z W 1 M b 2 N h d G l v b j 4 8 S X R l b V R 5 c G U + R m 9 y b X V s Y T w v S X R l b V R 5 c G U + P E l 0 Z W 1 Q Y X R o P l N l Y 3 R p b 2 4 x L 3 J B c n R p a 2 x p X 0 h S X 0 F u Y W x p e m E v R X h w Y W 5 k Z W Q l M j B k S 2 9 u d G V u U G x h b j w v S X R l b V B h d G g + P C 9 J d G V t T G 9 j Y X R p b 2 4 + P F N 0 Y W J s Z U V u d H J p Z X M g L z 4 8 L 0 l 0 Z W 0 + P E l 0 Z W 0 + P E l 0 Z W 1 M b 2 N h d G l v b j 4 8 S X R l b V R 5 c G U + R m 9 y b X V s Y T w v S X R l b V R 5 c G U + P E l 0 Z W 1 Q Y X R o P l N l Y 3 R p b 2 4 x L 2 Z B Y 3 R 1 Y W w v U m V t b 3 Z l Z C U y M E N v b H V t b n M 8 L 0 l 0 Z W 1 Q Y X R o P j w v S X R l b U x v Y 2 F 0 a W 9 u P j x T d G F i b G V F b n R y a W V z I C 8 + P C 9 J d G V t P j x J d G V t P j x J d G V t T G 9 j Y X R p b 2 4 + P E l 0 Z W 1 U e X B l P k Z v c m 1 1 b G E 8 L 0 l 0 Z W 1 U e X B l P j x J d G V t U G F 0 a D 5 T Z W N 0 a W 9 u M S 9 m Q W N 0 d W F s L 1 J l b m F t Z W Q l M j B D b 2 x 1 b W 5 z P C 9 J d G V t U G F 0 a D 4 8 L 0 l 0 Z W 1 M b 2 N h d G l v b j 4 8 U 3 R h Y m x l R W 5 0 c m l l c y A v P j w v S X R l b T 4 8 S X R l b T 4 8 S X R l b U x v Y 2 F 0 a W 9 u P j x J d G V t V H l w Z T 5 G b 3 J t d W x h P C 9 J d G V t V H l w Z T 4 8 S X R l b V B h d G g + U 2 V j d G l v b j E v Z k F j d H V h b C 9 D a G F u Z 2 V k J T I w V H l w Z T w v S X R l b V B h d G g + P C 9 J d G V t T G 9 j Y X R p b 2 4 + P F N 0 Y W J s Z U V u d H J p Z X M g L z 4 8 L 0 l 0 Z W 0 + P E l 0 Z W 0 + P E l 0 Z W 1 M b 2 N h d G l v b j 4 8 S X R l b V R 5 c G U + R m 9 y b X V s Y T w v S X R l b V R 5 c G U + P E l 0 Z W 1 Q Y X R o P l N l Y 3 R p b 2 4 x L 2 Z B Y 3 R 1 Y W x B b m R C d W R n Z X Q v R m l s d G V y Z W Q l M j B S b 3 d z M T w v S X R l b V B h d G g + P C 9 J d G V t T G 9 j Y X R p b 2 4 + P F N 0 Y W J s Z U V u d H J p Z X M g L z 4 8 L 0 l 0 Z W 0 + P E l 0 Z W 0 + P E l 0 Z W 1 M b 2 N h d G l v b j 4 8 S X R l b V R 5 c G U + R m 9 y b X V s Y T w v S X R l b V R 5 c G U + P E l 0 Z W 1 Q Y X R o P l N l Y 3 R p b 2 4 x L 2 Z B Y 3 R 1 Y W w v U m V u Y W 1 l Z C U y M E N v b H V t b n M x P C 9 J d G V t U G F 0 a D 4 8 L 0 l 0 Z W 1 M b 2 N h d G l v b j 4 8 U 3 R h Y m x l R W 5 0 c m l l c y A v P j w v S X R l b T 4 8 L 0 l 0 Z W 1 z P j w v T G 9 j Y W x Q Y W N r Y W d l T W V 0 Y W R h d G F G a W x l P h Y A A A B Q S w U G A A A A A A A A A A A A A A A A A A A A A A A A 2 g A A A A E A A A D Q j J 3 f A R X R E Y x 6 A M B P w p f r A Q A A A O K F j C K 3 J u B K j m a 6 C a / C t 6 E A A A A A A g A A A A A A A 2 Y A A M A A A A A Q A A A A W s b R b d D W 8 f C d V C H A A Q l J T g A A A A A E g A A A o A A A A B A A A A B b V V D P G C o X J s R 1 O S M J H B i 0 U A A A A H 1 W A a S t I q 6 b l N E J i 3 S h u 5 I I 1 o W 2 T w P C b s Y P P Q T d 6 Z g n K 2 w y R q V 9 o v J o A e v G p t E x s D P W Y P K 9 6 X c 8 q v 4 j B x B L Z O L x z / J I C O m 8 h F F B K 3 8 i g h c D F A A A A C Y h 5 N Y C u s F E d Q M O F v S + W 5 G N F t j O < / D a t a M a s h u p > 
</file>

<file path=customXml/item47.xml>��< ? x m l   v e r s i o n = " 1 . 0 "   e n c o d i n g = " U T F - 1 6 " ? > < G e m i n i   x m l n s = " h t t p : / / g e m i n i / p i v o t c u s t o m i z a t i o n / T a b l e X M L _ f A c t u a l A n d B u d g e t _ 2 c e 2 0 b b 8 - 3 5 6 9 - 4 f 6 3 - 8 e d d - a f d f d 7 e 9 e 6 b 0 " > < C u s t o m C o n t e n t > < ! [ C D A T A [ < T a b l e W i d g e t G r i d S e r i a l i z a t i o n   x m l n s : x s i = " h t t p : / / w w w . w 3 . o r g / 2 0 0 1 / X M L S c h e m a - i n s t a n c e "   x m l n s : x s d = " h t t p : / / w w w . w 3 . o r g / 2 0 0 1 / X M L S c h e m a " > < C o l u m n S u g g e s t e d T y p e   / > < C o l u m n F o r m a t   / > < C o l u m n A c c u r a c y   / > < C o l u m n C u r r e n c y S y m b o l   / > < C o l u m n P o s i t i v e P a t t e r n   / > < C o l u m n N e g a t i v e P a t t e r n   / > < C o l u m n W i d t h s > < i t e m > < k e y > < s t r i n g > >=B>< / s t r i n g > < / k e y > < v a l u e > < i n t > 7 4 < / i n t > < / v a l u e > < / i t e m > < i t e m > < k e y > < s t r i n g > 5@8>4< / s t r i n g > < / k e y > < v a l u e > < i n t > 8 5 < / i n t > < / v a l u e > < / i t e m > < i t e m > < k e y > < s t r i n g > &5=0< / s t r i n g > < / k e y > < v a l u e > < i n t > 8 3 < / i n t > < / v a l u e > < / i t e m > < i t e m > < k e y > < s t r i n g > !B02:0< / s t r i n g > < / k e y > < v a l u e > < i n t > 1 6 2 < / i n t > < / v a l u e > < / i t e m > < i t e m > < k e y > < s t r i n g > >;8G8=0< / s t r i n g > < / k e y > < v a l u e > < i n t > 1 2 1 < / i n t > < / v a l u e > < / i t e m > < i t e m > < k e y > < s t r i n g > -   D8=0=A8A:8  ?;0=< / s t r i n g > < / k e y > < v a l u e > < i n t > 1 7 3 < / i n t > < / v a l u e > < / i t e m > < i t e m > < k e y > < s t r i n g > - D8=0=A8A:8  8725HB0X< / s t r i n g > < / k e y > < v a l u e > < i n t > 1 9 6 < / i n t > < / v a l u e > < / i t e m > < i t e m > < k e y > < s t r i n g > - $  =>2< / s t r i n g > < / k e y > < v a l u e > < i n t > 1 0 6 < / i n t > < / v a l u e > < / i t e m > < i t e m > < k e y > < s t r i n g > - >48H=8  A<5B:8< / s t r i n g > < / k e y > < v a l u e > < i n t > 1 6 4 < / i n t > < / v a l u e > < / i t e m > < i t e m > < k e y > < s t r i n g > - < / s t r i n g > < / k e y > < v a l u e > < i n t > 7 8 < / i n t > < / v a l u e > < / i t e m > < i t e m > < k e y > < s t r i n g > 7=>A  1 < / s t r i n g > < / k e y > < v a l u e > < i n t > 1 0 5 < / i n t > < / v a l u e > < / i t e m > < i t e m > < k e y > < s t r i n g > 0B53>@8X0  ?@>5:B  < / s t r i n g > < / k e y > < v a l u e > < i n t > 2 1 6 < / i n t > < / v a l u e > < / i t e m > < i t e m > < k e y > < s t r i n g > 7=>A1 < / s t r i n g > < / k e y > < v a l u e > < i n t > 1 0 1 < / i n t > < / v a l u e > < / i t e m > < / C o l u m n W i d t h s > < C o l u m n D i s p l a y I n d e x > < i t e m > < k e y > < s t r i n g > >=B>< / s t r i n g > < / k e y > < v a l u e > < i n t > 0 < / i n t > < / v a l u e > < / i t e m > < i t e m > < k e y > < s t r i n g > 5@8>4< / s t r i n g > < / k e y > < v a l u e > < i n t > 1 < / i n t > < / v a l u e > < / i t e m > < i t e m > < k e y > < s t r i n g > &5=0< / s t r i n g > < / k e y > < v a l u e > < i n t > 1 0 < / i n t > < / v a l u e > < / i t e m > < i t e m > < k e y > < s t r i n g > !B02:0< / s t r i n g > < / k e y > < v a l u e > < i n t > 2 < / i n t > < / v a l u e > < / i t e m > < i t e m > < k e y > < s t r i n g > >;8G8=0< / s t r i n g > < / k e y > < v a l u e > < i n t > 9 < / i n t > < / v a l u e > < / i t e m > < i t e m > < k e y > < s t r i n g > -   D8=0=A8A:8  ?;0=< / s t r i n g > < / k e y > < v a l u e > < i n t > 3 < / i n t > < / v a l u e > < / i t e m > < i t e m > < k e y > < s t r i n g > - D8=0=A8A:8  8725HB0X< / s t r i n g > < / k e y > < v a l u e > < i n t > 4 < / i n t > < / v a l u e > < / i t e m > < i t e m > < k e y > < s t r i n g > - $  =>2< / s t r i n g > < / k e y > < v a l u e > < i n t > 5 < / i n t > < / v a l u e > < / i t e m > < i t e m > < k e y > < s t r i n g > - >48H=8  A<5B:8< / s t r i n g > < / k e y > < v a l u e > < i n t > 6 < / i n t > < / v a l u e > < / i t e m > < i t e m > < k e y > < s t r i n g > - < / s t r i n g > < / k e y > < v a l u e > < i n t > 7 < / i n t > < / v a l u e > < / i t e m > < i t e m > < k e y > < s t r i n g > 7=>A  1 < / s t r i n g > < / k e y > < v a l u e > < i n t > 8 < / i n t > < / v a l u e > < / i t e m > < i t e m > < k e y > < s t r i n g > 0B53>@8X0  ?@>5:B  < / s t r i n g > < / k e y > < v a l u e > < i n t > 1 1 < / i n t > < / v a l u e > < / i t e m > < i t e m > < k e y > < s t r i n g > 7=>A1 < / s t r i n g > < / k e y > < v a l u e > < i n t > 1 2 < / i n t > < / v a l u e > < / i t e m > < / C o l u m n D i s p l a y I n d e x > < C o l u m n F r o z e n   / > < C o l u m n C h e c k e d   / > < C o l u m n F i l t e r > < i t e m > < k e y > < s t r i n g > -   D8=0=A8A:8  ?;0=< / s t r i n g > < / k e y > < v a l u e > < F i l t e r E x p r e s s i o n   x s i : n i l = " t r u e "   / > < / v a l u e > < / i t e m > < i t e m > < k e y > < s t r i n g > >=B>< / s t r i n g > < / k e y > < v a l u e > < F i l t e r E x p r e s s i o n   x s i : n i l = " t r u e "   / > < / v a l u e > < / i t e m > < / C o l u m n F i l t e r > < S e l e c t i o n F i l t e r > < i t e m > < k e y > < s t r i n g > -   D8=0=A8A:8  ?;0=< / s t r i n g > < / k e y > < v a l u e > < S e l e c t i o n F i l t e r > < S e l e c t i o n T y p e > S e l e c t < / S e l e c t i o n T y p e > < I t e m s > < a n y T y p e   x s i : t y p e = " x s d : s t r i n g " > 1 . 1 1 < / a n y T y p e > < / I t e m s > < / S e l e c t i o n F i l t e r > < / v a l u e > < / i t e m > < i t e m > < k e y > < s t r i n g > >=B>< / s t r i n g > < / k e y > < v a l u e > < S e l e c t i o n F i l t e r   x s i : n i l = " t r u e "   / > < / v a l u e > < / i t e m > < / S e l e c t i o n F i l t e r > < F i l t e r P a r a m e t e r s > < i t e m > < k e y > < s t r i n g > -   D8=0=A8A:8  ?;0=< / s t r i n g > < / k e y > < v a l u e > < C o m m a n d P a r a m e t e r s   / > < / v a l u e > < / i t e m > < i t e m > < k e y > < s t r i n g > >=B>< / s t r i n g > < / k e y > < v a l u e > < C o m m a n d P a r a m e t e r s   / > < / v a l u e > < / i t e m > < / F i l t e r P a r a m e t e r s > < I s S o r t D e s c e n d i n g > f a l s e < / I s S o r t D e s c e n d i n g > < / T a b l e W i d g e t G r i d S e r i a l i z a t i o n > ] ] > < / C u s t o m C o n t e n t > < / G e m i n i > 
</file>

<file path=customXml/item48.xml>��< ? x m l   v e r s i o n = " 1 . 0 "   e n c o d i n g = " U T F - 1 6 " ? > < G e m i n i   x m l n s = " h t t p : / / g e m i n i / p i v o t c u s t o m i z a t i o n / T a b l e X M L _ f P r i h o d i R a s h o d i F i n P l a n _ 4 8 3 4 7 7 2 8 - 3 6 4 7 - 4 9 8 8 - b 7 0 7 - b 6 7 d 0 b a c 8 2 e e " > < C u s t o m C o n t e n t > < ! [ 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=B>< / s t r i n g > < / k e y > < v a l u e > < i n t > 9 0 < / i n t > < / v a l u e > < / i t e m > < i t e m > < k e y > < s t r i n g > 5@8>4< / s t r i n g > < / k e y > < v a l u e > < i n t > 1 0 4 < / i n t > < / v a l u e > < / i t e m > < i t e m > < k e y > < s t r i n g > V r e d n o s t < / s t r i n g > < / k e y > < v a l u e > < i n t > 1 1 4 < / i n t > < / v a l u e > < / i t e m > < i t e m > < k e y > < s t r i n g >  538AB0@< / s t r i n g > < / k e y > < v a l u e > < i n t > 1 1 3 < / i n t > < / v a l u e > < / i t e m > < / C o l u m n W i d t h s > < C o l u m n D i s p l a y I n d e x > < i t e m > < k e y > < s t r i n g > !B02:0< / s t r i n g > < / k e y > < v a l u e > < i n t > 0 < / i n t > < / v a l u e > < / i t e m > < i t e m > < k e y > < s t r i n g > >=B>< / s t r i n g > < / k e y > < v a l u e > < i n t > 1 < / i n t > < / v a l u e > < / i t e m > < i t e m > < k e y > < s t r i n g > 5@8>4< / s t r i n g > < / k e y > < v a l u e > < i n t > 2 < / i n t > < / v a l u e > < / i t e m > < i t e m > < k e y > < s t r i n g > V r e d n o s t < / s t r i n g > < / k e y > < v a l u e > < i n t > 3 < / i n t > < / v a l u e > < / i t e m > < i t e m > < k e y > < s t r i n g >  538AB0@< / s t r i n g > < / k e y > < v a l u e > < i n t > 4 < / 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f O P E X _ 5 e 1 2 6 d a 7 - 5 8 e 0 - 4 a e a - 8 8 0 5 - 7 d 5 6 0 2 c 6 c c a b " > < 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 5@8>4< / s t r i n g > < / k e y > < v a l u e > < i n t > 1 0 4 < / i n t > < / v a l u e > < / i t e m > < i t e m > < k e y > < s t r i n g > 7=>A< / s t r i n g > < / k e y > < v a l u e > < i n t > 9 1 < / i n t > < / v a l u e > < / i t e m > < i t e m > < k e y > < s t r i n g > R e p o r t T y p e < / s t r i n g > < / k e y > < v a l u e > < i n t > 1 3 1 < / i n t > < / v a l u e > < / i t e m > < i t e m > < k e y > < s t r i n g > !B02:0< / s t r i n g > < / k e y > < v a l u e > < i n t > 9 6 < / i n t > < / v a l u e > < / i t e m > < / C o l u m n W i d t h s > < C o l u m n D i s p l a y I n d e x > < i t e m > < k e y > < s t r i n g > >=B>< / s t r i n g > < / k e y > < v a l u e > < i n t > 0 < / i n t > < / v a l u e > < / i t e m > < i t e m > < k e y > < s t r i n g > 5@8>4< / s t r i n g > < / k e y > < v a l u e > < i n t > 1 < / i n t > < / v a l u e > < / i t e m > < i t e m > < k e y > < s t r i n g > 7=>A< / s t r i n g > < / k e y > < v a l u e > < i n t > 2 < / i n t > < / v a l u e > < / i t e m > < i t e m > < k e y > < s t r i n g > R e p o r t T y p e < / s t r i n g > < / k e y > < v a l u e > < i n t > 3 < / i n t > < / v a l u e > < / i t e m > < i t e m > < k e y > < s t r i n g > !B02:0< / s t r i n g > < / k e y > < v a l u e > < i n t > 4 < / 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O P E X A n a l i z a _ e 3 4 7 4 6 6 b - 1 0 e b - 4 8 2 7 - 8 2 2 9 - e 4 3 b d 1 3 d a a 8 d " > < C u s t o m C o n t e n t > < ! [ C D A T A [ < T a b l e W i d g e t G r i d S e r i a l i z a t i o n   x m l n s : x s d = " h t t p : / / w w w . w 3 . o r g / 2 0 0 1 / X M L S c h e m a "   x m l n s : x s i = " h t t p : / / w w w . w 3 . o r g / 2 0 0 1 / X M L S c h e m a - i n s t a n c e " > < 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 O b r a z e c I m e < / s t r i n g > < / k e y > < v a l u e > < i n t > 1 3 7 < / i n t > < / v a l u e > < / i t e m > < i t e m > < k e y > < s t r i n g > R e p o r t T y p e < / s t r i n g > < / k e y > < v a l u e > < i n t > 1 3 1 < / i n t > < / v a l u e > < / i t e m > < i t e m > < k e y > < s t r i n g > S t a v k a I m e A O P < / s t r i n g > < / k e y > < v a l u e > < i n t > 1 9 9 < / i n t > < / v a l u e > < / i t e m > < i t e m > < k e y > < s t r i n g > 5@8>4< / s t r i n g > < / k e y > < v a l u e > < i n t > 8 5 < / i n t > < / v a l u e > < / i t e m > < i t e m > < k e y > < s t r i n g > 5@8>4  ( Y e a r ) < / s t r i n g > < / k e y > < v a l u e > < i n t > 1 2 4 < / i n t > < / v a l u e > < / i t e m > < i t e m > < k e y > < s t r i n g > 5@8>4  ( Q u a r t e r ) < / s t r i n g > < / k e y > < v a l u e > < i n t > 1 4 6 < / i n t > < / v a l u e > < / i t e m > < i t e m > < k e y > < s t r i n g > 5@8>4  ( M o n t h   I n d e x ) < / s t r i n g > < / k e y > < v a l u e > < i n t > 1 7 7 < / i n t > < / v a l u e > < / i t e m > < i t e m > < k e y > < s t r i n g > 5@8>4  ( M o n t h ) < / s t r i n g > < / k e y > < v a l u e > < i n t > 1 3 9 < / 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i t e m > < k e y > < s t r i n g > R e p o r t T y p e < / s t r i n g > < / k e y > < v a l u e > < i n t > 8 < / i n t > < / v a l u e > < / i t e m > < i t e m > < k e y > < s t r i n g > S t a v k a I m e A O P < / s t r i n g > < / k e y > < v a l u e > < i n t > 9 < / i n t > < / v a l u e > < / i t e m > < i t e m > < k e y > < s t r i n g > 5@8>4< / s t r i n g > < / k e y > < v a l u e > < i n t > 1 0 < / i n t > < / v a l u e > < / i t e m > < i t e m > < k e y > < s t r i n g > 5@8>4  ( Y e a r ) < / s t r i n g > < / k e y > < v a l u e > < i n t > 1 1 < / i n t > < / v a l u e > < / i t e m > < i t e m > < k e y > < s t r i n g > 5@8>4  ( Q u a r t e r ) < / s t r i n g > < / k e y > < v a l u e > < i n t > 1 2 < / i n t > < / v a l u e > < / i t e m > < i t e m > < k e y > < s t r i n g > 5@8>4  ( M o n t h   I n d e x ) < / s t r i n g > < / k e y > < v a l u e > < i n t > 1 3 < / i n t > < / v a l u e > < / i t e m > < i t e m > < k e y > < s t r i n g > 5@8>4  ( M o n t h ) < / s t r i n g > < / k e y > < v a l u e > < i n t > 1 4 < / 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S h o w I m p l i c i t M e a s u r e s " > < C u s t o m C o n t e n t > < ! [ C D A T A [ F a l s e ] ] > < / C u s t o m C o n t e n t > < / G e m i n i > 
</file>

<file path=customXml/item51.xml>��< ? x m l   v e r s i o n = " 1 . 0 "   e n c o d i n g = " U T F - 1 6 " ? > < G e m i n i   x m l n s = " h t t p : / / g e m i n i / p i v o t c u s t o m i z a t i o n / T a b l e X M L _ A c t u a l A n d B u d g e t _ 8 a 5 b e 1 1 6 - 9 7 3 c - 4 8 8 4 - a 6 c 1 - 6 3 3 4 0 1 2 d e 9 2 1 " > < 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 5@8>4< / s t r i n g > < / k e y > < v a l u e > < i n t > 1 0 4 < / i n t > < / v a l u e > < / i t e m > < i t e m > < k e y > < s t r i n g > V r e d n o s t < / s t r i n g > < / k e y > < v a l u e > < i n t > 1 1 4 < / i n t > < / v a l u e > < / i t e m > < i t e m > < k e y > < s t r i n g > 7=>A< / s t r i n g > < / k e y > < v a l u e > < i n t > 1 9 9 < / i n t > < / v a l u e > < / i t e m > < / C o l u m n W i d t h s > < C o l u m n D i s p l a y I n d e x > < i t e m > < k e y > < s t r i n g > >=B>< / s t r i n g > < / k e y > < v a l u e > < i n t > 0 < / i n t > < / v a l u e > < / i t e m > < i t e m > < k e y > < s t r i n g > 5@8>4< / s t r i n g > < / k e y > < v a l u e > < i n t > 1 < / i n t > < / v a l u e > < / i t e m > < i t e m > < k e y > < s t r i n g > V r e d n o s t < / s t r i n g > < / k e y > < v a l u e > < i n t > 2 < / i n t > < / v a l u e > < / i t e m > < i t e m > < k e y > < s t r i n g > 7=>A< / s t r i n g > < / k e y > < v a l u e > < i n t > 3 < / 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S a n d b o x N o n E m p t y " > < C u s t o m C o n t e n t > < ! [ C D A T A [ 1 ] ] > < / C u s t o m C o n t e n t > < / G e m i n i > 
</file>

<file path=customXml/item53.xml>��< ? x m l   v e r s i o n = " 1 . 0 "   e n c o d i n g = " U T F - 1 6 " ? > < G e m i n i   x m l n s = " h t t p : / / g e m i n i / p i v o t c u s t o m i z a t i o n / R e l a t i o n s h i p A u t o D e t e c t i o n E n a b l e d " > < C u s t o m C o n t e n t > < ! [ C D A T A [ T r u e ] ] > < / C u s t o m C o n t e n t > < / G e m i n i > 
</file>

<file path=customXml/item54.xml>��< ? x m l   v e r s i o n = " 1 . 0 "   e n c o d i n g = " U T F - 1 6 " ? > < G e m i n i   x m l n s = " h t t p : / / g e m i n i / p i v o t c u s t o m i z a t i o n / T a b l e X M L _ r O b r a z e c F i n a n s i s k i P l a n _ c 1 a 7 5 0 2 3 - b 8 8 4 - 4 5 1 a - b a 1 c - 9 0 b 7 f 1 6 6 e a 0 c " > < C u s t o m C o n t e n t > < ! [ C D A T A [ < T a b l e W i d g e t G r i d S e r i a l i z a t i o n   x m l n s : x s i = " h t t p : / / w w w . w 3 . o r g / 2 0 0 1 / X M L S c h e m a - i n s t a n c e "   x m l n s : x s d = " h t t p : / / w w w . w 3 . o r g / 2 0 0 1 / X M L S c h e m a " > < C o l u m n S u g g e s t e d T y p e   / > < C o l u m n F o r m a t   / > < C o l u m n A c c u r a c y   / > < C o l u m n C u r r e n c y S y m b o l   / > < C o l u m n P o s i t i v e P a t t e r n   / > < C o l u m n N e g a t i v e P a t t e r n   / > < C o l u m n W i d t h s > < i t e m > < k e y > < s t r i n g > -   D8=0=A8A:8  ?;0=< / s t r i n g > < / k e y > < v a l u e > < i n t > 2 1 6 < / i n t > < / v a l u e > < / i t e m > < i t e m > < k e y > < s t r i n g > $- AB02:0< / s t r i n g > < / k e y > < v a l u e > < i n t > 1 2 5 < / i n t > < / v a l u e > < / i t e m > < i t e m > < k e y > < s t r i n g > $- @C?0< / s t r i n g > < / k e y > < v a l u e > < i n t > 1 1 9 < / i n t > < / v a l u e > < / i t e m > < i t e m > < k e y > < s t r i n g > $- 0B53>@8X0< / s t r i n g > < / k e y > < v a l u e > < i n t > 1 6 0 < / i n t > < / v a l u e > < / i t e m > < i t e m > < k e y > < s t r i n g > T o t a l i n g < / s t r i n g > < / k e y > < v a l u e > < i n t > 1 0 2 < / i n t > < / v a l u e > < / i t e m > < / C o l u m n W i d t h s > < C o l u m n D i s p l a y I n d e x > < i t e m > < k e y > < s t r i n g > -   D8=0=A8A:8  ?;0=< / s t r i n g > < / k e y > < v a l u e > < i n t > 0 < / i n t > < / v a l u e > < / i t e m > < i t e m > < k e y > < s t r i n g > $- AB02:0< / s t r i n g > < / k e y > < v a l u e > < i n t > 1 < / i n t > < / v a l u e > < / i t e m > < i t e m > < k e y > < s t r i n g > $- @C?0< / s t r i n g > < / k e y > < v a l u e > < i n t > 2 < / i n t > < / v a l u e > < / i t e m > < i t e m > < k e y > < s t r i n g > $- 0B53>@8X0< / s t r i n g > < / k e y > < v a l u e > < i n t > 3 < / i n t > < / v a l u e > < / i t e m > < i t e m > < k e y > < s t r i n g > T o t a l i n g < / s t r i n g > < / k e y > < v a l u e > < i n t > 4 < / 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d M a p p i n g _ 1 7 7 7 c 2 5 b - f b 9 1 - 4 a f 0 - a 5 a 6 - f e a 1 c b 5 1 9 b d 0 " > < 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 ?8A< / s t r i n g > < / k e y > < v a l u e > < i n t > 8 4 < / i n t > < / v a l u e > < / i t e m > < i t e m > < k e y > < s t r i n g > -   D8=0=A8A:8  ?;0=< / s t r i n g > < / k e y > < v a l u e > < i n t > 2 1 6 < / i n t > < / v a l u e > < / i t e m > < i t e m > < k e y > < s t r i n g > - D8=0=A8A:8  8725HB0X< / s t r i n g > < / k e y > < v a l u e > < i n t > 2 4 4 < / i n t > < / v a l u e > < / i t e m > < i t e m > < k e y > < s t r i n g > - $  =>2< / s t r i n g > < / k e y > < v a l u e > < i n t > 1 3 1 < / i n t > < / v a l u e > < / i t e m > < i t e m > < k e y > < s t r i n g > - >48H=8  A<5B:8< / s t r i n g > < / k e y > < v a l u e > < i n t > 2 0 3 < / i n t > < / v a l u e > < / i t e m > < i t e m > < k e y > < s t r i n g > - < / s t r i n g > < / k e y > < v a l u e > < i n t > 9 4 < / i n t > < / v a l u e > < / i t e m > < / C o l u m n W i d t h s > < C o l u m n D i s p l a y I n d e x > < i t e m > < k e y > < s t r i n g > >=B>< / s t r i n g > < / k e y > < v a l u e > < i n t > 0 < / i n t > < / v a l u e > < / i t e m > < i t e m > < k e y > < s t r i n g > ?8A< / s t r i n g > < / k e y > < v a l u e > < i n t > 1 < / i n t > < / v a l u e > < / i t e m > < i t e m > < k e y > < s t r i n g > -   D8=0=A8A:8  ?;0=< / s t r i n g > < / k e y > < v a l u e > < i n t > 2 < / i n t > < / v a l u e > < / i t e m > < i t e m > < k e y > < s t r i n g > - D8=0=A8A:8  8725HB0X< / s t r i n g > < / k e y > < v a l u e > < i n t > 3 < / i n t > < / v a l u e > < / i t e m > < i t e m > < k e y > < s t r i n g > - $  =>2< / s t r i n g > < / k e y > < v a l u e > < i n t > 4 < / i n t > < / v a l u e > < / i t e m > < i t e m > < k e y > < s t r i n g > - >48H=8  A<5B:8< / s t r i n g > < / k e y > < v a l u e > < i n t > 5 < / i n t > < / v a l u e > < / i t e m > < i t e m > < k e y > < s t r i n g > - < / s t r i n g > < / k e y > < v a l u e > < i n t > 6 < / 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T a b l e X M L _ d O b r a s c i _ d e 3 6 a 7 8 f - d b 6 4 - 4 c 5 e - 8 5 9 4 - 8 3 0 5 9 2 d 6 f b f 1 " > < C u s t o m C o n t e n t > < ! [ C D A T A [ < T a b l e W i d g e t G r i d S e r i a l i z a t i o n   x m l n s : x s i = " h t t p : / / w w w . w 3 . o r g / 2 0 0 1 / X M L S c h e m a - i n s t a n c e "   x m l n s : x s d = " h t t p : / / w w w . w 3 . o r g / 2 0 0 1 / X M L S c h e m a " > < C o l u m n S u g g e s t e d T y p e   / > < C o l u m n F o r m a t   / > < C o l u m n A c c u r a c y   / > < C o l u m n C u r r e n c y S y m b o l   / > < C o l u m n P o s i t i v e P a t t e r n   / > < C o l u m n N e g a t i v e P a t t e r n   / > < C o l u m n W i d t h s > < i t e m > < k e y > < s t r i n g > O b r a z e c I D < / s t r i n g > < / k e y > < v a l u e > < i n t > 1 2 5 < / i n t > < / v a l u e > < / i t e m > < i t e m > < k e y > < s t r i n g > S t a v k a A O P < / s t r i n g > < / k e y > < v a l u e > < i n t > 1 2 8 < / i n t > < / v a l u e > < / i t e m > < i t e m > < k e y > < s t r i n g > S t a v k a I D < / s t r i n g > < / k e y > < v a l u e > < i n t > 1 1 2 < / i n t > < / v a l u e > < / i t e m > < i t e m > < k e y > < s t r i n g > S t a v k a I m e M K < / s t r i n g > < / k e y > < v a l u e > < i n t > 1 5 0 < / i n t > < / v a l u e > < / i t e m > < / C o l u m n W i d t h s > < C o l u m n D i s p l a y I n d e x > < i t e m > < k e y > < s t r i n g > O b r a z e c I D < / s t r i n g > < / k e y > < v a l u e > < i n t > 0 < / i n t > < / v a l u e > < / i t e m > < i t e m > < k e y > < s t r i n g > S t a v k a A O P < / s t r i n g > < / k e y > < v a l u e > < i n t > 1 < / i n t > < / v a l u e > < / i t e m > < i t e m > < k e y > < s t r i n g > S t a v k a I D < / s t r i n g > < / k e y > < v a l u e > < i n t > 2 < / i n t > < / v a l u e > < / i t e m > < i t e m > < k e y > < s t r i n g > S t a v k a I m e M K < / s t r i n g > < / k e y > < v a l u e > < i n t > 3 < / 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C l i e n t W i n d o w X M L " > < C u s t o m C o n t e n t > < ! [ C D A T A [ f A c t u a l A n d B u d g e t _ 5 c 6 4 6 e a 0 - 5 1 7 5 - 4 9 4 3 - 8 c 6 b - b 8 5 7 4 f 5 b 2 f b 7 ] ] > < / C u s t o m C o n t e n t > < / G e m i n i > 
</file>

<file path=customXml/item58.xml>��< ? x m l   v e r s i o n = " 1 . 0 "   e n c o d i n g = " U T F - 1 6 " ? > < G e m i n i   x m l n s = " h t t p : / / g e m i n i / p i v o t c u s t o m i z a t i o n / T a b l e X M L _ f A r t i k l i C e n i _ 1 e e b 4 7 b c - 6 3 6 6 - 4 c 0 0 - 9 2 b 5 - 9 f 6 a c 3 4 5 8 1 2 f " > < C u s t o m C o n t e n t > < ! [ C D A T A [ < T a b l e W i d g e t G r i d S e r i a l i z a t i o n   x m l n s : x s i = " h t t p : / / w w w . w 3 . o r g / 2 0 0 1 / X M L S c h e m a - i n s t a n c e "   x m l n s : x s d = " h t t p : / / w w w . w 3 . o r g / 2 0 0 1 / X M L S c h e m a " > < C o l u m n S u g g e s t e d T y p e   / > < C o l u m n F o r m a t   / > < C o l u m n A c c u r a c y   / > < C o l u m n C u r r e n c y S y m b o l   / > < C o l u m n P o s i t i v e P a t t e r n   / > < C o l u m n N e g a t i v e P a t t e r n   / > < C o l u m n W i d t h s > < i t e m > < k e y > < s t r i n g > @B8:;  < / s t r i n g > < / k e y > < v a l u e > < i n t > 1 2 8 < / i n t > < / v a l u e > < / i t e m > < i t e m > < k e y > < s t r i n g > @B8:;  =0782< / s t r i n g > < / k e y > < v a l u e > < i n t > 1 5 0 < / i n t > < / v a l u e > < / i t e m > < i t e m > < k e y > < s t r i n g > 0B53>@8X0  @B8:;  < / s t r i n g > < / k e y > < v a l u e > < i n t > 2 1 8 < / i n t > < / v a l u e > < / i t e m > < i t e m > < k e y > < s t r i n g > 0B53>@8X0  @B8:;< / s t r i n g > < / k e y > < v a l u e > < i n t > 1 9 0 < / i n t > < / v a l u e > < / i t e m > < i t e m > < k e y > < s t r i n g > "8?  =0  0@B8:;< / s t r i n g > < / k e y > < v a l u e > < i n t > 1 5 3 < / i n t > < / v a l u e > < / i t e m > < i t e m > < k e y > < s t r i n g > 48=5G=0  <5@:0< / s t r i n g > < / k e y > < v a l u e > < i n t > 1 7 4 < / i n t > < / v a l u e > < / i t e m > < i t e m > < k e y > < s t r i n g > >;8G8=0< / s t r i n g > < / k e y > < v a l u e > < i n t > 1 2 1 < / i n t > < / v a l u e > < / i t e m > < i t e m > < k e y > < s t r i n g > 48=5G=0  F5=0< / s t r i n g > < / k e y > < v a l u e > < i n t > 1 6 2 < / i n t > < / v a l u e > < / i t e m > < i t e m > < k e y > < s t r i n g > :C?=>  B@>H>:< / s t r i n g > < / k e y > < v a l u e > < i n t > 1 6 5 < / i n t > < / v a l u e > < / i t e m > < i t e m > < k e y > < s t r i n g > < / s t r i n g > < / k e y > < v a l u e > < i n t > 7 7 < / i n t > < / v a l u e > < / i t e m > < i t e m > < k e y > < s t r i n g > :C?=>  B@>H>:  A>  < / s t r i n g > < / k e y > < v a l u e > < i n t > 2 2 5 < / 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 5@8>4< / s t r i n g > < / k e y > < v a l u e > < i n t > 1 0 4 < / i n t > < / v a l u e > < / i t e m > < i t e m > < k e y > < s t r i n g > R e p o r t T y p e < / s t r i n g > < / k e y > < v a l u e > < i n t > 1 3 1 < / i n t > < / v a l u e > < / i t e m > < i t e m > < k e y > < s t r i n g > O b r a z e c I m e < / s t r i n g > < / k e y > < v a l u e > < i n t > 1 3 7 < / i n t > < / v a l u e > < / i t e m > < i t e m > < k e y > < s t r i n g > A O P - S t a v k a I m e < / s t r i n g > < / k e y > < v a l u e > < i n t > 4 1 0 < / i n t > < / v a l u e > < / i t e m > < / C o l u m n W i d t h s > < C o l u m n D i s p l a y I n d e x > < i t e m > < k e y > < s t r i n g > @B8:;  < / s t r i n g > < / k e y > < v a l u e > < i n t > 0 < / i n t > < / v a l u e > < / i t e m > < i t e m > < k e y > < s t r i n g > @B8:;  =0782< / s t r i n g > < / k e y > < v a l u e > < i n t > 1 < / i n t > < / v a l u e > < / i t e m > < i t e m > < k e y > < s t r i n g > 0B53>@8X0  @B8:;  < / s t r i n g > < / k e y > < v a l u e > < i n t > 2 < / i n t > < / v a l u e > < / i t e m > < i t e m > < k e y > < s t r i n g > 0B53>@8X0  @B8:;< / s t r i n g > < / k e y > < v a l u e > < i n t > 3 < / i n t > < / v a l u e > < / i t e m > < i t e m > < k e y > < s t r i n g > "8?  =0  0@B8:;< / s t r i n g > < / k e y > < v a l u e > < i n t > 4 < / i n t > < / v a l u e > < / i t e m > < i t e m > < k e y > < s t r i n g > 48=5G=0  <5@:0< / s t r i n g > < / k e y > < v a l u e > < i n t > 5 < / i n t > < / v a l u e > < / i t e m > < i t e m > < k e y > < s t r i n g > >;8G8=0< / s t r i n g > < / k e y > < v a l u e > < i n t > 6 < / i n t > < / v a l u e > < / i t e m > < i t e m > < k e y > < s t r i n g > 48=5G=0  F5=0< / s t r i n g > < / k e y > < v a l u e > < i n t > 7 < / i n t > < / v a l u e > < / i t e m > < i t e m > < k e y > < s t r i n g > :C?=>  B@>H>:< / s t r i n g > < / k e y > < v a l u e > < i n t > 8 < / i n t > < / v a l u e > < / i t e m > < i t e m > < k e y > < s t r i n g > < / s t r i n g > < / k e y > < v a l u e > < i n t > 9 < / i n t > < / v a l u e > < / i t e m > < i t e m > < k e y > < s t r i n g > :C?=>  B@>H>:  A>  < / s t r i n g > < / k e y > < v a l u e > < i n t > 1 0 < / i n t > < / v a l u e > < / i t e m > < i t e m > < k e y > < s t r i n g > >=B>< / s t r i n g > < / k e y > < v a l u e > < i n t > 1 1 < / i n t > < / v a l u e > < / i t e m > < i t e m > < k e y > < s t r i n g > S t a v k a I m e M K < / s t r i n g > < / k e y > < v a l u e > < i n t > 1 2 < / i n t > < / v a l u e > < / i t e m > < i t e m > < k e y > < s t r i n g > S t a v k a A O P < / s t r i n g > < / k e y > < v a l u e > < i n t > 1 3 < / i n t > < / v a l u e > < / i t e m > < i t e m > < k e y > < s t r i n g > S t a v k a G r u p a < / s t r i n g > < / k e y > < v a l u e > < i n t > 1 4 < / i n t > < / v a l u e > < / i t e m > < i t e m > < k e y > < s t r i n g > S t a v k a K a t e g o r i j a < / s t r i n g > < / k e y > < v a l u e > < i n t > 1 5 < / i n t > < / v a l u e > < / i t e m > < i t e m > < k e y > < s t r i n g > 5@8>4< / s t r i n g > < / k e y > < v a l u e > < i n t > 1 7 < / i n t > < / v a l u e > < / i t e m > < i t e m > < k e y > < s t r i n g > R e p o r t T y p e < / s t r i n g > < / k e y > < v a l u e > < i n t > 1 8 < / i n t > < / v a l u e > < / i t e m > < i t e m > < k e y > < s t r i n g > O b r a z e c I m e < / s t r i n g > < / k e y > < v a l u e > < i n t > 1 6 < / i n t > < / v a l u e > < / i t e m > < i t e m > < k e y > < s t r i n g > A O P - S t a v k a I m e < / s t r i n g > < / k e y > < v a l u e > < i n t > 1 9 < / 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S h o w H i d d e n " > < C u s t o m C o n t e n t > < ! [ C D A T A [ T r u e ] ] > < / C u s t o m C o n t e n t > < / G e m i n i > 
</file>

<file path=customXml/item6.xml>��< ? x m l   v e r s i o n = " 1 . 0 "   e n c o d i n g = " U T F - 1 6 " ? > < G e m i n i   x m l n s = " h t t p : / / g e m i n i / p i v o t c u s t o m i z a t i o n / T a b l e X M L _ f P r i h o d i O s t a n a t i _ 3 d 8 0 2 1 f e - 5 6 a 3 - 4 6 9 c - a 0 d 4 - 2 3 9 b 1 9 3 b c a b 5 " > < C u s t o m C o n t e n t > < ! [ C D A T A [ < T a b l e W i d g e t G r i d S e r i a l i z a t i o n   x m l n s : x s i = " h t t p : / / w w w . w 3 . o r g / 2 0 0 1 / X M L S c h e m a - i n s t a n c e "   x m l n s : x s d = " h t t p : / / w w w . w 3 . o r g / 2 0 0 1 / X M L S c h e m a " > < C o l u m n S u g g e s t e d T y p e   / > < C o l u m n F o r m a t   / > < C o l u m n A c c u r a c y   / > < C o l u m n C u r r e n c y S y m b o l   / > < C o l u m n P o s i t i v e P a t t e r n   / > < C o l u m n N e g a t i v e P a t t e r n   / > < C o l u m n W i d t h s > < i t e m > < k e y > < s t r i n g > #A;C30  =0782< / s t r i n g > < / k e y > < v a l u e > < i n t > 1 4 5 < / i n t > < / v a l u e > < / i t e m > < i t e m > < k e y > < s t r i n g > 5@8>4< / s t r i n g > < / k e y > < v a l u e > < i n t > 1 0 4 < / i n t > < / v a l u e > < / i t e m > < i t e m > < k e y > < s t r i n g > @8E>48< / s t r i n g > < / k e y > < v a l u e > < i n t > 1 1 3 < / i n t > < / v a l u e > < / i t e m > < i t e m > < k e y > < s t r i n g > >=B>< / s t r i n g > < / k e y > < v a l u e > < i n t > 9 0 < / i n t > < / v a l u e > < / i t e m > < / C o l u m n W i d t h s > < C o l u m n D i s p l a y I n d e x > < i t e m > < k e y > < s t r i n g > #A;C30  =0782< / s t r i n g > < / k e y > < v a l u e > < i n t > 0 < / i n t > < / v a l u e > < / i t e m > < i t e m > < k e y > < s t r i n g > 5@8>4< / s t r i n g > < / k e y > < v a l u e > < i n t > 1 < / i n t > < / v a l u e > < / i t e m > < i t e m > < k e y > < s t r i n g > @8E>48< / s t r i n g > < / k e y > < v a l u e > < i n t > 2 < / i n t > < / v a l u e > < / i t e m > < i t e m > < k e y > < s t r i n g > >=B>< / s t r i n g > < / k e y > < v a l u e > < i n t > 3 < / 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T a b l e X M L _ f A r t i k l i C e n i     2 _ 1 0 5 5 3 8 c e - e d 1 0 - 4 6 2 e - a 6 c f - 5 f 7 7 4 1 5 3 e 3 b a " > < C u s t o m C o n t e n t   x m l n s = " h t t p : / / g e m i n i / p i v o t c u s t o m i z a t i o n / T a b l e X M L _ f A r t i k l i C e n i   2 _ 1 0 5 5 3 8 c e - e d 1 0 - 4 6 2 e - a 6 c f - 5 f 7 7 4 1 5 3 e 3 b a " > < ! [ C D A T A [ < T a b l e W i d g e t G r i d S e r i a l i z a t i o n   x m l n s : x s i = " h t t p : / / w w w . w 3 . o r g / 2 0 0 1 / X M L S c h e m a - i n s t a n c e "   x m l n s : x s d = " h t t p : / / w w w . w 3 . o r g / 2 0 0 1 / X M L S c h e m a " > < C o l u m n S u g g e s t e d T y p e   / > < C o l u m n F o r m a t   / > < C o l u m n A c c u r a c y   / > < C o l u m n C u r r e n c y S y m b o l   / > < C o l u m n P o s i t i v e P a t t e r n   / > < C o l u m n N e g a t i v e P a t t e r n   / > < C o l u m n W i d t h s > < i t e m > < k e y > < s t r i n g > !B02:0< / s t r i n g > < / k e y > < v a l u e > < i n t > 9 6 < / i n t > < / v a l u e > < / i t e m > < i t e m > < k e y > < s t r i n g > 7=>A< / s t r i n g > < / k e y > < v a l u e > < i n t > 9 1 < / i n t > < / v a l u e > < / i t e m > < i t e m > < k e y > < s t r i n g > >=B>< / s t r i n g > < / k e y > < v a l u e > < i n t > 9 0 < / i n t > < / v a l u e > < / i t e m > < i t e m > < k e y > < s t r i n g > S t a v k a I m e M K < / s t r i n g > < / k e y > < v a l u e > < i n t > 1 5 0 < / i n t > < / v a l u e > < / i t e m > < i t e m > < k e y > < s t r i n g > S t a v k a A O P < / s t r i n g > < / k e y > < v a l u e > < i n t > 1 2 8 < / i n t > < / v a l u e > < / i t e m > < i t e m > < k e y > < s t r i n g > S t a v k a G r u p a < / s t r i n g > < / k e y > < v a l u e > < i n t > 1 4 2 < / i n t > < / v a l u e > < / i t e m > < i t e m > < k e y > < s t r i n g > S t a v k a K a t e g o r i j a < / s t r i n g > < / k e y > < v a l u e > < i n t > 1 7 2 < / i n t > < / v a l u e > < / i t e m > < i t e m > < k e y > < s t r i n g > O b r a z e c I m e < / s t r i n g > < / k e y > < v a l u e > < i n t > 1 3 7 < / i n t > < / v a l u e > < / i t e m > < / C o l u m n W i d t h s > < C o l u m n D i s p l a y I n d e x > < i t e m > < k e y > < s t r i n g > !B02:0< / s t r i n g > < / k e y > < v a l u e > < i n t > 0 < / i n t > < / v a l u e > < / i t e m > < i t e m > < k e y > < s t r i n g > 7=>A< / s t r i n g > < / k e y > < v a l u e > < i n t > 1 < / i n t > < / v a l u e > < / i t e m > < i t e m > < k e y > < s t r i n g > >=B>< / s t r i n g > < / k e y > < v a l u e > < i n t > 2 < / i n t > < / v a l u e > < / i t e m > < i t e m > < k e y > < s t r i n g > S t a v k a I m e M K < / s t r i n g > < / k e y > < v a l u e > < i n t > 3 < / i n t > < / v a l u e > < / i t e m > < i t e m > < k e y > < s t r i n g > S t a v k a A O P < / s t r i n g > < / k e y > < v a l u e > < i n t > 4 < / i n t > < / v a l u e > < / i t e m > < i t e m > < k e y > < s t r i n g > S t a v k a G r u p a < / s t r i n g > < / k e y > < v a l u e > < i n t > 5 < / i n t > < / v a l u e > < / i t e m > < i t e m > < k e y > < s t r i n g > S t a v k a K a t e g o r i j a < / s t r i n g > < / k e y > < v a l u e > < i n t > 6 < / i n t > < / v a l u e > < / i t e m > < i t e m > < k e y > < s t r i n g > O b r a z e c I m e < / s t r i n g > < / k e y > < v a l u e > < i n t > 7 < / 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T a b l e X M L _ r O b r a z e c F i n a n s i s k i P l a n 2 0 1 9 _ 2 e 1 c f 2 1 4 - 6 1 0 8 - 4 f 7 0 - a 5 a 3 - 2 2 9 c 6 2 4 d c b d 1 " > < C u s t o m C o n t e n t > < ! [ C D A T A [ < T a b l e W i d g e t G r i d S e r i a l i z a t i o n   x m l n s : x s i = " h t t p : / / w w w . w 3 . o r g / 2 0 0 1 / X M L S c h e m a - i n s t a n c e "   x m l n s : x s d = " h t t p : / / w w w . w 3 . o r g / 2 0 0 1 / X M L S c h e m a " > < C o l u m n S u g g e s t e d T y p e   / > < C o l u m n F o r m a t   / > < C o l u m n A c c u r a c y   / > < C o l u m n C u r r e n c y S y m b o l   / > < C o l u m n P o s i t i v e P a t t e r n   / > < C o l u m n N e g a t i v e P a t t e r n   / > < C o l u m n W i d t h s > < i t e m > < k e y > < s t r i n g > -   D8=0=A8A:8  ?;0=< / s t r i n g > < / k e y > < v a l u e > < i n t > 2 1 6 < / i n t > < / v a l u e > < / i t e m > < i t e m > < k e y > < s t r i n g > $- AB02:0< / s t r i n g > < / k e y > < v a l u e > < i n t > 1 2 5 < / i n t > < / v a l u e > < / i t e m > < i t e m > < k e y > < s t r i n g > $- @C?0< / s t r i n g > < / k e y > < v a l u e > < i n t > 1 1 9 < / i n t > < / v a l u e > < / i t e m > < i t e m > < k e y > < s t r i n g > $- 0B53>@8X0< / s t r i n g > < / k e y > < v a l u e > < i n t > 1 6 0 < / i n t > < / v a l u e > < / i t e m > < i t e m > < k e y > < s t r i n g > T o t a l i n g < / s t r i n g > < / k e y > < v a l u e > < i n t > 1 0 2 < / i n t > < / v a l u e > < / i t e m > < / C o l u m n W i d t h s > < C o l u m n D i s p l a y I n d e x > < i t e m > < k e y > < s t r i n g > -   D8=0=A8A:8  ?;0=< / s t r i n g > < / k e y > < v a l u e > < i n t > 0 < / i n t > < / v a l u e > < / i t e m > < i t e m > < k e y > < s t r i n g > $- AB02:0< / s t r i n g > < / k e y > < v a l u e > < i n t > 1 < / i n t > < / v a l u e > < / i t e m > < i t e m > < k e y > < s t r i n g > $- @C?0< / s t r i n g > < / k e y > < v a l u e > < i n t > 2 < / i n t > < / v a l u e > < / i t e m > < i t e m > < k e y > < s t r i n g > $- 0B53>@8X0< / s t r i n g > < / k e y > < v a l u e > < i n t > 3 < / i n t > < / v a l u e > < / i t e m > < i t e m > < k e y > < s t r i n g > T o t a l i n g < / s t r i n g > < / k e y > < v a l u e > < i n t > 4 < / 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I s S a n d b o x E m b e d d e d " > < C u s t o m C o n t e n t > < ! [ C D A T A [ y e s ] ] > < / C u s t o m C o n t e n t > < / G e m i n i > 
</file>

<file path=customXml/item63.xml>��< ? x m l   v e r s i o n = " 1 . 0 "   e n c o d i n g = " U T F - 1 6 " ? > < G e m i n i   x m l n s = " h t t p : / / g e m i n i / p i v o t c u s t o m i z a t i o n / T a b l e X M L _ f N a b a v k i _ b 6 c a 8 2 2 c - 1 0 7 8 - 4 5 e 6 - a 6 6 a - 2 5 9 a 6 6 6 4 6 c 1 1 " > < C u s t o m C o n t e n t > < ! [ C D A T A [ < T a b l e W i d g e t G r i d S e r i a l i z a t i o n   x m l n s : x s i = " h t t p : / / w w w . w 3 . o r g / 2 0 0 1 / X M L S c h e m a - i n s t a n c e "   x m l n s : x s d = " h t t p : / / w w w . w 3 . o r g / 2 0 0 1 / X M L S c h e m a " > < C o l u m n S u g g e s t e d T y p e   / > < C o l u m n F o r m a t   / > < C o l u m n A c c u r a c y   / > < C o l u m n C u r r e n c y S y m b o l   / > < C o l u m n P o s i t i v e P a t t e r n   / > < C o l u m n N e g a t i v e P a t t e r n   / > < C o l u m n W i d t h s > < i t e m > < k e y > < s t r i n g > 0B53>@8X0  @B8:;  < / s t r i n g > < / k e y > < v a l u e > < i n t > 2 1 8 < / i n t > < / v a l u e > < / i t e m > < i t e m > < k e y > < s t r i n g > >:0F8X0< / s t r i n g > < / k e y > < v a l u e > < i n t > 1 1 7 < / i n t > < / v a l u e > < / i t e m > < i t e m > < k e y > < s t r i n g > @B8:;  < / s t r i n g > < / k e y > < v a l u e > < i n t > 1 2 8 < / i n t > < / v a l u e > < / i t e m > < i t e m > < k e y > < s t r i n g > >=B>< / s t r i n g > < / k e y > < v a l u e > < i n t > 9 0 < / i n t > < / v a l u e > < / i t e m > < i t e m > < k e y > < s t r i n g > 7=>A< / s t r i n g > < / k e y > < v a l u e > < i n t > 9 1 < / i n t > < / v a l u e > < / i t e m > < i t e m > < k e y > < s t r i n g > R e p o r t T y p e < / s t r i n g > < / k e y > < v a l u e > < i n t > 1 3 1 < / i n t > < / v a l u e > < / i t e m > < i t e m > < k e y > < s t r i n g > 0B53>@8X0  @B8:;< / s t r i n g > < / k e y > < v a l u e > < i n t > 1 9 0 < / i n t > < / v a l u e > < / i t e m > < i t e m > < k e y > < s t r i n g > "8?  =0  0@B8:;< / s t r i n g > < / k e y > < v a l u e > < i n t > 1 5 3 < / i n t > < / v a l u e > < / i t e m > < i t e m > < k e y > < s t r i n g > "8?  =0  =0102:0< / s t r i n g > < / k e y > < v a l u e > < i n t > 1 6 3 < / i n t > < / v a l u e > < / i t e m > < i t e m > < k e y > < s t r i n g > >:0F8X0. 1 < / s t r i n g > < / k e y > < v a l u e > < i n t > 1 3 2 < / i n t > < / v a l u e > < / i t e m > < i t e m > < k e y > < s t r i n g > @30=870F8>=0  548=8F0  >43>2>@=0  70  =0102:0B0< / s t r i n g > < / k e y > < v a l u e > < i n t > 4 3 6 < / i n t > < / v a l u e > < / i t e m > < i t e m > < k e y > < s t r i n g > !B02:0< / s t r i n g > < / k e y > < v a l u e > < i n t > 9 6 < / i n t > < / v a l u e > < / i t e m > < i t e m > < k e y > < s t r i n g > 5@8>4< / s t r i n g > < / k e y > < v a l u e > < i n t > 1 0 4 < / i n t > < / v a l u e > < / i t e m > < / C o l u m n W i d t h s > < C o l u m n D i s p l a y I n d e x > < i t e m > < k e y > < s t r i n g > 0B53>@8X0  @B8:;  < / s t r i n g > < / k e y > < v a l u e > < i n t > 8 < / i n t > < / v a l u e > < / i t e m > < i t e m > < k e y > < s t r i n g > >:0F8X0< / s t r i n g > < / k e y > < v a l u e > < i n t > 7 < / i n t > < / v a l u e > < / i t e m > < i t e m > < k e y > < s t r i n g > @B8:;  < / s t r i n g > < / k e y > < v a l u e > < i n t > 6 < / i n t > < / v a l u e > < / i t e m > < i t e m > < k e y > < s t r i n g > >=B>< / s t r i n g > < / k e y > < v a l u e > < i n t > 0 < / i n t > < / v a l u e > < / i t e m > < i t e m > < k e y > < s t r i n g > 7=>A< / s t r i n g > < / k e y > < v a l u e > < i n t > 1 < / i n t > < / v a l u e > < / i t e m > < i t e m > < k e y > < s t r i n g > R e p o r t T y p e < / s t r i n g > < / k e y > < v a l u e > < i n t > 2 < / i n t > < / v a l u e > < / i t e m > < i t e m > < k e y > < s t r i n g > 0B53>@8X0  @B8:;< / s t r i n g > < / k e y > < v a l u e > < i n t > 3 < / i n t > < / v a l u e > < / i t e m > < i t e m > < k e y > < s t r i n g > "8?  =0  0@B8:;< / s t r i n g > < / k e y > < v a l u e > < i n t > 4 < / i n t > < / v a l u e > < / i t e m > < i t e m > < k e y > < s t r i n g > "8?  =0  =0102:0< / s t r i n g > < / k e y > < v a l u e > < i n t > 5 < / i n t > < / v a l u e > < / i t e m > < i t e m > < k e y > < s t r i n g > >:0F8X0. 1 < / s t r i n g > < / k e y > < v a l u e > < i n t > 9 < / i n t > < / v a l u e > < / i t e m > < i t e m > < k e y > < s t r i n g > @30=870F8>=0  548=8F0  >43>2>@=0  70  =0102:0B0< / s t r i n g > < / k e y > < v a l u e > < i n t > 1 0 < / i n t > < / v a l u e > < / i t e m > < i t e m > < k e y > < s t r i n g > !B02:0< / s t r i n g > < / k e y > < v a l u e > < i n t > 1 1 < / i n t > < / v a l u e > < / i t e m > < i t e m > < k e y > < s t r i n g > 5@8>4< / s t r i n g > < / k e y > < v a l u e > < i n t > 1 2 < / i n t > < / v a l u e > < / i t e m > < / C o l u m n D i s p l a y I n d e x > < C o l u m n F r o z e n   / > < C o l u m n C h e c k e d   / > < C o l u m n F i l t e r   / > < S e l e c t i o n F i l t e r   / > < F i l t e r P a r a m e t e r s   / > < I s S o r t D e s c e n d i n g > f a l s e < / I s S o r t D e s c e n d i n g > < / T a b l e W i d g e t G r i d S e r i a l i z a t i o n > ] ] > < / C u s t o m C o n t e n t > < / G e m i n i > 
</file>

<file path=customXml/item6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 2 0 2 1 - 1 1 - 1 7 T 1 3 : 3 2 : 5 2 . 3 6 9 3 7 1 8 + 0 1 : 0 0 < / L a s t P r o c e s s e d T i m e > < / D a t a M o d e l i n g S a n d b o x . S e r i a l i z e d S a n d b o x E r r o r C a c h e > ] ] > < / C u s t o m C o n t e n t > < / G e m i n i > 
</file>

<file path=customXml/item65.xml>��< ? x m l   v e r s i o n = " 1 . 0 "   e n c o d i n g = " U T F - 1 6 " ? > < G e m i n i   x m l n s = " h t t p : / / g e m i n i / p i v o t c u s t o m i z a t i o n / T a b l e X M L _ M a p p i n g _ c 3 6 4 6 c 0 1 - 9 1 3 6 - 4 9 8 0 - 9 f 9 1 - 4 3 f e f 7 e 5 6 6 d 3 " > < C u s t o m C o n t e n t > < ! [ C D A T A [ < T a b l e W i d g e t G r i d S e r i a l i z a t i o n   x m l n s : x s i = " h t t p : / / w w w . w 3 . o r g / 2 0 0 1 / X M L S c h e m a - i n s t a n c e "   x m l n s : x s d = " h t t p : / / w w w . w 3 . o r g / 2 0 0 1 / X M L S c h e m a " > < C o l u m n S u g g e s t e d T y p e   / > < C o l u m n F o r m a t   / > < C o l u m n A c c u r a c y   / > < C o l u m n C u r r e n c y S y m b o l   / > < C o l u m n P o s i t i v e P a t t e r n   / > < C o l u m n N e g a t i v e P a t t e r n   / > < C o l u m n W i d t h s > < i t e m > < k e y > < s t r i n g > >=B>< / s t r i n g > < / k e y > < v a l u e > < i n t > 9 0 < / i n t > < / v a l u e > < / i t e m > < i t e m > < k e y > < s t r i n g > ?8A< / s t r i n g > < / k e y > < v a l u e > < i n t > 8 4 < / i n t > < / v a l u e > < / i t e m > < i t e m > < k e y > < s t r i n g > -   D8=0=A8A:8  ?;0=< / s t r i n g > < / k e y > < v a l u e > < i n t > 2 1 6 < / i n t > < / v a l u e > < / i t e m > < i t e m > < k e y > < s t r i n g > - D8=0=A8A:8  8725HB0X< / s t r i n g > < / k e y > < v a l u e > < i n t > 2 4 4 < / i n t > < / v a l u e > < / i t e m > < i t e m > < k e y > < s t r i n g > - $  =>2< / s t r i n g > < / k e y > < v a l u e > < i n t > 1 3 1 < / i n t > < / v a l u e > < / i t e m > < i t e m > < k e y > < s t r i n g > - >48H=8  A<5B:8< / s t r i n g > < / k e y > < v a l u e > < i n t > 2 0 3 < / i n t > < / v a l u e > < / i t e m > < i t e m > < k e y > < s t r i n g > - < / s t r i n g > < / k e y > < v a l u e > < i n t > 9 4 < / i n t > < / v a l u e > < / i t e m > < / C o l u m n W i d t h s > < C o l u m n D i s p l a y I n d e x > < i t e m > < k e y > < s t r i n g > >=B>< / s t r i n g > < / k e y > < v a l u e > < i n t > 0 < / i n t > < / v a l u e > < / i t e m > < i t e m > < k e y > < s t r i n g > ?8A< / s t r i n g > < / k e y > < v a l u e > < i n t > 1 < / i n t > < / v a l u e > < / i t e m > < i t e m > < k e y > < s t r i n g > -   D8=0=A8A:8  ?;0=< / s t r i n g > < / k e y > < v a l u e > < i n t > 2 < / i n t > < / v a l u e > < / i t e m > < i t e m > < k e y > < s t r i n g > - D8=0=A8A:8  8725HB0X< / s t r i n g > < / k e y > < v a l u e > < i n t > 3 < / i n t > < / v a l u e > < / i t e m > < i t e m > < k e y > < s t r i n g > - $  =>2< / s t r i n g > < / k e y > < v a l u e > < i n t > 4 < / i n t > < / v a l u e > < / i t e m > < i t e m > < k e y > < s t r i n g > - >48H=8  A<5B:8< / s t r i n g > < / k e y > < v a l u e > < i n t > 5 < / i n t > < / v a l u e > < / i t e m > < i t e m > < k e y > < s t r i n g > - < / s t r i n g > < / k e y > < v a l u e > < i n t > 6 < / i n t > < / v a l u e > < / i t e m > < / C o l u m n D i s p l a y I n d e x > < C o l u m n F r o z e n   / > < C o l u m n C h e c k e d   / > < C o l u m n F i l t e r   / > < S e l e c t i o n F i l t e r   / > < F i l t e r P a r a m e t e r s   / > < I s S o r t D e s c e n d i n g > f a l s e < / I s S o r t D e s c e n d i n g > < / T a b l e W i d g e t G r i d S e r i a l i z a t i o n > ] ] > < / C u s t o m C o n t e n t > < / G e m i n i > 
</file>

<file path=customXml/item66.xml>��< ? x m l   v e r s i o n = " 1 . 0 "   e n c o d i n g = " U T F - 1 6 " ? > < G e m i n i   x m l n s = " h t t p : / / g e m i n i / p i v o t c u s t o m i z a t i o n / T a b l e X M L _ K a t e g o r i j a _ P r o e k t _ 2 5 5 d 2 b 9 4 - 7 e 8 f - 4 0 f f - b 4 7 6 - 7 e 5 a 8 e b b 5 e 9 b " > < C u s t o m C o n t e n t > < ! [ C D A T A [ < T a b l e W i d g e t G r i d S e r i a l i z a t i o n   x m l n s : x s i = " h t t p : / / w w w . w 3 . o r g / 2 0 0 1 / X M L S c h e m a - i n s t a n c e "   x m l n s : x s d = " h t t p : / / w w w . w 3 . o r g / 2 0 0 1 / X M L S c h e m a " > < C o l u m n S u g g e s t e d T y p e   / > < C o l u m n F o r m a t   / > < C o l u m n A c c u r a c y   / > < C o l u m n C u r r e n c y S y m b o l   / > < C o l u m n P o s i t i v e P a t t e r n   / > < C o l u m n N e g a t i v e P a t t e r n   / > < C o l u m n W i d t h s > < i t e m > < k e y > < s t r i n g > 0B53>@8X0  ?@>5:B  < / s t r i n g > < / k e y > < v a l u e > < i n t > 2 1 6 < / i n t > < / v a l u e > < / i t e m > < i t e m > < k e y > < s t r i n g > 0B53>@8X0  @>5:B< / s t r i n g > < / k e y > < v a l u e > < i n t > 1 9 0 < / i n t > < / v a l u e > < / i t e m > < / C o l u m n W i d t h s > < C o l u m n D i s p l a y I n d e x > < i t e m > < k e y > < s t r i n g > 0B53>@8X0  ?@>5:B  < / s t r i n g > < / k e y > < v a l u e > < i n t > 0 < / i n t > < / v a l u e > < / i t e m > < i t e m > < k e y > < s t r i n g > 0B53>@8X0  @>5:B< / s t r i n g > < / k e y > < v a l u e > < i n t > 1 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C A P E X _ 2 a 5 8 1 c 2 f - d c 8 a - 4 4 7 d - 9 b 3 7 - 6 1 a f f 2 c 8 b 5 1 8 " > < C u s t o m C o n t e n t > < ! [ C D A T A [ < T a b l e W i d g e t G r i d S e r i a l i z a t i o n   x m l n s : x s i = " h t t p : / / w w w . w 3 . o r g / 2 0 0 1 / X M L S c h e m a - i n s t a n c e "   x m l n s : x s d = " h t t p : / / w w w . w 3 . o r g / 2 0 0 1 / X M L S c h e m a " > < C o l u m n S u g g e s t e d T y p e   / > < C o l u m n F o r m a t   / > < C o l u m n A c c u r a c y   / > < C o l u m n C u r r e n c y S y m b o l   / > < C o l u m n P o s i t i v e P a t t e r n   / > < C o l u m n N e g a t i v e P a t t e r n   / > < C o l u m n W i d t h s > < i t e m > < k e y > < s t r i n g > >=B>  <>@B870F8X0< / s t r i n g > < / k e y > < v a l u e > < i n t > 2 0 6 < / i n t > < / v a l u e > < / i t e m > < i t e m > < k e y > < s t r i n g > >=B>  !@54AB20< / s t r i n g > < / k e y > < v a l u e > < i n t > 1 6 7 < / i n t > < / v a l u e > < / i t e m > < i t e m > < k e y > < s t r i n g > @>F5=5B0  2@54=>AB  =0  =0102:0  A>    ( 45=0@8) < / s t r i n g > < / k e y > < v a l u e > < i n t > 4 3 4 < / i n t > < / v a l u e > < / i t e m > < i t e m > < k e y > < s t r i n g > G5:C20=  40BC<  70  AB020Z5  2>  C?>B@510  ( <5A5F) < / s t r i n g > < / k e y > < v a l u e > < i n t > 4 3 0 < / i n t > < / v a l u e > < / i t e m > < i t e m > < k e y > < s t r i n g > @54<5B  =0  4>3>2>@>B  70  X02=0  =0102:0< / s t r i n g > < / k e y > < v a l u e > < i n t > 3 6 1 < / i n t > < / v a l u e > < / i t e m > < i t e m > < k e y > < s t r i n g > @>X  =0  X02=0  =0102:0  ( ?;0=) < / s t r i n g > < / k e y > < v a l u e > < i n t > 2 7 1 < / i n t > < / v a l u e > < / i t e m > < i t e m > < k e y > < s t r i n g > >48=0  70  @50;870F8X0  =0  ?@>5:B< / s t r i n g > < / k e y > < v a l u e > < i n t > 3 0 4 < / i n t > < / v a l u e > < / i t e m > < i t e m > < k e y > < s t r i n g > 7=>A  4>=0F8X0< / s t r i n g > < / k e y > < v a l u e > < i n t > 1 6 9 < / i n t > < / v a l u e > < / i t e m > < i t e m > < k e y > < s t r i n g > !B0?:0  =0  0<>@B870F8X0< / s t r i n g > < / k e y > < v a l u e > < i n t > 2 3 4 < / i n t > < / v a l u e > < / i t e m > < i t e m > < k e y > < s t r i n g > G5:C20=  40BC<  =0  ?;0\0Z5< / s t r i n g > < / k e y > < v a l u e > < i n t > 2 7 1 < / i n t > < / v a l u e > < / i t e m > < / C o l u m n W i d t h s > < C o l u m n D i s p l a y I n d e x > < i t e m > < k e y > < s t r i n g > >=B>  <>@B870F8X0< / s t r i n g > < / k e y > < v a l u e > < i n t > 6 < / i n t > < / v a l u e > < / i t e m > < i t e m > < k e y > < s t r i n g > >=B>  !@54AB20< / s t r i n g > < / k e y > < v a l u e > < i n t > 5 < / i n t > < / v a l u e > < / i t e m > < i t e m > < k e y > < s t r i n g > @>F5=5B0  2@54=>AB  =0  =0102:0  A>    ( 45=0@8) < / s t r i n g > < / k e y > < v a l u e > < i n t > 4 < / i n t > < / v a l u e > < / i t e m > < i t e m > < k e y > < s t r i n g > G5:C20=  40BC<  70  AB020Z5  2>  C?>B@510  ( <5A5F) < / s t r i n g > < / k e y > < v a l u e > < i n t > 3 < / i n t > < / v a l u e > < / i t e m > < i t e m > < k e y > < s t r i n g > @54<5B  =0  4>3>2>@>B  70  X02=0  =0102:0< / s t r i n g > < / k e y > < v a l u e > < i n t > 2 < / i n t > < / v a l u e > < / i t e m > < i t e m > < k e y > < s t r i n g > @>X  =0  X02=0  =0102:0  ( ?;0=) < / s t r i n g > < / k e y > < v a l u e > < i n t > 1 < / i n t > < / v a l u e > < / i t e m > < i t e m > < k e y > < s t r i n g > >48=0  70  @50;870F8X0  =0  ?@>5:B< / s t r i n g > < / k e y > < v a l u e > < i n t > 0 < / i n t > < / v a l u e > < / i t e m > < i t e m > < k e y > < s t r i n g > 7=>A  4>=0F8X0< / s t r i n g > < / k e y > < v a l u e > < i n t > 7 < / i n t > < / v a l u e > < / i t e m > < i t e m > < k e y > < s t r i n g > !B0?:0  =0  0<>@B870F8X0< / s t r i n g > < / k e y > < v a l u e > < i n t > 9 < / i n t > < / v a l u e > < / i t e m > < i t e m > < k e y > < s t r i n g > G5:C20=  40BC<  =0  ?;0\0Z5< / s t r i n g > < / k e y > < v a l u e > < i n t > 8 < / 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f C o v e c k i R e s u r s i _ 7 a 1 7 6 d 2 e - 5 d 9 7 - 4 8 b f - 9 7 9 d - c 4 9 9 5 6 7 6 4 5 0 e " > < C u s t o m C o n t e n t > < ! [ C D A T A [ < T a b l e W i d g e t G r i d S e r i a l i z a t i o n   x m l n s : x s d = " h t t p : / / w w w . w 3 . o r g / 2 0 0 1 / X M L S c h e m a "   x m l n s : x s i = " h t t p : / / w w w . w 3 . o r g / 2 0 0 1 / X M L S c h e m a - i n s t a n c e " > < C o l u m n S u g g e s t e d T y p e   / > < C o l u m n F o r m a t   / > < C o l u m n A c c u r a c y   / > < C o l u m n C u r r e n c y S y m b o l   / > < C o l u m n P o s i t i v e P a t t e r n   / > < C o l u m n N e g a t i v e P a t t e r n   / > < C o l u m n W i d t h s > < i t e m > < k e y > < s t r i n g > !B02:0< / s t r i n g > < / k e y > < v a l u e > < i n t > 9 6 < / i n t > < / v a l u e > < / i t e m > < i t e m > < k e y > < s t r i n g > "8?  =0  2@01>BC20Z5< / s t r i n g > < / k e y > < v a l u e > < i n t > 2 0 4 < / i n t > < / v a l u e > < / i t e m > < i t e m > < k e y > < s t r i n g > 5@8>4< / s t r i n g > < / k e y > < v a l u e > < i n t > 1 5 8 < / i n t > < / v a l u e > < / i t e m > < i t e m > < k e y > < s t r i n g > 7=>A< / s t r i n g > < / k e y > < v a l u e > < i n t > 9 1 < / i n t > < / v a l u e > < / i t e m > < i t e m > < k e y > < s t r i n g > >=B>< / s t r i n g > < / k e y > < v a l u e > < i n t > 9 0 < / i n t > < / v a l u e > < / i t e m > < i t e m > < k e y > < s t r i n g > R e p o r t T y p e < / s t r i n g > < / k e y > < v a l u e > < i n t > 1 3 1 < / i n t > < / v a l u e > < / i t e m > < i t e m > < k e y > < s t r i n g > @0X=0  A>AB>X10  2@01>B5=8< / s t r i n g > < / k e y > < v a l u e > < i n t > 2 5 5 < / i n t > < / v a l u e > < / i t e m > < i t e m > < k e y > < s t r i n g > ;0=8@0=  ?@8;82/ ( >4;82) < / s t r i n g > < / k e y > < v a l u e > < i n t > 2 5 4 < / i n t > < / v a l u e > < / i t e m > < i t e m > < k e y > < s t r i n g > 5@8>4  ( Y e a r ) < / s t r i n g > < / k e y > < v a l u e > < i n t > 1 5 3 < / i n t > < / v a l u e > < / i t e m > < i t e m > < k e y > < s t r i n g > 5@8>4  ( Q u a r t e r ) < / s t r i n g > < / k e y > < v a l u e > < i n t > 1 8 1 < / i n t > < / v a l u e > < / i t e m > < i t e m > < k e y > < s t r i n g > 5@8>4  ( M o n t h   I n d e x ) < / s t r i n g > < / k e y > < v a l u e > < i n t > 2 1 9 < / i n t > < / v a l u e > < / i t e m > < i t e m > < k e y > < s t r i n g > 5@8>4  ( M o n t h ) < / s t r i n g > < / k e y > < v a l u e > < i n t > 1 7 2 < / i n t > < / v a l u e > < / i t e m > < i t e m > < k e y > < s t r i n g > 5@8>4  ( Y e a r )   1 < / s t r i n g > < / k e y > < v a l u e > < i n t > 1 3 4 < / i n t > < / v a l u e > < / i t e m > < i t e m > < k e y > < s t r i n g > 5@8>4  ( Q u a r t e r )   1 < / s t r i n g > < / k e y > < v a l u e > < i n t > 1 5 6 < / i n t > < / v a l u e > < / i t e m > < i t e m > < k e y > < s t r i n g > 5@8>4  ( M o n t h   I n d e x )   1 < / s t r i n g > < / k e y > < v a l u e > < i n t > 1 8 7 < / i n t > < / v a l u e > < / i t e m > < i t e m > < k e y > < s t r i n g > 5@8>4  ( M o n t h )   1 < / s t r i n g > < / k e y > < v a l u e > < i n t > 1 4 9 < / i n t > < / v a l u e > < / i t e m > < / C o l u m n W i d t h s > < C o l u m n D i s p l a y I n d e x > < i t e m > < k e y > < s t r i n g > !B02:0< / s t r i n g > < / k e y > < v a l u e > < i n t > 0 < / i n t > < / v a l u e > < / i t e m > < i t e m > < k e y > < s t r i n g > "8?  =0  2@01>BC20Z5< / s t r i n g > < / k e y > < v a l u e > < i n t > 1 < / i n t > < / v a l u e > < / i t e m > < i t e m > < k e y > < s t r i n g > 5@8>4< / s t r i n g > < / k e y > < v a l u e > < i n t > 2 < / i n t > < / v a l u e > < / i t e m > < i t e m > < k e y > < s t r i n g > 7=>A< / s t r i n g > < / k e y > < v a l u e > < i n t > 3 < / i n t > < / v a l u e > < / i t e m > < i t e m > < k e y > < s t r i n g > >=B>< / s t r i n g > < / k e y > < v a l u e > < i n t > 4 < / i n t > < / v a l u e > < / i t e m > < i t e m > < k e y > < s t r i n g > R e p o r t T y p e < / s t r i n g > < / k e y > < v a l u e > < i n t > 5 < / i n t > < / v a l u e > < / i t e m > < i t e m > < k e y > < s t r i n g > @0X=0  A>AB>X10  2@01>B5=8< / s t r i n g > < / k e y > < v a l u e > < i n t > 6 < / i n t > < / v a l u e > < / i t e m > < i t e m > < k e y > < s t r i n g > ;0=8@0=  ?@8;82/ ( >4;82) < / s t r i n g > < / k e y > < v a l u e > < i n t > 7 < / i n t > < / v a l u e > < / i t e m > < i t e m > < k e y > < s t r i n g > 5@8>4  ( Y e a r ) < / s t r i n g > < / k e y > < v a l u e > < i n t > 8 < / i n t > < / v a l u e > < / i t e m > < i t e m > < k e y > < s t r i n g > 5@8>4  ( Q u a r t e r ) < / s t r i n g > < / k e y > < v a l u e > < i n t > 9 < / i n t > < / v a l u e > < / i t e m > < i t e m > < k e y > < s t r i n g > 5@8>4  ( M o n t h   I n d e x ) < / s t r i n g > < / k e y > < v a l u e > < i n t > 1 0 < / i n t > < / v a l u e > < / i t e m > < i t e m > < k e y > < s t r i n g > 5@8>4  ( M o n t h ) < / s t r i n g > < / k e y > < v a l u e > < i n t > 1 1 < / i n t > < / v a l u e > < / i t e m > < i t e m > < k e y > < s t r i n g > 5@8>4  ( Y e a r )   1 < / s t r i n g > < / k e y > < v a l u e > < i n t > 1 2 < / i n t > < / v a l u e > < / i t e m > < i t e m > < k e y > < s t r i n g > 5@8>4  ( Q u a r t e r )   1 < / s t r i n g > < / k e y > < v a l u e > < i n t > 1 3 < / i n t > < / v a l u e > < / i t e m > < i t e m > < k e y > < s t r i n g > 5@8>4  ( M o n t h   I n d e x )   1 < / s t r i n g > < / k e y > < v a l u e > < i n t > 1 4 < / i n t > < / v a l u e > < / i t e m > < i t e m > < k e y > < s t r i n g > 5@8>4  ( M o n t h )   1 < / s t r i n g > < / k e y > < v a l u e > < i n t > 1 5 < / i n t > < / v a l u e > < / i t e m > < / C o l u m n D i s p l a y I n d e x > < C o l u m n F r o z e n   / > < C o l u m n C h e c k e d   / > < C o l u m n F i l t e r   / > < S e l e c t i o n F i l t e r   / > < F i l t e r P a r a m e t e r s   / > < I s S o r t D e s c e n d i n g > f a l s e < / I s S o r t D e s c e n d i n g > < / T a b l e W i d g e t G r i d S e r i a l i z a t i o n > ] ] > < / 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EC4D3B-1A59-4FB2-B60C-71E79E403B7B}">
  <ds:schemaRefs/>
</ds:datastoreItem>
</file>

<file path=customXml/itemProps10.xml><?xml version="1.0" encoding="utf-8"?>
<ds:datastoreItem xmlns:ds="http://schemas.openxmlformats.org/officeDocument/2006/customXml" ds:itemID="{8EDB027B-81AA-4EB9-9890-5A556BF44C44}">
  <ds:schemaRefs/>
</ds:datastoreItem>
</file>

<file path=customXml/itemProps11.xml><?xml version="1.0" encoding="utf-8"?>
<ds:datastoreItem xmlns:ds="http://schemas.openxmlformats.org/officeDocument/2006/customXml" ds:itemID="{17074B0A-B551-4324-91C4-2BFFF6D3FB26}">
  <ds:schemaRefs>
    <ds:schemaRef ds:uri="http://schemas.openxmlformats.org/package/2006/metadata/core-properties"/>
    <ds:schemaRef ds:uri="http://schemas.microsoft.com/office/infopath/2007/PartnerControls"/>
    <ds:schemaRef ds:uri="http://purl.org/dc/dcmitype/"/>
    <ds:schemaRef ds:uri="http://www.w3.org/XML/1998/namespace"/>
    <ds:schemaRef ds:uri="http://schemas.microsoft.com/office/2006/metadata/properties"/>
    <ds:schemaRef ds:uri="d1e39413-4b66-418d-aec3-d56351fadbc6"/>
    <ds:schemaRef ds:uri="http://purl.org/dc/elements/1.1/"/>
    <ds:schemaRef ds:uri="http://schemas.microsoft.com/office/2006/documentManagement/types"/>
    <ds:schemaRef ds:uri="http://purl.org/dc/terms/"/>
    <ds:schemaRef ds:uri="8678cf70-7d2a-425d-8915-fdf73a3b7ea8"/>
  </ds:schemaRefs>
</ds:datastoreItem>
</file>

<file path=customXml/itemProps12.xml><?xml version="1.0" encoding="utf-8"?>
<ds:datastoreItem xmlns:ds="http://schemas.openxmlformats.org/officeDocument/2006/customXml" ds:itemID="{0EEB3237-2729-46EE-96C5-7310D06DFA1A}">
  <ds:schemaRefs>
    <ds:schemaRef ds:uri="http://gemini/pivotcustomization/TableXML_CAPEX_List_53e8bf2e-fc61-4f58-9b94-c74c4c3680d0"/>
  </ds:schemaRefs>
</ds:datastoreItem>
</file>

<file path=customXml/itemProps13.xml><?xml version="1.0" encoding="utf-8"?>
<ds:datastoreItem xmlns:ds="http://schemas.openxmlformats.org/officeDocument/2006/customXml" ds:itemID="{858C69C5-A449-4415-BAA8-B7CEBB27ED67}">
  <ds:schemaRefs>
    <ds:schemaRef ds:uri="http://gemini/pivotcustomization/TableXML_fAccountingData_246bd1fc-1d2a-4a69-9903-521bc01c1a51"/>
  </ds:schemaRefs>
</ds:datastoreItem>
</file>

<file path=customXml/itemProps14.xml><?xml version="1.0" encoding="utf-8"?>
<ds:datastoreItem xmlns:ds="http://schemas.openxmlformats.org/officeDocument/2006/customXml" ds:itemID="{742508C7-1CF9-4543-BB01-2BC3F332BDCF}">
  <ds:schemaRefs>
    <ds:schemaRef ds:uri="http://gemini/pivotcustomization/TableXML_dObrazecFinansiskiPlan_37159981-a091-455d-9513-4665927b0364"/>
  </ds:schemaRefs>
</ds:datastoreItem>
</file>

<file path=customXml/itemProps15.xml><?xml version="1.0" encoding="utf-8"?>
<ds:datastoreItem xmlns:ds="http://schemas.openxmlformats.org/officeDocument/2006/customXml" ds:itemID="{D540FB79-35DB-45F0-9D8B-A9CBBB2DA095}">
  <ds:schemaRefs>
    <ds:schemaRef ds:uri="http://gemini/pivotcustomization/TableXML_ActualAndBudget_bcdd103d-c604-49bb-87fc-c584ec0152b8"/>
  </ds:schemaRefs>
</ds:datastoreItem>
</file>

<file path=customXml/itemProps16.xml><?xml version="1.0" encoding="utf-8"?>
<ds:datastoreItem xmlns:ds="http://schemas.openxmlformats.org/officeDocument/2006/customXml" ds:itemID="{7F205BA3-92FA-40C8-AADE-1F18E6C10E88}">
  <ds:schemaRefs>
    <ds:schemaRef ds:uri="http://gemini/pivotcustomization/TableXML_Nabavki_8ea65c42-c0ff-4d26-bb6a-ce8cc36f0822"/>
  </ds:schemaRefs>
</ds:datastoreItem>
</file>

<file path=customXml/itemProps17.xml><?xml version="1.0" encoding="utf-8"?>
<ds:datastoreItem xmlns:ds="http://schemas.openxmlformats.org/officeDocument/2006/customXml" ds:itemID="{49DD046F-5F80-4285-BBA7-1F9BDAF6B53B}">
  <ds:schemaRefs>
    <ds:schemaRef ds:uri="http://gemini/pivotcustomization/ManualCalcMode"/>
  </ds:schemaRefs>
</ds:datastoreItem>
</file>

<file path=customXml/itemProps18.xml><?xml version="1.0" encoding="utf-8"?>
<ds:datastoreItem xmlns:ds="http://schemas.openxmlformats.org/officeDocument/2006/customXml" ds:itemID="{5C2A055E-E8F1-4B4A-A7E2-A845231B6F07}">
  <ds:schemaRefs/>
</ds:datastoreItem>
</file>

<file path=customXml/itemProps19.xml><?xml version="1.0" encoding="utf-8"?>
<ds:datastoreItem xmlns:ds="http://schemas.openxmlformats.org/officeDocument/2006/customXml" ds:itemID="{CBD35D8F-1466-41F2-9F55-35E0F83165DD}">
  <ds:schemaRefs/>
</ds:datastoreItem>
</file>

<file path=customXml/itemProps2.xml><?xml version="1.0" encoding="utf-8"?>
<ds:datastoreItem xmlns:ds="http://schemas.openxmlformats.org/officeDocument/2006/customXml" ds:itemID="{C0C6DF91-07E4-4147-80F1-975E94297DD7}">
  <ds:schemaRefs/>
</ds:datastoreItem>
</file>

<file path=customXml/itemProps20.xml><?xml version="1.0" encoding="utf-8"?>
<ds:datastoreItem xmlns:ds="http://schemas.openxmlformats.org/officeDocument/2006/customXml" ds:itemID="{77342CDD-36A7-4F7B-B8A2-0EC0240B2E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e39413-4b66-418d-aec3-d56351fadbc6"/>
    <ds:schemaRef ds:uri="8678cf70-7d2a-425d-8915-fdf73a3b7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1.xml><?xml version="1.0" encoding="utf-8"?>
<ds:datastoreItem xmlns:ds="http://schemas.openxmlformats.org/officeDocument/2006/customXml" ds:itemID="{BF16686F-9AA5-40F9-8A3F-822DBD7EDDF2}">
  <ds:schemaRefs/>
</ds:datastoreItem>
</file>

<file path=customXml/itemProps22.xml><?xml version="1.0" encoding="utf-8"?>
<ds:datastoreItem xmlns:ds="http://schemas.openxmlformats.org/officeDocument/2006/customXml" ds:itemID="{91747A8A-6EB8-41BD-88F2-CFDB3EC70585}">
  <ds:schemaRefs/>
</ds:datastoreItem>
</file>

<file path=customXml/itemProps23.xml><?xml version="1.0" encoding="utf-8"?>
<ds:datastoreItem xmlns:ds="http://schemas.openxmlformats.org/officeDocument/2006/customXml" ds:itemID="{1E5C9D60-D602-4472-BB59-7B33EE1FF386}">
  <ds:schemaRefs/>
</ds:datastoreItem>
</file>

<file path=customXml/itemProps24.xml><?xml version="1.0" encoding="utf-8"?>
<ds:datastoreItem xmlns:ds="http://schemas.openxmlformats.org/officeDocument/2006/customXml" ds:itemID="{3B5F0023-6E74-4712-96B7-F653FA519AD4}">
  <ds:schemaRefs/>
</ds:datastoreItem>
</file>

<file path=customXml/itemProps25.xml><?xml version="1.0" encoding="utf-8"?>
<ds:datastoreItem xmlns:ds="http://schemas.openxmlformats.org/officeDocument/2006/customXml" ds:itemID="{75748CA3-BEFA-4B98-B8E7-6304BDA07981}">
  <ds:schemaRefs/>
</ds:datastoreItem>
</file>

<file path=customXml/itemProps26.xml><?xml version="1.0" encoding="utf-8"?>
<ds:datastoreItem xmlns:ds="http://schemas.openxmlformats.org/officeDocument/2006/customXml" ds:itemID="{CA00E207-989F-412D-BD41-4556E465F1A3}">
  <ds:schemaRefs>
    <ds:schemaRef ds:uri="http://gemini/pivotcustomization/TableXML_fVkupniRashodi_3089af1a-26d6-4a6b-b5c5-4d42613e5659"/>
  </ds:schemaRefs>
</ds:datastoreItem>
</file>

<file path=customXml/itemProps27.xml><?xml version="1.0" encoding="utf-8"?>
<ds:datastoreItem xmlns:ds="http://schemas.openxmlformats.org/officeDocument/2006/customXml" ds:itemID="{4F846810-FBF7-486A-A6BB-8AD9FD7E6B13}">
  <ds:schemaRefs/>
</ds:datastoreItem>
</file>

<file path=customXml/itemProps28.xml><?xml version="1.0" encoding="utf-8"?>
<ds:datastoreItem xmlns:ds="http://schemas.openxmlformats.org/officeDocument/2006/customXml" ds:itemID="{8C737029-B75E-4DD3-8DC6-C539A87D3105}">
  <ds:schemaRefs/>
</ds:datastoreItem>
</file>

<file path=customXml/itemProps29.xml><?xml version="1.0" encoding="utf-8"?>
<ds:datastoreItem xmlns:ds="http://schemas.openxmlformats.org/officeDocument/2006/customXml" ds:itemID="{30625B02-60A3-47B6-B5D6-6CD12F85DE2B}">
  <ds:schemaRefs/>
</ds:datastoreItem>
</file>

<file path=customXml/itemProps3.xml><?xml version="1.0" encoding="utf-8"?>
<ds:datastoreItem xmlns:ds="http://schemas.openxmlformats.org/officeDocument/2006/customXml" ds:itemID="{AF8D0EDF-5394-470A-8C2A-0C078C2D7DEA}">
  <ds:schemaRefs/>
</ds:datastoreItem>
</file>

<file path=customXml/itemProps30.xml><?xml version="1.0" encoding="utf-8"?>
<ds:datastoreItem xmlns:ds="http://schemas.openxmlformats.org/officeDocument/2006/customXml" ds:itemID="{4C5D18D9-3CB3-41E0-8570-2F652ED3E89D}">
  <ds:schemaRefs/>
</ds:datastoreItem>
</file>

<file path=customXml/itemProps31.xml><?xml version="1.0" encoding="utf-8"?>
<ds:datastoreItem xmlns:ds="http://schemas.openxmlformats.org/officeDocument/2006/customXml" ds:itemID="{5C7E0708-153E-45D8-A1D1-8BFCB3EF6264}">
  <ds:schemaRefs/>
</ds:datastoreItem>
</file>

<file path=customXml/itemProps32.xml><?xml version="1.0" encoding="utf-8"?>
<ds:datastoreItem xmlns:ds="http://schemas.openxmlformats.org/officeDocument/2006/customXml" ds:itemID="{C0EF227B-24E1-4240-B7DB-74A68A1FE2CE}">
  <ds:schemaRefs/>
</ds:datastoreItem>
</file>

<file path=customXml/itemProps33.xml><?xml version="1.0" encoding="utf-8"?>
<ds:datastoreItem xmlns:ds="http://schemas.openxmlformats.org/officeDocument/2006/customXml" ds:itemID="{B1019FAA-6CC9-48BF-961F-074618572280}">
  <ds:schemaRefs/>
</ds:datastoreItem>
</file>

<file path=customXml/itemProps34.xml><?xml version="1.0" encoding="utf-8"?>
<ds:datastoreItem xmlns:ds="http://schemas.openxmlformats.org/officeDocument/2006/customXml" ds:itemID="{B0E331CD-22BB-4904-942E-49A202FF8F6F}">
  <ds:schemaRefs/>
</ds:datastoreItem>
</file>

<file path=customXml/itemProps35.xml><?xml version="1.0" encoding="utf-8"?>
<ds:datastoreItem xmlns:ds="http://schemas.openxmlformats.org/officeDocument/2006/customXml" ds:itemID="{5FD94FC7-B62E-4170-B3C1-B29C2F24EEDE}">
  <ds:schemaRefs/>
</ds:datastoreItem>
</file>

<file path=customXml/itemProps36.xml><?xml version="1.0" encoding="utf-8"?>
<ds:datastoreItem xmlns:ds="http://schemas.openxmlformats.org/officeDocument/2006/customXml" ds:itemID="{9B42E6FB-918B-41F0-8628-DFAB7ECCA41B}">
  <ds:schemaRefs/>
</ds:datastoreItem>
</file>

<file path=customXml/itemProps37.xml><?xml version="1.0" encoding="utf-8"?>
<ds:datastoreItem xmlns:ds="http://schemas.openxmlformats.org/officeDocument/2006/customXml" ds:itemID="{6CDC0E95-29F3-497B-B97B-2ADE929D243D}">
  <ds:schemaRefs>
    <ds:schemaRef ds:uri="http://gemini/pivotcustomization/TableXML_fTransakcii_62b3969f-c17f-4d18-810b-1bc9b9c0c8cc"/>
  </ds:schemaRefs>
</ds:datastoreItem>
</file>

<file path=customXml/itemProps38.xml><?xml version="1.0" encoding="utf-8"?>
<ds:datastoreItem xmlns:ds="http://schemas.openxmlformats.org/officeDocument/2006/customXml" ds:itemID="{0FD77CC7-E96A-44BD-B016-D8B7AB561979}">
  <ds:schemaRefs/>
</ds:datastoreItem>
</file>

<file path=customXml/itemProps39.xml><?xml version="1.0" encoding="utf-8"?>
<ds:datastoreItem xmlns:ds="http://schemas.openxmlformats.org/officeDocument/2006/customXml" ds:itemID="{6C7A38DE-78DB-4BC8-90FF-83C803B900CC}">
  <ds:schemaRefs/>
</ds:datastoreItem>
</file>

<file path=customXml/itemProps4.xml><?xml version="1.0" encoding="utf-8"?>
<ds:datastoreItem xmlns:ds="http://schemas.openxmlformats.org/officeDocument/2006/customXml" ds:itemID="{C9E599B7-C517-40F2-8E66-84FE40CAC66E}">
  <ds:schemaRefs>
    <ds:schemaRef ds:uri="http://gemini/pivotcustomization/TableXML_fPrihodiRashodi_12e2e5bd-bef4-4546-84fa-9054cbc13adb"/>
  </ds:schemaRefs>
</ds:datastoreItem>
</file>

<file path=customXml/itemProps40.xml><?xml version="1.0" encoding="utf-8"?>
<ds:datastoreItem xmlns:ds="http://schemas.openxmlformats.org/officeDocument/2006/customXml" ds:itemID="{C9FAAFA8-F7D6-43AC-A91B-0F2229233D05}">
  <ds:schemaRefs/>
</ds:datastoreItem>
</file>

<file path=customXml/itemProps41.xml><?xml version="1.0" encoding="utf-8"?>
<ds:datastoreItem xmlns:ds="http://schemas.openxmlformats.org/officeDocument/2006/customXml" ds:itemID="{ED9CF954-AAA1-4448-A505-8178F2E89545}">
  <ds:schemaRefs>
    <ds:schemaRef ds:uri="http://gemini/pivotcustomization/TableXML_fVkupniPrihodi_d179eb0f-b1ea-4e8a-8813-d108f153f64f"/>
  </ds:schemaRefs>
</ds:datastoreItem>
</file>

<file path=customXml/itemProps42.xml><?xml version="1.0" encoding="utf-8"?>
<ds:datastoreItem xmlns:ds="http://schemas.openxmlformats.org/officeDocument/2006/customXml" ds:itemID="{E977D2AF-09F5-44D4-8AF0-BA105C9B572B}">
  <ds:schemaRefs/>
</ds:datastoreItem>
</file>

<file path=customXml/itemProps43.xml><?xml version="1.0" encoding="utf-8"?>
<ds:datastoreItem xmlns:ds="http://schemas.openxmlformats.org/officeDocument/2006/customXml" ds:itemID="{8E954030-B4BE-45FA-825C-19ED5B008C1B}">
  <ds:schemaRefs/>
</ds:datastoreItem>
</file>

<file path=customXml/itemProps44.xml><?xml version="1.0" encoding="utf-8"?>
<ds:datastoreItem xmlns:ds="http://schemas.openxmlformats.org/officeDocument/2006/customXml" ds:itemID="{64D34EBF-3291-44CE-904C-BC9AB2CDFD3C}">
  <ds:schemaRefs/>
</ds:datastoreItem>
</file>

<file path=customXml/itemProps45.xml><?xml version="1.0" encoding="utf-8"?>
<ds:datastoreItem xmlns:ds="http://schemas.openxmlformats.org/officeDocument/2006/customXml" ds:itemID="{50F37AF9-202D-4430-AA05-64D2DA6D8CB8}">
  <ds:schemaRefs>
    <ds:schemaRef ds:uri="http://gemini/pivotcustomization/LinkedTableUpdateMode"/>
  </ds:schemaRefs>
</ds:datastoreItem>
</file>

<file path=customXml/itemProps46.xml><?xml version="1.0" encoding="utf-8"?>
<ds:datastoreItem xmlns:ds="http://schemas.openxmlformats.org/officeDocument/2006/customXml" ds:itemID="{88167725-A93E-42C9-B1BF-F97F7A9247CA}">
  <ds:schemaRefs>
    <ds:schemaRef ds:uri="http://schemas.microsoft.com/DataMashup"/>
  </ds:schemaRefs>
</ds:datastoreItem>
</file>

<file path=customXml/itemProps47.xml><?xml version="1.0" encoding="utf-8"?>
<ds:datastoreItem xmlns:ds="http://schemas.openxmlformats.org/officeDocument/2006/customXml" ds:itemID="{CEF620FC-8C0C-4F52-A279-274E7537491B}">
  <ds:schemaRefs>
    <ds:schemaRef ds:uri="http://gemini/pivotcustomization/TableXML_fActualAndBudget_2ce20bb8-3569-4f63-8edd-afdfd7e9e6b0"/>
  </ds:schemaRefs>
</ds:datastoreItem>
</file>

<file path=customXml/itemProps48.xml><?xml version="1.0" encoding="utf-8"?>
<ds:datastoreItem xmlns:ds="http://schemas.openxmlformats.org/officeDocument/2006/customXml" ds:itemID="{E12BF662-38AD-48F8-86D3-29C941167925}">
  <ds:schemaRefs>
    <ds:schemaRef ds:uri="http://gemini/pivotcustomization/TableXML_fPrihodiRashodiFinPlan_48347728-3647-4988-b707-b67d0bac82ee"/>
  </ds:schemaRefs>
</ds:datastoreItem>
</file>

<file path=customXml/itemProps49.xml><?xml version="1.0" encoding="utf-8"?>
<ds:datastoreItem xmlns:ds="http://schemas.openxmlformats.org/officeDocument/2006/customXml" ds:itemID="{CED22614-D8FF-4DED-8EE8-687D62679CA0}">
  <ds:schemaRefs/>
</ds:datastoreItem>
</file>

<file path=customXml/itemProps5.xml><?xml version="1.0" encoding="utf-8"?>
<ds:datastoreItem xmlns:ds="http://schemas.openxmlformats.org/officeDocument/2006/customXml" ds:itemID="{729A599F-283C-4F76-8262-EACDCBBB80E8}">
  <ds:schemaRefs/>
</ds:datastoreItem>
</file>

<file path=customXml/itemProps50.xml><?xml version="1.0" encoding="utf-8"?>
<ds:datastoreItem xmlns:ds="http://schemas.openxmlformats.org/officeDocument/2006/customXml" ds:itemID="{2D9BF799-10E2-4277-9A25-27AB1E74B9E1}">
  <ds:schemaRefs>
    <ds:schemaRef ds:uri="http://gemini/pivotcustomization/ShowImplicitMeasures"/>
  </ds:schemaRefs>
</ds:datastoreItem>
</file>

<file path=customXml/itemProps51.xml><?xml version="1.0" encoding="utf-8"?>
<ds:datastoreItem xmlns:ds="http://schemas.openxmlformats.org/officeDocument/2006/customXml" ds:itemID="{A1988D5D-BF84-4961-89D0-9CBEEC188C0B}">
  <ds:schemaRefs>
    <ds:schemaRef ds:uri="http://gemini/pivotcustomization/TableXML_ActualAndBudget_8a5be116-973c-4884-a6c1-6334012de921"/>
  </ds:schemaRefs>
</ds:datastoreItem>
</file>

<file path=customXml/itemProps52.xml><?xml version="1.0" encoding="utf-8"?>
<ds:datastoreItem xmlns:ds="http://schemas.openxmlformats.org/officeDocument/2006/customXml" ds:itemID="{F97B36E2-26EE-4210-8320-5684360EDBD9}">
  <ds:schemaRefs/>
</ds:datastoreItem>
</file>

<file path=customXml/itemProps53.xml><?xml version="1.0" encoding="utf-8"?>
<ds:datastoreItem xmlns:ds="http://schemas.openxmlformats.org/officeDocument/2006/customXml" ds:itemID="{E0D8FDDE-C508-427A-836E-4878DEB5415E}">
  <ds:schemaRefs/>
</ds:datastoreItem>
</file>

<file path=customXml/itemProps54.xml><?xml version="1.0" encoding="utf-8"?>
<ds:datastoreItem xmlns:ds="http://schemas.openxmlformats.org/officeDocument/2006/customXml" ds:itemID="{77AB118D-17EE-4C21-8B34-5CAB29A1E631}">
  <ds:schemaRefs>
    <ds:schemaRef ds:uri="http://gemini/pivotcustomization/TableXML_rObrazecFinansiskiPlan_c1a75023-b884-451a-ba1c-90b7f166ea0c"/>
  </ds:schemaRefs>
</ds:datastoreItem>
</file>

<file path=customXml/itemProps55.xml><?xml version="1.0" encoding="utf-8"?>
<ds:datastoreItem xmlns:ds="http://schemas.openxmlformats.org/officeDocument/2006/customXml" ds:itemID="{ABFA14A4-D4A2-48E0-B4F2-0404A7176094}">
  <ds:schemaRefs>
    <ds:schemaRef ds:uri="http://gemini/pivotcustomization/TableXML_dMapping_1777c25b-fb91-4af0-a5a6-fea1cb519bd0"/>
  </ds:schemaRefs>
</ds:datastoreItem>
</file>

<file path=customXml/itemProps56.xml><?xml version="1.0" encoding="utf-8"?>
<ds:datastoreItem xmlns:ds="http://schemas.openxmlformats.org/officeDocument/2006/customXml" ds:itemID="{3D3CCBE6-67D2-4E3F-864B-E983CB3FFCD0}">
  <ds:schemaRefs/>
</ds:datastoreItem>
</file>

<file path=customXml/itemProps57.xml><?xml version="1.0" encoding="utf-8"?>
<ds:datastoreItem xmlns:ds="http://schemas.openxmlformats.org/officeDocument/2006/customXml" ds:itemID="{36CF0B65-6F0E-4B99-8AEC-8B742B3B82B8}">
  <ds:schemaRefs/>
</ds:datastoreItem>
</file>

<file path=customXml/itemProps58.xml><?xml version="1.0" encoding="utf-8"?>
<ds:datastoreItem xmlns:ds="http://schemas.openxmlformats.org/officeDocument/2006/customXml" ds:itemID="{F8A1CCE1-4871-46B6-88B0-2590697B542B}">
  <ds:schemaRefs/>
</ds:datastoreItem>
</file>

<file path=customXml/itemProps59.xml><?xml version="1.0" encoding="utf-8"?>
<ds:datastoreItem xmlns:ds="http://schemas.openxmlformats.org/officeDocument/2006/customXml" ds:itemID="{04B14486-BF6C-4A3D-8240-6EA575F02025}">
  <ds:schemaRefs>
    <ds:schemaRef ds:uri="http://gemini/pivotcustomization/ShowHidden"/>
  </ds:schemaRefs>
</ds:datastoreItem>
</file>

<file path=customXml/itemProps6.xml><?xml version="1.0" encoding="utf-8"?>
<ds:datastoreItem xmlns:ds="http://schemas.openxmlformats.org/officeDocument/2006/customXml" ds:itemID="{F1B7029E-4B37-47F8-BF19-69E4B0E8EA43}">
  <ds:schemaRefs>
    <ds:schemaRef ds:uri="http://gemini/pivotcustomization/TableXML_fPrihodiOstanati_3d8021fe-56a3-469c-a0d4-239b193bcab5"/>
  </ds:schemaRefs>
</ds:datastoreItem>
</file>

<file path=customXml/itemProps60.xml><?xml version="1.0" encoding="utf-8"?>
<ds:datastoreItem xmlns:ds="http://schemas.openxmlformats.org/officeDocument/2006/customXml" ds:itemID="{4179FD2E-52FD-4970-AA06-6C4D4DEBADFC}">
  <ds:schemaRefs/>
</ds:datastoreItem>
</file>

<file path=customXml/itemProps61.xml><?xml version="1.0" encoding="utf-8"?>
<ds:datastoreItem xmlns:ds="http://schemas.openxmlformats.org/officeDocument/2006/customXml" ds:itemID="{23495906-B1CB-4131-A38D-20E4ED6F8BFB}">
  <ds:schemaRefs/>
</ds:datastoreItem>
</file>

<file path=customXml/itemProps62.xml><?xml version="1.0" encoding="utf-8"?>
<ds:datastoreItem xmlns:ds="http://schemas.openxmlformats.org/officeDocument/2006/customXml" ds:itemID="{01A6417C-EC98-47DD-9911-049CBCDC1141}">
  <ds:schemaRefs/>
</ds:datastoreItem>
</file>

<file path=customXml/itemProps63.xml><?xml version="1.0" encoding="utf-8"?>
<ds:datastoreItem xmlns:ds="http://schemas.openxmlformats.org/officeDocument/2006/customXml" ds:itemID="{3FC128B3-1D9F-4EE6-A8D6-790D8697A0C9}">
  <ds:schemaRefs/>
</ds:datastoreItem>
</file>

<file path=customXml/itemProps64.xml><?xml version="1.0" encoding="utf-8"?>
<ds:datastoreItem xmlns:ds="http://schemas.openxmlformats.org/officeDocument/2006/customXml" ds:itemID="{FAF979B6-CA92-4542-8BD7-3CC346570DD3}">
  <ds:schemaRefs/>
</ds:datastoreItem>
</file>

<file path=customXml/itemProps65.xml><?xml version="1.0" encoding="utf-8"?>
<ds:datastoreItem xmlns:ds="http://schemas.openxmlformats.org/officeDocument/2006/customXml" ds:itemID="{FDE93DBD-F192-49A0-BF62-E9381FABA9C4}">
  <ds:schemaRefs>
    <ds:schemaRef ds:uri="http://gemini/pivotcustomization/TableXML_Mapping_c3646c01-9136-4980-9f91-43fef7e566d3"/>
  </ds:schemaRefs>
</ds:datastoreItem>
</file>

<file path=customXml/itemProps66.xml><?xml version="1.0" encoding="utf-8"?>
<ds:datastoreItem xmlns:ds="http://schemas.openxmlformats.org/officeDocument/2006/customXml" ds:itemID="{04D6B6CC-7901-41E6-A821-740997334EB0}">
  <ds:schemaRefs>
    <ds:schemaRef ds:uri="http://gemini/pivotcustomization/TableXML_Kategorija_Proekt_255d2b94-7e8f-40ff-b476-7e5a8ebb5e9b"/>
  </ds:schemaRefs>
</ds:datastoreItem>
</file>

<file path=customXml/itemProps7.xml><?xml version="1.0" encoding="utf-8"?>
<ds:datastoreItem xmlns:ds="http://schemas.openxmlformats.org/officeDocument/2006/customXml" ds:itemID="{51EC086E-42A7-4FD4-8678-B705B61F3075}">
  <ds:schemaRefs/>
</ds:datastoreItem>
</file>

<file path=customXml/itemProps8.xml><?xml version="1.0" encoding="utf-8"?>
<ds:datastoreItem xmlns:ds="http://schemas.openxmlformats.org/officeDocument/2006/customXml" ds:itemID="{CBA9F298-181B-46FC-9681-9A8F88BE55D8}">
  <ds:schemaRefs/>
</ds:datastoreItem>
</file>

<file path=customXml/itemProps9.xml><?xml version="1.0" encoding="utf-8"?>
<ds:datastoreItem xmlns:ds="http://schemas.openxmlformats.org/officeDocument/2006/customXml" ds:itemID="{A62E61EA-E2E3-425C-9F7A-9681F2CC64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Трансакции</vt:lpstr>
      <vt:lpstr>BU_pomosen_mesecen (2)</vt:lpstr>
      <vt:lpstr>BU_pomosen_mesecen</vt:lpstr>
      <vt:lpstr>BU_pomosen_kvartalen</vt:lpstr>
      <vt:lpstr>Specificirani prihodi_pomosen</vt:lpstr>
      <vt:lpstr>BU_pomosen_meseceн CUBE</vt:lpstr>
      <vt:lpstr>Amortizacija_CUBE</vt:lpstr>
      <vt:lpstr>Amortizacija</vt:lpstr>
      <vt:lpstr>BS_pomosen_kvartalen</vt:lpstr>
      <vt:lpstr>CAPEX</vt:lpstr>
      <vt:lpstr>CAPEX po meseci CUBE</vt:lpstr>
      <vt:lpstr>BS_pomosen_mesecen</vt:lpstr>
      <vt:lpstr>BS_predviduvanje</vt:lpstr>
      <vt:lpstr>БС</vt:lpstr>
      <vt:lpstr>Za Analiza</vt:lpstr>
      <vt:lpstr>Za Analiza KIRILICA</vt:lpstr>
      <vt:lpstr>Grafici</vt:lpstr>
      <vt:lpstr>OPEX</vt:lpstr>
      <vt:lpstr>Analiza po meseci (2)</vt:lpstr>
      <vt:lpstr>Analiza po meseci</vt:lpstr>
      <vt:lpstr>Analiza_po stavki_periodi</vt:lpstr>
      <vt:lpstr>OPEX po stavki </vt:lpstr>
      <vt:lpstr>Analiza OPEX 2021</vt:lpstr>
      <vt:lpstr>Analiza OPEX 2021 (2)</vt:lpstr>
      <vt:lpstr>BU_pomosen_sporedben</vt:lpstr>
      <vt:lpstr>1. BilansNaSostojba</vt:lpstr>
      <vt:lpstr>2. Bilans Na Uspeh</vt:lpstr>
      <vt:lpstr>3.Specificirani prihodi</vt:lpstr>
      <vt:lpstr>4.Specificirani rashodi</vt:lpstr>
      <vt:lpstr>5. Spec. na fiksni s-va i amort</vt:lpstr>
      <vt:lpstr>5. Vraboteni po nacionalnost</vt:lpstr>
      <vt:lpstr>7.Izv za promeni vo kapital</vt:lpstr>
      <vt:lpstr>8. Izv. za paricni tekovi</vt:lpstr>
      <vt:lpstr>9. Pregled na kvartalni podatoc</vt:lpstr>
      <vt:lpstr>10. Preled na bruto plati </vt:lpstr>
      <vt:lpstr>Sheet1</vt:lpstr>
      <vt:lpstr>Sheet2</vt:lpstr>
      <vt:lpstr>Javni nabavki</vt:lpstr>
      <vt:lpstr>Sheet3</vt:lpstr>
      <vt:lpstr>OPEX!Print_Area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Gordana Godjo</dc:creator>
  <cp:lastModifiedBy>Angela Sazdova - Doneva</cp:lastModifiedBy>
  <cp:revision/>
  <cp:lastPrinted>2021-12-10T09:54:59Z</cp:lastPrinted>
  <dcterms:created xsi:type="dcterms:W3CDTF">2018-07-26T20:29:18Z</dcterms:created>
  <dcterms:modified xsi:type="dcterms:W3CDTF">2022-04-19T08:36:12Z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0x010100BCD9D157FD4B7D419EF8808753D8DBDC</vt:lpwstr>
  </property>
</Properties>
</file>